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https://d.docs.live.net/dd072dddfb4f897a/Desktop/Poli 2021-2022/Computational Finance/Polimi Hedge Fund/AssetAllocation_Trebbi/Project/"/>
    </mc:Choice>
  </mc:AlternateContent>
  <xr:revisionPtr revIDLastSave="2" documentId="8_{C866248C-6FE0-4BAA-95B8-C91CD97AB05E}" xr6:coauthVersionLast="47" xr6:coauthVersionMax="47" xr10:uidLastSave="{76881AFB-6910-4139-AB69-80735CD41B30}"/>
  <bookViews>
    <workbookView xWindow="-90" yWindow="-90" windowWidth="19380" windowHeight="10380" firstSheet="1" activeTab="5" xr2:uid="{00000000-000D-0000-FFFF-FFFF00000000}"/>
  </bookViews>
  <sheets>
    <sheet name="Prezzi" sheetId="1" r:id="rId1"/>
    <sheet name="benchmark" sheetId="8" r:id="rId2"/>
    <sheet name="Prezzi-Rend EUR" sheetId="3" r:id="rId3"/>
    <sheet name="implementazione" sheetId="5" r:id="rId4"/>
    <sheet name="Valorizzazione" sheetId="13" r:id="rId5"/>
    <sheet name="Performance" sheetId="23" r:id="rId6"/>
  </sheets>
  <definedNames>
    <definedName name="_xlnm._FilterDatabase" localSheetId="2" hidden="1">'Prezzi-Rend EUR'!$C$4:$M$466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5" i="3" l="1"/>
  <c r="Y6" i="23"/>
  <c r="U7" i="3" l="1"/>
  <c r="S5" i="3"/>
  <c r="Q5" i="3"/>
  <c r="L5" i="3"/>
  <c r="U5" i="3" s="1"/>
  <c r="L6" i="3"/>
  <c r="U6" i="3" s="1"/>
  <c r="L7" i="3"/>
  <c r="L8" i="3"/>
  <c r="U8" i="3" s="1"/>
  <c r="L9" i="3"/>
  <c r="J5" i="3"/>
  <c r="T5" i="3" s="1"/>
  <c r="J6" i="3"/>
  <c r="T6" i="3" s="1"/>
  <c r="J7" i="3"/>
  <c r="T7" i="3" s="1"/>
  <c r="J8" i="3"/>
  <c r="T8" i="3" s="1"/>
  <c r="J9" i="3"/>
  <c r="H5" i="3"/>
  <c r="H6" i="3"/>
  <c r="S6" i="3" s="1"/>
  <c r="H7" i="3"/>
  <c r="S7" i="3" s="1"/>
  <c r="H8" i="3"/>
  <c r="S8" i="3" s="1"/>
  <c r="H9" i="3"/>
  <c r="F5" i="3"/>
  <c r="R5" i="3" s="1"/>
  <c r="F6" i="3"/>
  <c r="R6" i="3" s="1"/>
  <c r="F7" i="3"/>
  <c r="R7" i="3" s="1"/>
  <c r="F8" i="3"/>
  <c r="R8" i="3" s="1"/>
  <c r="F9" i="3"/>
  <c r="E5" i="3"/>
  <c r="E6" i="3"/>
  <c r="Q6" i="3" s="1"/>
  <c r="E7" i="3"/>
  <c r="Q7" i="3" s="1"/>
  <c r="E8" i="3"/>
  <c r="Q8" i="3" s="1"/>
  <c r="E9" i="3"/>
  <c r="AR7" i="3"/>
  <c r="AR8" i="3"/>
  <c r="AQ5" i="3"/>
  <c r="AK5" i="3"/>
  <c r="AR5" i="3" s="1"/>
  <c r="AK6" i="3"/>
  <c r="AR6" i="3" s="1"/>
  <c r="AK7" i="3"/>
  <c r="AK8" i="3"/>
  <c r="AK9" i="3"/>
  <c r="AJ5" i="3"/>
  <c r="AA15" i="23" s="1"/>
  <c r="AJ6" i="3"/>
  <c r="AQ6" i="3" s="1"/>
  <c r="AJ7" i="3"/>
  <c r="AQ7" i="3" s="1"/>
  <c r="AJ8" i="3"/>
  <c r="AQ8" i="3" s="1"/>
  <c r="AJ9" i="3"/>
  <c r="T9" i="3" l="1"/>
  <c r="AI15" i="23"/>
  <c r="AE15" i="23"/>
  <c r="AJ17" i="3"/>
  <c r="AK17" i="3"/>
  <c r="AJ18" i="3"/>
  <c r="AK18" i="3"/>
  <c r="AJ19" i="3"/>
  <c r="AK19" i="3"/>
  <c r="AJ20" i="3"/>
  <c r="AK20" i="3"/>
  <c r="AJ21" i="3"/>
  <c r="AK21" i="3"/>
  <c r="AJ22" i="3"/>
  <c r="AK22" i="3"/>
  <c r="AJ23" i="3"/>
  <c r="AK23" i="3"/>
  <c r="AJ24" i="3"/>
  <c r="AK24" i="3"/>
  <c r="AJ25" i="3"/>
  <c r="AK25" i="3"/>
  <c r="AJ26" i="3"/>
  <c r="AK26" i="3"/>
  <c r="AJ27" i="3"/>
  <c r="AK27" i="3"/>
  <c r="AJ28" i="3"/>
  <c r="AK28" i="3"/>
  <c r="AJ29" i="3"/>
  <c r="AK29" i="3"/>
  <c r="AJ30" i="3"/>
  <c r="AK30" i="3"/>
  <c r="AJ31" i="3"/>
  <c r="AK31" i="3"/>
  <c r="AJ32" i="3"/>
  <c r="AK32" i="3"/>
  <c r="AJ33" i="3"/>
  <c r="AK33" i="3"/>
  <c r="AJ34" i="3"/>
  <c r="AK34" i="3"/>
  <c r="AJ35" i="3"/>
  <c r="AK35" i="3"/>
  <c r="AJ36" i="3"/>
  <c r="AK36" i="3"/>
  <c r="AJ37" i="3"/>
  <c r="AK37" i="3"/>
  <c r="AJ38" i="3"/>
  <c r="AK38" i="3"/>
  <c r="AJ39" i="3"/>
  <c r="AK39" i="3"/>
  <c r="AJ40" i="3"/>
  <c r="AK40" i="3"/>
  <c r="AJ41" i="3"/>
  <c r="AK41" i="3"/>
  <c r="AJ42" i="3"/>
  <c r="AK42" i="3"/>
  <c r="AJ43" i="3"/>
  <c r="AK43" i="3"/>
  <c r="AJ44" i="3"/>
  <c r="AK44" i="3"/>
  <c r="AJ45" i="3"/>
  <c r="AK45" i="3"/>
  <c r="AJ46" i="3"/>
  <c r="AK46" i="3"/>
  <c r="AJ47" i="3"/>
  <c r="AK47" i="3"/>
  <c r="AJ48" i="3"/>
  <c r="AK48" i="3"/>
  <c r="AJ49" i="3"/>
  <c r="AK49" i="3"/>
  <c r="AJ50" i="3"/>
  <c r="AK50" i="3"/>
  <c r="AJ51" i="3"/>
  <c r="AK51" i="3"/>
  <c r="AJ52" i="3"/>
  <c r="AK52" i="3"/>
  <c r="AJ53" i="3"/>
  <c r="AK53" i="3"/>
  <c r="AJ54" i="3"/>
  <c r="AK54" i="3"/>
  <c r="AJ55" i="3"/>
  <c r="AK55" i="3"/>
  <c r="AJ56" i="3"/>
  <c r="AK56" i="3"/>
  <c r="AJ57" i="3"/>
  <c r="AK57" i="3"/>
  <c r="AJ58" i="3"/>
  <c r="AK58" i="3"/>
  <c r="AJ59" i="3"/>
  <c r="AK59" i="3"/>
  <c r="AJ60" i="3"/>
  <c r="AK60" i="3"/>
  <c r="AJ61" i="3"/>
  <c r="AK61" i="3"/>
  <c r="AJ62" i="3"/>
  <c r="AK62" i="3"/>
  <c r="AJ63" i="3"/>
  <c r="AK63" i="3"/>
  <c r="AJ64" i="3"/>
  <c r="AK64" i="3"/>
  <c r="AJ65" i="3"/>
  <c r="AK65" i="3"/>
  <c r="AJ66" i="3"/>
  <c r="AK66" i="3"/>
  <c r="AJ67" i="3"/>
  <c r="AK67" i="3"/>
  <c r="AJ68" i="3"/>
  <c r="AK68" i="3"/>
  <c r="AJ69" i="3"/>
  <c r="AK69" i="3"/>
  <c r="AJ70" i="3"/>
  <c r="AK70" i="3"/>
  <c r="AJ71" i="3"/>
  <c r="AK71" i="3"/>
  <c r="AJ72" i="3"/>
  <c r="AK72" i="3"/>
  <c r="AJ73" i="3"/>
  <c r="AK73" i="3"/>
  <c r="AJ74" i="3"/>
  <c r="AK74" i="3"/>
  <c r="AJ75" i="3"/>
  <c r="AK75" i="3"/>
  <c r="AJ76" i="3"/>
  <c r="AK76" i="3"/>
  <c r="AJ77" i="3"/>
  <c r="AK77" i="3"/>
  <c r="AJ78" i="3"/>
  <c r="AK78" i="3"/>
  <c r="AJ79" i="3"/>
  <c r="AK79" i="3"/>
  <c r="AJ80" i="3"/>
  <c r="AK80" i="3"/>
  <c r="AJ81" i="3"/>
  <c r="AK81" i="3"/>
  <c r="AJ82" i="3"/>
  <c r="AK82" i="3"/>
  <c r="AJ83" i="3"/>
  <c r="AK83" i="3"/>
  <c r="AJ84" i="3"/>
  <c r="AK84" i="3"/>
  <c r="AJ85" i="3"/>
  <c r="AK85" i="3"/>
  <c r="AJ86" i="3"/>
  <c r="AK86" i="3"/>
  <c r="AJ87" i="3"/>
  <c r="AK87" i="3"/>
  <c r="AJ88" i="3"/>
  <c r="AK88" i="3"/>
  <c r="AJ89" i="3"/>
  <c r="AK89" i="3"/>
  <c r="AJ90" i="3"/>
  <c r="AK90" i="3"/>
  <c r="AJ91" i="3"/>
  <c r="AK91" i="3"/>
  <c r="AJ92" i="3"/>
  <c r="AK92" i="3"/>
  <c r="AJ93" i="3"/>
  <c r="AK93" i="3"/>
  <c r="AJ94" i="3"/>
  <c r="AK94" i="3"/>
  <c r="AJ95" i="3"/>
  <c r="AK95" i="3"/>
  <c r="AJ96" i="3"/>
  <c r="AK96" i="3"/>
  <c r="AJ97" i="3"/>
  <c r="AK97" i="3"/>
  <c r="AJ98" i="3"/>
  <c r="AK98" i="3"/>
  <c r="AJ99" i="3"/>
  <c r="AK99" i="3"/>
  <c r="AJ100" i="3"/>
  <c r="AK100" i="3"/>
  <c r="AJ101" i="3"/>
  <c r="AK101" i="3"/>
  <c r="AJ102" i="3"/>
  <c r="AK102" i="3"/>
  <c r="AJ103" i="3"/>
  <c r="AK103" i="3"/>
  <c r="AJ104" i="3"/>
  <c r="AK104" i="3"/>
  <c r="AJ105" i="3"/>
  <c r="AK105" i="3"/>
  <c r="AJ106" i="3"/>
  <c r="AK106" i="3"/>
  <c r="AJ107" i="3"/>
  <c r="AK107" i="3"/>
  <c r="AJ108" i="3"/>
  <c r="AK108" i="3"/>
  <c r="AJ109" i="3"/>
  <c r="AK109" i="3"/>
  <c r="AJ110" i="3"/>
  <c r="AK110" i="3"/>
  <c r="AJ111" i="3"/>
  <c r="AK111" i="3"/>
  <c r="AJ112" i="3"/>
  <c r="AK112" i="3"/>
  <c r="AJ113" i="3"/>
  <c r="AK113" i="3"/>
  <c r="AJ114" i="3"/>
  <c r="AK114" i="3"/>
  <c r="AJ115" i="3"/>
  <c r="AK115" i="3"/>
  <c r="AJ116" i="3"/>
  <c r="AK116" i="3"/>
  <c r="AJ117" i="3"/>
  <c r="AK117" i="3"/>
  <c r="AJ118" i="3"/>
  <c r="AK118" i="3"/>
  <c r="AJ119" i="3"/>
  <c r="AK119" i="3"/>
  <c r="AJ120" i="3"/>
  <c r="AK120" i="3"/>
  <c r="AJ121" i="3"/>
  <c r="AK121" i="3"/>
  <c r="AJ122" i="3"/>
  <c r="AK122" i="3"/>
  <c r="AJ123" i="3"/>
  <c r="AK123" i="3"/>
  <c r="AJ124" i="3"/>
  <c r="AK124" i="3"/>
  <c r="AJ125" i="3"/>
  <c r="AK125" i="3"/>
  <c r="AJ126" i="3"/>
  <c r="AK126" i="3"/>
  <c r="AJ127" i="3"/>
  <c r="AK127" i="3"/>
  <c r="AJ128" i="3"/>
  <c r="AK128" i="3"/>
  <c r="AJ129" i="3"/>
  <c r="AK129" i="3"/>
  <c r="AJ130" i="3"/>
  <c r="AK130" i="3"/>
  <c r="AJ131" i="3"/>
  <c r="AK131" i="3"/>
  <c r="AJ132" i="3"/>
  <c r="AK132" i="3"/>
  <c r="AJ133" i="3"/>
  <c r="AK133" i="3"/>
  <c r="AJ134" i="3"/>
  <c r="AK134" i="3"/>
  <c r="AJ135" i="3"/>
  <c r="AK135" i="3"/>
  <c r="AJ136" i="3"/>
  <c r="AK136" i="3"/>
  <c r="AJ137" i="3"/>
  <c r="AK137" i="3"/>
  <c r="AJ138" i="3"/>
  <c r="AK138" i="3"/>
  <c r="AJ139" i="3"/>
  <c r="AK139" i="3"/>
  <c r="AJ140" i="3"/>
  <c r="AK140" i="3"/>
  <c r="AJ141" i="3"/>
  <c r="AK141" i="3"/>
  <c r="AJ142" i="3"/>
  <c r="AK142" i="3"/>
  <c r="AJ143" i="3"/>
  <c r="AK143" i="3"/>
  <c r="AJ144" i="3"/>
  <c r="AK144" i="3"/>
  <c r="AJ145" i="3"/>
  <c r="AK145" i="3"/>
  <c r="AJ146" i="3"/>
  <c r="AK146" i="3"/>
  <c r="AJ147" i="3"/>
  <c r="AK147" i="3"/>
  <c r="AJ148" i="3"/>
  <c r="AK148" i="3"/>
  <c r="AJ149" i="3"/>
  <c r="AK149" i="3"/>
  <c r="AJ150" i="3"/>
  <c r="AK150" i="3"/>
  <c r="AJ151" i="3"/>
  <c r="AK151" i="3"/>
  <c r="AJ152" i="3"/>
  <c r="AK152" i="3"/>
  <c r="AJ153" i="3"/>
  <c r="AK153" i="3"/>
  <c r="AJ154" i="3"/>
  <c r="AK154" i="3"/>
  <c r="AJ155" i="3"/>
  <c r="AK155" i="3"/>
  <c r="AJ156" i="3"/>
  <c r="AK156" i="3"/>
  <c r="AJ157" i="3"/>
  <c r="AK157" i="3"/>
  <c r="AJ158" i="3"/>
  <c r="AK158" i="3"/>
  <c r="AJ159" i="3"/>
  <c r="AK159" i="3"/>
  <c r="AJ160" i="3"/>
  <c r="AK160" i="3"/>
  <c r="AJ161" i="3"/>
  <c r="AK161" i="3"/>
  <c r="AJ162" i="3"/>
  <c r="AK162" i="3"/>
  <c r="AJ163" i="3"/>
  <c r="AK163" i="3"/>
  <c r="AJ164" i="3"/>
  <c r="AK164" i="3"/>
  <c r="AJ165" i="3"/>
  <c r="AK165" i="3"/>
  <c r="AJ166" i="3"/>
  <c r="AK166" i="3"/>
  <c r="AJ167" i="3"/>
  <c r="AK167" i="3"/>
  <c r="AJ168" i="3"/>
  <c r="AK168" i="3"/>
  <c r="AJ169" i="3"/>
  <c r="AK169" i="3"/>
  <c r="AJ170" i="3"/>
  <c r="AK170" i="3"/>
  <c r="AJ171" i="3"/>
  <c r="AK171" i="3"/>
  <c r="AJ172" i="3"/>
  <c r="AK172" i="3"/>
  <c r="AJ173" i="3"/>
  <c r="AK173" i="3"/>
  <c r="AJ174" i="3"/>
  <c r="AK174" i="3"/>
  <c r="AJ175" i="3"/>
  <c r="AK175" i="3"/>
  <c r="AJ176" i="3"/>
  <c r="AK176" i="3"/>
  <c r="AJ177" i="3"/>
  <c r="AK177" i="3"/>
  <c r="AJ178" i="3"/>
  <c r="AK178" i="3"/>
  <c r="AJ179" i="3"/>
  <c r="AK179" i="3"/>
  <c r="AJ180" i="3"/>
  <c r="AK180" i="3"/>
  <c r="AJ181" i="3"/>
  <c r="AK181" i="3"/>
  <c r="AJ182" i="3"/>
  <c r="AK182" i="3"/>
  <c r="AJ183" i="3"/>
  <c r="AK183" i="3"/>
  <c r="AJ184" i="3"/>
  <c r="AK184" i="3"/>
  <c r="AJ185" i="3"/>
  <c r="AK185" i="3"/>
  <c r="AJ186" i="3"/>
  <c r="AK186" i="3"/>
  <c r="AJ187" i="3"/>
  <c r="AK187" i="3"/>
  <c r="AJ188" i="3"/>
  <c r="AK188" i="3"/>
  <c r="AJ189" i="3"/>
  <c r="AK189" i="3"/>
  <c r="AJ190" i="3"/>
  <c r="AK190" i="3"/>
  <c r="AJ191" i="3"/>
  <c r="AK191" i="3"/>
  <c r="AJ192" i="3"/>
  <c r="AK192" i="3"/>
  <c r="AJ193" i="3"/>
  <c r="AK193" i="3"/>
  <c r="AJ194" i="3"/>
  <c r="AK194" i="3"/>
  <c r="AJ195" i="3"/>
  <c r="AK195" i="3"/>
  <c r="AJ196" i="3"/>
  <c r="AK196" i="3"/>
  <c r="AJ197" i="3"/>
  <c r="AK197" i="3"/>
  <c r="AJ198" i="3"/>
  <c r="AK198" i="3"/>
  <c r="AJ199" i="3"/>
  <c r="AK199" i="3"/>
  <c r="AJ200" i="3"/>
  <c r="AK200" i="3"/>
  <c r="AJ201" i="3"/>
  <c r="AK201" i="3"/>
  <c r="AJ202" i="3"/>
  <c r="AK202" i="3"/>
  <c r="AJ203" i="3"/>
  <c r="AK203" i="3"/>
  <c r="AJ204" i="3"/>
  <c r="AK204" i="3"/>
  <c r="AJ205" i="3"/>
  <c r="AK205" i="3"/>
  <c r="AJ206" i="3"/>
  <c r="AK206" i="3"/>
  <c r="AJ207" i="3"/>
  <c r="AK207" i="3"/>
  <c r="AJ208" i="3"/>
  <c r="AK208" i="3"/>
  <c r="AJ209" i="3"/>
  <c r="AK209" i="3"/>
  <c r="AJ210" i="3"/>
  <c r="AK210" i="3"/>
  <c r="AJ211" i="3"/>
  <c r="AK211" i="3"/>
  <c r="AJ212" i="3"/>
  <c r="AK212" i="3"/>
  <c r="AJ213" i="3"/>
  <c r="AK213" i="3"/>
  <c r="AJ214" i="3"/>
  <c r="AK214" i="3"/>
  <c r="AJ215" i="3"/>
  <c r="AK215" i="3"/>
  <c r="AJ216" i="3"/>
  <c r="AK216" i="3"/>
  <c r="AJ217" i="3"/>
  <c r="AK217" i="3"/>
  <c r="AJ218" i="3"/>
  <c r="AK218" i="3"/>
  <c r="AJ219" i="3"/>
  <c r="AK219" i="3"/>
  <c r="AJ220" i="3"/>
  <c r="AK220" i="3"/>
  <c r="AJ221" i="3"/>
  <c r="AK221" i="3"/>
  <c r="AJ222" i="3"/>
  <c r="AK222" i="3"/>
  <c r="AJ223" i="3"/>
  <c r="AK223" i="3"/>
  <c r="AJ224" i="3"/>
  <c r="AK224" i="3"/>
  <c r="AJ225" i="3"/>
  <c r="AK225" i="3"/>
  <c r="AJ226" i="3"/>
  <c r="AK226" i="3"/>
  <c r="AJ227" i="3"/>
  <c r="AK227" i="3"/>
  <c r="AJ228" i="3"/>
  <c r="AK228" i="3"/>
  <c r="AJ229" i="3"/>
  <c r="AK229" i="3"/>
  <c r="AJ230" i="3"/>
  <c r="AK230" i="3"/>
  <c r="AJ231" i="3"/>
  <c r="AK231" i="3"/>
  <c r="AJ232" i="3"/>
  <c r="AK232" i="3"/>
  <c r="AJ233" i="3"/>
  <c r="AK233" i="3"/>
  <c r="AJ234" i="3"/>
  <c r="AK234" i="3"/>
  <c r="AJ235" i="3"/>
  <c r="AK235" i="3"/>
  <c r="AJ236" i="3"/>
  <c r="AK236" i="3"/>
  <c r="AJ237" i="3"/>
  <c r="AK237" i="3"/>
  <c r="AJ238" i="3"/>
  <c r="AK238" i="3"/>
  <c r="AJ239" i="3"/>
  <c r="AK239" i="3"/>
  <c r="AJ240" i="3"/>
  <c r="AK240" i="3"/>
  <c r="AJ241" i="3"/>
  <c r="AK241" i="3"/>
  <c r="AJ242" i="3"/>
  <c r="AK242" i="3"/>
  <c r="AJ243" i="3"/>
  <c r="AK243" i="3"/>
  <c r="AJ244" i="3"/>
  <c r="AK244" i="3"/>
  <c r="AJ245" i="3"/>
  <c r="AK245" i="3"/>
  <c r="AJ246" i="3"/>
  <c r="AK246" i="3"/>
  <c r="AJ247" i="3"/>
  <c r="AK247" i="3"/>
  <c r="AJ248" i="3"/>
  <c r="AK248" i="3"/>
  <c r="AJ249" i="3"/>
  <c r="AK249" i="3"/>
  <c r="AJ250" i="3"/>
  <c r="AK250" i="3"/>
  <c r="AJ251" i="3"/>
  <c r="AK251" i="3"/>
  <c r="AJ252" i="3"/>
  <c r="AK252" i="3"/>
  <c r="AJ253" i="3"/>
  <c r="AK253" i="3"/>
  <c r="AJ254" i="3"/>
  <c r="AK254" i="3"/>
  <c r="AJ255" i="3"/>
  <c r="AK255" i="3"/>
  <c r="AJ256" i="3"/>
  <c r="AK256" i="3"/>
  <c r="AJ257" i="3"/>
  <c r="AK257" i="3"/>
  <c r="AJ258" i="3"/>
  <c r="AK258" i="3"/>
  <c r="AJ259" i="3"/>
  <c r="AK259" i="3"/>
  <c r="AJ260" i="3"/>
  <c r="AK260" i="3"/>
  <c r="AJ261" i="3"/>
  <c r="AK261" i="3"/>
  <c r="AJ262" i="3"/>
  <c r="AK262" i="3"/>
  <c r="AJ263" i="3"/>
  <c r="AK263" i="3"/>
  <c r="AJ264" i="3"/>
  <c r="AK264" i="3"/>
  <c r="AJ265" i="3"/>
  <c r="AK265" i="3"/>
  <c r="AJ266" i="3"/>
  <c r="AK266" i="3"/>
  <c r="AJ267" i="3"/>
  <c r="AK267" i="3"/>
  <c r="AJ268" i="3"/>
  <c r="AK268" i="3"/>
  <c r="AJ269" i="3"/>
  <c r="AK269" i="3"/>
  <c r="AJ270" i="3"/>
  <c r="AK270" i="3"/>
  <c r="AJ271" i="3"/>
  <c r="AK271" i="3"/>
  <c r="AJ272" i="3"/>
  <c r="AK272" i="3"/>
  <c r="AJ273" i="3"/>
  <c r="AK273" i="3"/>
  <c r="AJ274" i="3"/>
  <c r="AK274" i="3"/>
  <c r="AJ275" i="3"/>
  <c r="AK275" i="3"/>
  <c r="AJ276" i="3"/>
  <c r="AK276" i="3"/>
  <c r="AJ277" i="3"/>
  <c r="AK277" i="3"/>
  <c r="AJ278" i="3"/>
  <c r="AK278" i="3"/>
  <c r="AJ279" i="3"/>
  <c r="AK279" i="3"/>
  <c r="AJ280" i="3"/>
  <c r="AK280" i="3"/>
  <c r="AJ281" i="3"/>
  <c r="AK281" i="3"/>
  <c r="AJ282" i="3"/>
  <c r="AK282" i="3"/>
  <c r="AJ283" i="3"/>
  <c r="AK283" i="3"/>
  <c r="AJ284" i="3"/>
  <c r="AK284" i="3"/>
  <c r="AJ285" i="3"/>
  <c r="AK285" i="3"/>
  <c r="AJ286" i="3"/>
  <c r="AK286" i="3"/>
  <c r="AJ287" i="3"/>
  <c r="AK287" i="3"/>
  <c r="AJ288" i="3"/>
  <c r="AK288" i="3"/>
  <c r="AJ289" i="3"/>
  <c r="AK289" i="3"/>
  <c r="AJ290" i="3"/>
  <c r="AK290" i="3"/>
  <c r="AJ291" i="3"/>
  <c r="AK291" i="3"/>
  <c r="AJ292" i="3"/>
  <c r="AK292" i="3"/>
  <c r="AJ293" i="3"/>
  <c r="AK293" i="3"/>
  <c r="AJ294" i="3"/>
  <c r="AK294" i="3"/>
  <c r="AJ295" i="3"/>
  <c r="AK295" i="3"/>
  <c r="AJ296" i="3"/>
  <c r="AK296" i="3"/>
  <c r="AJ297" i="3"/>
  <c r="AK297" i="3"/>
  <c r="AJ298" i="3"/>
  <c r="AK298" i="3"/>
  <c r="AJ299" i="3"/>
  <c r="AK299" i="3"/>
  <c r="AJ300" i="3"/>
  <c r="AK300" i="3"/>
  <c r="AJ301" i="3"/>
  <c r="AK301" i="3"/>
  <c r="AJ302" i="3"/>
  <c r="AK302" i="3"/>
  <c r="AJ303" i="3"/>
  <c r="AK303" i="3"/>
  <c r="AJ304" i="3"/>
  <c r="AK304" i="3"/>
  <c r="AJ305" i="3"/>
  <c r="AK305" i="3"/>
  <c r="AJ306" i="3"/>
  <c r="AK306" i="3"/>
  <c r="AJ307" i="3"/>
  <c r="AK307" i="3"/>
  <c r="AJ308" i="3"/>
  <c r="AK308" i="3"/>
  <c r="AJ309" i="3"/>
  <c r="AK309" i="3"/>
  <c r="AJ310" i="3"/>
  <c r="AK310" i="3"/>
  <c r="AJ311" i="3"/>
  <c r="AK311" i="3"/>
  <c r="AJ312" i="3"/>
  <c r="AK312" i="3"/>
  <c r="AJ313" i="3"/>
  <c r="AK313" i="3"/>
  <c r="AJ314" i="3"/>
  <c r="AK314" i="3"/>
  <c r="AJ315" i="3"/>
  <c r="AK315" i="3"/>
  <c r="AJ316" i="3"/>
  <c r="AK316" i="3"/>
  <c r="AJ317" i="3"/>
  <c r="AK317" i="3"/>
  <c r="AJ318" i="3"/>
  <c r="AK318" i="3"/>
  <c r="AJ319" i="3"/>
  <c r="AK319" i="3"/>
  <c r="AJ320" i="3"/>
  <c r="AK320" i="3"/>
  <c r="AJ321" i="3"/>
  <c r="AK321" i="3"/>
  <c r="AJ322" i="3"/>
  <c r="AK322" i="3"/>
  <c r="AJ323" i="3"/>
  <c r="AK323" i="3"/>
  <c r="AJ324" i="3"/>
  <c r="AK324" i="3"/>
  <c r="AJ325" i="3"/>
  <c r="AK325" i="3"/>
  <c r="AJ326" i="3"/>
  <c r="AK326" i="3"/>
  <c r="AJ327" i="3"/>
  <c r="AK327" i="3"/>
  <c r="AJ328" i="3"/>
  <c r="AK328" i="3"/>
  <c r="AJ329" i="3"/>
  <c r="AK329" i="3"/>
  <c r="AJ330" i="3"/>
  <c r="AK330" i="3"/>
  <c r="AJ331" i="3"/>
  <c r="AK331" i="3"/>
  <c r="AJ332" i="3"/>
  <c r="AK332" i="3"/>
  <c r="AJ333" i="3"/>
  <c r="AK333" i="3"/>
  <c r="AJ334" i="3"/>
  <c r="AK334" i="3"/>
  <c r="AJ335" i="3"/>
  <c r="AK335" i="3"/>
  <c r="AJ336" i="3"/>
  <c r="AK336" i="3"/>
  <c r="AJ337" i="3"/>
  <c r="AK337" i="3"/>
  <c r="AJ338" i="3"/>
  <c r="AK338" i="3"/>
  <c r="AJ339" i="3"/>
  <c r="AK339" i="3"/>
  <c r="AJ340" i="3"/>
  <c r="AK340" i="3"/>
  <c r="AJ341" i="3"/>
  <c r="AK341" i="3"/>
  <c r="AJ342" i="3"/>
  <c r="AK342" i="3"/>
  <c r="AJ343" i="3"/>
  <c r="AK343" i="3"/>
  <c r="AJ344" i="3"/>
  <c r="AK344" i="3"/>
  <c r="AJ345" i="3"/>
  <c r="AK345" i="3"/>
  <c r="AJ346" i="3"/>
  <c r="AK346" i="3"/>
  <c r="AJ347" i="3"/>
  <c r="AK347" i="3"/>
  <c r="AJ348" i="3"/>
  <c r="AK348" i="3"/>
  <c r="AJ349" i="3"/>
  <c r="AK349" i="3"/>
  <c r="AJ350" i="3"/>
  <c r="AK350" i="3"/>
  <c r="AJ351" i="3"/>
  <c r="AK351" i="3"/>
  <c r="AJ352" i="3"/>
  <c r="AK352" i="3"/>
  <c r="AJ353" i="3"/>
  <c r="AK353" i="3"/>
  <c r="AJ354" i="3"/>
  <c r="AK354" i="3"/>
  <c r="AJ355" i="3"/>
  <c r="AK355" i="3"/>
  <c r="AJ356" i="3"/>
  <c r="AK356" i="3"/>
  <c r="AJ357" i="3"/>
  <c r="AK357" i="3"/>
  <c r="AJ358" i="3"/>
  <c r="AK358" i="3"/>
  <c r="AJ359" i="3"/>
  <c r="AK359" i="3"/>
  <c r="AJ360" i="3"/>
  <c r="AK360" i="3"/>
  <c r="AJ16" i="3"/>
  <c r="AK16" i="3"/>
  <c r="AK10" i="3"/>
  <c r="AR9" i="3" s="1"/>
  <c r="AK11" i="3"/>
  <c r="AK12" i="3"/>
  <c r="AK13" i="3"/>
  <c r="AK14" i="3"/>
  <c r="AK15" i="3"/>
  <c r="AJ10" i="3"/>
  <c r="AQ9" i="3" s="1"/>
  <c r="AJ11" i="3"/>
  <c r="AJ12" i="3"/>
  <c r="AQ12" i="3" s="1"/>
  <c r="AJ13" i="3"/>
  <c r="AJ14" i="3"/>
  <c r="AJ15" i="3"/>
  <c r="M44" i="3"/>
  <c r="M66" i="3"/>
  <c r="M88" i="3"/>
  <c r="G98" i="3"/>
  <c r="I98" i="3"/>
  <c r="M108" i="3"/>
  <c r="M130" i="3"/>
  <c r="M151" i="3"/>
  <c r="G159" i="3"/>
  <c r="M172" i="3"/>
  <c r="M191" i="3"/>
  <c r="G214" i="3"/>
  <c r="G222" i="3"/>
  <c r="I221" i="3"/>
  <c r="K221" i="3"/>
  <c r="M221" i="3"/>
  <c r="M232" i="3"/>
  <c r="M252" i="3"/>
  <c r="M275" i="3"/>
  <c r="G278" i="3"/>
  <c r="M294" i="3"/>
  <c r="M317" i="3"/>
  <c r="M338" i="3"/>
  <c r="G342" i="3"/>
  <c r="I347" i="3"/>
  <c r="M359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10" i="3"/>
  <c r="L11" i="3"/>
  <c r="L12" i="3"/>
  <c r="L13" i="3"/>
  <c r="L14" i="3"/>
  <c r="M24" i="3"/>
  <c r="G29" i="3"/>
  <c r="L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10" i="3"/>
  <c r="J11" i="3"/>
  <c r="J12" i="3"/>
  <c r="J13" i="3"/>
  <c r="J14" i="3"/>
  <c r="J15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10" i="3"/>
  <c r="S9" i="3" s="1"/>
  <c r="H11" i="3"/>
  <c r="H12" i="3"/>
  <c r="H13" i="3"/>
  <c r="H14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10" i="3"/>
  <c r="R10" i="3" s="1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11" i="3"/>
  <c r="E12" i="3"/>
  <c r="E13" i="3"/>
  <c r="E14" i="3"/>
  <c r="E10" i="3"/>
  <c r="AR13" i="3" l="1"/>
  <c r="Q10" i="3"/>
  <c r="AR11" i="3"/>
  <c r="U9" i="3"/>
  <c r="R9" i="3"/>
  <c r="Q9" i="3"/>
  <c r="AQ14" i="3"/>
  <c r="AR14" i="3"/>
  <c r="AR10" i="3"/>
  <c r="AQ11" i="3"/>
  <c r="AQ13" i="3"/>
  <c r="AR12" i="3"/>
  <c r="AQ10" i="3"/>
  <c r="S14" i="3"/>
  <c r="U14" i="3"/>
  <c r="R11" i="3"/>
  <c r="T11" i="3"/>
  <c r="U12" i="3"/>
  <c r="Q13" i="3"/>
  <c r="R14" i="3"/>
  <c r="S10" i="3"/>
  <c r="T14" i="3"/>
  <c r="T10" i="3"/>
  <c r="U11" i="3"/>
  <c r="Q12" i="3"/>
  <c r="R13" i="3"/>
  <c r="S13" i="3"/>
  <c r="T13" i="3"/>
  <c r="U10" i="3"/>
  <c r="Q11" i="3"/>
  <c r="R12" i="3"/>
  <c r="S12" i="3"/>
  <c r="T12" i="3"/>
  <c r="U13" i="3"/>
  <c r="Q14" i="3"/>
  <c r="S11" i="3"/>
  <c r="Y5" i="23" l="1"/>
  <c r="Y4" i="23"/>
  <c r="W5" i="23" l="1"/>
  <c r="W6" i="23"/>
  <c r="Y15" i="23"/>
  <c r="Y14" i="23"/>
  <c r="Y13" i="23"/>
  <c r="O5" i="3" l="1"/>
  <c r="O6" i="3"/>
  <c r="O7" i="3"/>
  <c r="O8" i="3"/>
  <c r="O9" i="3"/>
  <c r="O10" i="3"/>
  <c r="O11" i="3"/>
  <c r="O12" i="3"/>
  <c r="O13" i="3"/>
  <c r="O14" i="3"/>
  <c r="O15" i="3"/>
  <c r="AC5" i="23" l="1"/>
  <c r="C6" i="23" l="1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5" i="23"/>
  <c r="C30" i="23" l="1"/>
  <c r="C29" i="23"/>
  <c r="C28" i="23"/>
  <c r="C27" i="23"/>
  <c r="C26" i="23"/>
  <c r="C25" i="23"/>
  <c r="C24" i="23"/>
  <c r="C23" i="23"/>
  <c r="C22" i="23"/>
  <c r="C21" i="23"/>
  <c r="AD5" i="13"/>
  <c r="K6" i="13"/>
  <c r="X6" i="13" s="1"/>
  <c r="K7" i="13"/>
  <c r="X7" i="13" s="1"/>
  <c r="K8" i="13"/>
  <c r="X8" i="13" s="1"/>
  <c r="K9" i="13"/>
  <c r="X9" i="13" s="1"/>
  <c r="K10" i="13"/>
  <c r="X10" i="13" s="1"/>
  <c r="K11" i="13"/>
  <c r="X11" i="13" s="1"/>
  <c r="K12" i="13"/>
  <c r="X12" i="13" s="1"/>
  <c r="K13" i="13"/>
  <c r="X13" i="13" s="1"/>
  <c r="K14" i="13"/>
  <c r="X14" i="13" s="1"/>
  <c r="K5" i="13"/>
  <c r="X5" i="13" s="1"/>
  <c r="B13" i="5"/>
  <c r="AQ5" i="23"/>
  <c r="Q15" i="3" l="1"/>
  <c r="M21" i="5"/>
  <c r="AQ15" i="3"/>
  <c r="AA14" i="23"/>
  <c r="U15" i="3"/>
  <c r="U17" i="3"/>
  <c r="R16" i="3"/>
  <c r="AB15" i="23" l="1"/>
  <c r="AE14" i="23"/>
  <c r="AI14" i="23"/>
  <c r="AQ16" i="3"/>
  <c r="AQ18" i="3"/>
  <c r="AR15" i="3"/>
  <c r="AR18" i="3"/>
  <c r="AR16" i="3"/>
  <c r="AR17" i="3"/>
  <c r="AQ17" i="3"/>
  <c r="S16" i="3"/>
  <c r="T16" i="3"/>
  <c r="T15" i="3"/>
  <c r="T17" i="3"/>
  <c r="Q16" i="3"/>
  <c r="S17" i="3"/>
  <c r="S15" i="3"/>
  <c r="U16" i="3"/>
  <c r="R15" i="3"/>
  <c r="R17" i="3"/>
  <c r="Q17" i="3"/>
  <c r="AA13" i="23"/>
  <c r="AB14" i="23" s="1"/>
  <c r="T18" i="3"/>
  <c r="T21" i="3"/>
  <c r="R18" i="3"/>
  <c r="AF15" i="23" l="1"/>
  <c r="AG15" i="23" s="1"/>
  <c r="AC14" i="23"/>
  <c r="AE13" i="23"/>
  <c r="AF14" i="23" s="1"/>
  <c r="AI13" i="23"/>
  <c r="AJ14" i="23" s="1"/>
  <c r="AK14" i="23" s="1"/>
  <c r="AJ15" i="23"/>
  <c r="AK15" i="23" s="1"/>
  <c r="AC15" i="23"/>
  <c r="AQ22" i="3"/>
  <c r="AQ20" i="3"/>
  <c r="AR23" i="3"/>
  <c r="AR21" i="3"/>
  <c r="AR24" i="3"/>
  <c r="AR22" i="3"/>
  <c r="AR20" i="3"/>
  <c r="AR19" i="3"/>
  <c r="AQ23" i="3"/>
  <c r="AQ21" i="3"/>
  <c r="AQ19" i="3"/>
  <c r="AQ24" i="3"/>
  <c r="S22" i="3"/>
  <c r="S18" i="3"/>
  <c r="U21" i="3"/>
  <c r="U19" i="3"/>
  <c r="U18" i="3"/>
  <c r="Q18" i="3"/>
  <c r="S21" i="3"/>
  <c r="T19" i="3"/>
  <c r="U23" i="3"/>
  <c r="T23" i="3"/>
  <c r="R19" i="3"/>
  <c r="R22" i="3"/>
  <c r="T22" i="3"/>
  <c r="S20" i="3"/>
  <c r="U20" i="3"/>
  <c r="T20" i="3"/>
  <c r="U22" i="3"/>
  <c r="S23" i="3"/>
  <c r="S19" i="3"/>
  <c r="R21" i="3"/>
  <c r="R20" i="3"/>
  <c r="R23" i="3"/>
  <c r="U24" i="3"/>
  <c r="T24" i="3"/>
  <c r="S24" i="3"/>
  <c r="R24" i="3"/>
  <c r="BE14" i="23" l="1"/>
  <c r="AN23" i="23"/>
  <c r="AG14" i="23"/>
  <c r="AN22" i="23"/>
  <c r="BE13" i="23"/>
  <c r="Q22" i="3"/>
  <c r="Q21" i="3"/>
  <c r="Q20" i="3"/>
  <c r="Q24" i="3"/>
  <c r="Q23" i="3"/>
  <c r="Q19" i="3"/>
  <c r="K21" i="13"/>
  <c r="K22" i="13"/>
  <c r="K23" i="13"/>
  <c r="K24" i="13"/>
  <c r="K25" i="13"/>
  <c r="X25" i="13" s="1"/>
  <c r="K26" i="13"/>
  <c r="X26" i="13" s="1"/>
  <c r="K27" i="13"/>
  <c r="K28" i="13"/>
  <c r="K29" i="13"/>
  <c r="K30" i="13"/>
  <c r="O16" i="3"/>
  <c r="O17" i="3"/>
  <c r="O18" i="3"/>
  <c r="O19" i="3"/>
  <c r="O20" i="3"/>
  <c r="O21" i="3"/>
  <c r="O22" i="3"/>
  <c r="O23" i="3"/>
  <c r="O24" i="3"/>
  <c r="BE15" i="23" l="1"/>
  <c r="X24" i="13"/>
  <c r="X23" i="13"/>
  <c r="X30" i="13"/>
  <c r="X22" i="13"/>
  <c r="X29" i="13"/>
  <c r="X21" i="13"/>
  <c r="X28" i="13"/>
  <c r="X27" i="13"/>
  <c r="S3" i="13" l="1"/>
  <c r="T3" i="13"/>
  <c r="N3" i="13"/>
  <c r="O3" i="13"/>
  <c r="P3" i="13"/>
  <c r="Q3" i="13"/>
  <c r="R3" i="13"/>
  <c r="Q36" i="13" l="1"/>
  <c r="Q37" i="13"/>
  <c r="Q38" i="13"/>
  <c r="Q39" i="13"/>
  <c r="Q40" i="13"/>
  <c r="Q33" i="13"/>
  <c r="Q35" i="13"/>
  <c r="Q32" i="13"/>
  <c r="Q34" i="13"/>
  <c r="Q31" i="13"/>
  <c r="R36" i="13"/>
  <c r="R38" i="13"/>
  <c r="R39" i="13"/>
  <c r="R40" i="13"/>
  <c r="R37" i="13"/>
  <c r="R32" i="13"/>
  <c r="R34" i="13"/>
  <c r="R31" i="13"/>
  <c r="R33" i="13"/>
  <c r="R35" i="13"/>
  <c r="P38" i="13"/>
  <c r="P39" i="13"/>
  <c r="P36" i="13"/>
  <c r="P40" i="13"/>
  <c r="P37" i="13"/>
  <c r="P32" i="13"/>
  <c r="P34" i="13"/>
  <c r="P31" i="13"/>
  <c r="P33" i="13"/>
  <c r="P35" i="13"/>
  <c r="O36" i="13"/>
  <c r="O40" i="13"/>
  <c r="O37" i="13"/>
  <c r="O38" i="13"/>
  <c r="O39" i="13"/>
  <c r="O35" i="13"/>
  <c r="O31" i="13"/>
  <c r="O33" i="13"/>
  <c r="O32" i="13"/>
  <c r="O34" i="13"/>
  <c r="N37" i="13"/>
  <c r="N38" i="13"/>
  <c r="N36" i="13"/>
  <c r="N39" i="13"/>
  <c r="N40" i="13"/>
  <c r="N32" i="13"/>
  <c r="N34" i="13"/>
  <c r="N31" i="13"/>
  <c r="N33" i="13"/>
  <c r="N35" i="13"/>
  <c r="T36" i="13"/>
  <c r="T37" i="13"/>
  <c r="T38" i="13"/>
  <c r="T39" i="13"/>
  <c r="T40" i="13"/>
  <c r="T32" i="13"/>
  <c r="T34" i="13"/>
  <c r="T35" i="13"/>
  <c r="T31" i="13"/>
  <c r="T33" i="13"/>
  <c r="S38" i="13"/>
  <c r="S39" i="13"/>
  <c r="S40" i="13"/>
  <c r="S37" i="13"/>
  <c r="S36" i="13"/>
  <c r="S32" i="13"/>
  <c r="S34" i="13"/>
  <c r="S31" i="13"/>
  <c r="S35" i="13"/>
  <c r="S33" i="13"/>
  <c r="O8" i="13"/>
  <c r="O12" i="13"/>
  <c r="O5" i="13"/>
  <c r="O6" i="13"/>
  <c r="O11" i="13"/>
  <c r="O9" i="13"/>
  <c r="O13" i="13"/>
  <c r="O10" i="13"/>
  <c r="O14" i="13"/>
  <c r="O7" i="13"/>
  <c r="N9" i="13"/>
  <c r="N13" i="13"/>
  <c r="N5" i="13"/>
  <c r="N8" i="13"/>
  <c r="N6" i="13"/>
  <c r="N10" i="13"/>
  <c r="N14" i="13"/>
  <c r="N7" i="13"/>
  <c r="N11" i="13"/>
  <c r="N12" i="13"/>
  <c r="Q7" i="13"/>
  <c r="Q11" i="13"/>
  <c r="Q10" i="13"/>
  <c r="Q8" i="13"/>
  <c r="Q12" i="13"/>
  <c r="Q9" i="13"/>
  <c r="Q13" i="13"/>
  <c r="Q5" i="13"/>
  <c r="Q6" i="13"/>
  <c r="Q14" i="13"/>
  <c r="S6" i="13"/>
  <c r="S10" i="13"/>
  <c r="S14" i="13"/>
  <c r="S9" i="13"/>
  <c r="S7" i="13"/>
  <c r="S11" i="13"/>
  <c r="S8" i="13"/>
  <c r="S12" i="13"/>
  <c r="S5" i="13"/>
  <c r="S13" i="13"/>
  <c r="R7" i="13"/>
  <c r="R11" i="13"/>
  <c r="R6" i="13"/>
  <c r="R14" i="13"/>
  <c r="R8" i="13"/>
  <c r="R12" i="13"/>
  <c r="R9" i="13"/>
  <c r="R13" i="13"/>
  <c r="R5" i="13"/>
  <c r="R10" i="13"/>
  <c r="P7" i="13"/>
  <c r="P11" i="13"/>
  <c r="P6" i="13"/>
  <c r="P14" i="13"/>
  <c r="P8" i="13"/>
  <c r="P12" i="13"/>
  <c r="P5" i="13"/>
  <c r="P13" i="13"/>
  <c r="P10" i="13"/>
  <c r="P9" i="13"/>
  <c r="T6" i="13"/>
  <c r="T10" i="13"/>
  <c r="T14" i="13"/>
  <c r="T9" i="13"/>
  <c r="T7" i="13"/>
  <c r="T11" i="13"/>
  <c r="T8" i="13"/>
  <c r="T12" i="13"/>
  <c r="T13" i="13"/>
  <c r="T5" i="13"/>
  <c r="O29" i="13"/>
  <c r="O27" i="13"/>
  <c r="O23" i="13"/>
  <c r="O22" i="13"/>
  <c r="O28" i="13"/>
  <c r="O25" i="13"/>
  <c r="O21" i="13"/>
  <c r="O24" i="13"/>
  <c r="O30" i="13"/>
  <c r="O26" i="13"/>
  <c r="N24" i="13"/>
  <c r="N26" i="13"/>
  <c r="N28" i="13"/>
  <c r="N27" i="13"/>
  <c r="N30" i="13"/>
  <c r="N22" i="13"/>
  <c r="N29" i="13"/>
  <c r="N23" i="13"/>
  <c r="N21" i="13"/>
  <c r="N25" i="13"/>
  <c r="T29" i="13"/>
  <c r="T27" i="13"/>
  <c r="T22" i="13"/>
  <c r="T21" i="13"/>
  <c r="T26" i="13"/>
  <c r="T25" i="13"/>
  <c r="T30" i="13"/>
  <c r="T24" i="13"/>
  <c r="T23" i="13"/>
  <c r="T28" i="13"/>
  <c r="S27" i="13"/>
  <c r="S26" i="13"/>
  <c r="S25" i="13"/>
  <c r="S24" i="13"/>
  <c r="S29" i="13"/>
  <c r="S28" i="13"/>
  <c r="S23" i="13"/>
  <c r="S22" i="13"/>
  <c r="S30" i="13"/>
  <c r="S21" i="13"/>
  <c r="R30" i="13"/>
  <c r="R24" i="13"/>
  <c r="R28" i="13"/>
  <c r="R23" i="13"/>
  <c r="R26" i="13"/>
  <c r="R29" i="13"/>
  <c r="R27" i="13"/>
  <c r="R21" i="13"/>
  <c r="R25" i="13"/>
  <c r="R22" i="13"/>
  <c r="Q23" i="13"/>
  <c r="Q21" i="13"/>
  <c r="Q24" i="13"/>
  <c r="Q25" i="13"/>
  <c r="Q30" i="13"/>
  <c r="Q22" i="13"/>
  <c r="Q28" i="13"/>
  <c r="Q29" i="13"/>
  <c r="Q27" i="13"/>
  <c r="Q26" i="13"/>
  <c r="P24" i="13"/>
  <c r="P22" i="13"/>
  <c r="P28" i="13"/>
  <c r="P30" i="13"/>
  <c r="P26" i="13"/>
  <c r="P25" i="13"/>
  <c r="P21" i="13"/>
  <c r="P27" i="13"/>
  <c r="P23" i="13"/>
  <c r="P29" i="13"/>
  <c r="AA5" i="13" l="1"/>
  <c r="V5" i="13"/>
  <c r="AC5" i="13"/>
  <c r="AB5" i="13"/>
  <c r="K15" i="13"/>
  <c r="R15" i="13" l="1"/>
  <c r="P15" i="13"/>
  <c r="T15" i="13"/>
  <c r="N15" i="13"/>
  <c r="Q15" i="13"/>
  <c r="S15" i="13"/>
  <c r="O15" i="13"/>
  <c r="X15" i="13"/>
  <c r="K20" i="13" l="1"/>
  <c r="K19" i="13"/>
  <c r="N19" i="13" s="1"/>
  <c r="K18" i="13"/>
  <c r="K17" i="13"/>
  <c r="X17" i="13" s="1"/>
  <c r="K16" i="13"/>
  <c r="M3" i="13"/>
  <c r="L3" i="13"/>
  <c r="L36" i="13" l="1"/>
  <c r="L37" i="13"/>
  <c r="L38" i="13"/>
  <c r="L39" i="13"/>
  <c r="L40" i="13"/>
  <c r="L31" i="13"/>
  <c r="L33" i="13"/>
  <c r="L34" i="13"/>
  <c r="L32" i="13"/>
  <c r="L35" i="13"/>
  <c r="L23" i="13"/>
  <c r="M39" i="13"/>
  <c r="M40" i="13"/>
  <c r="M37" i="13"/>
  <c r="M38" i="13"/>
  <c r="M36" i="13"/>
  <c r="M31" i="13"/>
  <c r="M35" i="13"/>
  <c r="M34" i="13"/>
  <c r="M33" i="13"/>
  <c r="M32" i="13"/>
  <c r="Q16" i="13"/>
  <c r="R16" i="13"/>
  <c r="T16" i="13"/>
  <c r="N16" i="13"/>
  <c r="M9" i="13"/>
  <c r="M13" i="13"/>
  <c r="M15" i="13"/>
  <c r="M12" i="13"/>
  <c r="M6" i="13"/>
  <c r="M10" i="13"/>
  <c r="M14" i="13"/>
  <c r="M11" i="13"/>
  <c r="M8" i="13"/>
  <c r="M5" i="13"/>
  <c r="Z5" i="13" s="1"/>
  <c r="M7" i="13"/>
  <c r="L6" i="13"/>
  <c r="L10" i="13"/>
  <c r="L14" i="13"/>
  <c r="L12" i="13"/>
  <c r="L9" i="13"/>
  <c r="L13" i="13"/>
  <c r="L7" i="13"/>
  <c r="L11" i="13"/>
  <c r="L15" i="13"/>
  <c r="L8" i="13"/>
  <c r="L5" i="13"/>
  <c r="Y5" i="13" s="1"/>
  <c r="L21" i="13"/>
  <c r="L22" i="13"/>
  <c r="L30" i="13"/>
  <c r="L25" i="13"/>
  <c r="L24" i="13"/>
  <c r="L27" i="13"/>
  <c r="L26" i="13"/>
  <c r="L29" i="13"/>
  <c r="L28" i="13"/>
  <c r="M29" i="13"/>
  <c r="M21" i="13"/>
  <c r="M25" i="13"/>
  <c r="M23" i="13"/>
  <c r="M30" i="13"/>
  <c r="M26" i="13"/>
  <c r="M28" i="13"/>
  <c r="M24" i="13"/>
  <c r="M22" i="13"/>
  <c r="M27" i="13"/>
  <c r="X20" i="13"/>
  <c r="N20" i="13"/>
  <c r="P20" i="13"/>
  <c r="R20" i="13"/>
  <c r="T20" i="13"/>
  <c r="X16" i="13"/>
  <c r="P16" i="13"/>
  <c r="T19" i="13"/>
  <c r="R19" i="13"/>
  <c r="P19" i="13"/>
  <c r="N17" i="13"/>
  <c r="T17" i="13"/>
  <c r="R17" i="13"/>
  <c r="P17" i="13"/>
  <c r="X19" i="13"/>
  <c r="X18" i="13"/>
  <c r="T18" i="13"/>
  <c r="P18" i="13"/>
  <c r="N18" i="13"/>
  <c r="R18" i="13"/>
  <c r="AV4" i="3"/>
  <c r="E40" i="23" l="1"/>
  <c r="AZ8" i="3"/>
  <c r="E37" i="23" s="1"/>
  <c r="AZ6" i="3"/>
  <c r="E39" i="23" s="1"/>
  <c r="AZ7" i="3"/>
  <c r="E38" i="23" s="1"/>
  <c r="AZ9" i="3"/>
  <c r="E36" i="23" s="1"/>
  <c r="AZ13" i="3"/>
  <c r="E32" i="23" s="1"/>
  <c r="AZ12" i="3"/>
  <c r="E33" i="23" s="1"/>
  <c r="AZ14" i="3"/>
  <c r="E31" i="23" s="1"/>
  <c r="AZ10" i="3"/>
  <c r="E35" i="23" s="1"/>
  <c r="AZ11" i="3"/>
  <c r="E34" i="23" s="1"/>
  <c r="AE5" i="13"/>
  <c r="AZ15" i="3"/>
  <c r="E30" i="23" s="1"/>
  <c r="AZ18" i="3"/>
  <c r="E27" i="23" s="1"/>
  <c r="AZ16" i="3"/>
  <c r="E29" i="23" s="1"/>
  <c r="AZ17" i="3"/>
  <c r="E28" i="23" s="1"/>
  <c r="AZ20" i="3"/>
  <c r="E25" i="23" s="1"/>
  <c r="AZ21" i="3"/>
  <c r="E24" i="23" s="1"/>
  <c r="AZ23" i="3"/>
  <c r="E22" i="23" s="1"/>
  <c r="AZ22" i="3"/>
  <c r="E23" i="23" s="1"/>
  <c r="AZ24" i="3"/>
  <c r="E21" i="23" s="1"/>
  <c r="AZ19" i="3"/>
  <c r="E26" i="23" s="1"/>
  <c r="R25" i="3" l="1"/>
  <c r="T359" i="3"/>
  <c r="T358" i="3"/>
  <c r="T357" i="3"/>
  <c r="T356" i="3"/>
  <c r="T355" i="3"/>
  <c r="T354" i="3"/>
  <c r="T353" i="3"/>
  <c r="T352" i="3"/>
  <c r="T351" i="3"/>
  <c r="T350" i="3"/>
  <c r="T349" i="3"/>
  <c r="T348" i="3"/>
  <c r="T347" i="3"/>
  <c r="T346" i="3"/>
  <c r="T345" i="3"/>
  <c r="T344" i="3"/>
  <c r="T343" i="3"/>
  <c r="T342" i="3"/>
  <c r="T341" i="3"/>
  <c r="T340" i="3"/>
  <c r="T339" i="3"/>
  <c r="T338" i="3"/>
  <c r="T337" i="3"/>
  <c r="T336" i="3"/>
  <c r="T335" i="3"/>
  <c r="T334" i="3"/>
  <c r="T333" i="3"/>
  <c r="T332" i="3"/>
  <c r="T331" i="3"/>
  <c r="T330" i="3"/>
  <c r="T329" i="3"/>
  <c r="T328" i="3"/>
  <c r="T327" i="3"/>
  <c r="T326" i="3"/>
  <c r="T325" i="3"/>
  <c r="T324" i="3"/>
  <c r="T323" i="3"/>
  <c r="T322" i="3"/>
  <c r="T321" i="3"/>
  <c r="T320" i="3"/>
  <c r="T319" i="3"/>
  <c r="T318" i="3"/>
  <c r="T317" i="3"/>
  <c r="T316" i="3"/>
  <c r="T315" i="3"/>
  <c r="T314" i="3"/>
  <c r="T313" i="3"/>
  <c r="T312" i="3"/>
  <c r="T311" i="3"/>
  <c r="T310" i="3"/>
  <c r="T309" i="3"/>
  <c r="T308" i="3"/>
  <c r="T307" i="3"/>
  <c r="T306" i="3"/>
  <c r="T305" i="3"/>
  <c r="T304" i="3"/>
  <c r="T303" i="3"/>
  <c r="T302" i="3"/>
  <c r="T301" i="3"/>
  <c r="T300" i="3"/>
  <c r="T299" i="3"/>
  <c r="T298" i="3"/>
  <c r="T297" i="3"/>
  <c r="T296" i="3"/>
  <c r="T295" i="3"/>
  <c r="T294" i="3"/>
  <c r="T293" i="3"/>
  <c r="T292" i="3"/>
  <c r="T291" i="3"/>
  <c r="T290" i="3"/>
  <c r="T289" i="3"/>
  <c r="T288" i="3"/>
  <c r="T287" i="3"/>
  <c r="T286" i="3"/>
  <c r="T285" i="3"/>
  <c r="T284" i="3"/>
  <c r="T283" i="3"/>
  <c r="T282" i="3"/>
  <c r="T281" i="3"/>
  <c r="T280" i="3"/>
  <c r="T279" i="3"/>
  <c r="T278" i="3"/>
  <c r="T277" i="3"/>
  <c r="T276" i="3"/>
  <c r="T275" i="3"/>
  <c r="T274" i="3"/>
  <c r="T273" i="3"/>
  <c r="T272" i="3"/>
  <c r="T271" i="3"/>
  <c r="T270" i="3"/>
  <c r="T269" i="3"/>
  <c r="T268" i="3"/>
  <c r="T267" i="3"/>
  <c r="T266" i="3"/>
  <c r="T265" i="3"/>
  <c r="T264" i="3"/>
  <c r="T263" i="3"/>
  <c r="T262" i="3"/>
  <c r="T261" i="3"/>
  <c r="T260" i="3"/>
  <c r="T259" i="3"/>
  <c r="T258" i="3"/>
  <c r="T257" i="3"/>
  <c r="T256" i="3"/>
  <c r="T255" i="3"/>
  <c r="T254" i="3"/>
  <c r="T253" i="3"/>
  <c r="T252" i="3"/>
  <c r="T251" i="3"/>
  <c r="T250" i="3"/>
  <c r="T249" i="3"/>
  <c r="T248" i="3"/>
  <c r="T247" i="3"/>
  <c r="T246" i="3"/>
  <c r="T245" i="3"/>
  <c r="T244" i="3"/>
  <c r="T243" i="3"/>
  <c r="T242" i="3"/>
  <c r="T241" i="3"/>
  <c r="T240" i="3"/>
  <c r="T239" i="3"/>
  <c r="T238" i="3"/>
  <c r="T237" i="3"/>
  <c r="T236" i="3"/>
  <c r="T235" i="3"/>
  <c r="T234" i="3"/>
  <c r="T233" i="3"/>
  <c r="T232" i="3"/>
  <c r="T231" i="3"/>
  <c r="T230" i="3"/>
  <c r="T229" i="3"/>
  <c r="T228" i="3"/>
  <c r="T227" i="3"/>
  <c r="T226" i="3"/>
  <c r="T225" i="3"/>
  <c r="T224" i="3"/>
  <c r="T223" i="3"/>
  <c r="T222" i="3"/>
  <c r="T221" i="3"/>
  <c r="T220" i="3"/>
  <c r="T219" i="3"/>
  <c r="T218" i="3"/>
  <c r="T217" i="3"/>
  <c r="T216" i="3"/>
  <c r="T215" i="3"/>
  <c r="T214" i="3"/>
  <c r="T213" i="3"/>
  <c r="T212" i="3"/>
  <c r="T211" i="3"/>
  <c r="T210" i="3"/>
  <c r="T209" i="3"/>
  <c r="T208" i="3"/>
  <c r="T207" i="3"/>
  <c r="T206" i="3"/>
  <c r="T205" i="3"/>
  <c r="T204" i="3"/>
  <c r="T203" i="3"/>
  <c r="T202" i="3"/>
  <c r="T201" i="3"/>
  <c r="T200" i="3"/>
  <c r="T199" i="3"/>
  <c r="T198" i="3"/>
  <c r="T197" i="3"/>
  <c r="T196" i="3"/>
  <c r="T195" i="3"/>
  <c r="T194" i="3"/>
  <c r="T193" i="3"/>
  <c r="T192" i="3"/>
  <c r="T191" i="3"/>
  <c r="T190" i="3"/>
  <c r="T189" i="3"/>
  <c r="T188" i="3"/>
  <c r="T187" i="3"/>
  <c r="T186" i="3"/>
  <c r="T185" i="3"/>
  <c r="T184" i="3"/>
  <c r="T183" i="3"/>
  <c r="T182" i="3"/>
  <c r="T181" i="3"/>
  <c r="T180" i="3"/>
  <c r="T179" i="3"/>
  <c r="T178" i="3"/>
  <c r="T177" i="3"/>
  <c r="T176" i="3"/>
  <c r="T175" i="3"/>
  <c r="T174" i="3"/>
  <c r="T173" i="3"/>
  <c r="T172" i="3"/>
  <c r="T171" i="3"/>
  <c r="T170" i="3"/>
  <c r="T169" i="3"/>
  <c r="T168" i="3"/>
  <c r="T167" i="3"/>
  <c r="T166" i="3"/>
  <c r="T165" i="3"/>
  <c r="T164" i="3"/>
  <c r="T163" i="3"/>
  <c r="T162" i="3"/>
  <c r="T161" i="3"/>
  <c r="T160" i="3"/>
  <c r="T159" i="3"/>
  <c r="T158" i="3"/>
  <c r="T157" i="3"/>
  <c r="T156" i="3"/>
  <c r="T155" i="3"/>
  <c r="T154" i="3"/>
  <c r="T153" i="3"/>
  <c r="T152" i="3"/>
  <c r="T151" i="3"/>
  <c r="T150" i="3"/>
  <c r="T149" i="3"/>
  <c r="T148" i="3"/>
  <c r="T147" i="3"/>
  <c r="T146" i="3"/>
  <c r="T145" i="3"/>
  <c r="T144" i="3"/>
  <c r="T143" i="3"/>
  <c r="T142" i="3"/>
  <c r="T141" i="3"/>
  <c r="T140" i="3"/>
  <c r="T139" i="3"/>
  <c r="T138" i="3"/>
  <c r="T137" i="3"/>
  <c r="T136" i="3"/>
  <c r="T135" i="3"/>
  <c r="T134" i="3"/>
  <c r="T133" i="3"/>
  <c r="T132" i="3"/>
  <c r="T131" i="3"/>
  <c r="T130" i="3"/>
  <c r="T129" i="3"/>
  <c r="T128" i="3"/>
  <c r="T127" i="3"/>
  <c r="T126" i="3"/>
  <c r="T125" i="3"/>
  <c r="T124" i="3"/>
  <c r="T123" i="3"/>
  <c r="T122" i="3"/>
  <c r="T121" i="3"/>
  <c r="T120" i="3"/>
  <c r="T119" i="3"/>
  <c r="T118" i="3"/>
  <c r="T117" i="3"/>
  <c r="T116" i="3"/>
  <c r="T115" i="3"/>
  <c r="T114" i="3"/>
  <c r="T113" i="3"/>
  <c r="T112" i="3"/>
  <c r="T111" i="3"/>
  <c r="T110" i="3"/>
  <c r="T109" i="3"/>
  <c r="T108" i="3"/>
  <c r="T107" i="3"/>
  <c r="T106" i="3"/>
  <c r="T105" i="3"/>
  <c r="T104" i="3"/>
  <c r="T103" i="3"/>
  <c r="T102" i="3"/>
  <c r="T101" i="3"/>
  <c r="T100" i="3"/>
  <c r="T99" i="3"/>
  <c r="T98" i="3"/>
  <c r="T97" i="3"/>
  <c r="T96" i="3"/>
  <c r="T95" i="3"/>
  <c r="T94" i="3"/>
  <c r="T93" i="3"/>
  <c r="T92" i="3"/>
  <c r="T91" i="3"/>
  <c r="T90" i="3"/>
  <c r="T89" i="3"/>
  <c r="T88" i="3"/>
  <c r="T87" i="3"/>
  <c r="T86" i="3"/>
  <c r="T85" i="3"/>
  <c r="T84" i="3"/>
  <c r="T83" i="3"/>
  <c r="T82" i="3"/>
  <c r="T81" i="3"/>
  <c r="T80" i="3"/>
  <c r="T79" i="3"/>
  <c r="T78" i="3"/>
  <c r="T77" i="3"/>
  <c r="T76" i="3"/>
  <c r="T75" i="3"/>
  <c r="T74" i="3"/>
  <c r="T73" i="3"/>
  <c r="T72" i="3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S25" i="3"/>
  <c r="U213" i="3"/>
  <c r="U211" i="3"/>
  <c r="U209" i="3"/>
  <c r="U207" i="3"/>
  <c r="U205" i="3"/>
  <c r="U203" i="3"/>
  <c r="U201" i="3"/>
  <c r="U199" i="3"/>
  <c r="U197" i="3"/>
  <c r="U195" i="3"/>
  <c r="U193" i="3"/>
  <c r="U191" i="3"/>
  <c r="U189" i="3"/>
  <c r="U187" i="3"/>
  <c r="U185" i="3"/>
  <c r="U183" i="3"/>
  <c r="U181" i="3"/>
  <c r="U179" i="3"/>
  <c r="U177" i="3"/>
  <c r="U175" i="3"/>
  <c r="U173" i="3"/>
  <c r="U171" i="3"/>
  <c r="U169" i="3"/>
  <c r="U167" i="3"/>
  <c r="U165" i="3"/>
  <c r="U163" i="3"/>
  <c r="U161" i="3"/>
  <c r="U159" i="3"/>
  <c r="U157" i="3"/>
  <c r="U155" i="3"/>
  <c r="U153" i="3"/>
  <c r="U151" i="3"/>
  <c r="U149" i="3"/>
  <c r="U147" i="3"/>
  <c r="U145" i="3"/>
  <c r="U143" i="3"/>
  <c r="U141" i="3"/>
  <c r="U139" i="3"/>
  <c r="U137" i="3"/>
  <c r="U135" i="3"/>
  <c r="U133" i="3"/>
  <c r="U131" i="3"/>
  <c r="U129" i="3"/>
  <c r="U127" i="3"/>
  <c r="U125" i="3"/>
  <c r="U123" i="3"/>
  <c r="U121" i="3"/>
  <c r="U119" i="3"/>
  <c r="U117" i="3"/>
  <c r="U115" i="3"/>
  <c r="U113" i="3"/>
  <c r="U111" i="3"/>
  <c r="U109" i="3"/>
  <c r="U107" i="3"/>
  <c r="U105" i="3"/>
  <c r="U103" i="3"/>
  <c r="U101" i="3"/>
  <c r="U99" i="3"/>
  <c r="U97" i="3"/>
  <c r="U95" i="3"/>
  <c r="U93" i="3"/>
  <c r="U91" i="3"/>
  <c r="U89" i="3"/>
  <c r="U87" i="3"/>
  <c r="U85" i="3"/>
  <c r="U83" i="3"/>
  <c r="U81" i="3"/>
  <c r="U79" i="3"/>
  <c r="U77" i="3"/>
  <c r="U75" i="3"/>
  <c r="U73" i="3"/>
  <c r="U71" i="3"/>
  <c r="U69" i="3"/>
  <c r="U67" i="3"/>
  <c r="U65" i="3"/>
  <c r="U63" i="3"/>
  <c r="U61" i="3"/>
  <c r="U59" i="3"/>
  <c r="U57" i="3"/>
  <c r="U55" i="3"/>
  <c r="U53" i="3"/>
  <c r="U51" i="3"/>
  <c r="U49" i="3"/>
  <c r="U47" i="3"/>
  <c r="U45" i="3"/>
  <c r="U43" i="3"/>
  <c r="U41" i="3"/>
  <c r="U39" i="3"/>
  <c r="U37" i="3"/>
  <c r="U35" i="3"/>
  <c r="F15" i="5"/>
  <c r="F16" i="5" s="1"/>
  <c r="S16" i="13"/>
  <c r="S17" i="13"/>
  <c r="S18" i="13"/>
  <c r="S19" i="13"/>
  <c r="S20" i="13"/>
  <c r="U25" i="3"/>
  <c r="S359" i="3"/>
  <c r="S358" i="3"/>
  <c r="S357" i="3"/>
  <c r="S356" i="3"/>
  <c r="S355" i="3"/>
  <c r="S354" i="3"/>
  <c r="S353" i="3"/>
  <c r="S352" i="3"/>
  <c r="S351" i="3"/>
  <c r="S350" i="3"/>
  <c r="S349" i="3"/>
  <c r="S348" i="3"/>
  <c r="S347" i="3"/>
  <c r="S346" i="3"/>
  <c r="S345" i="3"/>
  <c r="S344" i="3"/>
  <c r="S343" i="3"/>
  <c r="S342" i="3"/>
  <c r="S341" i="3"/>
  <c r="S340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69" i="3"/>
  <c r="S268" i="3"/>
  <c r="S267" i="3"/>
  <c r="S266" i="3"/>
  <c r="S265" i="3"/>
  <c r="S264" i="3"/>
  <c r="S263" i="3"/>
  <c r="S262" i="3"/>
  <c r="S261" i="3"/>
  <c r="S260" i="3"/>
  <c r="S259" i="3"/>
  <c r="S258" i="3"/>
  <c r="S257" i="3"/>
  <c r="S256" i="3"/>
  <c r="S255" i="3"/>
  <c r="S254" i="3"/>
  <c r="S253" i="3"/>
  <c r="S252" i="3"/>
  <c r="S251" i="3"/>
  <c r="S250" i="3"/>
  <c r="S249" i="3"/>
  <c r="S248" i="3"/>
  <c r="S247" i="3"/>
  <c r="S246" i="3"/>
  <c r="S245" i="3"/>
  <c r="S244" i="3"/>
  <c r="S243" i="3"/>
  <c r="S242" i="3"/>
  <c r="S241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S179" i="3"/>
  <c r="S178" i="3"/>
  <c r="S177" i="3"/>
  <c r="S176" i="3"/>
  <c r="S175" i="3"/>
  <c r="S174" i="3"/>
  <c r="S173" i="3"/>
  <c r="S172" i="3"/>
  <c r="S171" i="3"/>
  <c r="S170" i="3"/>
  <c r="S169" i="3"/>
  <c r="S168" i="3"/>
  <c r="S167" i="3"/>
  <c r="S166" i="3"/>
  <c r="S165" i="3"/>
  <c r="S164" i="3"/>
  <c r="S163" i="3"/>
  <c r="S162" i="3"/>
  <c r="S161" i="3"/>
  <c r="S160" i="3"/>
  <c r="S159" i="3"/>
  <c r="S158" i="3"/>
  <c r="S157" i="3"/>
  <c r="S156" i="3"/>
  <c r="S155" i="3"/>
  <c r="S15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S139" i="3"/>
  <c r="S138" i="3"/>
  <c r="S137" i="3"/>
  <c r="S136" i="3"/>
  <c r="S135" i="3"/>
  <c r="S134" i="3"/>
  <c r="S133" i="3"/>
  <c r="S132" i="3"/>
  <c r="S131" i="3"/>
  <c r="S130" i="3"/>
  <c r="S129" i="3"/>
  <c r="S128" i="3"/>
  <c r="S127" i="3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S108" i="3"/>
  <c r="S107" i="3"/>
  <c r="S106" i="3"/>
  <c r="S105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T25" i="3"/>
  <c r="R359" i="3"/>
  <c r="R358" i="3"/>
  <c r="R357" i="3"/>
  <c r="R356" i="3"/>
  <c r="R355" i="3"/>
  <c r="R354" i="3"/>
  <c r="R353" i="3"/>
  <c r="R352" i="3"/>
  <c r="R351" i="3"/>
  <c r="R350" i="3"/>
  <c r="R349" i="3"/>
  <c r="R348" i="3"/>
  <c r="R347" i="3"/>
  <c r="R346" i="3"/>
  <c r="R345" i="3"/>
  <c r="R344" i="3"/>
  <c r="R343" i="3"/>
  <c r="R342" i="3"/>
  <c r="R341" i="3"/>
  <c r="R340" i="3"/>
  <c r="R339" i="3"/>
  <c r="R338" i="3"/>
  <c r="R337" i="3"/>
  <c r="R336" i="3"/>
  <c r="R335" i="3"/>
  <c r="R334" i="3"/>
  <c r="R333" i="3"/>
  <c r="R332" i="3"/>
  <c r="R331" i="3"/>
  <c r="R330" i="3"/>
  <c r="R329" i="3"/>
  <c r="R328" i="3"/>
  <c r="R327" i="3"/>
  <c r="R326" i="3"/>
  <c r="R325" i="3"/>
  <c r="R324" i="3"/>
  <c r="R323" i="3"/>
  <c r="R322" i="3"/>
  <c r="R321" i="3"/>
  <c r="R320" i="3"/>
  <c r="R319" i="3"/>
  <c r="R318" i="3"/>
  <c r="R317" i="3"/>
  <c r="R316" i="3"/>
  <c r="R315" i="3"/>
  <c r="R314" i="3"/>
  <c r="R313" i="3"/>
  <c r="R312" i="3"/>
  <c r="R311" i="3"/>
  <c r="R310" i="3"/>
  <c r="R309" i="3"/>
  <c r="R308" i="3"/>
  <c r="R307" i="3"/>
  <c r="R306" i="3"/>
  <c r="R305" i="3"/>
  <c r="R304" i="3"/>
  <c r="R303" i="3"/>
  <c r="R302" i="3"/>
  <c r="R301" i="3"/>
  <c r="R300" i="3"/>
  <c r="R299" i="3"/>
  <c r="R298" i="3"/>
  <c r="R297" i="3"/>
  <c r="R296" i="3"/>
  <c r="R295" i="3"/>
  <c r="R294" i="3"/>
  <c r="R293" i="3"/>
  <c r="R292" i="3"/>
  <c r="R291" i="3"/>
  <c r="R290" i="3"/>
  <c r="R289" i="3"/>
  <c r="R288" i="3"/>
  <c r="R287" i="3"/>
  <c r="R286" i="3"/>
  <c r="R285" i="3"/>
  <c r="R284" i="3"/>
  <c r="R283" i="3"/>
  <c r="R282" i="3"/>
  <c r="R281" i="3"/>
  <c r="R280" i="3"/>
  <c r="R279" i="3"/>
  <c r="R278" i="3"/>
  <c r="R277" i="3"/>
  <c r="R276" i="3"/>
  <c r="R275" i="3"/>
  <c r="R274" i="3"/>
  <c r="R273" i="3"/>
  <c r="R272" i="3"/>
  <c r="R271" i="3"/>
  <c r="R270" i="3"/>
  <c r="R269" i="3"/>
  <c r="R268" i="3"/>
  <c r="R267" i="3"/>
  <c r="R266" i="3"/>
  <c r="R265" i="3"/>
  <c r="R264" i="3"/>
  <c r="R263" i="3"/>
  <c r="R262" i="3"/>
  <c r="R261" i="3"/>
  <c r="R260" i="3"/>
  <c r="R259" i="3"/>
  <c r="R258" i="3"/>
  <c r="R257" i="3"/>
  <c r="R256" i="3"/>
  <c r="R255" i="3"/>
  <c r="R254" i="3"/>
  <c r="R253" i="3"/>
  <c r="R252" i="3"/>
  <c r="R251" i="3"/>
  <c r="R250" i="3"/>
  <c r="R249" i="3"/>
  <c r="R248" i="3"/>
  <c r="R247" i="3"/>
  <c r="R246" i="3"/>
  <c r="R245" i="3"/>
  <c r="R244" i="3"/>
  <c r="R243" i="3"/>
  <c r="R242" i="3"/>
  <c r="R241" i="3"/>
  <c r="R240" i="3"/>
  <c r="R239" i="3"/>
  <c r="R238" i="3"/>
  <c r="R237" i="3"/>
  <c r="R236" i="3"/>
  <c r="R235" i="3"/>
  <c r="R234" i="3"/>
  <c r="R233" i="3"/>
  <c r="R232" i="3"/>
  <c r="R231" i="3"/>
  <c r="R230" i="3"/>
  <c r="R229" i="3"/>
  <c r="R228" i="3"/>
  <c r="R227" i="3"/>
  <c r="R226" i="3"/>
  <c r="R225" i="3"/>
  <c r="R224" i="3"/>
  <c r="R223" i="3"/>
  <c r="R222" i="3"/>
  <c r="R221" i="3"/>
  <c r="R220" i="3"/>
  <c r="R219" i="3"/>
  <c r="R218" i="3"/>
  <c r="R217" i="3"/>
  <c r="R216" i="3"/>
  <c r="R215" i="3"/>
  <c r="R214" i="3"/>
  <c r="R213" i="3"/>
  <c r="R212" i="3"/>
  <c r="R211" i="3"/>
  <c r="R210" i="3"/>
  <c r="R209" i="3"/>
  <c r="R208" i="3"/>
  <c r="R207" i="3"/>
  <c r="R206" i="3"/>
  <c r="R205" i="3"/>
  <c r="R204" i="3"/>
  <c r="R203" i="3"/>
  <c r="R202" i="3"/>
  <c r="R201" i="3"/>
  <c r="R200" i="3"/>
  <c r="R199" i="3"/>
  <c r="R198" i="3"/>
  <c r="R197" i="3"/>
  <c r="R196" i="3"/>
  <c r="R195" i="3"/>
  <c r="R194" i="3"/>
  <c r="R193" i="3"/>
  <c r="R192" i="3"/>
  <c r="R191" i="3"/>
  <c r="R190" i="3"/>
  <c r="R189" i="3"/>
  <c r="R188" i="3"/>
  <c r="R187" i="3"/>
  <c r="R186" i="3"/>
  <c r="R185" i="3"/>
  <c r="R184" i="3"/>
  <c r="R183" i="3"/>
  <c r="R182" i="3"/>
  <c r="R181" i="3"/>
  <c r="R180" i="3"/>
  <c r="R179" i="3"/>
  <c r="R178" i="3"/>
  <c r="R177" i="3"/>
  <c r="R176" i="3"/>
  <c r="R175" i="3"/>
  <c r="R174" i="3"/>
  <c r="R173" i="3"/>
  <c r="R172" i="3"/>
  <c r="R171" i="3"/>
  <c r="R170" i="3"/>
  <c r="R169" i="3"/>
  <c r="R168" i="3"/>
  <c r="R167" i="3"/>
  <c r="R166" i="3"/>
  <c r="R165" i="3"/>
  <c r="R164" i="3"/>
  <c r="R163" i="3"/>
  <c r="R162" i="3"/>
  <c r="R161" i="3"/>
  <c r="R160" i="3"/>
  <c r="R159" i="3"/>
  <c r="R158" i="3"/>
  <c r="R157" i="3"/>
  <c r="R156" i="3"/>
  <c r="R155" i="3"/>
  <c r="R154" i="3"/>
  <c r="R153" i="3"/>
  <c r="R152" i="3"/>
  <c r="R151" i="3"/>
  <c r="R150" i="3"/>
  <c r="R149" i="3"/>
  <c r="R148" i="3"/>
  <c r="R147" i="3"/>
  <c r="R146" i="3"/>
  <c r="R145" i="3"/>
  <c r="R144" i="3"/>
  <c r="R143" i="3"/>
  <c r="R142" i="3"/>
  <c r="R141" i="3"/>
  <c r="R140" i="3"/>
  <c r="R139" i="3"/>
  <c r="R138" i="3"/>
  <c r="R137" i="3"/>
  <c r="R136" i="3"/>
  <c r="R135" i="3"/>
  <c r="R134" i="3"/>
  <c r="R133" i="3"/>
  <c r="R132" i="3"/>
  <c r="R131" i="3"/>
  <c r="R130" i="3"/>
  <c r="R129" i="3"/>
  <c r="R128" i="3"/>
  <c r="R127" i="3"/>
  <c r="R126" i="3"/>
  <c r="R125" i="3"/>
  <c r="R124" i="3"/>
  <c r="R123" i="3"/>
  <c r="R122" i="3"/>
  <c r="R121" i="3"/>
  <c r="R120" i="3"/>
  <c r="R119" i="3"/>
  <c r="R118" i="3"/>
  <c r="R117" i="3"/>
  <c r="R116" i="3"/>
  <c r="R115" i="3"/>
  <c r="R114" i="3"/>
  <c r="R113" i="3"/>
  <c r="R112" i="3"/>
  <c r="R111" i="3"/>
  <c r="R110" i="3"/>
  <c r="R109" i="3"/>
  <c r="R108" i="3"/>
  <c r="R107" i="3"/>
  <c r="R106" i="3"/>
  <c r="R105" i="3"/>
  <c r="R104" i="3"/>
  <c r="R103" i="3"/>
  <c r="R102" i="3"/>
  <c r="R101" i="3"/>
  <c r="R100" i="3"/>
  <c r="R99" i="3"/>
  <c r="R98" i="3"/>
  <c r="R97" i="3"/>
  <c r="R96" i="3"/>
  <c r="R95" i="3"/>
  <c r="R94" i="3"/>
  <c r="R93" i="3"/>
  <c r="R92" i="3"/>
  <c r="R91" i="3"/>
  <c r="R90" i="3"/>
  <c r="R89" i="3"/>
  <c r="R88" i="3"/>
  <c r="R87" i="3"/>
  <c r="R86" i="3"/>
  <c r="R85" i="3"/>
  <c r="R84" i="3"/>
  <c r="R83" i="3"/>
  <c r="R82" i="3"/>
  <c r="R81" i="3"/>
  <c r="R80" i="3"/>
  <c r="R79" i="3"/>
  <c r="R78" i="3"/>
  <c r="R77" i="3"/>
  <c r="R76" i="3"/>
  <c r="R75" i="3"/>
  <c r="R74" i="3"/>
  <c r="R73" i="3"/>
  <c r="R72" i="3"/>
  <c r="R71" i="3"/>
  <c r="R70" i="3"/>
  <c r="R69" i="3"/>
  <c r="R68" i="3"/>
  <c r="R67" i="3"/>
  <c r="R66" i="3"/>
  <c r="R65" i="3"/>
  <c r="R64" i="3"/>
  <c r="R63" i="3"/>
  <c r="R62" i="3"/>
  <c r="R61" i="3"/>
  <c r="R60" i="3"/>
  <c r="R59" i="3"/>
  <c r="R58" i="3"/>
  <c r="R57" i="3"/>
  <c r="R56" i="3"/>
  <c r="R55" i="3"/>
  <c r="R54" i="3"/>
  <c r="R53" i="3"/>
  <c r="R52" i="3"/>
  <c r="R51" i="3"/>
  <c r="R50" i="3"/>
  <c r="R49" i="3"/>
  <c r="R48" i="3"/>
  <c r="R47" i="3"/>
  <c r="R46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M20" i="13"/>
  <c r="Q18" i="13"/>
  <c r="O20" i="13"/>
  <c r="L20" i="13"/>
  <c r="O16" i="13"/>
  <c r="O18" i="13"/>
  <c r="B15" i="5"/>
  <c r="Q20" i="13"/>
  <c r="M16" i="13"/>
  <c r="M18" i="13"/>
  <c r="L16" i="13"/>
  <c r="Q17" i="13"/>
  <c r="Q19" i="13"/>
  <c r="L17" i="13"/>
  <c r="L18" i="13"/>
  <c r="O17" i="13"/>
  <c r="O19" i="13"/>
  <c r="L19" i="13"/>
  <c r="C15" i="5"/>
  <c r="M17" i="13"/>
  <c r="M19" i="13"/>
  <c r="U33" i="3"/>
  <c r="U31" i="3"/>
  <c r="U29" i="3"/>
  <c r="U313" i="3"/>
  <c r="U311" i="3"/>
  <c r="U309" i="3"/>
  <c r="U307" i="3"/>
  <c r="U305" i="3"/>
  <c r="U303" i="3"/>
  <c r="U301" i="3"/>
  <c r="U299" i="3"/>
  <c r="U297" i="3"/>
  <c r="U295" i="3"/>
  <c r="U293" i="3"/>
  <c r="U291" i="3"/>
  <c r="U289" i="3"/>
  <c r="U287" i="3"/>
  <c r="U285" i="3"/>
  <c r="U283" i="3"/>
  <c r="U281" i="3"/>
  <c r="U279" i="3"/>
  <c r="U277" i="3"/>
  <c r="U275" i="3"/>
  <c r="U273" i="3"/>
  <c r="U271" i="3"/>
  <c r="U269" i="3"/>
  <c r="U267" i="3"/>
  <c r="U265" i="3"/>
  <c r="U263" i="3"/>
  <c r="U261" i="3"/>
  <c r="U259" i="3"/>
  <c r="U257" i="3"/>
  <c r="U255" i="3"/>
  <c r="U253" i="3"/>
  <c r="U251" i="3"/>
  <c r="U249" i="3"/>
  <c r="U247" i="3"/>
  <c r="U245" i="3"/>
  <c r="U243" i="3"/>
  <c r="U241" i="3"/>
  <c r="U239" i="3"/>
  <c r="U237" i="3"/>
  <c r="U235" i="3"/>
  <c r="U233" i="3"/>
  <c r="U231" i="3"/>
  <c r="U229" i="3"/>
  <c r="U227" i="3"/>
  <c r="U225" i="3"/>
  <c r="U223" i="3"/>
  <c r="U221" i="3"/>
  <c r="U219" i="3"/>
  <c r="U217" i="3"/>
  <c r="U215" i="3"/>
  <c r="U27" i="3"/>
  <c r="U358" i="3"/>
  <c r="U356" i="3"/>
  <c r="U354" i="3"/>
  <c r="U352" i="3"/>
  <c r="U350" i="3"/>
  <c r="U348" i="3"/>
  <c r="U346" i="3"/>
  <c r="U344" i="3"/>
  <c r="U342" i="3"/>
  <c r="U340" i="3"/>
  <c r="U338" i="3"/>
  <c r="U336" i="3"/>
  <c r="U334" i="3"/>
  <c r="U332" i="3"/>
  <c r="U330" i="3"/>
  <c r="U328" i="3"/>
  <c r="U326" i="3"/>
  <c r="U324" i="3"/>
  <c r="U322" i="3"/>
  <c r="U320" i="3"/>
  <c r="U318" i="3"/>
  <c r="U316" i="3"/>
  <c r="U359" i="3"/>
  <c r="U357" i="3"/>
  <c r="U355" i="3"/>
  <c r="U353" i="3"/>
  <c r="U351" i="3"/>
  <c r="U349" i="3"/>
  <c r="U347" i="3"/>
  <c r="U345" i="3"/>
  <c r="U343" i="3"/>
  <c r="U341" i="3"/>
  <c r="U339" i="3"/>
  <c r="U337" i="3"/>
  <c r="U335" i="3"/>
  <c r="U333" i="3"/>
  <c r="U331" i="3"/>
  <c r="U329" i="3"/>
  <c r="U327" i="3"/>
  <c r="U325" i="3"/>
  <c r="U323" i="3"/>
  <c r="U321" i="3"/>
  <c r="U319" i="3"/>
  <c r="U317" i="3"/>
  <c r="U315" i="3"/>
  <c r="U314" i="3"/>
  <c r="U312" i="3"/>
  <c r="U310" i="3"/>
  <c r="U308" i="3"/>
  <c r="U306" i="3"/>
  <c r="U304" i="3"/>
  <c r="U302" i="3"/>
  <c r="U300" i="3"/>
  <c r="U298" i="3"/>
  <c r="U296" i="3"/>
  <c r="U294" i="3"/>
  <c r="U292" i="3"/>
  <c r="U290" i="3"/>
  <c r="U288" i="3"/>
  <c r="U286" i="3"/>
  <c r="U284" i="3"/>
  <c r="U282" i="3"/>
  <c r="U280" i="3"/>
  <c r="U278" i="3"/>
  <c r="U276" i="3"/>
  <c r="U274" i="3"/>
  <c r="U272" i="3"/>
  <c r="U270" i="3"/>
  <c r="U268" i="3"/>
  <c r="U266" i="3"/>
  <c r="U264" i="3"/>
  <c r="U262" i="3"/>
  <c r="U260" i="3"/>
  <c r="U258" i="3"/>
  <c r="U256" i="3"/>
  <c r="U254" i="3"/>
  <c r="U252" i="3"/>
  <c r="U250" i="3"/>
  <c r="U248" i="3"/>
  <c r="U246" i="3"/>
  <c r="U244" i="3"/>
  <c r="U242" i="3"/>
  <c r="U240" i="3"/>
  <c r="U238" i="3"/>
  <c r="U236" i="3"/>
  <c r="U234" i="3"/>
  <c r="U232" i="3"/>
  <c r="U230" i="3"/>
  <c r="U228" i="3"/>
  <c r="U226" i="3"/>
  <c r="U224" i="3"/>
  <c r="U222" i="3"/>
  <c r="U220" i="3"/>
  <c r="U218" i="3"/>
  <c r="U216" i="3"/>
  <c r="U214" i="3"/>
  <c r="U212" i="3"/>
  <c r="U210" i="3"/>
  <c r="U208" i="3"/>
  <c r="U206" i="3"/>
  <c r="U204" i="3"/>
  <c r="U202" i="3"/>
  <c r="U200" i="3"/>
  <c r="U198" i="3"/>
  <c r="U196" i="3"/>
  <c r="U194" i="3"/>
  <c r="U192" i="3"/>
  <c r="U190" i="3"/>
  <c r="U188" i="3"/>
  <c r="U186" i="3"/>
  <c r="U184" i="3"/>
  <c r="U182" i="3"/>
  <c r="U180" i="3"/>
  <c r="U178" i="3"/>
  <c r="U176" i="3"/>
  <c r="U174" i="3"/>
  <c r="U172" i="3"/>
  <c r="U170" i="3"/>
  <c r="U168" i="3"/>
  <c r="U166" i="3"/>
  <c r="U164" i="3"/>
  <c r="U162" i="3"/>
  <c r="U160" i="3"/>
  <c r="U158" i="3"/>
  <c r="U156" i="3"/>
  <c r="U154" i="3"/>
  <c r="U152" i="3"/>
  <c r="U150" i="3"/>
  <c r="U148" i="3"/>
  <c r="U146" i="3"/>
  <c r="U144" i="3"/>
  <c r="U142" i="3"/>
  <c r="U140" i="3"/>
  <c r="U138" i="3"/>
  <c r="U136" i="3"/>
  <c r="U134" i="3"/>
  <c r="U132" i="3"/>
  <c r="U130" i="3"/>
  <c r="U128" i="3"/>
  <c r="U126" i="3"/>
  <c r="U124" i="3"/>
  <c r="U122" i="3"/>
  <c r="U120" i="3"/>
  <c r="U118" i="3"/>
  <c r="U116" i="3"/>
  <c r="U114" i="3"/>
  <c r="U112" i="3"/>
  <c r="U110" i="3"/>
  <c r="U108" i="3"/>
  <c r="U106" i="3"/>
  <c r="U104" i="3"/>
  <c r="U102" i="3"/>
  <c r="U100" i="3"/>
  <c r="U98" i="3"/>
  <c r="U96" i="3"/>
  <c r="U94" i="3"/>
  <c r="U92" i="3"/>
  <c r="U90" i="3"/>
  <c r="U88" i="3"/>
  <c r="U86" i="3"/>
  <c r="U84" i="3"/>
  <c r="U82" i="3"/>
  <c r="U80" i="3"/>
  <c r="U78" i="3"/>
  <c r="U76" i="3"/>
  <c r="U74" i="3"/>
  <c r="U72" i="3"/>
  <c r="U70" i="3"/>
  <c r="U68" i="3"/>
  <c r="U66" i="3"/>
  <c r="U64" i="3"/>
  <c r="U62" i="3"/>
  <c r="U60" i="3"/>
  <c r="U58" i="3"/>
  <c r="U56" i="3"/>
  <c r="U54" i="3"/>
  <c r="U52" i="3"/>
  <c r="U50" i="3"/>
  <c r="U48" i="3"/>
  <c r="U46" i="3"/>
  <c r="U44" i="3"/>
  <c r="U42" i="3"/>
  <c r="U40" i="3"/>
  <c r="U38" i="3"/>
  <c r="U36" i="3"/>
  <c r="U34" i="3"/>
  <c r="U32" i="3"/>
  <c r="U30" i="3"/>
  <c r="U28" i="3"/>
  <c r="U26" i="3"/>
  <c r="L21" i="5" l="1"/>
  <c r="M23" i="5" s="1"/>
  <c r="P23" i="5" l="1"/>
  <c r="Q23" i="5"/>
  <c r="N23" i="5"/>
  <c r="O23" i="5"/>
  <c r="AR359" i="3" l="1"/>
  <c r="AQ359" i="3"/>
  <c r="AR358" i="3"/>
  <c r="AQ358" i="3"/>
  <c r="AR357" i="3"/>
  <c r="AQ356" i="3"/>
  <c r="AR355" i="3"/>
  <c r="AQ355" i="3"/>
  <c r="AR354" i="3"/>
  <c r="AQ354" i="3"/>
  <c r="AR353" i="3"/>
  <c r="AQ352" i="3"/>
  <c r="AR351" i="3"/>
  <c r="AQ351" i="3"/>
  <c r="AR350" i="3"/>
  <c r="AQ350" i="3"/>
  <c r="AR349" i="3"/>
  <c r="AQ348" i="3"/>
  <c r="AR347" i="3"/>
  <c r="AQ347" i="3"/>
  <c r="AR346" i="3"/>
  <c r="AQ346" i="3"/>
  <c r="AR345" i="3"/>
  <c r="AQ344" i="3"/>
  <c r="AR343" i="3"/>
  <c r="AQ343" i="3"/>
  <c r="AR342" i="3"/>
  <c r="AQ342" i="3"/>
  <c r="AR341" i="3"/>
  <c r="AQ340" i="3"/>
  <c r="AR339" i="3"/>
  <c r="AQ339" i="3"/>
  <c r="AR338" i="3"/>
  <c r="AQ338" i="3"/>
  <c r="AR337" i="3"/>
  <c r="AQ337" i="3"/>
  <c r="AQ336" i="3"/>
  <c r="AR336" i="3"/>
  <c r="AR335" i="3"/>
  <c r="AQ335" i="3"/>
  <c r="AR334" i="3"/>
  <c r="AQ334" i="3"/>
  <c r="AR333" i="3"/>
  <c r="AQ333" i="3"/>
  <c r="AQ332" i="3"/>
  <c r="AR332" i="3"/>
  <c r="AR331" i="3"/>
  <c r="AQ331" i="3"/>
  <c r="AR330" i="3"/>
  <c r="AQ330" i="3"/>
  <c r="AR329" i="3"/>
  <c r="AQ329" i="3"/>
  <c r="AQ328" i="3"/>
  <c r="AR328" i="3"/>
  <c r="AR327" i="3"/>
  <c r="AQ327" i="3"/>
  <c r="AR326" i="3"/>
  <c r="AQ326" i="3"/>
  <c r="AR325" i="3"/>
  <c r="AQ325" i="3"/>
  <c r="AQ324" i="3"/>
  <c r="AR324" i="3"/>
  <c r="AR323" i="3"/>
  <c r="AQ323" i="3"/>
  <c r="AR322" i="3"/>
  <c r="AQ322" i="3"/>
  <c r="AR321" i="3"/>
  <c r="AQ321" i="3"/>
  <c r="AQ320" i="3"/>
  <c r="AR320" i="3"/>
  <c r="AR319" i="3"/>
  <c r="AQ319" i="3"/>
  <c r="AR318" i="3"/>
  <c r="AQ318" i="3"/>
  <c r="AR317" i="3"/>
  <c r="AQ317" i="3"/>
  <c r="AQ316" i="3"/>
  <c r="AR316" i="3"/>
  <c r="AR315" i="3"/>
  <c r="AQ315" i="3"/>
  <c r="AR314" i="3"/>
  <c r="AQ314" i="3"/>
  <c r="AR313" i="3"/>
  <c r="AQ313" i="3"/>
  <c r="AQ312" i="3"/>
  <c r="AR311" i="3"/>
  <c r="AQ311" i="3"/>
  <c r="AR310" i="3"/>
  <c r="AQ310" i="3"/>
  <c r="AR309" i="3"/>
  <c r="AQ308" i="3"/>
  <c r="AR308" i="3"/>
  <c r="AR307" i="3"/>
  <c r="AQ307" i="3"/>
  <c r="AR306" i="3"/>
  <c r="AQ306" i="3"/>
  <c r="AR305" i="3"/>
  <c r="AQ304" i="3"/>
  <c r="AR304" i="3"/>
  <c r="AR303" i="3"/>
  <c r="AQ303" i="3"/>
  <c r="AR302" i="3"/>
  <c r="AQ302" i="3"/>
  <c r="AR301" i="3"/>
  <c r="AQ301" i="3"/>
  <c r="AQ300" i="3"/>
  <c r="AR300" i="3"/>
  <c r="AR299" i="3"/>
  <c r="AQ299" i="3"/>
  <c r="AR298" i="3"/>
  <c r="AQ298" i="3"/>
  <c r="AR297" i="3"/>
  <c r="AQ297" i="3"/>
  <c r="AQ296" i="3"/>
  <c r="AR295" i="3"/>
  <c r="AQ295" i="3"/>
  <c r="AR294" i="3"/>
  <c r="AQ294" i="3"/>
  <c r="AR293" i="3"/>
  <c r="AQ292" i="3"/>
  <c r="AR292" i="3"/>
  <c r="AR291" i="3"/>
  <c r="AQ291" i="3"/>
  <c r="AR290" i="3"/>
  <c r="AQ290" i="3"/>
  <c r="AR289" i="3"/>
  <c r="AQ288" i="3"/>
  <c r="AR288" i="3"/>
  <c r="AR287" i="3"/>
  <c r="AQ287" i="3"/>
  <c r="AR286" i="3"/>
  <c r="AQ286" i="3"/>
  <c r="AR285" i="3"/>
  <c r="AQ285" i="3"/>
  <c r="AQ284" i="3"/>
  <c r="AR284" i="3"/>
  <c r="AR283" i="3"/>
  <c r="AQ283" i="3"/>
  <c r="AR282" i="3"/>
  <c r="AQ282" i="3"/>
  <c r="AR281" i="3"/>
  <c r="AQ281" i="3"/>
  <c r="AQ280" i="3"/>
  <c r="AR279" i="3"/>
  <c r="AQ279" i="3"/>
  <c r="AR278" i="3"/>
  <c r="AQ278" i="3"/>
  <c r="AR277" i="3"/>
  <c r="AQ276" i="3"/>
  <c r="AR276" i="3"/>
  <c r="AR275" i="3"/>
  <c r="AQ275" i="3"/>
  <c r="AR274" i="3"/>
  <c r="AQ274" i="3"/>
  <c r="AR273" i="3"/>
  <c r="AQ272" i="3"/>
  <c r="AR272" i="3"/>
  <c r="AR271" i="3"/>
  <c r="AQ271" i="3"/>
  <c r="AR270" i="3"/>
  <c r="AQ270" i="3"/>
  <c r="AR269" i="3"/>
  <c r="AQ269" i="3"/>
  <c r="AR267" i="3"/>
  <c r="AQ267" i="3"/>
  <c r="AR266" i="3"/>
  <c r="AQ266" i="3"/>
  <c r="AR265" i="3"/>
  <c r="AQ264" i="3"/>
  <c r="AR264" i="3"/>
  <c r="AQ263" i="3"/>
  <c r="AR262" i="3"/>
  <c r="AQ262" i="3"/>
  <c r="AR261" i="3"/>
  <c r="AQ261" i="3"/>
  <c r="AR259" i="3"/>
  <c r="AQ259" i="3"/>
  <c r="AR258" i="3"/>
  <c r="AQ258" i="3"/>
  <c r="AR257" i="3"/>
  <c r="AQ257" i="3"/>
  <c r="AR256" i="3"/>
  <c r="AR255" i="3"/>
  <c r="AQ255" i="3"/>
  <c r="AR254" i="3"/>
  <c r="AQ254" i="3"/>
  <c r="AR253" i="3"/>
  <c r="AQ253" i="3"/>
  <c r="AR252" i="3"/>
  <c r="AQ251" i="3"/>
  <c r="AR250" i="3"/>
  <c r="AQ250" i="3"/>
  <c r="AQ249" i="3"/>
  <c r="AR249" i="3"/>
  <c r="AQ248" i="3"/>
  <c r="AR248" i="3"/>
  <c r="AQ247" i="3"/>
  <c r="AR246" i="3"/>
  <c r="AQ246" i="3"/>
  <c r="AR245" i="3"/>
  <c r="AQ245" i="3"/>
  <c r="AR244" i="3"/>
  <c r="AQ244" i="3"/>
  <c r="AQ243" i="3"/>
  <c r="AR243" i="3"/>
  <c r="AQ242" i="3"/>
  <c r="AR241" i="3"/>
  <c r="AQ241" i="3"/>
  <c r="AR240" i="3"/>
  <c r="AQ240" i="3"/>
  <c r="AQ239" i="3"/>
  <c r="AR239" i="3"/>
  <c r="AQ238" i="3"/>
  <c r="AR237" i="3"/>
  <c r="AQ237" i="3"/>
  <c r="AR236" i="3"/>
  <c r="AQ236" i="3"/>
  <c r="AQ235" i="3"/>
  <c r="AR235" i="3"/>
  <c r="AQ234" i="3"/>
  <c r="AR233" i="3"/>
  <c r="AQ233" i="3"/>
  <c r="AR232" i="3"/>
  <c r="AQ232" i="3"/>
  <c r="AQ231" i="3"/>
  <c r="AR231" i="3"/>
  <c r="AQ230" i="3"/>
  <c r="AR229" i="3"/>
  <c r="AQ229" i="3"/>
  <c r="AR228" i="3"/>
  <c r="AQ228" i="3"/>
  <c r="AQ227" i="3"/>
  <c r="AR227" i="3"/>
  <c r="AQ226" i="3"/>
  <c r="AR225" i="3"/>
  <c r="AQ225" i="3"/>
  <c r="AR224" i="3"/>
  <c r="AQ224" i="3"/>
  <c r="AQ223" i="3"/>
  <c r="AR223" i="3"/>
  <c r="AQ222" i="3"/>
  <c r="AR221" i="3"/>
  <c r="AQ221" i="3"/>
  <c r="AR220" i="3"/>
  <c r="AQ220" i="3"/>
  <c r="AQ219" i="3"/>
  <c r="AR219" i="3"/>
  <c r="AQ218" i="3"/>
  <c r="AR217" i="3"/>
  <c r="AQ217" i="3"/>
  <c r="AR216" i="3"/>
  <c r="AQ216" i="3"/>
  <c r="AQ215" i="3"/>
  <c r="AR215" i="3"/>
  <c r="AQ214" i="3"/>
  <c r="AR213" i="3"/>
  <c r="AQ213" i="3"/>
  <c r="AR212" i="3"/>
  <c r="AQ212" i="3"/>
  <c r="AR211" i="3"/>
  <c r="AQ210" i="3"/>
  <c r="AR209" i="3"/>
  <c r="AQ209" i="3"/>
  <c r="AR208" i="3"/>
  <c r="AQ208" i="3"/>
  <c r="AR207" i="3"/>
  <c r="AQ206" i="3"/>
  <c r="AR205" i="3"/>
  <c r="AQ205" i="3"/>
  <c r="AR204" i="3"/>
  <c r="AQ204" i="3"/>
  <c r="AR203" i="3"/>
  <c r="AQ202" i="3"/>
  <c r="AR201" i="3"/>
  <c r="AQ201" i="3"/>
  <c r="AR200" i="3"/>
  <c r="AQ200" i="3"/>
  <c r="AR199" i="3"/>
  <c r="AQ198" i="3"/>
  <c r="AR197" i="3"/>
  <c r="AQ197" i="3"/>
  <c r="AR196" i="3"/>
  <c r="AQ196" i="3"/>
  <c r="AR195" i="3"/>
  <c r="AQ194" i="3"/>
  <c r="AR193" i="3"/>
  <c r="AQ193" i="3"/>
  <c r="AR192" i="3"/>
  <c r="AQ192" i="3"/>
  <c r="AR191" i="3"/>
  <c r="AQ190" i="3"/>
  <c r="AR189" i="3"/>
  <c r="AQ189" i="3"/>
  <c r="AR188" i="3"/>
  <c r="AQ188" i="3"/>
  <c r="AQ187" i="3"/>
  <c r="AR187" i="3"/>
  <c r="AR186" i="3"/>
  <c r="AQ186" i="3"/>
  <c r="AR185" i="3"/>
  <c r="AQ185" i="3"/>
  <c r="AR184" i="3"/>
  <c r="AQ184" i="3"/>
  <c r="AQ182" i="3"/>
  <c r="AR181" i="3"/>
  <c r="AQ181" i="3"/>
  <c r="AR180" i="3"/>
  <c r="AQ179" i="3"/>
  <c r="AR179" i="3"/>
  <c r="AR178" i="3"/>
  <c r="AQ178" i="3"/>
  <c r="AR177" i="3"/>
  <c r="AQ177" i="3"/>
  <c r="AR176" i="3"/>
  <c r="AQ176" i="3"/>
  <c r="AQ174" i="3"/>
  <c r="AR173" i="3"/>
  <c r="AQ173" i="3"/>
  <c r="AR172" i="3"/>
  <c r="AR171" i="3"/>
  <c r="AQ171" i="3"/>
  <c r="AR170" i="3"/>
  <c r="AQ170" i="3"/>
  <c r="AQ169" i="3"/>
  <c r="AR169" i="3"/>
  <c r="AQ168" i="3"/>
  <c r="AR167" i="3"/>
  <c r="AQ167" i="3"/>
  <c r="AR166" i="3"/>
  <c r="AQ166" i="3"/>
  <c r="AQ165" i="3"/>
  <c r="AR165" i="3"/>
  <c r="AQ164" i="3"/>
  <c r="AR163" i="3"/>
  <c r="AQ163" i="3"/>
  <c r="AR162" i="3"/>
  <c r="AQ162" i="3"/>
  <c r="AQ161" i="3"/>
  <c r="AR161" i="3"/>
  <c r="AQ160" i="3"/>
  <c r="AR159" i="3"/>
  <c r="AQ159" i="3"/>
  <c r="AR158" i="3"/>
  <c r="AQ158" i="3"/>
  <c r="AQ157" i="3"/>
  <c r="AR157" i="3"/>
  <c r="AQ156" i="3"/>
  <c r="AR155" i="3"/>
  <c r="AQ155" i="3"/>
  <c r="AR154" i="3"/>
  <c r="AQ154" i="3"/>
  <c r="AQ153" i="3"/>
  <c r="AR153" i="3"/>
  <c r="AQ152" i="3"/>
  <c r="AR151" i="3"/>
  <c r="AQ151" i="3"/>
  <c r="AR150" i="3"/>
  <c r="AQ150" i="3"/>
  <c r="AQ149" i="3"/>
  <c r="AR149" i="3"/>
  <c r="AQ148" i="3"/>
  <c r="AR147" i="3"/>
  <c r="AQ147" i="3"/>
  <c r="AR146" i="3"/>
  <c r="AQ146" i="3"/>
  <c r="AQ145" i="3"/>
  <c r="AR145" i="3"/>
  <c r="AQ144" i="3"/>
  <c r="AR143" i="3"/>
  <c r="AQ143" i="3"/>
  <c r="AR142" i="3"/>
  <c r="AQ142" i="3"/>
  <c r="AQ141" i="3"/>
  <c r="AR141" i="3"/>
  <c r="AQ140" i="3"/>
  <c r="AR139" i="3"/>
  <c r="AQ139" i="3"/>
  <c r="AR138" i="3"/>
  <c r="AQ138" i="3"/>
  <c r="AQ137" i="3"/>
  <c r="AR137" i="3"/>
  <c r="AQ136" i="3"/>
  <c r="AR135" i="3"/>
  <c r="AQ135" i="3"/>
  <c r="AR134" i="3"/>
  <c r="AQ134" i="3"/>
  <c r="AQ133" i="3"/>
  <c r="AR133" i="3"/>
  <c r="AQ132" i="3"/>
  <c r="AR131" i="3"/>
  <c r="AQ131" i="3"/>
  <c r="AR130" i="3"/>
  <c r="AQ130" i="3"/>
  <c r="AQ129" i="3"/>
  <c r="AR129" i="3"/>
  <c r="AQ128" i="3"/>
  <c r="AR127" i="3"/>
  <c r="AQ127" i="3"/>
  <c r="AR126" i="3"/>
  <c r="AQ126" i="3"/>
  <c r="AR125" i="3"/>
  <c r="AQ124" i="3"/>
  <c r="AR123" i="3"/>
  <c r="AQ123" i="3"/>
  <c r="AR122" i="3"/>
  <c r="AQ122" i="3"/>
  <c r="AR121" i="3"/>
  <c r="AQ120" i="3"/>
  <c r="AR119" i="3"/>
  <c r="AQ119" i="3"/>
  <c r="AR118" i="3"/>
  <c r="AQ118" i="3"/>
  <c r="AR117" i="3"/>
  <c r="AQ116" i="3"/>
  <c r="AR115" i="3"/>
  <c r="AQ115" i="3"/>
  <c r="AR114" i="3"/>
  <c r="AQ114" i="3"/>
  <c r="AR113" i="3"/>
  <c r="AQ112" i="3"/>
  <c r="AR111" i="3"/>
  <c r="AQ111" i="3"/>
  <c r="AR110" i="3"/>
  <c r="AQ110" i="3"/>
  <c r="AR109" i="3"/>
  <c r="AQ108" i="3"/>
  <c r="AR107" i="3"/>
  <c r="AQ107" i="3"/>
  <c r="AR106" i="3"/>
  <c r="AQ106" i="3"/>
  <c r="AR105" i="3"/>
  <c r="AQ104" i="3"/>
  <c r="AR103" i="3"/>
  <c r="AQ103" i="3"/>
  <c r="AR102" i="3"/>
  <c r="AQ102" i="3"/>
  <c r="AR101" i="3"/>
  <c r="AQ100" i="3"/>
  <c r="AR99" i="3"/>
  <c r="AQ99" i="3"/>
  <c r="AR98" i="3"/>
  <c r="AQ98" i="3"/>
  <c r="AR97" i="3"/>
  <c r="AQ96" i="3"/>
  <c r="AR95" i="3"/>
  <c r="AQ95" i="3"/>
  <c r="AR94" i="3"/>
  <c r="AQ94" i="3"/>
  <c r="AR93" i="3"/>
  <c r="AQ92" i="3"/>
  <c r="AR91" i="3"/>
  <c r="AQ91" i="3"/>
  <c r="AR90" i="3"/>
  <c r="AQ90" i="3"/>
  <c r="AR89" i="3"/>
  <c r="AQ88" i="3"/>
  <c r="AR87" i="3"/>
  <c r="AQ87" i="3"/>
  <c r="AR86" i="3"/>
  <c r="AQ86" i="3"/>
  <c r="AR85" i="3"/>
  <c r="AQ84" i="3"/>
  <c r="AR83" i="3"/>
  <c r="AQ83" i="3"/>
  <c r="AR82" i="3"/>
  <c r="AQ82" i="3"/>
  <c r="AR81" i="3"/>
  <c r="AQ80" i="3"/>
  <c r="AR79" i="3"/>
  <c r="AQ79" i="3"/>
  <c r="AR78" i="3"/>
  <c r="AQ78" i="3"/>
  <c r="AR77" i="3"/>
  <c r="AQ76" i="3"/>
  <c r="AR75" i="3"/>
  <c r="AQ75" i="3"/>
  <c r="AR74" i="3"/>
  <c r="AQ72" i="3"/>
  <c r="AR71" i="3"/>
  <c r="AQ71" i="3"/>
  <c r="AR70" i="3"/>
  <c r="AQ70" i="3"/>
  <c r="AR68" i="3"/>
  <c r="AQ68" i="3"/>
  <c r="AR67" i="3"/>
  <c r="AQ67" i="3"/>
  <c r="AR66" i="3"/>
  <c r="AQ65" i="3"/>
  <c r="AR65" i="3"/>
  <c r="AQ64" i="3"/>
  <c r="AR63" i="3"/>
  <c r="AQ63" i="3"/>
  <c r="AR62" i="3"/>
  <c r="AQ62" i="3"/>
  <c r="AR60" i="3"/>
  <c r="AQ60" i="3"/>
  <c r="AR59" i="3"/>
  <c r="AQ59" i="3"/>
  <c r="AR58" i="3"/>
  <c r="AQ57" i="3"/>
  <c r="AR57" i="3"/>
  <c r="AQ56" i="3"/>
  <c r="AR55" i="3"/>
  <c r="AQ55" i="3"/>
  <c r="AR54" i="3"/>
  <c r="AQ54" i="3"/>
  <c r="AR52" i="3"/>
  <c r="AQ52" i="3"/>
  <c r="AR51" i="3"/>
  <c r="AQ51" i="3"/>
  <c r="AR50" i="3"/>
  <c r="AQ49" i="3"/>
  <c r="AR48" i="3"/>
  <c r="AQ48" i="3"/>
  <c r="AR47" i="3"/>
  <c r="AQ47" i="3"/>
  <c r="AR46" i="3"/>
  <c r="AQ45" i="3"/>
  <c r="AR44" i="3"/>
  <c r="AQ44" i="3"/>
  <c r="AR43" i="3"/>
  <c r="AQ43" i="3"/>
  <c r="AR42" i="3"/>
  <c r="AQ41" i="3"/>
  <c r="AR40" i="3"/>
  <c r="AQ40" i="3"/>
  <c r="AR39" i="3"/>
  <c r="AQ39" i="3"/>
  <c r="AR38" i="3"/>
  <c r="AQ37" i="3"/>
  <c r="AR36" i="3"/>
  <c r="AQ36" i="3"/>
  <c r="AR35" i="3"/>
  <c r="AQ35" i="3"/>
  <c r="AR34" i="3"/>
  <c r="AQ33" i="3"/>
  <c r="AR32" i="3"/>
  <c r="AQ32" i="3"/>
  <c r="AR31" i="3"/>
  <c r="AQ31" i="3"/>
  <c r="AR30" i="3"/>
  <c r="AQ29" i="3"/>
  <c r="AR28" i="3"/>
  <c r="AQ28" i="3"/>
  <c r="AR27" i="3"/>
  <c r="AQ27" i="3"/>
  <c r="AR26" i="3"/>
  <c r="AQ25" i="3"/>
  <c r="O359" i="3"/>
  <c r="Q359" i="3"/>
  <c r="O358" i="3"/>
  <c r="Q358" i="3"/>
  <c r="O357" i="3"/>
  <c r="Q357" i="3"/>
  <c r="Q356" i="3"/>
  <c r="O356" i="3"/>
  <c r="Q355" i="3"/>
  <c r="O355" i="3"/>
  <c r="O354" i="3"/>
  <c r="Q354" i="3"/>
  <c r="O353" i="3"/>
  <c r="Q353" i="3"/>
  <c r="Q352" i="3"/>
  <c r="O352" i="3"/>
  <c r="Q351" i="3"/>
  <c r="O351" i="3"/>
  <c r="O350" i="3"/>
  <c r="Q350" i="3"/>
  <c r="O349" i="3"/>
  <c r="Q349" i="3"/>
  <c r="Q348" i="3"/>
  <c r="O348" i="3"/>
  <c r="Q347" i="3"/>
  <c r="O347" i="3"/>
  <c r="O346" i="3"/>
  <c r="Q346" i="3"/>
  <c r="O345" i="3"/>
  <c r="Q345" i="3"/>
  <c r="Q344" i="3"/>
  <c r="O344" i="3"/>
  <c r="Q343" i="3"/>
  <c r="O343" i="3"/>
  <c r="O342" i="3"/>
  <c r="Q342" i="3"/>
  <c r="O341" i="3"/>
  <c r="Q341" i="3"/>
  <c r="Q340" i="3"/>
  <c r="O340" i="3"/>
  <c r="Q339" i="3"/>
  <c r="O339" i="3"/>
  <c r="O338" i="3"/>
  <c r="Q338" i="3"/>
  <c r="O337" i="3"/>
  <c r="Q337" i="3"/>
  <c r="Q336" i="3"/>
  <c r="O336" i="3"/>
  <c r="Q335" i="3"/>
  <c r="O335" i="3"/>
  <c r="O334" i="3"/>
  <c r="Q334" i="3"/>
  <c r="O333" i="3"/>
  <c r="Q333" i="3"/>
  <c r="Q332" i="3"/>
  <c r="O332" i="3"/>
  <c r="Q331" i="3"/>
  <c r="O331" i="3"/>
  <c r="O330" i="3"/>
  <c r="Q330" i="3"/>
  <c r="O329" i="3"/>
  <c r="Q329" i="3"/>
  <c r="Q328" i="3"/>
  <c r="O328" i="3"/>
  <c r="Q327" i="3"/>
  <c r="O327" i="3"/>
  <c r="O326" i="3"/>
  <c r="Q326" i="3"/>
  <c r="O325" i="3"/>
  <c r="Q325" i="3"/>
  <c r="Q324" i="3"/>
  <c r="O324" i="3"/>
  <c r="Q323" i="3"/>
  <c r="O323" i="3"/>
  <c r="O322" i="3"/>
  <c r="Q322" i="3"/>
  <c r="O321" i="3"/>
  <c r="Q321" i="3"/>
  <c r="Q320" i="3"/>
  <c r="O320" i="3"/>
  <c r="Q319" i="3"/>
  <c r="O319" i="3"/>
  <c r="O318" i="3"/>
  <c r="Q318" i="3"/>
  <c r="O317" i="3"/>
  <c r="Q317" i="3"/>
  <c r="Q316" i="3"/>
  <c r="O316" i="3"/>
  <c r="Q315" i="3"/>
  <c r="O315" i="3"/>
  <c r="O314" i="3"/>
  <c r="Q314" i="3"/>
  <c r="O313" i="3"/>
  <c r="Q313" i="3"/>
  <c r="Q312" i="3"/>
  <c r="O312" i="3"/>
  <c r="Q311" i="3"/>
  <c r="O311" i="3"/>
  <c r="O310" i="3"/>
  <c r="Q310" i="3"/>
  <c r="O309" i="3"/>
  <c r="Q309" i="3"/>
  <c r="Q308" i="3"/>
  <c r="O308" i="3"/>
  <c r="Q307" i="3"/>
  <c r="O307" i="3"/>
  <c r="O306" i="3"/>
  <c r="Q306" i="3"/>
  <c r="O305" i="3"/>
  <c r="Q305" i="3"/>
  <c r="Q304" i="3"/>
  <c r="O304" i="3"/>
  <c r="Q303" i="3"/>
  <c r="O303" i="3"/>
  <c r="O302" i="3"/>
  <c r="Q302" i="3"/>
  <c r="O301" i="3"/>
  <c r="Q301" i="3"/>
  <c r="Q300" i="3"/>
  <c r="O300" i="3"/>
  <c r="Q299" i="3"/>
  <c r="O299" i="3"/>
  <c r="O298" i="3"/>
  <c r="Q298" i="3"/>
  <c r="O297" i="3"/>
  <c r="Q297" i="3"/>
  <c r="Q296" i="3"/>
  <c r="O296" i="3"/>
  <c r="Q295" i="3"/>
  <c r="O295" i="3"/>
  <c r="O294" i="3"/>
  <c r="Q294" i="3"/>
  <c r="O293" i="3"/>
  <c r="Q293" i="3"/>
  <c r="Q292" i="3"/>
  <c r="O292" i="3"/>
  <c r="O291" i="3"/>
  <c r="Q291" i="3"/>
  <c r="O290" i="3"/>
  <c r="Q290" i="3"/>
  <c r="Q289" i="3"/>
  <c r="O289" i="3"/>
  <c r="Q288" i="3"/>
  <c r="O288" i="3"/>
  <c r="O287" i="3"/>
  <c r="Q287" i="3"/>
  <c r="O286" i="3"/>
  <c r="Q286" i="3"/>
  <c r="Q285" i="3"/>
  <c r="O285" i="3"/>
  <c r="Q284" i="3"/>
  <c r="O284" i="3"/>
  <c r="O283" i="3"/>
  <c r="Q283" i="3"/>
  <c r="O282" i="3"/>
  <c r="Q282" i="3"/>
  <c r="Q281" i="3"/>
  <c r="O281" i="3"/>
  <c r="Q280" i="3"/>
  <c r="O280" i="3"/>
  <c r="O279" i="3"/>
  <c r="Q279" i="3"/>
  <c r="O278" i="3"/>
  <c r="Q278" i="3"/>
  <c r="Q277" i="3"/>
  <c r="O277" i="3"/>
  <c r="Q276" i="3"/>
  <c r="O276" i="3"/>
  <c r="O275" i="3"/>
  <c r="Q275" i="3"/>
  <c r="O274" i="3"/>
  <c r="Q274" i="3"/>
  <c r="Q273" i="3"/>
  <c r="O273" i="3"/>
  <c r="Q272" i="3"/>
  <c r="O272" i="3"/>
  <c r="O271" i="3"/>
  <c r="Q271" i="3"/>
  <c r="O270" i="3"/>
  <c r="Q270" i="3"/>
  <c r="Q269" i="3"/>
  <c r="O269" i="3"/>
  <c r="Q268" i="3"/>
  <c r="O268" i="3"/>
  <c r="O267" i="3"/>
  <c r="Q267" i="3"/>
  <c r="O266" i="3"/>
  <c r="Q266" i="3"/>
  <c r="Q265" i="3"/>
  <c r="O265" i="3"/>
  <c r="Q264" i="3"/>
  <c r="O264" i="3"/>
  <c r="O263" i="3"/>
  <c r="Q263" i="3"/>
  <c r="O262" i="3"/>
  <c r="Q262" i="3"/>
  <c r="Q261" i="3"/>
  <c r="O261" i="3"/>
  <c r="Q260" i="3"/>
  <c r="O260" i="3"/>
  <c r="O259" i="3"/>
  <c r="Q259" i="3"/>
  <c r="O258" i="3"/>
  <c r="Q258" i="3"/>
  <c r="Q257" i="3"/>
  <c r="O257" i="3"/>
  <c r="Q256" i="3"/>
  <c r="O256" i="3"/>
  <c r="O255" i="3"/>
  <c r="Q255" i="3"/>
  <c r="O254" i="3"/>
  <c r="Q254" i="3"/>
  <c r="Q253" i="3"/>
  <c r="O253" i="3"/>
  <c r="Q252" i="3"/>
  <c r="O252" i="3"/>
  <c r="O251" i="3"/>
  <c r="Q251" i="3"/>
  <c r="O250" i="3"/>
  <c r="Q250" i="3"/>
  <c r="Q249" i="3"/>
  <c r="O249" i="3"/>
  <c r="Q248" i="3"/>
  <c r="O248" i="3"/>
  <c r="O247" i="3"/>
  <c r="Q247" i="3"/>
  <c r="O246" i="3"/>
  <c r="Q246" i="3"/>
  <c r="Q245" i="3"/>
  <c r="O245" i="3"/>
  <c r="Q244" i="3"/>
  <c r="O244" i="3"/>
  <c r="O243" i="3"/>
  <c r="Q243" i="3"/>
  <c r="O242" i="3"/>
  <c r="Q242" i="3"/>
  <c r="Q241" i="3"/>
  <c r="O241" i="3"/>
  <c r="Q240" i="3"/>
  <c r="O240" i="3"/>
  <c r="O239" i="3"/>
  <c r="Q239" i="3"/>
  <c r="O238" i="3"/>
  <c r="Q238" i="3"/>
  <c r="Q237" i="3"/>
  <c r="O237" i="3"/>
  <c r="Q236" i="3"/>
  <c r="O236" i="3"/>
  <c r="O235" i="3"/>
  <c r="Q235" i="3"/>
  <c r="O234" i="3"/>
  <c r="Q234" i="3"/>
  <c r="Q233" i="3"/>
  <c r="O233" i="3"/>
  <c r="Q232" i="3"/>
  <c r="O232" i="3"/>
  <c r="O231" i="3"/>
  <c r="Q231" i="3"/>
  <c r="O230" i="3"/>
  <c r="Q230" i="3"/>
  <c r="O229" i="3"/>
  <c r="Q228" i="3"/>
  <c r="O228" i="3"/>
  <c r="O227" i="3"/>
  <c r="Q227" i="3"/>
  <c r="O226" i="3"/>
  <c r="Q226" i="3"/>
  <c r="Q225" i="3"/>
  <c r="O225" i="3"/>
  <c r="O224" i="3"/>
  <c r="Q224" i="3"/>
  <c r="O223" i="3"/>
  <c r="Q223" i="3"/>
  <c r="O222" i="3"/>
  <c r="Q222" i="3"/>
  <c r="Q221" i="3"/>
  <c r="O221" i="3"/>
  <c r="O220" i="3"/>
  <c r="Q220" i="3"/>
  <c r="O219" i="3"/>
  <c r="Q219" i="3"/>
  <c r="O218" i="3"/>
  <c r="Q218" i="3"/>
  <c r="Q217" i="3"/>
  <c r="O217" i="3"/>
  <c r="O216" i="3"/>
  <c r="Q216" i="3"/>
  <c r="O215" i="3"/>
  <c r="Q215" i="3"/>
  <c r="O214" i="3"/>
  <c r="Q214" i="3"/>
  <c r="Q213" i="3"/>
  <c r="O213" i="3"/>
  <c r="O212" i="3"/>
  <c r="Q212" i="3"/>
  <c r="O211" i="3"/>
  <c r="Q211" i="3"/>
  <c r="O210" i="3"/>
  <c r="Q210" i="3"/>
  <c r="Q209" i="3"/>
  <c r="O209" i="3"/>
  <c r="O208" i="3"/>
  <c r="Q208" i="3"/>
  <c r="O207" i="3"/>
  <c r="Q207" i="3"/>
  <c r="O206" i="3"/>
  <c r="Q206" i="3"/>
  <c r="Q205" i="3"/>
  <c r="O205" i="3"/>
  <c r="O204" i="3"/>
  <c r="Q204" i="3"/>
  <c r="O203" i="3"/>
  <c r="Q203" i="3"/>
  <c r="O202" i="3"/>
  <c r="Q202" i="3"/>
  <c r="Q201" i="3"/>
  <c r="O201" i="3"/>
  <c r="O200" i="3"/>
  <c r="Q200" i="3"/>
  <c r="O199" i="3"/>
  <c r="Q199" i="3"/>
  <c r="O198" i="3"/>
  <c r="Q198" i="3"/>
  <c r="Q197" i="3"/>
  <c r="O197" i="3"/>
  <c r="O196" i="3"/>
  <c r="Q196" i="3"/>
  <c r="O195" i="3"/>
  <c r="Q195" i="3"/>
  <c r="O194" i="3"/>
  <c r="Q194" i="3"/>
  <c r="Q193" i="3"/>
  <c r="O193" i="3"/>
  <c r="O192" i="3"/>
  <c r="Q192" i="3"/>
  <c r="O191" i="3"/>
  <c r="Q191" i="3"/>
  <c r="O190" i="3"/>
  <c r="Q190" i="3"/>
  <c r="Q189" i="3"/>
  <c r="O189" i="3"/>
  <c r="O188" i="3"/>
  <c r="Q188" i="3"/>
  <c r="O187" i="3"/>
  <c r="Q187" i="3"/>
  <c r="O186" i="3"/>
  <c r="Q186" i="3"/>
  <c r="Q185" i="3"/>
  <c r="O185" i="3"/>
  <c r="O184" i="3"/>
  <c r="Q184" i="3"/>
  <c r="O183" i="3"/>
  <c r="Q183" i="3"/>
  <c r="O182" i="3"/>
  <c r="Q182" i="3"/>
  <c r="Q181" i="3"/>
  <c r="O181" i="3"/>
  <c r="O180" i="3"/>
  <c r="Q180" i="3"/>
  <c r="O179" i="3"/>
  <c r="Q179" i="3"/>
  <c r="O178" i="3"/>
  <c r="Q178" i="3"/>
  <c r="Q177" i="3"/>
  <c r="O177" i="3"/>
  <c r="O176" i="3"/>
  <c r="Q176" i="3"/>
  <c r="O175" i="3"/>
  <c r="Q175" i="3"/>
  <c r="O174" i="3"/>
  <c r="Q174" i="3"/>
  <c r="Q173" i="3"/>
  <c r="O173" i="3"/>
  <c r="O172" i="3"/>
  <c r="Q172" i="3"/>
  <c r="O171" i="3"/>
  <c r="Q171" i="3"/>
  <c r="O170" i="3"/>
  <c r="Q170" i="3"/>
  <c r="Q169" i="3"/>
  <c r="O169" i="3"/>
  <c r="O168" i="3"/>
  <c r="Q168" i="3"/>
  <c r="O167" i="3"/>
  <c r="Q167" i="3"/>
  <c r="O166" i="3"/>
  <c r="Q166" i="3"/>
  <c r="Q165" i="3"/>
  <c r="O165" i="3"/>
  <c r="O164" i="3"/>
  <c r="Q164" i="3"/>
  <c r="O163" i="3"/>
  <c r="Q163" i="3"/>
  <c r="O162" i="3"/>
  <c r="Q162" i="3"/>
  <c r="Q161" i="3"/>
  <c r="O161" i="3"/>
  <c r="O160" i="3"/>
  <c r="Q160" i="3"/>
  <c r="O159" i="3"/>
  <c r="Q159" i="3"/>
  <c r="O158" i="3"/>
  <c r="Q158" i="3"/>
  <c r="O157" i="3"/>
  <c r="O156" i="3"/>
  <c r="Q156" i="3"/>
  <c r="O155" i="3"/>
  <c r="Q155" i="3"/>
  <c r="O154" i="3"/>
  <c r="Q154" i="3"/>
  <c r="Q153" i="3"/>
  <c r="O153" i="3"/>
  <c r="O152" i="3"/>
  <c r="Q152" i="3"/>
  <c r="O151" i="3"/>
  <c r="Q151" i="3"/>
  <c r="O150" i="3"/>
  <c r="Q150" i="3"/>
  <c r="Q149" i="3"/>
  <c r="O149" i="3"/>
  <c r="Q148" i="3"/>
  <c r="O148" i="3"/>
  <c r="O147" i="3"/>
  <c r="Q147" i="3"/>
  <c r="O146" i="3"/>
  <c r="Q146" i="3"/>
  <c r="Q145" i="3"/>
  <c r="O145" i="3"/>
  <c r="Q144" i="3"/>
  <c r="O144" i="3"/>
  <c r="O143" i="3"/>
  <c r="Q143" i="3"/>
  <c r="O142" i="3"/>
  <c r="Q142" i="3"/>
  <c r="Q141" i="3"/>
  <c r="O141" i="3"/>
  <c r="Q140" i="3"/>
  <c r="O140" i="3"/>
  <c r="O139" i="3"/>
  <c r="Q139" i="3"/>
  <c r="O138" i="3"/>
  <c r="Q138" i="3"/>
  <c r="Q137" i="3"/>
  <c r="O137" i="3"/>
  <c r="Q136" i="3"/>
  <c r="O136" i="3"/>
  <c r="O135" i="3"/>
  <c r="Q135" i="3"/>
  <c r="O134" i="3"/>
  <c r="Q134" i="3"/>
  <c r="Q133" i="3"/>
  <c r="O133" i="3"/>
  <c r="Q132" i="3"/>
  <c r="O132" i="3"/>
  <c r="O131" i="3"/>
  <c r="Q131" i="3"/>
  <c r="O130" i="3"/>
  <c r="Q130" i="3"/>
  <c r="Q129" i="3"/>
  <c r="O129" i="3"/>
  <c r="Q128" i="3"/>
  <c r="O128" i="3"/>
  <c r="O127" i="3"/>
  <c r="Q127" i="3"/>
  <c r="O126" i="3"/>
  <c r="Q126" i="3"/>
  <c r="Q125" i="3"/>
  <c r="O125" i="3"/>
  <c r="Q124" i="3"/>
  <c r="O124" i="3"/>
  <c r="O123" i="3"/>
  <c r="Q123" i="3"/>
  <c r="O122" i="3"/>
  <c r="Q122" i="3"/>
  <c r="Q121" i="3"/>
  <c r="O121" i="3"/>
  <c r="O120" i="3"/>
  <c r="Q120" i="3"/>
  <c r="O119" i="3"/>
  <c r="Q119" i="3"/>
  <c r="O118" i="3"/>
  <c r="Q118" i="3"/>
  <c r="Q117" i="3"/>
  <c r="O117" i="3"/>
  <c r="O116" i="3"/>
  <c r="Q116" i="3"/>
  <c r="O115" i="3"/>
  <c r="Q115" i="3"/>
  <c r="O114" i="3"/>
  <c r="Q114" i="3"/>
  <c r="Q113" i="3"/>
  <c r="O113" i="3"/>
  <c r="O112" i="3"/>
  <c r="Q112" i="3"/>
  <c r="O111" i="3"/>
  <c r="Q111" i="3"/>
  <c r="O110" i="3"/>
  <c r="Q110" i="3"/>
  <c r="Q109" i="3"/>
  <c r="O109" i="3"/>
  <c r="O108" i="3"/>
  <c r="Q108" i="3"/>
  <c r="O107" i="3"/>
  <c r="Q107" i="3"/>
  <c r="O106" i="3"/>
  <c r="Q106" i="3"/>
  <c r="Q105" i="3"/>
  <c r="O105" i="3"/>
  <c r="O104" i="3"/>
  <c r="Q104" i="3"/>
  <c r="O103" i="3"/>
  <c r="Q103" i="3"/>
  <c r="O102" i="3"/>
  <c r="Q102" i="3"/>
  <c r="Q101" i="3"/>
  <c r="O101" i="3"/>
  <c r="O100" i="3"/>
  <c r="Q100" i="3"/>
  <c r="O99" i="3"/>
  <c r="Q99" i="3"/>
  <c r="O98" i="3"/>
  <c r="Q98" i="3"/>
  <c r="Q97" i="3"/>
  <c r="O97" i="3"/>
  <c r="O96" i="3"/>
  <c r="Q96" i="3"/>
  <c r="O95" i="3"/>
  <c r="Q95" i="3"/>
  <c r="O94" i="3"/>
  <c r="Q94" i="3"/>
  <c r="O93" i="3"/>
  <c r="Q93" i="3"/>
  <c r="O92" i="3"/>
  <c r="Q92" i="3"/>
  <c r="O91" i="3"/>
  <c r="Q91" i="3"/>
  <c r="O90" i="3"/>
  <c r="Q90" i="3"/>
  <c r="O89" i="3"/>
  <c r="Q89" i="3"/>
  <c r="O88" i="3"/>
  <c r="Q88" i="3"/>
  <c r="O87" i="3"/>
  <c r="Q87" i="3"/>
  <c r="O86" i="3"/>
  <c r="Q86" i="3"/>
  <c r="O85" i="3"/>
  <c r="Q85" i="3"/>
  <c r="O84" i="3"/>
  <c r="O83" i="3"/>
  <c r="Q83" i="3"/>
  <c r="O82" i="3"/>
  <c r="O81" i="3"/>
  <c r="Q81" i="3"/>
  <c r="O80" i="3"/>
  <c r="Q80" i="3"/>
  <c r="O79" i="3"/>
  <c r="Q79" i="3"/>
  <c r="Q78" i="3"/>
  <c r="O78" i="3"/>
  <c r="Q77" i="3"/>
  <c r="O77" i="3"/>
  <c r="Q76" i="3"/>
  <c r="O76" i="3"/>
  <c r="O75" i="3"/>
  <c r="Q75" i="3"/>
  <c r="O74" i="3"/>
  <c r="Q74" i="3"/>
  <c r="O73" i="3"/>
  <c r="Q73" i="3"/>
  <c r="O72" i="3"/>
  <c r="Q72" i="3"/>
  <c r="O71" i="3"/>
  <c r="Q71" i="3"/>
  <c r="O70" i="3"/>
  <c r="Q70" i="3"/>
  <c r="O69" i="3"/>
  <c r="Q69" i="3"/>
  <c r="O68" i="3"/>
  <c r="Q68" i="3"/>
  <c r="O67" i="3"/>
  <c r="Q67" i="3"/>
  <c r="O66" i="3"/>
  <c r="Q66" i="3"/>
  <c r="O65" i="3"/>
  <c r="Q65" i="3"/>
  <c r="O64" i="3"/>
  <c r="Q64" i="3"/>
  <c r="O63" i="3"/>
  <c r="Q63" i="3"/>
  <c r="O62" i="3"/>
  <c r="Q62" i="3"/>
  <c r="O61" i="3"/>
  <c r="Q61" i="3"/>
  <c r="O60" i="3"/>
  <c r="Q60" i="3"/>
  <c r="O59" i="3"/>
  <c r="Q59" i="3"/>
  <c r="O58" i="3"/>
  <c r="Q58" i="3"/>
  <c r="O57" i="3"/>
  <c r="Q57" i="3"/>
  <c r="O56" i="3"/>
  <c r="Q56" i="3"/>
  <c r="O55" i="3"/>
  <c r="Q55" i="3"/>
  <c r="O54" i="3"/>
  <c r="Q54" i="3"/>
  <c r="O53" i="3"/>
  <c r="Q53" i="3"/>
  <c r="O52" i="3"/>
  <c r="Q52" i="3"/>
  <c r="O51" i="3"/>
  <c r="Q51" i="3"/>
  <c r="O50" i="3"/>
  <c r="Q50" i="3"/>
  <c r="O49" i="3"/>
  <c r="Q49" i="3"/>
  <c r="O48" i="3"/>
  <c r="Q48" i="3"/>
  <c r="O47" i="3"/>
  <c r="Q47" i="3"/>
  <c r="O46" i="3"/>
  <c r="Q46" i="3"/>
  <c r="O45" i="3"/>
  <c r="Q45" i="3"/>
  <c r="O44" i="3"/>
  <c r="Q44" i="3"/>
  <c r="O43" i="3"/>
  <c r="Q43" i="3"/>
  <c r="O42" i="3"/>
  <c r="Q42" i="3"/>
  <c r="O41" i="3"/>
  <c r="Q41" i="3"/>
  <c r="O40" i="3"/>
  <c r="Q40" i="3"/>
  <c r="O39" i="3"/>
  <c r="Q39" i="3"/>
  <c r="O38" i="3"/>
  <c r="Q38" i="3"/>
  <c r="O37" i="3"/>
  <c r="Q37" i="3"/>
  <c r="O36" i="3"/>
  <c r="Q36" i="3"/>
  <c r="O35" i="3"/>
  <c r="Q35" i="3"/>
  <c r="O34" i="3"/>
  <c r="Q34" i="3"/>
  <c r="O33" i="3"/>
  <c r="Q33" i="3"/>
  <c r="O32" i="3"/>
  <c r="Q32" i="3"/>
  <c r="O31" i="3"/>
  <c r="Q31" i="3"/>
  <c r="O30" i="3"/>
  <c r="Q30" i="3"/>
  <c r="O29" i="3"/>
  <c r="Q29" i="3"/>
  <c r="O28" i="3"/>
  <c r="Q28" i="3"/>
  <c r="O27" i="3"/>
  <c r="Q27" i="3"/>
  <c r="O26" i="3"/>
  <c r="Q26" i="3"/>
  <c r="O25" i="3"/>
  <c r="AA9" i="3" l="1"/>
  <c r="AA75" i="3"/>
  <c r="AB62" i="3"/>
  <c r="AD52" i="3"/>
  <c r="AB5" i="3"/>
  <c r="AB15" i="3"/>
  <c r="AB74" i="3"/>
  <c r="Z65" i="3"/>
  <c r="AC25" i="3"/>
  <c r="AB60" i="3"/>
  <c r="Z54" i="3"/>
  <c r="AC71" i="3"/>
  <c r="AA68" i="3"/>
  <c r="AB49" i="3"/>
  <c r="AA48" i="3"/>
  <c r="AD46" i="3"/>
  <c r="AB45" i="3"/>
  <c r="AB50" i="3"/>
  <c r="Z57" i="3"/>
  <c r="AD58" i="3"/>
  <c r="AD36" i="3"/>
  <c r="AB76" i="3"/>
  <c r="AB68" i="3"/>
  <c r="AD28" i="3"/>
  <c r="AD76" i="3"/>
  <c r="Z49" i="3"/>
  <c r="AD77" i="3"/>
  <c r="AB38" i="3"/>
  <c r="AD6" i="3"/>
  <c r="AD74" i="3"/>
  <c r="AC41" i="3"/>
  <c r="AD61" i="3"/>
  <c r="AB58" i="3"/>
  <c r="AA19" i="3"/>
  <c r="AB36" i="3"/>
  <c r="AD26" i="3"/>
  <c r="AB54" i="3"/>
  <c r="AC10" i="3"/>
  <c r="Z15" i="3"/>
  <c r="AD20" i="3"/>
  <c r="AA41" i="3"/>
  <c r="AA33" i="3"/>
  <c r="Z46" i="3"/>
  <c r="AB30" i="3"/>
  <c r="AD31" i="3"/>
  <c r="AB39" i="3"/>
  <c r="AB57" i="3"/>
  <c r="Z19" i="3"/>
  <c r="Z58" i="3"/>
  <c r="Z12" i="3"/>
  <c r="AD64" i="3"/>
  <c r="AB66" i="3"/>
  <c r="Z68" i="3"/>
  <c r="AB63" i="3"/>
  <c r="AC20" i="3"/>
  <c r="AB19" i="3"/>
  <c r="Z18" i="3"/>
  <c r="AC16" i="3"/>
  <c r="AC21" i="3"/>
  <c r="AA28" i="3"/>
  <c r="AC57" i="3"/>
  <c r="AB9" i="3"/>
  <c r="AC9" i="3"/>
  <c r="AD68" i="3"/>
  <c r="AD60" i="3"/>
  <c r="AB10" i="3"/>
  <c r="AA29" i="3"/>
  <c r="AA62" i="3"/>
  <c r="Z61" i="3"/>
  <c r="AC59" i="3"/>
  <c r="AA58" i="3"/>
  <c r="AA63" i="3"/>
  <c r="AD69" i="3"/>
  <c r="AC12" i="3"/>
  <c r="AB11" i="3"/>
  <c r="Z10" i="3"/>
  <c r="Z8" i="3"/>
  <c r="AC13" i="3"/>
  <c r="AA20" i="3"/>
  <c r="AC39" i="3"/>
  <c r="AA14" i="3"/>
  <c r="Z13" i="3"/>
  <c r="AC11" i="3"/>
  <c r="AA10" i="3"/>
  <c r="AA15" i="3"/>
  <c r="AD21" i="3"/>
  <c r="Z72" i="3"/>
  <c r="AA52" i="3"/>
  <c r="Z48" i="3"/>
  <c r="AA35" i="3"/>
  <c r="AD11" i="3"/>
  <c r="AD16" i="3"/>
  <c r="AB23" i="3"/>
  <c r="Z56" i="3"/>
  <c r="AA43" i="3"/>
  <c r="AC33" i="3"/>
  <c r="Z64" i="3"/>
  <c r="AA12" i="3"/>
  <c r="AD72" i="3"/>
  <c r="AD9" i="3"/>
  <c r="AC62" i="3"/>
  <c r="AA64" i="3"/>
  <c r="Z53" i="3"/>
  <c r="AA53" i="3"/>
  <c r="AB33" i="3"/>
  <c r="AA32" i="3"/>
  <c r="AD30" i="3"/>
  <c r="AB29" i="3"/>
  <c r="AB34" i="3"/>
  <c r="Z41" i="3"/>
  <c r="AD29" i="3"/>
  <c r="AA22" i="3"/>
  <c r="AC19" i="3"/>
  <c r="AA18" i="3"/>
  <c r="AA23" i="3"/>
  <c r="AC40" i="3"/>
  <c r="Z75" i="3"/>
  <c r="AD73" i="3"/>
  <c r="AB72" i="3"/>
  <c r="Z71" i="3"/>
  <c r="Z76" i="3"/>
  <c r="AC6" i="3"/>
  <c r="AB25" i="3"/>
  <c r="AA24" i="3"/>
  <c r="AD22" i="3"/>
  <c r="AB21" i="3"/>
  <c r="AB26" i="3"/>
  <c r="Z33" i="3"/>
  <c r="AA70" i="3"/>
  <c r="Z27" i="3"/>
  <c r="AD25" i="3"/>
  <c r="AB24" i="3"/>
  <c r="Z23" i="3"/>
  <c r="Z28" i="3"/>
  <c r="AC34" i="3"/>
  <c r="AA5" i="3"/>
  <c r="AD15" i="3"/>
  <c r="AC14" i="3"/>
  <c r="AA13" i="3"/>
  <c r="AC24" i="3"/>
  <c r="AC29" i="3"/>
  <c r="AA36" i="3"/>
  <c r="AD13" i="3"/>
  <c r="AA16" i="3"/>
  <c r="AD14" i="3"/>
  <c r="AB13" i="3"/>
  <c r="AB18" i="3"/>
  <c r="Z25" i="3"/>
  <c r="AB22" i="3"/>
  <c r="AD7" i="3"/>
  <c r="AC60" i="3"/>
  <c r="AB78" i="3"/>
  <c r="AA61" i="3"/>
  <c r="AB61" i="3"/>
  <c r="Z63" i="3"/>
  <c r="AB8" i="3"/>
  <c r="AA46" i="3"/>
  <c r="Z45" i="3"/>
  <c r="AC43" i="3"/>
  <c r="AA42" i="3"/>
  <c r="AA47" i="3"/>
  <c r="AD53" i="3"/>
  <c r="AB55" i="3"/>
  <c r="Z35" i="3"/>
  <c r="AD33" i="3"/>
  <c r="AB32" i="3"/>
  <c r="Z31" i="3"/>
  <c r="AD32" i="3"/>
  <c r="AB14" i="3"/>
  <c r="AB20" i="3"/>
  <c r="Z14" i="3"/>
  <c r="Z5" i="3"/>
  <c r="AB44" i="3"/>
  <c r="Z32" i="3"/>
  <c r="AA38" i="3"/>
  <c r="Z37" i="3"/>
  <c r="AC35" i="3"/>
  <c r="AA34" i="3"/>
  <c r="AA39" i="3"/>
  <c r="AD45" i="3"/>
  <c r="AB43" i="3"/>
  <c r="AD39" i="3"/>
  <c r="AC38" i="3"/>
  <c r="AA37" i="3"/>
  <c r="AD35" i="3"/>
  <c r="AD40" i="3"/>
  <c r="AB47" i="3"/>
  <c r="AC30" i="3"/>
  <c r="AC28" i="3"/>
  <c r="AB27" i="3"/>
  <c r="Z26" i="3"/>
  <c r="AB37" i="3"/>
  <c r="AB42" i="3"/>
  <c r="AC74" i="3"/>
  <c r="AB17" i="3"/>
  <c r="Z29" i="3"/>
  <c r="AC27" i="3"/>
  <c r="AA26" i="3"/>
  <c r="AA31" i="3"/>
  <c r="AD37" i="3"/>
  <c r="AA56" i="3"/>
  <c r="Z7" i="3"/>
  <c r="AC70" i="3"/>
  <c r="AD67" i="3"/>
  <c r="AD42" i="3"/>
  <c r="Z11" i="3"/>
  <c r="AD63" i="3"/>
  <c r="AB65" i="3"/>
  <c r="AA54" i="3"/>
  <c r="AC54" i="3"/>
  <c r="Z59" i="3"/>
  <c r="AD57" i="3"/>
  <c r="AB56" i="3"/>
  <c r="Z55" i="3"/>
  <c r="Z60" i="3"/>
  <c r="AC66" i="3"/>
  <c r="AC79" i="3"/>
  <c r="AD47" i="3"/>
  <c r="AC46" i="3"/>
  <c r="AA45" i="3"/>
  <c r="AD43" i="3"/>
  <c r="AC61" i="3"/>
  <c r="AC26" i="3"/>
  <c r="AA27" i="3"/>
  <c r="AD66" i="3"/>
  <c r="Z62" i="3"/>
  <c r="Z78" i="3"/>
  <c r="AA67" i="3"/>
  <c r="AD17" i="3"/>
  <c r="Z51" i="3"/>
  <c r="AD49" i="3"/>
  <c r="AB48" i="3"/>
  <c r="Z47" i="3"/>
  <c r="AC58" i="3"/>
  <c r="AD54" i="3"/>
  <c r="AC52" i="3"/>
  <c r="AB51" i="3"/>
  <c r="Z50" i="3"/>
  <c r="AC48" i="3"/>
  <c r="AC53" i="3"/>
  <c r="AA60" i="3"/>
  <c r="AC47" i="3"/>
  <c r="AB41" i="3"/>
  <c r="AA40" i="3"/>
  <c r="AD38" i="3"/>
  <c r="AA50" i="3"/>
  <c r="AA55" i="3"/>
  <c r="AC44" i="3"/>
  <c r="AA30" i="3"/>
  <c r="AD41" i="3"/>
  <c r="AB40" i="3"/>
  <c r="Z39" i="3"/>
  <c r="Z44" i="3"/>
  <c r="AC50" i="3"/>
  <c r="AA51" i="3"/>
  <c r="AC7" i="3"/>
  <c r="AD71" i="3"/>
  <c r="AA69" i="3"/>
  <c r="AB79" i="3"/>
  <c r="AD34" i="3"/>
  <c r="AC67" i="3"/>
  <c r="AD27" i="3"/>
  <c r="AB16" i="3"/>
  <c r="Z43" i="3"/>
  <c r="AD51" i="3"/>
  <c r="AA11" i="3"/>
  <c r="AC5" i="3"/>
  <c r="Z6" i="3"/>
  <c r="AC8" i="3"/>
  <c r="AA25" i="3"/>
  <c r="Z70" i="3"/>
  <c r="AC55" i="3"/>
  <c r="AB73" i="3"/>
  <c r="AA72" i="3"/>
  <c r="AD70" i="3"/>
  <c r="AB69" i="3"/>
  <c r="Z17" i="3"/>
  <c r="AD23" i="3"/>
  <c r="AC22" i="3"/>
  <c r="AA21" i="3"/>
  <c r="AD19" i="3"/>
  <c r="AD24" i="3"/>
  <c r="AB31" i="3"/>
  <c r="AB53" i="3"/>
  <c r="AC76" i="3"/>
  <c r="AB75" i="3"/>
  <c r="Z74" i="3"/>
  <c r="AC72" i="3"/>
  <c r="AC77" i="3"/>
  <c r="AD10" i="3"/>
  <c r="AC73" i="3"/>
  <c r="AA78" i="3"/>
  <c r="Z77" i="3"/>
  <c r="AC75" i="3"/>
  <c r="AA74" i="3"/>
  <c r="AA79" i="3"/>
  <c r="Z30" i="3"/>
  <c r="AD44" i="3"/>
  <c r="Z67" i="3"/>
  <c r="AD65" i="3"/>
  <c r="AB64" i="3"/>
  <c r="AD75" i="3"/>
  <c r="AD8" i="3"/>
  <c r="Z69" i="3"/>
  <c r="AD55" i="3"/>
  <c r="AB67" i="3"/>
  <c r="Z66" i="3"/>
  <c r="AC64" i="3"/>
  <c r="AC69" i="3"/>
  <c r="AA76" i="3"/>
  <c r="AA66" i="3"/>
  <c r="AB7" i="3"/>
  <c r="AC56" i="3"/>
  <c r="AC18" i="3"/>
  <c r="AB71" i="3"/>
  <c r="Z73" i="3"/>
  <c r="AC65" i="3"/>
  <c r="AA7" i="3"/>
  <c r="Z24" i="3"/>
  <c r="AB52" i="3"/>
  <c r="AA49" i="3"/>
  <c r="AC63" i="3"/>
  <c r="AC49" i="3"/>
  <c r="AD48" i="3"/>
  <c r="AA71" i="3"/>
  <c r="AD12" i="3"/>
  <c r="AC15" i="3"/>
  <c r="AD5" i="3"/>
  <c r="AA6" i="3"/>
  <c r="AC42" i="3"/>
  <c r="AC36" i="3"/>
  <c r="AB35" i="3"/>
  <c r="Z34" i="3"/>
  <c r="AC32" i="3"/>
  <c r="AC37" i="3"/>
  <c r="AA44" i="3"/>
  <c r="Z40" i="3"/>
  <c r="Z16" i="3"/>
  <c r="AC23" i="3"/>
  <c r="AD18" i="3"/>
  <c r="AA17" i="3"/>
  <c r="AA57" i="3"/>
  <c r="AB46" i="3"/>
  <c r="AB12" i="3"/>
  <c r="AC17" i="3"/>
  <c r="AB28" i="3"/>
  <c r="Z22" i="3"/>
  <c r="AC31" i="3"/>
  <c r="AA65" i="3"/>
  <c r="AA59" i="3"/>
  <c r="Z79" i="3"/>
  <c r="AD79" i="3"/>
  <c r="AC78" i="3"/>
  <c r="AA77" i="3"/>
  <c r="Z38" i="3"/>
  <c r="AA73" i="3"/>
  <c r="Z42" i="3"/>
  <c r="AC68" i="3"/>
  <c r="AA8" i="3"/>
  <c r="AD78" i="3"/>
  <c r="AB77" i="3"/>
  <c r="AB6" i="3"/>
  <c r="AD50" i="3"/>
  <c r="AC45" i="3"/>
  <c r="AB59" i="3"/>
  <c r="AB70" i="3"/>
  <c r="AD59" i="3"/>
  <c r="AD62" i="3"/>
  <c r="AC51" i="3"/>
  <c r="AD56" i="3"/>
  <c r="AZ28" i="3"/>
  <c r="E17" i="23" s="1"/>
  <c r="AZ27" i="3"/>
  <c r="E18" i="23" s="1"/>
  <c r="AZ31" i="3"/>
  <c r="E14" i="23" s="1"/>
  <c r="AZ36" i="3"/>
  <c r="E9" i="23" s="1"/>
  <c r="AZ44" i="3"/>
  <c r="AZ55" i="3"/>
  <c r="AZ32" i="3"/>
  <c r="E13" i="23" s="1"/>
  <c r="AZ40" i="3"/>
  <c r="AZ48" i="3"/>
  <c r="AZ54" i="3"/>
  <c r="AZ62" i="3"/>
  <c r="AZ70" i="3"/>
  <c r="AZ35" i="3"/>
  <c r="E10" i="23" s="1"/>
  <c r="AZ43" i="3"/>
  <c r="AZ39" i="3"/>
  <c r="AZ47" i="3"/>
  <c r="AZ334" i="3"/>
  <c r="AZ330" i="3"/>
  <c r="AZ326" i="3"/>
  <c r="AZ322" i="3"/>
  <c r="AZ318" i="3"/>
  <c r="AZ306" i="3"/>
  <c r="AZ290" i="3"/>
  <c r="AZ274" i="3"/>
  <c r="AZ302" i="3"/>
  <c r="AZ286" i="3"/>
  <c r="AZ314" i="3"/>
  <c r="AZ298" i="3"/>
  <c r="AZ282" i="3"/>
  <c r="AZ246" i="3"/>
  <c r="AZ310" i="3"/>
  <c r="AZ294" i="3"/>
  <c r="AZ278" i="3"/>
  <c r="AZ266" i="3"/>
  <c r="AZ258" i="3"/>
  <c r="AZ257" i="3"/>
  <c r="AZ189" i="3"/>
  <c r="AZ181" i="3"/>
  <c r="AZ173" i="3"/>
  <c r="AZ192" i="3"/>
  <c r="AZ185" i="3"/>
  <c r="AZ184" i="3"/>
  <c r="AZ177" i="3"/>
  <c r="AZ176" i="3"/>
  <c r="AZ171" i="3"/>
  <c r="AR25" i="3"/>
  <c r="AZ25" i="3" s="1"/>
  <c r="E20" i="23" s="1"/>
  <c r="AQ26" i="3"/>
  <c r="AZ26" i="3" s="1"/>
  <c r="E19" i="23" s="1"/>
  <c r="AR29" i="3"/>
  <c r="AZ29" i="3" s="1"/>
  <c r="E16" i="23" s="1"/>
  <c r="AQ30" i="3"/>
  <c r="AZ30" i="3" s="1"/>
  <c r="E15" i="23" s="1"/>
  <c r="AR33" i="3"/>
  <c r="AZ33" i="3" s="1"/>
  <c r="E12" i="23" s="1"/>
  <c r="AQ34" i="3"/>
  <c r="AZ34" i="3" s="1"/>
  <c r="E11" i="23" s="1"/>
  <c r="AR37" i="3"/>
  <c r="AZ37" i="3" s="1"/>
  <c r="E8" i="23" s="1"/>
  <c r="AQ38" i="3"/>
  <c r="AZ38" i="3" s="1"/>
  <c r="E7" i="23" s="1"/>
  <c r="AR41" i="3"/>
  <c r="AZ41" i="3" s="1"/>
  <c r="AQ42" i="3"/>
  <c r="AZ42" i="3" s="1"/>
  <c r="AR45" i="3"/>
  <c r="AZ45" i="3" s="1"/>
  <c r="AQ46" i="3"/>
  <c r="AZ46" i="3" s="1"/>
  <c r="AR49" i="3"/>
  <c r="AZ49" i="3" s="1"/>
  <c r="AQ50" i="3"/>
  <c r="AZ50" i="3" s="1"/>
  <c r="AZ57" i="3"/>
  <c r="AZ65" i="3"/>
  <c r="AZ130" i="3"/>
  <c r="AZ139" i="3"/>
  <c r="AZ141" i="3"/>
  <c r="AZ146" i="3"/>
  <c r="AZ155" i="3"/>
  <c r="AZ157" i="3"/>
  <c r="AZ162" i="3"/>
  <c r="AR53" i="3"/>
  <c r="AR56" i="3"/>
  <c r="AZ56" i="3" s="1"/>
  <c r="AQ58" i="3"/>
  <c r="AR61" i="3"/>
  <c r="AZ63" i="3"/>
  <c r="AR64" i="3"/>
  <c r="AZ64" i="3" s="1"/>
  <c r="AQ66" i="3"/>
  <c r="AZ66" i="3" s="1"/>
  <c r="AR69" i="3"/>
  <c r="AZ71" i="3"/>
  <c r="AZ75" i="3"/>
  <c r="AZ78" i="3"/>
  <c r="AZ83" i="3"/>
  <c r="AZ86" i="3"/>
  <c r="AZ91" i="3"/>
  <c r="AZ94" i="3"/>
  <c r="AZ99" i="3"/>
  <c r="AZ102" i="3"/>
  <c r="AZ107" i="3"/>
  <c r="AZ110" i="3"/>
  <c r="AZ115" i="3"/>
  <c r="AZ118" i="3"/>
  <c r="AZ123" i="3"/>
  <c r="AZ126" i="3"/>
  <c r="AZ135" i="3"/>
  <c r="AZ137" i="3"/>
  <c r="AZ142" i="3"/>
  <c r="AZ151" i="3"/>
  <c r="AZ153" i="3"/>
  <c r="AZ158" i="3"/>
  <c r="AZ167" i="3"/>
  <c r="AZ169" i="3"/>
  <c r="AZ52" i="3"/>
  <c r="AQ53" i="3"/>
  <c r="AZ53" i="3" s="1"/>
  <c r="AZ60" i="3"/>
  <c r="AQ61" i="3"/>
  <c r="AZ68" i="3"/>
  <c r="AQ69" i="3"/>
  <c r="AR73" i="3"/>
  <c r="AR72" i="3"/>
  <c r="AZ72" i="3" s="1"/>
  <c r="AZ131" i="3"/>
  <c r="AZ133" i="3"/>
  <c r="AZ138" i="3"/>
  <c r="AZ147" i="3"/>
  <c r="AZ149" i="3"/>
  <c r="AZ154" i="3"/>
  <c r="AZ163" i="3"/>
  <c r="AZ165" i="3"/>
  <c r="AZ170" i="3"/>
  <c r="AZ188" i="3"/>
  <c r="AZ51" i="3"/>
  <c r="AZ58" i="3"/>
  <c r="AZ59" i="3"/>
  <c r="AZ67" i="3"/>
  <c r="AQ74" i="3"/>
  <c r="AZ74" i="3" s="1"/>
  <c r="AQ73" i="3"/>
  <c r="AZ79" i="3"/>
  <c r="AZ82" i="3"/>
  <c r="AZ87" i="3"/>
  <c r="AZ90" i="3"/>
  <c r="AZ95" i="3"/>
  <c r="AZ98" i="3"/>
  <c r="AZ103" i="3"/>
  <c r="AZ106" i="3"/>
  <c r="AZ111" i="3"/>
  <c r="AZ114" i="3"/>
  <c r="AZ119" i="3"/>
  <c r="AZ122" i="3"/>
  <c r="AZ127" i="3"/>
  <c r="AZ129" i="3"/>
  <c r="AZ134" i="3"/>
  <c r="AZ143" i="3"/>
  <c r="AZ145" i="3"/>
  <c r="AZ150" i="3"/>
  <c r="AZ159" i="3"/>
  <c r="AZ161" i="3"/>
  <c r="AZ166" i="3"/>
  <c r="AZ178" i="3"/>
  <c r="AZ179" i="3"/>
  <c r="AZ186" i="3"/>
  <c r="AZ187" i="3"/>
  <c r="AZ197" i="3"/>
  <c r="AZ200" i="3"/>
  <c r="AZ205" i="3"/>
  <c r="AZ208" i="3"/>
  <c r="AZ213" i="3"/>
  <c r="AZ215" i="3"/>
  <c r="AZ220" i="3"/>
  <c r="AZ229" i="3"/>
  <c r="AZ231" i="3"/>
  <c r="AZ236" i="3"/>
  <c r="AZ245" i="3"/>
  <c r="AR76" i="3"/>
  <c r="AZ76" i="3" s="1"/>
  <c r="AQ77" i="3"/>
  <c r="AZ77" i="3" s="1"/>
  <c r="AR80" i="3"/>
  <c r="AZ80" i="3" s="1"/>
  <c r="AQ81" i="3"/>
  <c r="AZ81" i="3" s="1"/>
  <c r="AR84" i="3"/>
  <c r="AZ84" i="3" s="1"/>
  <c r="AQ85" i="3"/>
  <c r="AZ85" i="3" s="1"/>
  <c r="AR88" i="3"/>
  <c r="AZ88" i="3" s="1"/>
  <c r="AQ89" i="3"/>
  <c r="AZ89" i="3" s="1"/>
  <c r="AR92" i="3"/>
  <c r="AZ92" i="3" s="1"/>
  <c r="AQ93" i="3"/>
  <c r="AZ93" i="3" s="1"/>
  <c r="AR96" i="3"/>
  <c r="AZ96" i="3" s="1"/>
  <c r="AQ97" i="3"/>
  <c r="AZ97" i="3" s="1"/>
  <c r="AR100" i="3"/>
  <c r="AZ100" i="3" s="1"/>
  <c r="AQ101" i="3"/>
  <c r="AZ101" i="3" s="1"/>
  <c r="AR104" i="3"/>
  <c r="AZ104" i="3" s="1"/>
  <c r="AQ105" i="3"/>
  <c r="AZ105" i="3" s="1"/>
  <c r="AR108" i="3"/>
  <c r="AZ108" i="3" s="1"/>
  <c r="AQ109" i="3"/>
  <c r="AZ109" i="3" s="1"/>
  <c r="AR112" i="3"/>
  <c r="AZ112" i="3" s="1"/>
  <c r="AQ113" i="3"/>
  <c r="AZ113" i="3" s="1"/>
  <c r="AR116" i="3"/>
  <c r="AZ116" i="3" s="1"/>
  <c r="AQ117" i="3"/>
  <c r="AZ117" i="3" s="1"/>
  <c r="AR120" i="3"/>
  <c r="AZ120" i="3" s="1"/>
  <c r="AQ121" i="3"/>
  <c r="AZ121" i="3" s="1"/>
  <c r="AR124" i="3"/>
  <c r="AZ124" i="3" s="1"/>
  <c r="AQ125" i="3"/>
  <c r="AZ125" i="3" s="1"/>
  <c r="AR128" i="3"/>
  <c r="AZ128" i="3" s="1"/>
  <c r="AR132" i="3"/>
  <c r="AZ132" i="3" s="1"/>
  <c r="AR136" i="3"/>
  <c r="AZ136" i="3" s="1"/>
  <c r="AR140" i="3"/>
  <c r="AZ140" i="3" s="1"/>
  <c r="AR144" i="3"/>
  <c r="AZ144" i="3" s="1"/>
  <c r="AR148" i="3"/>
  <c r="AZ148" i="3" s="1"/>
  <c r="AR152" i="3"/>
  <c r="AZ152" i="3" s="1"/>
  <c r="AR156" i="3"/>
  <c r="AZ156" i="3" s="1"/>
  <c r="AR160" i="3"/>
  <c r="AZ160" i="3" s="1"/>
  <c r="AR164" i="3"/>
  <c r="AZ164" i="3" s="1"/>
  <c r="AR168" i="3"/>
  <c r="AZ168" i="3" s="1"/>
  <c r="AQ172" i="3"/>
  <c r="AZ172" i="3" s="1"/>
  <c r="AR175" i="3"/>
  <c r="AQ180" i="3"/>
  <c r="AZ180" i="3" s="1"/>
  <c r="AR183" i="3"/>
  <c r="AZ216" i="3"/>
  <c r="AZ225" i="3"/>
  <c r="AZ227" i="3"/>
  <c r="AZ232" i="3"/>
  <c r="AZ241" i="3"/>
  <c r="AZ243" i="3"/>
  <c r="AZ254" i="3"/>
  <c r="AZ262" i="3"/>
  <c r="AZ269" i="3"/>
  <c r="AQ175" i="3"/>
  <c r="AQ183" i="3"/>
  <c r="AQ191" i="3"/>
  <c r="AZ191" i="3" s="1"/>
  <c r="AZ193" i="3"/>
  <c r="AZ196" i="3"/>
  <c r="AZ201" i="3"/>
  <c r="AZ204" i="3"/>
  <c r="AZ209" i="3"/>
  <c r="AZ212" i="3"/>
  <c r="AZ221" i="3"/>
  <c r="AZ223" i="3"/>
  <c r="AZ228" i="3"/>
  <c r="AZ237" i="3"/>
  <c r="AZ239" i="3"/>
  <c r="AZ244" i="3"/>
  <c r="AZ249" i="3"/>
  <c r="AR174" i="3"/>
  <c r="AZ174" i="3" s="1"/>
  <c r="AR182" i="3"/>
  <c r="AZ182" i="3" s="1"/>
  <c r="AR190" i="3"/>
  <c r="AZ190" i="3" s="1"/>
  <c r="AZ217" i="3"/>
  <c r="AZ219" i="3"/>
  <c r="AZ224" i="3"/>
  <c r="AZ233" i="3"/>
  <c r="AZ235" i="3"/>
  <c r="AZ240" i="3"/>
  <c r="AZ250" i="3"/>
  <c r="AZ253" i="3"/>
  <c r="AZ255" i="3"/>
  <c r="AZ261" i="3"/>
  <c r="AZ270" i="3"/>
  <c r="AZ281" i="3"/>
  <c r="AZ283" i="3"/>
  <c r="AZ284" i="3"/>
  <c r="AZ297" i="3"/>
  <c r="AZ299" i="3"/>
  <c r="AZ300" i="3"/>
  <c r="AZ313" i="3"/>
  <c r="AZ315" i="3"/>
  <c r="AZ316" i="3"/>
  <c r="AZ319" i="3"/>
  <c r="AZ320" i="3"/>
  <c r="AZ323" i="3"/>
  <c r="AZ324" i="3"/>
  <c r="AZ327" i="3"/>
  <c r="AZ328" i="3"/>
  <c r="AZ331" i="3"/>
  <c r="AZ332" i="3"/>
  <c r="AZ335" i="3"/>
  <c r="AZ336" i="3"/>
  <c r="AR194" i="3"/>
  <c r="AZ194" i="3" s="1"/>
  <c r="AQ195" i="3"/>
  <c r="AZ195" i="3" s="1"/>
  <c r="AR198" i="3"/>
  <c r="AZ198" i="3" s="1"/>
  <c r="AQ199" i="3"/>
  <c r="AZ199" i="3" s="1"/>
  <c r="AR202" i="3"/>
  <c r="AZ202" i="3" s="1"/>
  <c r="AQ203" i="3"/>
  <c r="AZ203" i="3" s="1"/>
  <c r="AR206" i="3"/>
  <c r="AZ206" i="3" s="1"/>
  <c r="AQ207" i="3"/>
  <c r="AZ207" i="3" s="1"/>
  <c r="AR210" i="3"/>
  <c r="AZ210" i="3" s="1"/>
  <c r="AQ211" i="3"/>
  <c r="AZ211" i="3" s="1"/>
  <c r="AR214" i="3"/>
  <c r="AZ214" i="3" s="1"/>
  <c r="AR218" i="3"/>
  <c r="AZ218" i="3" s="1"/>
  <c r="AR222" i="3"/>
  <c r="AZ222" i="3" s="1"/>
  <c r="AR226" i="3"/>
  <c r="AZ226" i="3" s="1"/>
  <c r="AR230" i="3"/>
  <c r="AZ230" i="3" s="1"/>
  <c r="AR234" i="3"/>
  <c r="AZ234" i="3" s="1"/>
  <c r="AR238" i="3"/>
  <c r="AZ238" i="3" s="1"/>
  <c r="AR242" i="3"/>
  <c r="AZ242" i="3" s="1"/>
  <c r="AR247" i="3"/>
  <c r="AZ247" i="3" s="1"/>
  <c r="AZ248" i="3"/>
  <c r="AZ264" i="3"/>
  <c r="AZ271" i="3"/>
  <c r="AZ272" i="3"/>
  <c r="AZ285" i="3"/>
  <c r="AZ287" i="3"/>
  <c r="AZ288" i="3"/>
  <c r="AZ301" i="3"/>
  <c r="AZ303" i="3"/>
  <c r="AZ304" i="3"/>
  <c r="AZ317" i="3"/>
  <c r="AZ321" i="3"/>
  <c r="AZ325" i="3"/>
  <c r="AZ329" i="3"/>
  <c r="AZ333" i="3"/>
  <c r="AZ337" i="3"/>
  <c r="AZ339" i="3"/>
  <c r="AZ342" i="3"/>
  <c r="AZ347" i="3"/>
  <c r="AZ350" i="3"/>
  <c r="AZ355" i="3"/>
  <c r="AZ358" i="3"/>
  <c r="AR251" i="3"/>
  <c r="AZ251" i="3" s="1"/>
  <c r="AQ252" i="3"/>
  <c r="AZ252" i="3" s="1"/>
  <c r="AR260" i="3"/>
  <c r="AR263" i="3"/>
  <c r="AZ263" i="3" s="1"/>
  <c r="AQ265" i="3"/>
  <c r="AZ265" i="3" s="1"/>
  <c r="AR268" i="3"/>
  <c r="AQ273" i="3"/>
  <c r="AZ273" i="3" s="1"/>
  <c r="AZ275" i="3"/>
  <c r="AZ276" i="3"/>
  <c r="AR280" i="3"/>
  <c r="AQ289" i="3"/>
  <c r="AZ289" i="3" s="1"/>
  <c r="AZ291" i="3"/>
  <c r="AZ292" i="3"/>
  <c r="AR296" i="3"/>
  <c r="AZ296" i="3" s="1"/>
  <c r="AQ305" i="3"/>
  <c r="AZ305" i="3" s="1"/>
  <c r="AZ307" i="3"/>
  <c r="AZ308" i="3"/>
  <c r="AR312" i="3"/>
  <c r="AZ312" i="3" s="1"/>
  <c r="AQ256" i="3"/>
  <c r="AZ256" i="3" s="1"/>
  <c r="AZ259" i="3"/>
  <c r="AQ260" i="3"/>
  <c r="AZ267" i="3"/>
  <c r="AQ268" i="3"/>
  <c r="AQ277" i="3"/>
  <c r="AZ277" i="3" s="1"/>
  <c r="AZ279" i="3"/>
  <c r="AZ280" i="3"/>
  <c r="AQ293" i="3"/>
  <c r="AZ293" i="3" s="1"/>
  <c r="AZ295" i="3"/>
  <c r="AQ309" i="3"/>
  <c r="AZ309" i="3" s="1"/>
  <c r="AZ311" i="3"/>
  <c r="AZ338" i="3"/>
  <c r="AZ343" i="3"/>
  <c r="AZ346" i="3"/>
  <c r="AZ351" i="3"/>
  <c r="AZ354" i="3"/>
  <c r="AZ359" i="3"/>
  <c r="AR340" i="3"/>
  <c r="AZ340" i="3" s="1"/>
  <c r="AQ341" i="3"/>
  <c r="AZ341" i="3" s="1"/>
  <c r="AR344" i="3"/>
  <c r="AZ344" i="3" s="1"/>
  <c r="AQ345" i="3"/>
  <c r="AZ345" i="3" s="1"/>
  <c r="AR348" i="3"/>
  <c r="AZ348" i="3" s="1"/>
  <c r="AQ349" i="3"/>
  <c r="AZ349" i="3" s="1"/>
  <c r="AR352" i="3"/>
  <c r="AZ352" i="3" s="1"/>
  <c r="AQ353" i="3"/>
  <c r="AZ353" i="3" s="1"/>
  <c r="AR356" i="3"/>
  <c r="AZ356" i="3" s="1"/>
  <c r="AQ357" i="3"/>
  <c r="AZ357" i="3" s="1"/>
  <c r="Q25" i="3"/>
  <c r="Z9" i="3" s="1"/>
  <c r="Q82" i="3"/>
  <c r="Z20" i="3" s="1"/>
  <c r="Q84" i="3"/>
  <c r="Z21" i="3" s="1"/>
  <c r="Q157" i="3"/>
  <c r="Z36" i="3" s="1"/>
  <c r="Q229" i="3"/>
  <c r="Z52" i="3" s="1"/>
  <c r="E6" i="23" l="1"/>
  <c r="G6" i="23" s="1"/>
  <c r="G7" i="23" s="1"/>
  <c r="G8" i="23" s="1"/>
  <c r="G9" i="23" s="1"/>
  <c r="G10" i="23" s="1"/>
  <c r="G11" i="23" s="1"/>
  <c r="G12" i="23" s="1"/>
  <c r="G13" i="23" s="1"/>
  <c r="G14" i="23" s="1"/>
  <c r="G15" i="23" s="1"/>
  <c r="G16" i="23" s="1"/>
  <c r="G17" i="23" s="1"/>
  <c r="G18" i="23" s="1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G33" i="23" s="1"/>
  <c r="G34" i="23" s="1"/>
  <c r="G35" i="23" s="1"/>
  <c r="G36" i="23" s="1"/>
  <c r="G37" i="23" s="1"/>
  <c r="G38" i="23" s="1"/>
  <c r="G39" i="23" s="1"/>
  <c r="G40" i="23" s="1"/>
  <c r="AZ73" i="3"/>
  <c r="AZ61" i="3"/>
  <c r="AZ183" i="3"/>
  <c r="AZ268" i="3"/>
  <c r="AZ175" i="3"/>
  <c r="AZ69" i="3"/>
  <c r="AZ260" i="3"/>
  <c r="B11" i="5" l="1"/>
  <c r="D15" i="5" l="1"/>
  <c r="D16" i="5" s="1"/>
  <c r="C16" i="5"/>
  <c r="E15" i="5" l="1"/>
  <c r="E16" i="5" s="1"/>
  <c r="B16" i="5"/>
  <c r="B17" i="5" s="1"/>
  <c r="D28" i="13" l="1"/>
  <c r="D6" i="13"/>
  <c r="Y6" i="13" s="1"/>
  <c r="AV4" i="23" s="1"/>
  <c r="D10" i="13"/>
  <c r="Y10" i="13" s="1"/>
  <c r="D14" i="13"/>
  <c r="Y14" i="13" s="1"/>
  <c r="D13" i="13"/>
  <c r="Y13" i="13" s="1"/>
  <c r="D7" i="13"/>
  <c r="Y7" i="13" s="1"/>
  <c r="D11" i="13"/>
  <c r="Y11" i="13" s="1"/>
  <c r="D8" i="13"/>
  <c r="Y8" i="13" s="1"/>
  <c r="D12" i="13"/>
  <c r="Y12" i="13" s="1"/>
  <c r="D9" i="13"/>
  <c r="Y9" i="13" s="1"/>
  <c r="D21" i="13"/>
  <c r="Y21" i="13" s="1"/>
  <c r="D24" i="13"/>
  <c r="Y24" i="13" s="1"/>
  <c r="D25" i="13"/>
  <c r="Y25" i="13" s="1"/>
  <c r="D27" i="13"/>
  <c r="Y27" i="13" s="1"/>
  <c r="D22" i="13"/>
  <c r="Y22" i="13" s="1"/>
  <c r="D26" i="13"/>
  <c r="Y26" i="13" s="1"/>
  <c r="D23" i="13"/>
  <c r="Y23" i="13" s="1"/>
  <c r="D19" i="13"/>
  <c r="Y19" i="13" s="1"/>
  <c r="D17" i="13"/>
  <c r="Y17" i="13" s="1"/>
  <c r="D20" i="13"/>
  <c r="Y20" i="13" s="1"/>
  <c r="D16" i="13"/>
  <c r="Y16" i="13" s="1"/>
  <c r="D18" i="13"/>
  <c r="Y18" i="13" s="1"/>
  <c r="D15" i="13"/>
  <c r="Y15" i="13" s="1"/>
  <c r="Y28" i="13" l="1"/>
  <c r="AV5" i="23" s="1"/>
  <c r="AY5" i="23" s="1"/>
  <c r="AZ5" i="23" s="1"/>
  <c r="BA5" i="23" s="1"/>
  <c r="E11" i="5"/>
  <c r="E17" i="5" s="1"/>
  <c r="F11" i="5"/>
  <c r="F17" i="5" s="1"/>
  <c r="D11" i="5"/>
  <c r="C11" i="5"/>
  <c r="H6" i="13" l="1"/>
  <c r="AC6" i="13" s="1"/>
  <c r="AO4" i="23" s="1"/>
  <c r="H10" i="13"/>
  <c r="AC10" i="13" s="1"/>
  <c r="H14" i="13"/>
  <c r="AC14" i="13" s="1"/>
  <c r="H9" i="13"/>
  <c r="AC9" i="13" s="1"/>
  <c r="H7" i="13"/>
  <c r="AC7" i="13" s="1"/>
  <c r="H11" i="13"/>
  <c r="AC11" i="13" s="1"/>
  <c r="H8" i="13"/>
  <c r="AC8" i="13" s="1"/>
  <c r="H12" i="13"/>
  <c r="AC12" i="13" s="1"/>
  <c r="H13" i="13"/>
  <c r="AC13" i="13" s="1"/>
  <c r="G9" i="13"/>
  <c r="AB9" i="13" s="1"/>
  <c r="G13" i="13"/>
  <c r="AB13" i="13" s="1"/>
  <c r="G8" i="13"/>
  <c r="AB8" i="13" s="1"/>
  <c r="G6" i="13"/>
  <c r="AB6" i="13" s="1"/>
  <c r="AH4" i="23" s="1"/>
  <c r="G10" i="13"/>
  <c r="AB10" i="13" s="1"/>
  <c r="G14" i="13"/>
  <c r="AB14" i="13" s="1"/>
  <c r="G7" i="13"/>
  <c r="AB7" i="13" s="1"/>
  <c r="G11" i="13"/>
  <c r="AB11" i="13" s="1"/>
  <c r="G12" i="13"/>
  <c r="AB12" i="13" s="1"/>
  <c r="H21" i="13"/>
  <c r="AC21" i="13" s="1"/>
  <c r="H22" i="13"/>
  <c r="AC22" i="13" s="1"/>
  <c r="H23" i="13"/>
  <c r="AC23" i="13" s="1"/>
  <c r="H26" i="13"/>
  <c r="AC26" i="13" s="1"/>
  <c r="H24" i="13"/>
  <c r="AC24" i="13" s="1"/>
  <c r="H25" i="13"/>
  <c r="AC25" i="13" s="1"/>
  <c r="H27" i="13"/>
  <c r="AC27" i="13" s="1"/>
  <c r="H28" i="13"/>
  <c r="G21" i="13"/>
  <c r="AB21" i="13" s="1"/>
  <c r="G22" i="13"/>
  <c r="AB22" i="13" s="1"/>
  <c r="G23" i="13"/>
  <c r="AB23" i="13" s="1"/>
  <c r="G27" i="13"/>
  <c r="AB27" i="13" s="1"/>
  <c r="G24" i="13"/>
  <c r="AB24" i="13" s="1"/>
  <c r="G25" i="13"/>
  <c r="AB25" i="13" s="1"/>
  <c r="G26" i="13"/>
  <c r="AB26" i="13" s="1"/>
  <c r="G28" i="13"/>
  <c r="H16" i="13"/>
  <c r="AC16" i="13" s="1"/>
  <c r="H18" i="13"/>
  <c r="AC18" i="13" s="1"/>
  <c r="H17" i="13"/>
  <c r="AC17" i="13" s="1"/>
  <c r="H15" i="13"/>
  <c r="AC15" i="13" s="1"/>
  <c r="H19" i="13"/>
  <c r="AC19" i="13" s="1"/>
  <c r="H20" i="13"/>
  <c r="G18" i="13"/>
  <c r="G17" i="13"/>
  <c r="G19" i="13"/>
  <c r="G16" i="13"/>
  <c r="AB16" i="13" s="1"/>
  <c r="G20" i="13"/>
  <c r="C17" i="5"/>
  <c r="D17" i="5"/>
  <c r="F8" i="13" l="1"/>
  <c r="AA8" i="13" s="1"/>
  <c r="F12" i="13"/>
  <c r="AA12" i="13" s="1"/>
  <c r="F7" i="13"/>
  <c r="AA7" i="13" s="1"/>
  <c r="F9" i="13"/>
  <c r="AA9" i="13" s="1"/>
  <c r="F13" i="13"/>
  <c r="AA13" i="13" s="1"/>
  <c r="F6" i="13"/>
  <c r="AA6" i="13" s="1"/>
  <c r="F10" i="13"/>
  <c r="AA10" i="13" s="1"/>
  <c r="F14" i="13"/>
  <c r="AA14" i="13" s="1"/>
  <c r="F11" i="13"/>
  <c r="AA11" i="13" s="1"/>
  <c r="E7" i="13"/>
  <c r="E11" i="13"/>
  <c r="E6" i="13"/>
  <c r="E14" i="13"/>
  <c r="E8" i="13"/>
  <c r="E12" i="13"/>
  <c r="E9" i="13"/>
  <c r="E13" i="13"/>
  <c r="E10" i="13"/>
  <c r="AC28" i="13"/>
  <c r="AO5" i="23" s="1"/>
  <c r="AR5" i="23" s="1"/>
  <c r="AS5" i="23" s="1"/>
  <c r="AT5" i="23" s="1"/>
  <c r="AB28" i="13"/>
  <c r="AH5" i="23" s="1"/>
  <c r="F21" i="13"/>
  <c r="AA21" i="13" s="1"/>
  <c r="F23" i="13"/>
  <c r="AA23" i="13" s="1"/>
  <c r="F22" i="13"/>
  <c r="AA22" i="13" s="1"/>
  <c r="F24" i="13"/>
  <c r="AA24" i="13" s="1"/>
  <c r="F26" i="13"/>
  <c r="AA26" i="13" s="1"/>
  <c r="F27" i="13"/>
  <c r="AA27" i="13" s="1"/>
  <c r="F25" i="13"/>
  <c r="AA25" i="13" s="1"/>
  <c r="F28" i="13"/>
  <c r="E21" i="13"/>
  <c r="V21" i="13" s="1"/>
  <c r="E25" i="13"/>
  <c r="E22" i="13"/>
  <c r="E27" i="13"/>
  <c r="E23" i="13"/>
  <c r="E28" i="13"/>
  <c r="E24" i="13"/>
  <c r="E26" i="13"/>
  <c r="AC20" i="13"/>
  <c r="E18" i="13"/>
  <c r="E16" i="13"/>
  <c r="E20" i="13"/>
  <c r="E17" i="13"/>
  <c r="E19" i="13"/>
  <c r="F17" i="13"/>
  <c r="AA17" i="13" s="1"/>
  <c r="F19" i="13"/>
  <c r="AA19" i="13" s="1"/>
  <c r="F18" i="13"/>
  <c r="AA18" i="13" s="1"/>
  <c r="F20" i="13"/>
  <c r="F16" i="13"/>
  <c r="AA16" i="13" s="1"/>
  <c r="F15" i="13"/>
  <c r="AA15" i="13" s="1"/>
  <c r="E15" i="13"/>
  <c r="G15" i="13"/>
  <c r="AB15" i="13" s="1"/>
  <c r="AB18" i="13"/>
  <c r="AB17" i="13"/>
  <c r="AB19" i="13"/>
  <c r="C20" i="5"/>
  <c r="D20" i="5"/>
  <c r="AK5" i="23" l="1"/>
  <c r="AL5" i="23" s="1"/>
  <c r="Z33" i="23" s="1"/>
  <c r="V20" i="13"/>
  <c r="V16" i="13"/>
  <c r="Z19" i="13"/>
  <c r="V19" i="13"/>
  <c r="V28" i="13"/>
  <c r="Z25" i="13"/>
  <c r="V25" i="13"/>
  <c r="Z15" i="13"/>
  <c r="V15" i="13"/>
  <c r="Z17" i="13"/>
  <c r="V17" i="13"/>
  <c r="Z23" i="13"/>
  <c r="V23" i="13"/>
  <c r="Z21" i="13"/>
  <c r="Z9" i="13"/>
  <c r="V9" i="13"/>
  <c r="Z6" i="13"/>
  <c r="AA4" i="23" s="1"/>
  <c r="V6" i="13"/>
  <c r="Z12" i="13"/>
  <c r="V12" i="13"/>
  <c r="Z11" i="13"/>
  <c r="V11" i="13"/>
  <c r="I7" i="13"/>
  <c r="I11" i="13"/>
  <c r="I10" i="13"/>
  <c r="I8" i="13"/>
  <c r="I12" i="13"/>
  <c r="I9" i="13"/>
  <c r="I13" i="13"/>
  <c r="I6" i="13"/>
  <c r="I14" i="13"/>
  <c r="Z16" i="13"/>
  <c r="Z24" i="13"/>
  <c r="V24" i="13"/>
  <c r="Z22" i="13"/>
  <c r="V22" i="13"/>
  <c r="Z10" i="13"/>
  <c r="V10" i="13"/>
  <c r="Z8" i="13"/>
  <c r="V8" i="13"/>
  <c r="Z7" i="13"/>
  <c r="V7" i="13"/>
  <c r="Z26" i="13"/>
  <c r="V26" i="13"/>
  <c r="Z27" i="13"/>
  <c r="V27" i="13"/>
  <c r="Z18" i="13"/>
  <c r="V18" i="13"/>
  <c r="Z13" i="13"/>
  <c r="V13" i="13"/>
  <c r="Z14" i="13"/>
  <c r="V14" i="13"/>
  <c r="AA28" i="13"/>
  <c r="Z28" i="13"/>
  <c r="I21" i="13"/>
  <c r="I22" i="13"/>
  <c r="I23" i="13"/>
  <c r="I24" i="13"/>
  <c r="I25" i="13"/>
  <c r="I26" i="13"/>
  <c r="I27" i="13"/>
  <c r="I28" i="13"/>
  <c r="AA20" i="13"/>
  <c r="Z20" i="13"/>
  <c r="AB20" i="13"/>
  <c r="I15" i="13"/>
  <c r="I16" i="13"/>
  <c r="I18" i="13"/>
  <c r="I17" i="13"/>
  <c r="I20" i="13"/>
  <c r="I19" i="13"/>
  <c r="AD28" i="13" l="1"/>
  <c r="AA5" i="23"/>
  <c r="AD5" i="23" s="1"/>
  <c r="AE5" i="23" s="1"/>
  <c r="AD6" i="13"/>
  <c r="AE6" i="13" s="1"/>
  <c r="AD21" i="13"/>
  <c r="AD25" i="13"/>
  <c r="AD8" i="13"/>
  <c r="AD20" i="13"/>
  <c r="AD15" i="13"/>
  <c r="AD24" i="13"/>
  <c r="AD10" i="13"/>
  <c r="AD9" i="13"/>
  <c r="AD11" i="13"/>
  <c r="AE11" i="13" s="1"/>
  <c r="AD17" i="13"/>
  <c r="AD13" i="13"/>
  <c r="AD18" i="13"/>
  <c r="AE18" i="13" s="1"/>
  <c r="AD27" i="13"/>
  <c r="AD23" i="13"/>
  <c r="AE23" i="13" s="1"/>
  <c r="AD19" i="13"/>
  <c r="AD16" i="13"/>
  <c r="AE16" i="13" s="1"/>
  <c r="AD26" i="13"/>
  <c r="AD22" i="13"/>
  <c r="AD14" i="13"/>
  <c r="AE14" i="13" s="1"/>
  <c r="AD12" i="13"/>
  <c r="AE12" i="13" s="1"/>
  <c r="AD7" i="13"/>
  <c r="AE7" i="13" s="1"/>
  <c r="AF6" i="13" l="1"/>
  <c r="BR4" i="23"/>
  <c r="AG5" i="23" s="1"/>
  <c r="Z31" i="23"/>
  <c r="AF5" i="23"/>
  <c r="AF31" i="23" s="1"/>
  <c r="AM5" i="23"/>
  <c r="AF33" i="23" s="1"/>
  <c r="AF7" i="13"/>
  <c r="D7" i="23" s="1"/>
  <c r="AE13" i="13"/>
  <c r="AF13" i="13" s="1"/>
  <c r="D13" i="23" s="1"/>
  <c r="AE26" i="13"/>
  <c r="AF12" i="13"/>
  <c r="D12" i="23" s="1"/>
  <c r="AE25" i="13"/>
  <c r="D6" i="23"/>
  <c r="AE24" i="13"/>
  <c r="AF24" i="13" s="1"/>
  <c r="D24" i="23" s="1"/>
  <c r="AE27" i="13"/>
  <c r="AE19" i="13"/>
  <c r="AF19" i="13" s="1"/>
  <c r="D19" i="23" s="1"/>
  <c r="AE21" i="13"/>
  <c r="AE9" i="13"/>
  <c r="AE22" i="13"/>
  <c r="AF23" i="13" s="1"/>
  <c r="D23" i="23" s="1"/>
  <c r="AE15" i="13"/>
  <c r="AF15" i="13" s="1"/>
  <c r="D15" i="23" s="1"/>
  <c r="AE10" i="13"/>
  <c r="AF11" i="13" s="1"/>
  <c r="D11" i="23" s="1"/>
  <c r="AE17" i="13"/>
  <c r="AF17" i="13" s="1"/>
  <c r="D17" i="23" s="1"/>
  <c r="AE8" i="13"/>
  <c r="AF8" i="13" s="1"/>
  <c r="D8" i="23" s="1"/>
  <c r="AE28" i="13"/>
  <c r="AE20" i="13"/>
  <c r="AU5" i="23" l="1"/>
  <c r="AN5" i="23"/>
  <c r="Z5" i="23"/>
  <c r="I7" i="23"/>
  <c r="AF42" i="23"/>
  <c r="Z42" i="23"/>
  <c r="Z24" i="23"/>
  <c r="AF28" i="13"/>
  <c r="D28" i="23" s="1"/>
  <c r="BR5" i="23"/>
  <c r="AF14" i="13"/>
  <c r="D14" i="23" s="1"/>
  <c r="I14" i="23" s="1"/>
  <c r="AF9" i="13"/>
  <c r="D9" i="23" s="1"/>
  <c r="I9" i="23" s="1"/>
  <c r="AF27" i="13"/>
  <c r="D27" i="23" s="1"/>
  <c r="I27" i="23" s="1"/>
  <c r="AF25" i="13"/>
  <c r="D25" i="23" s="1"/>
  <c r="I23" i="23"/>
  <c r="AF10" i="13"/>
  <c r="D10" i="23" s="1"/>
  <c r="I24" i="23"/>
  <c r="I13" i="23"/>
  <c r="I15" i="23"/>
  <c r="I19" i="23"/>
  <c r="F6" i="23"/>
  <c r="F7" i="23" s="1"/>
  <c r="F8" i="23" s="1"/>
  <c r="I6" i="23"/>
  <c r="I12" i="23"/>
  <c r="I8" i="23"/>
  <c r="AF22" i="13"/>
  <c r="D22" i="23" s="1"/>
  <c r="AF26" i="13"/>
  <c r="D26" i="23" s="1"/>
  <c r="AF16" i="13"/>
  <c r="D16" i="23" s="1"/>
  <c r="I17" i="23"/>
  <c r="I11" i="23"/>
  <c r="AF18" i="13"/>
  <c r="D18" i="23" s="1"/>
  <c r="AF21" i="13"/>
  <c r="D21" i="23" s="1"/>
  <c r="AF20" i="13"/>
  <c r="D20" i="23" s="1"/>
  <c r="Z32" i="23" l="1"/>
  <c r="Z34" i="23" s="1"/>
  <c r="Z49" i="23"/>
  <c r="Z22" i="23"/>
  <c r="BE5" i="23"/>
  <c r="BF5" i="23" s="1"/>
  <c r="AM22" i="23"/>
  <c r="AL22" i="23"/>
  <c r="AF40" i="23"/>
  <c r="Z40" i="23"/>
  <c r="BJ5" i="23"/>
  <c r="BK5" i="23" s="1"/>
  <c r="Z41" i="23"/>
  <c r="Z23" i="23"/>
  <c r="Z25" i="23" s="1"/>
  <c r="AF41" i="23"/>
  <c r="AF32" i="23"/>
  <c r="AF34" i="23" s="1"/>
  <c r="BO5" i="23" a="1"/>
  <c r="BO5" i="23" s="1"/>
  <c r="F9" i="23"/>
  <c r="F10" i="23" s="1"/>
  <c r="F11" i="23" s="1"/>
  <c r="F12" i="23" s="1"/>
  <c r="F13" i="23" s="1"/>
  <c r="F14" i="23" s="1"/>
  <c r="F15" i="23" s="1"/>
  <c r="F16" i="23" s="1"/>
  <c r="F17" i="23" s="1"/>
  <c r="F18" i="23" s="1"/>
  <c r="F19" i="23" s="1"/>
  <c r="F20" i="23" s="1"/>
  <c r="F21" i="23" s="1"/>
  <c r="F22" i="23" s="1"/>
  <c r="F23" i="23" s="1"/>
  <c r="F24" i="23" s="1"/>
  <c r="F25" i="23" s="1"/>
  <c r="F26" i="23" s="1"/>
  <c r="F27" i="23" s="1"/>
  <c r="F28" i="23" s="1"/>
  <c r="I25" i="23"/>
  <c r="I21" i="23"/>
  <c r="I16" i="23"/>
  <c r="I22" i="23"/>
  <c r="I10" i="23"/>
  <c r="I18" i="23"/>
  <c r="I26" i="23"/>
  <c r="I20" i="23"/>
  <c r="I28" i="23"/>
  <c r="BP5" i="23" l="1"/>
  <c r="AF43" i="23"/>
  <c r="AF54" i="23" s="1"/>
  <c r="BM5" i="23" s="1"/>
  <c r="Z43" i="23"/>
  <c r="Z54" i="23" s="1"/>
  <c r="BH5" i="23" s="1"/>
  <c r="AF22" i="23"/>
  <c r="AD59" i="23" l="1"/>
  <c r="AD60" i="23" s="1"/>
  <c r="P6" i="5"/>
  <c r="N6" i="5"/>
  <c r="O6" i="5"/>
  <c r="Q6" i="5"/>
  <c r="Q5" i="5"/>
  <c r="P5" i="5"/>
  <c r="M5" i="5"/>
  <c r="O5" i="5"/>
  <c r="R6" i="5"/>
  <c r="R5" i="5"/>
  <c r="M6" i="5"/>
  <c r="N5" i="5"/>
  <c r="S6" i="5" l="1"/>
  <c r="M15" i="5" s="1"/>
  <c r="R7" i="5" l="1"/>
  <c r="Q7" i="5"/>
  <c r="N7" i="5"/>
  <c r="N18" i="5"/>
  <c r="N19" i="5" s="1"/>
  <c r="N24" i="5" s="1"/>
  <c r="P18" i="5"/>
  <c r="P19" i="5" s="1"/>
  <c r="O18" i="5"/>
  <c r="O19" i="5" s="1"/>
  <c r="Q18" i="5"/>
  <c r="Q19" i="5" s="1"/>
  <c r="M18" i="5"/>
  <c r="M19" i="5" s="1"/>
  <c r="O7" i="5"/>
  <c r="P7" i="5"/>
  <c r="M7" i="5"/>
  <c r="P24" i="5" l="1"/>
  <c r="P26" i="5"/>
  <c r="M24" i="5"/>
  <c r="M26" i="5"/>
  <c r="N26" i="5"/>
  <c r="Q26" i="5"/>
  <c r="Q24" i="5"/>
  <c r="O26" i="5"/>
  <c r="O24" i="5"/>
  <c r="O27" i="5" l="1"/>
  <c r="O29" i="5"/>
  <c r="M27" i="5"/>
  <c r="M29" i="5"/>
  <c r="Q27" i="5"/>
  <c r="Q29" i="5"/>
  <c r="N27" i="5"/>
  <c r="N29" i="5"/>
  <c r="P29" i="5"/>
  <c r="P27" i="5"/>
  <c r="P30" i="5" l="1"/>
  <c r="AI6" i="23" s="1"/>
  <c r="AG6" i="23" s="1"/>
  <c r="P32" i="5"/>
  <c r="P33" i="5"/>
  <c r="N30" i="5"/>
  <c r="N33" i="5"/>
  <c r="N32" i="5"/>
  <c r="T30" i="5"/>
  <c r="M30" i="5"/>
  <c r="M32" i="5"/>
  <c r="M33" i="5"/>
  <c r="R27" i="5"/>
  <c r="Q32" i="5"/>
  <c r="Q30" i="5"/>
  <c r="AP6" i="23" s="1"/>
  <c r="AN6" i="23" s="1"/>
  <c r="Q33" i="5"/>
  <c r="O30" i="5"/>
  <c r="O33" i="5"/>
  <c r="O32" i="5"/>
  <c r="H36" i="13" l="1"/>
  <c r="AC36" i="13" s="1"/>
  <c r="H40" i="13"/>
  <c r="AC40" i="13" s="1"/>
  <c r="AO6" i="23" s="1"/>
  <c r="H37" i="13"/>
  <c r="AC37" i="13" s="1"/>
  <c r="H38" i="13"/>
  <c r="AC38" i="13" s="1"/>
  <c r="H39" i="13"/>
  <c r="AC39" i="13" s="1"/>
  <c r="G36" i="13"/>
  <c r="AB36" i="13" s="1"/>
  <c r="G40" i="13"/>
  <c r="AB40" i="13" s="1"/>
  <c r="AH6" i="23" s="1"/>
  <c r="G37" i="13"/>
  <c r="AB37" i="13" s="1"/>
  <c r="G38" i="13"/>
  <c r="AB38" i="13" s="1"/>
  <c r="G39" i="13"/>
  <c r="AB39" i="13" s="1"/>
  <c r="F36" i="13"/>
  <c r="AA36" i="13" s="1"/>
  <c r="F40" i="13"/>
  <c r="AA40" i="13" s="1"/>
  <c r="F37" i="13"/>
  <c r="AA37" i="13" s="1"/>
  <c r="F39" i="13"/>
  <c r="AA39" i="13" s="1"/>
  <c r="F38" i="13"/>
  <c r="AA38" i="13" s="1"/>
  <c r="E36" i="13"/>
  <c r="E40" i="13"/>
  <c r="E37" i="13"/>
  <c r="Z37" i="13" s="1"/>
  <c r="E39" i="13"/>
  <c r="Z39" i="13" s="1"/>
  <c r="E38" i="13"/>
  <c r="D36" i="13"/>
  <c r="Y36" i="13" s="1"/>
  <c r="D40" i="13"/>
  <c r="Y40" i="13" s="1"/>
  <c r="D37" i="13"/>
  <c r="Y37" i="13" s="1"/>
  <c r="D38" i="13"/>
  <c r="Y38" i="13" s="1"/>
  <c r="D39" i="13"/>
  <c r="Y39" i="13" s="1"/>
  <c r="E31" i="13"/>
  <c r="E33" i="13"/>
  <c r="E29" i="13"/>
  <c r="E34" i="13"/>
  <c r="E32" i="13"/>
  <c r="E35" i="13"/>
  <c r="E30" i="13"/>
  <c r="AA24" i="23"/>
  <c r="AC24" i="23" s="1"/>
  <c r="F31" i="13"/>
  <c r="AA31" i="13" s="1"/>
  <c r="F34" i="13"/>
  <c r="AA34" i="13" s="1"/>
  <c r="F33" i="13"/>
  <c r="AA33" i="13" s="1"/>
  <c r="F30" i="13"/>
  <c r="AA30" i="13" s="1"/>
  <c r="F29" i="13"/>
  <c r="AA29" i="13" s="1"/>
  <c r="F32" i="13"/>
  <c r="AA32" i="13" s="1"/>
  <c r="F35" i="13"/>
  <c r="AA35" i="13" s="1"/>
  <c r="AW6" i="23"/>
  <c r="AU6" i="23" s="1"/>
  <c r="AA23" i="23" s="1"/>
  <c r="AC23" i="23" s="1"/>
  <c r="R30" i="5"/>
  <c r="N37" i="5" s="1"/>
  <c r="I40" i="13" s="1"/>
  <c r="AB6" i="23"/>
  <c r="Z6" i="23" s="1"/>
  <c r="G31" i="13"/>
  <c r="AB31" i="13" s="1"/>
  <c r="G30" i="13"/>
  <c r="AB30" i="13" s="1"/>
  <c r="G33" i="13"/>
  <c r="AB33" i="13" s="1"/>
  <c r="G29" i="13"/>
  <c r="AB29" i="13" s="1"/>
  <c r="G32" i="13"/>
  <c r="AB32" i="13" s="1"/>
  <c r="G34" i="13"/>
  <c r="AB34" i="13" s="1"/>
  <c r="G35" i="13"/>
  <c r="AB35" i="13" s="1"/>
  <c r="H32" i="13"/>
  <c r="AC32" i="13" s="1"/>
  <c r="H34" i="13"/>
  <c r="AC34" i="13" s="1"/>
  <c r="H31" i="13"/>
  <c r="AC31" i="13" s="1"/>
  <c r="H35" i="13"/>
  <c r="AC35" i="13" s="1"/>
  <c r="AR6" i="23" s="1"/>
  <c r="AS6" i="23" s="1"/>
  <c r="AT6" i="23" s="1"/>
  <c r="H33" i="13"/>
  <c r="AC33" i="13" s="1"/>
  <c r="H30" i="13"/>
  <c r="AC30" i="13" s="1"/>
  <c r="H29" i="13"/>
  <c r="AC29" i="13" s="1"/>
  <c r="D29" i="13"/>
  <c r="Y29" i="13" s="1"/>
  <c r="M37" i="5"/>
  <c r="O41" i="5" s="1"/>
  <c r="D33" i="13"/>
  <c r="Y33" i="13" s="1"/>
  <c r="D31" i="13"/>
  <c r="Y31" i="13" s="1"/>
  <c r="D34" i="13"/>
  <c r="Y34" i="13" s="1"/>
  <c r="D35" i="13"/>
  <c r="Y35" i="13" s="1"/>
  <c r="D32" i="13"/>
  <c r="Y32" i="13" s="1"/>
  <c r="D30" i="13"/>
  <c r="Y30" i="13" s="1"/>
  <c r="AK6" i="23" l="1"/>
  <c r="AL6" i="23" s="1"/>
  <c r="AA42" i="23" s="1"/>
  <c r="AC42" i="23" s="1"/>
  <c r="AV6" i="23"/>
  <c r="V38" i="13"/>
  <c r="Z38" i="13"/>
  <c r="V36" i="13"/>
  <c r="Z36" i="13"/>
  <c r="V40" i="13"/>
  <c r="Z40" i="13"/>
  <c r="AA6" i="23" s="1"/>
  <c r="V35" i="13"/>
  <c r="V39" i="13"/>
  <c r="V37" i="13"/>
  <c r="I36" i="13"/>
  <c r="I37" i="13"/>
  <c r="I38" i="13"/>
  <c r="I39" i="13"/>
  <c r="N41" i="5"/>
  <c r="V34" i="13"/>
  <c r="Z34" i="13"/>
  <c r="M41" i="5"/>
  <c r="Q41" i="5"/>
  <c r="P41" i="5"/>
  <c r="Z30" i="13"/>
  <c r="V30" i="13"/>
  <c r="V29" i="13"/>
  <c r="Z29" i="13"/>
  <c r="AY6" i="23"/>
  <c r="AZ6" i="23" s="1"/>
  <c r="BA6" i="23" s="1"/>
  <c r="AG32" i="23" s="1"/>
  <c r="AI32" i="23" s="1"/>
  <c r="AA33" i="23"/>
  <c r="AC33" i="23" s="1"/>
  <c r="AM6" i="23"/>
  <c r="AA49" i="23"/>
  <c r="AC49" i="23" s="1"/>
  <c r="AA22" i="23"/>
  <c r="Z35" i="13"/>
  <c r="V33" i="13"/>
  <c r="Z33" i="13"/>
  <c r="I32" i="13"/>
  <c r="I34" i="13"/>
  <c r="I33" i="13"/>
  <c r="O37" i="5"/>
  <c r="P37" i="5" s="1"/>
  <c r="Q37" i="5" s="1"/>
  <c r="I30" i="13"/>
  <c r="I31" i="13"/>
  <c r="I35" i="13"/>
  <c r="I29" i="13"/>
  <c r="V32" i="13"/>
  <c r="Z32" i="13"/>
  <c r="Z31" i="13"/>
  <c r="V31" i="13"/>
  <c r="AD6" i="23" l="1"/>
  <c r="AD40" i="13"/>
  <c r="AE40" i="13" s="1"/>
  <c r="AD37" i="13"/>
  <c r="AE37" i="13" s="1"/>
  <c r="AD36" i="13"/>
  <c r="AE36" i="13" s="1"/>
  <c r="AD39" i="13"/>
  <c r="AE39" i="13" s="1"/>
  <c r="AD38" i="13"/>
  <c r="AE38" i="13" s="1"/>
  <c r="AF38" i="13" s="1"/>
  <c r="D38" i="23" s="1"/>
  <c r="I38" i="23" s="1"/>
  <c r="AD29" i="13"/>
  <c r="AE29" i="13" s="1"/>
  <c r="AF29" i="13" s="1"/>
  <c r="D29" i="23" s="1"/>
  <c r="AA32" i="23"/>
  <c r="AC32" i="23" s="1"/>
  <c r="AA41" i="23"/>
  <c r="AC41" i="23" s="1"/>
  <c r="AG41" i="23"/>
  <c r="AI41" i="23" s="1"/>
  <c r="AD31" i="13"/>
  <c r="AE31" i="13" s="1"/>
  <c r="AD34" i="13"/>
  <c r="AE34" i="13" s="1"/>
  <c r="AG33" i="23"/>
  <c r="AI33" i="23" s="1"/>
  <c r="AG42" i="23"/>
  <c r="AI42" i="23" s="1"/>
  <c r="AD30" i="13"/>
  <c r="AE30" i="13" s="1"/>
  <c r="AD32" i="13"/>
  <c r="AE32" i="13" s="1"/>
  <c r="AD35" i="13"/>
  <c r="AE35" i="13" s="1"/>
  <c r="AD33" i="13"/>
  <c r="AE33" i="13" s="1"/>
  <c r="BU5" i="23"/>
  <c r="AE6" i="23"/>
  <c r="AA25" i="23"/>
  <c r="AC22" i="23"/>
  <c r="BR6" i="23" l="1"/>
  <c r="AF40" i="13"/>
  <c r="D40" i="23" s="1"/>
  <c r="I40" i="23" s="1"/>
  <c r="AF39" i="13"/>
  <c r="D39" i="23" s="1"/>
  <c r="I39" i="23" s="1"/>
  <c r="AF36" i="13"/>
  <c r="D36" i="23" s="1"/>
  <c r="I36" i="23" s="1"/>
  <c r="AF37" i="13"/>
  <c r="D37" i="23" s="1"/>
  <c r="I37" i="23" s="1"/>
  <c r="I29" i="23"/>
  <c r="AF32" i="13"/>
  <c r="D32" i="23" s="1"/>
  <c r="I32" i="23" s="1"/>
  <c r="F29" i="23"/>
  <c r="AF33" i="13"/>
  <c r="D33" i="23" s="1"/>
  <c r="I33" i="23" s="1"/>
  <c r="AF34" i="13"/>
  <c r="D34" i="23" s="1"/>
  <c r="I34" i="23" s="1"/>
  <c r="AF30" i="13"/>
  <c r="D30" i="23" s="1"/>
  <c r="AF31" i="13"/>
  <c r="D31" i="23" s="1"/>
  <c r="I31" i="23" s="1"/>
  <c r="AC25" i="23"/>
  <c r="BU6" i="23"/>
  <c r="BU7" i="23" s="1"/>
  <c r="AF35" i="13"/>
  <c r="AA31" i="23"/>
  <c r="AA34" i="23" s="1"/>
  <c r="AF6" i="23"/>
  <c r="BE6" i="23"/>
  <c r="AA40" i="23"/>
  <c r="AL23" i="23"/>
  <c r="D35" i="23" l="1"/>
  <c r="BO6" i="23" s="1" a="1"/>
  <c r="BO6" i="23" s="1"/>
  <c r="BP6" i="23" s="1"/>
  <c r="F30" i="23"/>
  <c r="F31" i="23" s="1"/>
  <c r="F32" i="23" s="1"/>
  <c r="F33" i="23" s="1"/>
  <c r="F34" i="23" s="1"/>
  <c r="F35" i="23" s="1"/>
  <c r="F36" i="23" s="1"/>
  <c r="F37" i="23" s="1"/>
  <c r="F38" i="23" s="1"/>
  <c r="F39" i="23" s="1"/>
  <c r="F40" i="23" s="1"/>
  <c r="BF6" i="23"/>
  <c r="BE7" i="23"/>
  <c r="BF7" i="23" s="1"/>
  <c r="AG31" i="23"/>
  <c r="AG40" i="23"/>
  <c r="BJ6" i="23"/>
  <c r="AM23" i="23"/>
  <c r="AG22" i="23" s="1"/>
  <c r="AI22" i="23" s="1"/>
  <c r="AC31" i="23"/>
  <c r="AC34" i="23"/>
  <c r="I30" i="23"/>
  <c r="AC40" i="23"/>
  <c r="AA43" i="23"/>
  <c r="I35" i="23" l="1"/>
  <c r="I45" i="23" s="1"/>
  <c r="I44" i="23"/>
  <c r="AI31" i="23"/>
  <c r="AG34" i="23"/>
  <c r="AI40" i="23"/>
  <c r="AG43" i="23"/>
  <c r="AI43" i="23" s="1"/>
  <c r="AC43" i="23"/>
  <c r="AC54" i="23" s="1"/>
  <c r="BH7" i="23" s="1"/>
  <c r="AA54" i="23"/>
  <c r="BK6" i="23"/>
  <c r="BJ7" i="23"/>
  <c r="BK7" i="23" s="1"/>
  <c r="I46" i="23" l="1"/>
  <c r="BH6" i="23"/>
  <c r="AI34" i="23"/>
  <c r="AI54" i="23" s="1"/>
  <c r="AF59" i="23" s="1"/>
  <c r="AF60" i="23" s="1"/>
  <c r="AG54" i="23"/>
  <c r="AE59" i="23" s="1"/>
  <c r="AE60" i="23" s="1"/>
  <c r="BM6" i="23" l="1"/>
  <c r="BM7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MG</author>
  </authors>
  <commentList>
    <comment ref="Y2" authorId="0" shapeId="0" xr:uid="{E2D0508F-221F-6C4D-A985-4D4FC7B71E11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approssimazione: numero di rendimenti per settimana può essere minore di 5!</t>
        </r>
      </text>
    </comment>
    <comment ref="L64" authorId="0" shapeId="0" xr:uid="{E4AC1A97-F983-7141-87B3-50D1527BB6D5}">
      <text>
        <r>
          <rPr>
            <b/>
            <sz val="9"/>
            <color rgb="FF000000"/>
            <rFont val="Tahoma"/>
            <family val="2"/>
          </rPr>
          <t>MG: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cambio del giorno, prezzo giorno precedente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MG</author>
  </authors>
  <commentList>
    <comment ref="Y1" authorId="0" shapeId="0" xr:uid="{73D41E9A-C34B-42BB-A585-21C434D9EE72}">
      <text>
        <r>
          <rPr>
            <b/>
            <sz val="9"/>
            <color rgb="FF000000"/>
            <rFont val="Tahoma"/>
            <family val="2"/>
          </rPr>
          <t>MG: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Costi di transazione considerati nel rendimento di ciascuna classe: escluderli dal calcolo può dare interessanti info sull'impatto dei costi sul rendimento</t>
        </r>
      </text>
    </comment>
    <comment ref="Y10" authorId="0" shapeId="0" xr:uid="{3D834349-2507-45D1-945E-4B3956FA7C7E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calcolo approssimato: il bmk esatto ha pesi costanti (ribilanciamento giornaliero)</t>
        </r>
      </text>
    </comment>
    <comment ref="Y47" authorId="0" shapeId="0" xr:uid="{4FA6B959-7D8E-4EE1-A1DE-A935344847AA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Trascurabile.
Alternative: ignorare il contributo; usare il modello di PA base; attribuire il peso della liquidità a un'altra classe, p.e. all'obbligazionario; creare una classe "monetario" fittizia nel benchmark con peso 0</t>
        </r>
      </text>
    </comment>
    <comment ref="AE47" authorId="0" shapeId="0" xr:uid="{FC81090E-920D-4840-BF03-0E01D6FE841D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Trascurabile.
Alternative: ignorare il contributo; usare il modello di PA base; attribuire il peso della liquidità a un'altra classe, p.e. all'obbligazionario; creare una classe "monetario" fittizia nel benchmark con peso 0</t>
        </r>
      </text>
    </comment>
  </commentList>
</comments>
</file>

<file path=xl/sharedStrings.xml><?xml version="1.0" encoding="utf-8"?>
<sst xmlns="http://schemas.openxmlformats.org/spreadsheetml/2006/main" count="317" uniqueCount="129">
  <si>
    <t>Timestamp</t>
  </si>
  <si>
    <t>Trade Close</t>
  </si>
  <si>
    <t>EUR=</t>
  </si>
  <si>
    <t>EUR USD</t>
  </si>
  <si>
    <t>Bid Close</t>
  </si>
  <si>
    <t>Date</t>
  </si>
  <si>
    <t>Cedole</t>
  </si>
  <si>
    <t>Prezzi</t>
  </si>
  <si>
    <t>Rendimenti logaritmici</t>
  </si>
  <si>
    <t>Rendimenti settimanali logaritmici</t>
  </si>
  <si>
    <t>Controvalore da investire</t>
  </si>
  <si>
    <t>Controvalore strumenti</t>
  </si>
  <si>
    <t>costi di transazione</t>
  </si>
  <si>
    <t>prezzo</t>
  </si>
  <si>
    <t>prezzo maggiorato</t>
  </si>
  <si>
    <t>Investito</t>
  </si>
  <si>
    <t>Saldi</t>
  </si>
  <si>
    <t>Controvalore</t>
  </si>
  <si>
    <t>Liquidità</t>
  </si>
  <si>
    <t>TOT</t>
  </si>
  <si>
    <t xml:space="preserve">Situazione al </t>
  </si>
  <si>
    <t>controvalore</t>
  </si>
  <si>
    <t>peso</t>
  </si>
  <si>
    <t>prezzo con costi</t>
  </si>
  <si>
    <t>saldo</t>
  </si>
  <si>
    <t>Nuovi pesi</t>
  </si>
  <si>
    <t>Costi</t>
  </si>
  <si>
    <t>Totale</t>
  </si>
  <si>
    <t>check</t>
  </si>
  <si>
    <t>Rendimento</t>
  </si>
  <si>
    <t>Code</t>
  </si>
  <si>
    <t>Nome</t>
  </si>
  <si>
    <t>Asset Class</t>
  </si>
  <si>
    <t>Azionario globale</t>
  </si>
  <si>
    <t>Obbligazionario globale</t>
  </si>
  <si>
    <t>Peso</t>
  </si>
  <si>
    <t>Prezzi bmk</t>
  </si>
  <si>
    <t>Performance (da fogli precedenti)</t>
  </si>
  <si>
    <t>portafoglio</t>
  </si>
  <si>
    <t>benchmark</t>
  </si>
  <si>
    <t>Performance cumulate</t>
  </si>
  <si>
    <t>Prezzi e cash flows</t>
  </si>
  <si>
    <t>CALCOLO RENDIMENTI COMPONENTI PORTAFOGLIO</t>
  </si>
  <si>
    <t>CALCOLO RENDIMENTO BMK</t>
  </si>
  <si>
    <t>Rendimenti aritmetici componenti bmk</t>
  </si>
  <si>
    <t>INCEPTION</t>
  </si>
  <si>
    <t>BILANCIAMENTO</t>
  </si>
  <si>
    <t>name</t>
  </si>
  <si>
    <t>iShares Core S&amp;P 500 ETF</t>
  </si>
  <si>
    <t>iShares Edge MSCI Min Vol Europe ETF</t>
  </si>
  <si>
    <t>iShares J.P. Morgan USD Emerging Markets Bond ETF</t>
  </si>
  <si>
    <t>iShares Gold Strategy ETF</t>
  </si>
  <si>
    <t>iShares Core Global Aggregate Bond UCITS ETF</t>
  </si>
  <si>
    <t>JPMMAGGIE</t>
  </si>
  <si>
    <t>IVV</t>
  </si>
  <si>
    <t>EUMV</t>
  </si>
  <si>
    <t>EMB</t>
  </si>
  <si>
    <t>IAUF</t>
  </si>
  <si>
    <t>AGGH</t>
  </si>
  <si>
    <t>USD</t>
  </si>
  <si>
    <t xml:space="preserve">Pesi </t>
  </si>
  <si>
    <t xml:space="preserve">Saldo strumenti </t>
  </si>
  <si>
    <r>
      <rPr>
        <b/>
        <sz val="11"/>
        <rFont val="Calibri"/>
        <family val="2"/>
        <scheme val="minor"/>
      </rPr>
      <t>MSCI ACWI</t>
    </r>
    <r>
      <rPr>
        <b/>
        <sz val="11"/>
        <color rgb="FFFF0000"/>
        <rFont val="Calibri"/>
        <family val="2"/>
        <scheme val="minor"/>
      </rPr>
      <t xml:space="preserve"> </t>
    </r>
  </si>
  <si>
    <t>MSCI World AC Net TR</t>
  </si>
  <si>
    <t>J.P. Morgan Aggregate Euro Credit Index</t>
  </si>
  <si>
    <t xml:space="preserve">MSCI ACWI </t>
  </si>
  <si>
    <t>Controvalore Acquisti/Vendite</t>
  </si>
  <si>
    <t>Quantità Acq/Ven</t>
  </si>
  <si>
    <t>Fabbisogno netto</t>
  </si>
  <si>
    <t>Stima approssimata finanziamento costi operazioni</t>
  </si>
  <si>
    <t>Quantità Acq/Ven rettificata</t>
  </si>
  <si>
    <t>Finanziamento costi operazioni</t>
  </si>
  <si>
    <t>Valorizzazione operazioni</t>
  </si>
  <si>
    <t>Saldi finali</t>
  </si>
  <si>
    <t>Cedole_IVV</t>
  </si>
  <si>
    <t>Cedole_EUMV</t>
  </si>
  <si>
    <t>Cedole_IAUF</t>
  </si>
  <si>
    <t>Cedole_EMB</t>
  </si>
  <si>
    <t>&lt;&lt;-- i costi dell'operazione superano la liquidità disponibile</t>
  </si>
  <si>
    <t>&lt;&lt;-- OK</t>
  </si>
  <si>
    <t>Excess return</t>
  </si>
  <si>
    <t>Pesi effettivi</t>
  </si>
  <si>
    <t>Returns Mean</t>
  </si>
  <si>
    <t>Returns Standard Deviaton</t>
  </si>
  <si>
    <t>I.R</t>
  </si>
  <si>
    <t>Calcoli per i controlli</t>
  </si>
  <si>
    <t>Peso iniziale</t>
  </si>
  <si>
    <t>Acq/Ven</t>
  </si>
  <si>
    <t>Risultato</t>
  </si>
  <si>
    <t>Controvalore portafoglio</t>
  </si>
  <si>
    <t>check PA</t>
  </si>
  <si>
    <t>check risultato</t>
  </si>
  <si>
    <t xml:space="preserve">Rendimento bmk </t>
  </si>
  <si>
    <t>Azionario</t>
  </si>
  <si>
    <t>Obbligazionario</t>
  </si>
  <si>
    <t>Commodities</t>
  </si>
  <si>
    <t>Valore</t>
  </si>
  <si>
    <t>W1</t>
  </si>
  <si>
    <t>W2</t>
  </si>
  <si>
    <t>Tot</t>
  </si>
  <si>
    <t>Performance azionario</t>
  </si>
  <si>
    <t>Performance commodities</t>
  </si>
  <si>
    <t>Performance Obbligazionario_€</t>
  </si>
  <si>
    <t>Performance Obbligazionario_$</t>
  </si>
  <si>
    <t>Rendimento_base</t>
  </si>
  <si>
    <t>Rendimento_locale</t>
  </si>
  <si>
    <t>Interaction Effect base</t>
  </si>
  <si>
    <t>Stock  Picking base</t>
  </si>
  <si>
    <t>Stock  Picking locale</t>
  </si>
  <si>
    <t>Interaction Effect locale</t>
  </si>
  <si>
    <t>Strategic Asset Allocation base == locale</t>
  </si>
  <si>
    <t xml:space="preserve"> </t>
  </si>
  <si>
    <t>Rendimento relativo base</t>
  </si>
  <si>
    <t>Rendimento portafoglio base</t>
  </si>
  <si>
    <t>Rendimento portafoglio locale</t>
  </si>
  <si>
    <t>naive currency attribution</t>
  </si>
  <si>
    <t>R_port_base</t>
  </si>
  <si>
    <t>R_port_loc</t>
  </si>
  <si>
    <t>R_bench_base_loc</t>
  </si>
  <si>
    <t>Tot base</t>
  </si>
  <si>
    <t>Tot locale</t>
  </si>
  <si>
    <t>check PA:</t>
  </si>
  <si>
    <t>somma effetti base = somma effetti locale</t>
  </si>
  <si>
    <t xml:space="preserve"> + currency attribution</t>
  </si>
  <si>
    <t>rendimento ptf base</t>
  </si>
  <si>
    <t>check rendimento base</t>
  </si>
  <si>
    <t>Asset allocation base == locale</t>
  </si>
  <si>
    <t>Rendimento cambio €-&gt;$</t>
  </si>
  <si>
    <t>Rendimento relativo 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</si>
</sst>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00_-;\-* #,##0.000_-;_-* &quot;-&quot;??_-;_-@_-"/>
    <numFmt numFmtId="167" formatCode="0.0000"/>
    <numFmt numFmtId="168" formatCode="#,##0.0000"/>
    <numFmt numFmtId="169" formatCode="0.000%"/>
    <numFmt numFmtId="170" formatCode="_-* #,##0.0000_-;\-* #,##0.0000_-;_-* &quot;-&quot;??_-;_-@_-"/>
    <numFmt numFmtId="171" formatCode="_-* #,##0.00\ _€_-;\-* #,##0.00\ _€_-;_-* &quot;-&quot;??\ _€_-;_-@_-"/>
    <numFmt numFmtId="172" formatCode="0.0000000"/>
    <numFmt numFmtId="173" formatCode="0.0000%"/>
    <numFmt numFmtId="174" formatCode="0.000000%"/>
    <numFmt numFmtId="175" formatCode="0.0000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3" applyNumberFormat="0" applyFill="0" applyAlignment="0" applyProtection="0"/>
    <xf numFmtId="0" fontId="9" fillId="0" borderId="14" applyNumberFormat="0" applyFill="0" applyAlignment="0" applyProtection="0"/>
    <xf numFmtId="0" fontId="10" fillId="0" borderId="15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4" fillId="9" borderId="16" applyNumberFormat="0" applyAlignment="0" applyProtection="0"/>
    <xf numFmtId="0" fontId="15" fillId="10" borderId="17" applyNumberFormat="0" applyAlignment="0" applyProtection="0"/>
    <xf numFmtId="0" fontId="16" fillId="10" borderId="16" applyNumberFormat="0" applyAlignment="0" applyProtection="0"/>
    <xf numFmtId="0" fontId="17" fillId="0" borderId="18" applyNumberFormat="0" applyFill="0" applyAlignment="0" applyProtection="0"/>
    <xf numFmtId="0" fontId="18" fillId="11" borderId="19" applyNumberFormat="0" applyAlignment="0" applyProtection="0"/>
    <xf numFmtId="0" fontId="5" fillId="0" borderId="0" applyNumberFormat="0" applyFill="0" applyBorder="0" applyAlignment="0" applyProtection="0"/>
    <xf numFmtId="0" fontId="1" fillId="12" borderId="20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21" applyNumberFormat="0" applyFill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200">
    <xf numFmtId="0" fontId="0" fillId="0" borderId="0" xfId="0"/>
    <xf numFmtId="0" fontId="0" fillId="3" borderId="0" xfId="0" applyFill="1"/>
    <xf numFmtId="43" fontId="0" fillId="3" borderId="0" xfId="1" applyFont="1" applyFill="1"/>
    <xf numFmtId="14" fontId="0" fillId="3" borderId="0" xfId="0" applyNumberFormat="1" applyFill="1"/>
    <xf numFmtId="9" fontId="0" fillId="3" borderId="6" xfId="0" applyNumberFormat="1" applyFill="1" applyBorder="1" applyAlignment="1">
      <alignment horizontal="left"/>
    </xf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NumberFormat="1" applyFill="1"/>
    <xf numFmtId="0" fontId="0" fillId="3" borderId="0" xfId="0" applyFill="1" applyBorder="1"/>
    <xf numFmtId="0" fontId="2" fillId="3" borderId="0" xfId="0" applyFont="1" applyFill="1"/>
    <xf numFmtId="10" fontId="0" fillId="3" borderId="0" xfId="2" applyNumberFormat="1" applyFont="1" applyFill="1"/>
    <xf numFmtId="10" fontId="2" fillId="3" borderId="0" xfId="2" applyNumberFormat="1" applyFont="1" applyFill="1"/>
    <xf numFmtId="10" fontId="2" fillId="3" borderId="9" xfId="2" applyNumberFormat="1" applyFont="1" applyFill="1" applyBorder="1"/>
    <xf numFmtId="14" fontId="5" fillId="2" borderId="0" xfId="0" applyNumberFormat="1" applyFont="1" applyFill="1"/>
    <xf numFmtId="0" fontId="5" fillId="2" borderId="0" xfId="0" applyFont="1" applyFill="1"/>
    <xf numFmtId="0" fontId="2" fillId="3" borderId="10" xfId="0" applyFont="1" applyFill="1" applyBorder="1"/>
    <xf numFmtId="165" fontId="0" fillId="3" borderId="0" xfId="1" applyNumberFormat="1" applyFont="1" applyFill="1"/>
    <xf numFmtId="43" fontId="0" fillId="3" borderId="0" xfId="1" applyFont="1" applyFill="1" applyBorder="1"/>
    <xf numFmtId="43" fontId="0" fillId="3" borderId="0" xfId="0" applyNumberFormat="1" applyFill="1"/>
    <xf numFmtId="43" fontId="0" fillId="3" borderId="0" xfId="1" applyNumberFormat="1" applyFont="1" applyFill="1"/>
    <xf numFmtId="0" fontId="0" fillId="5" borderId="0" xfId="0" applyFill="1"/>
    <xf numFmtId="164" fontId="5" fillId="2" borderId="0" xfId="2" applyNumberFormat="1" applyFont="1" applyFill="1"/>
    <xf numFmtId="43" fontId="5" fillId="2" borderId="0" xfId="1" applyFont="1" applyFill="1"/>
    <xf numFmtId="14" fontId="6" fillId="2" borderId="0" xfId="0" applyNumberFormat="1" applyFont="1" applyFill="1"/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43" fontId="2" fillId="3" borderId="0" xfId="1" applyFont="1" applyFill="1" applyAlignment="1">
      <alignment horizontal="right"/>
    </xf>
    <xf numFmtId="0" fontId="0" fillId="3" borderId="1" xfId="0" applyFill="1" applyBorder="1"/>
    <xf numFmtId="14" fontId="0" fillId="3" borderId="0" xfId="0" applyNumberFormat="1" applyFill="1" applyAlignment="1">
      <alignment horizontal="right"/>
    </xf>
    <xf numFmtId="10" fontId="0" fillId="3" borderId="0" xfId="0" applyNumberFormat="1" applyFill="1"/>
    <xf numFmtId="10" fontId="0" fillId="3" borderId="0" xfId="2" applyNumberFormat="1" applyFont="1" applyFill="1" applyBorder="1"/>
    <xf numFmtId="49" fontId="0" fillId="3" borderId="22" xfId="0" applyNumberFormat="1" applyFill="1" applyBorder="1" applyAlignment="1">
      <alignment vertical="center" wrapText="1"/>
    </xf>
    <xf numFmtId="0" fontId="5" fillId="3" borderId="0" xfId="0" applyFont="1" applyFill="1"/>
    <xf numFmtId="14" fontId="0" fillId="0" borderId="0" xfId="0" applyNumberFormat="1"/>
    <xf numFmtId="9" fontId="0" fillId="3" borderId="5" xfId="0" applyNumberFormat="1" applyFill="1" applyBorder="1" applyAlignment="1">
      <alignment horizontal="left"/>
    </xf>
    <xf numFmtId="49" fontId="6" fillId="3" borderId="2" xfId="0" applyNumberFormat="1" applyFont="1" applyFill="1" applyBorder="1" applyAlignment="1">
      <alignment vertical="center" wrapText="1"/>
    </xf>
    <xf numFmtId="14" fontId="5" fillId="3" borderId="0" xfId="0" applyNumberFormat="1" applyFont="1" applyFill="1"/>
    <xf numFmtId="14" fontId="0" fillId="3" borderId="0" xfId="0" applyNumberFormat="1" applyFill="1" applyBorder="1"/>
    <xf numFmtId="0" fontId="0" fillId="4" borderId="4" xfId="0" applyFill="1" applyBorder="1"/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/>
    <xf numFmtId="0" fontId="23" fillId="3" borderId="25" xfId="0" applyFont="1" applyFill="1" applyBorder="1"/>
    <xf numFmtId="0" fontId="0" fillId="3" borderId="25" xfId="0" applyFill="1" applyBorder="1"/>
    <xf numFmtId="0" fontId="0" fillId="3" borderId="26" xfId="0" applyFill="1" applyBorder="1"/>
    <xf numFmtId="167" fontId="0" fillId="3" borderId="25" xfId="0" applyNumberFormat="1" applyFill="1" applyBorder="1"/>
    <xf numFmtId="168" fontId="0" fillId="3" borderId="25" xfId="0" applyNumberFormat="1" applyFill="1" applyBorder="1"/>
    <xf numFmtId="0" fontId="0" fillId="3" borderId="24" xfId="0" applyFill="1" applyBorder="1"/>
    <xf numFmtId="14" fontId="0" fillId="0" borderId="27" xfId="0" applyNumberFormat="1" applyBorder="1"/>
    <xf numFmtId="14" fontId="0" fillId="0" borderId="28" xfId="0" applyNumberFormat="1" applyBorder="1"/>
    <xf numFmtId="14" fontId="0" fillId="0" borderId="29" xfId="0" applyNumberFormat="1" applyBorder="1"/>
    <xf numFmtId="14" fontId="0" fillId="0" borderId="30" xfId="0" applyNumberFormat="1" applyBorder="1"/>
    <xf numFmtId="14" fontId="0" fillId="0" borderId="31" xfId="0" applyNumberFormat="1" applyBorder="1"/>
    <xf numFmtId="0" fontId="0" fillId="3" borderId="32" xfId="0" applyFill="1" applyBorder="1"/>
    <xf numFmtId="14" fontId="0" fillId="0" borderId="33" xfId="0" applyNumberFormat="1" applyBorder="1"/>
    <xf numFmtId="0" fontId="0" fillId="3" borderId="34" xfId="0" applyFill="1" applyBorder="1"/>
    <xf numFmtId="166" fontId="0" fillId="3" borderId="0" xfId="1" applyNumberFormat="1" applyFont="1" applyFill="1"/>
    <xf numFmtId="49" fontId="24" fillId="3" borderId="3" xfId="0" applyNumberFormat="1" applyFont="1" applyFill="1" applyBorder="1" applyAlignment="1">
      <alignment vertical="center" wrapText="1"/>
    </xf>
    <xf numFmtId="0" fontId="24" fillId="3" borderId="0" xfId="0" applyFont="1" applyFill="1"/>
    <xf numFmtId="166" fontId="24" fillId="3" borderId="0" xfId="1" applyNumberFormat="1" applyFont="1" applyFill="1"/>
    <xf numFmtId="0" fontId="2" fillId="3" borderId="0" xfId="0" applyFont="1" applyFill="1" applyAlignment="1">
      <alignment vertical="center"/>
    </xf>
    <xf numFmtId="9" fontId="0" fillId="3" borderId="0" xfId="0" applyNumberFormat="1" applyFill="1" applyAlignment="1">
      <alignment horizontal="left"/>
    </xf>
    <xf numFmtId="166" fontId="0" fillId="0" borderId="0" xfId="1" applyNumberFormat="1" applyFont="1"/>
    <xf numFmtId="10" fontId="2" fillId="3" borderId="0" xfId="2" applyNumberFormat="1" applyFont="1" applyFill="1" applyBorder="1"/>
    <xf numFmtId="49" fontId="2" fillId="3" borderId="0" xfId="0" applyNumberFormat="1" applyFont="1" applyFill="1" applyAlignment="1">
      <alignment vertical="center" wrapText="1"/>
    </xf>
    <xf numFmtId="10" fontId="2" fillId="3" borderId="0" xfId="2" applyNumberFormat="1" applyFont="1" applyFill="1" applyAlignment="1">
      <alignment vertical="center" wrapText="1"/>
    </xf>
    <xf numFmtId="10" fontId="5" fillId="2" borderId="0" xfId="2" applyNumberFormat="1" applyFont="1" applyFill="1"/>
    <xf numFmtId="43" fontId="2" fillId="3" borderId="0" xfId="0" applyNumberFormat="1" applyFont="1" applyFill="1"/>
    <xf numFmtId="165" fontId="0" fillId="3" borderId="0" xfId="0" applyNumberFormat="1" applyFill="1"/>
    <xf numFmtId="169" fontId="0" fillId="3" borderId="0" xfId="2" applyNumberFormat="1" applyFont="1" applyFill="1"/>
    <xf numFmtId="0" fontId="0" fillId="3" borderId="0" xfId="1" applyNumberFormat="1" applyFont="1" applyFill="1"/>
    <xf numFmtId="166" fontId="0" fillId="3" borderId="0" xfId="1" applyNumberFormat="1" applyFont="1" applyFill="1" applyBorder="1"/>
    <xf numFmtId="43" fontId="0" fillId="3" borderId="1" xfId="1" applyFont="1" applyFill="1" applyBorder="1"/>
    <xf numFmtId="3" fontId="0" fillId="3" borderId="0" xfId="0" applyNumberFormat="1" applyFill="1" applyBorder="1"/>
    <xf numFmtId="14" fontId="0" fillId="0" borderId="0" xfId="0" applyNumberFormat="1" applyBorder="1"/>
    <xf numFmtId="0" fontId="2" fillId="3" borderId="0" xfId="0" applyFont="1" applyFill="1" applyBorder="1"/>
    <xf numFmtId="0" fontId="2" fillId="3" borderId="36" xfId="0" applyFont="1" applyFill="1" applyBorder="1"/>
    <xf numFmtId="0" fontId="2" fillId="3" borderId="37" xfId="0" applyFont="1" applyFill="1" applyBorder="1"/>
    <xf numFmtId="0" fontId="2" fillId="3" borderId="38" xfId="0" applyFont="1" applyFill="1" applyBorder="1"/>
    <xf numFmtId="49" fontId="2" fillId="3" borderId="39" xfId="0" applyNumberFormat="1" applyFont="1" applyFill="1" applyBorder="1" applyAlignment="1">
      <alignment vertical="center" wrapText="1"/>
    </xf>
    <xf numFmtId="49" fontId="2" fillId="3" borderId="40" xfId="0" applyNumberFormat="1" applyFont="1" applyFill="1" applyBorder="1" applyAlignment="1">
      <alignment vertical="center" wrapText="1"/>
    </xf>
    <xf numFmtId="49" fontId="0" fillId="3" borderId="41" xfId="0" applyNumberFormat="1" applyFill="1" applyBorder="1" applyAlignment="1">
      <alignment vertical="center" wrapText="1"/>
    </xf>
    <xf numFmtId="49" fontId="0" fillId="3" borderId="42" xfId="0" applyNumberFormat="1" applyFill="1" applyBorder="1" applyAlignment="1">
      <alignment vertical="center" wrapText="1"/>
    </xf>
    <xf numFmtId="49" fontId="6" fillId="3" borderId="38" xfId="0" applyNumberFormat="1" applyFont="1" applyFill="1" applyBorder="1" applyAlignment="1">
      <alignment vertical="center" wrapText="1"/>
    </xf>
    <xf numFmtId="49" fontId="24" fillId="3" borderId="43" xfId="0" applyNumberFormat="1" applyFont="1" applyFill="1" applyBorder="1" applyAlignment="1">
      <alignment vertical="center" wrapText="1"/>
    </xf>
    <xf numFmtId="0" fontId="2" fillId="3" borderId="44" xfId="0" applyFont="1" applyFill="1" applyBorder="1" applyAlignment="1">
      <alignment vertical="center"/>
    </xf>
    <xf numFmtId="49" fontId="0" fillId="3" borderId="45" xfId="0" applyNumberFormat="1" applyFill="1" applyBorder="1" applyAlignment="1">
      <alignment vertical="center" wrapText="1"/>
    </xf>
    <xf numFmtId="0" fontId="2" fillId="4" borderId="44" xfId="0" applyFont="1" applyFill="1" applyBorder="1" applyAlignment="1">
      <alignment vertical="center"/>
    </xf>
    <xf numFmtId="0" fontId="0" fillId="4" borderId="7" xfId="0" applyFill="1" applyBorder="1"/>
    <xf numFmtId="0" fontId="2" fillId="3" borderId="23" xfId="0" applyFont="1" applyFill="1" applyBorder="1" applyAlignment="1">
      <alignment vertical="center"/>
    </xf>
    <xf numFmtId="9" fontId="0" fillId="3" borderId="46" xfId="0" applyNumberFormat="1" applyFill="1" applyBorder="1" applyAlignment="1">
      <alignment horizontal="left"/>
    </xf>
    <xf numFmtId="9" fontId="0" fillId="3" borderId="35" xfId="0" applyNumberFormat="1" applyFill="1" applyBorder="1" applyAlignment="1">
      <alignment horizontal="left"/>
    </xf>
    <xf numFmtId="165" fontId="23" fillId="3" borderId="0" xfId="0" applyNumberFormat="1" applyFont="1" applyFill="1"/>
    <xf numFmtId="43" fontId="23" fillId="3" borderId="0" xfId="0" applyNumberFormat="1" applyFont="1" applyFill="1"/>
    <xf numFmtId="170" fontId="0" fillId="3" borderId="0" xfId="1" applyNumberFormat="1" applyFont="1" applyFill="1"/>
    <xf numFmtId="170" fontId="24" fillId="3" borderId="0" xfId="1" applyNumberFormat="1" applyFont="1" applyFill="1"/>
    <xf numFmtId="170" fontId="0" fillId="0" borderId="0" xfId="1" applyNumberFormat="1" applyFont="1"/>
    <xf numFmtId="170" fontId="0" fillId="3" borderId="0" xfId="1" applyNumberFormat="1" applyFont="1" applyFill="1" applyBorder="1"/>
    <xf numFmtId="170" fontId="0" fillId="3" borderId="0" xfId="0" applyNumberFormat="1" applyFill="1" applyBorder="1"/>
    <xf numFmtId="170" fontId="0" fillId="3" borderId="1" xfId="1" applyNumberFormat="1" applyFont="1" applyFill="1" applyBorder="1"/>
    <xf numFmtId="0" fontId="2" fillId="3" borderId="0" xfId="0" applyFont="1" applyFill="1" applyBorder="1" applyAlignment="1">
      <alignment vertical="center"/>
    </xf>
    <xf numFmtId="9" fontId="0" fillId="3" borderId="0" xfId="0" applyNumberFormat="1" applyFill="1" applyBorder="1" applyAlignment="1">
      <alignment horizontal="left"/>
    </xf>
    <xf numFmtId="0" fontId="0" fillId="3" borderId="0" xfId="0" applyFont="1" applyFill="1"/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3" borderId="0" xfId="0" applyNumberFormat="1" applyFill="1" applyBorder="1"/>
    <xf numFmtId="0" fontId="0" fillId="38" borderId="0" xfId="0" applyFill="1" applyBorder="1"/>
    <xf numFmtId="170" fontId="24" fillId="3" borderId="2" xfId="0" applyNumberFormat="1" applyFont="1" applyFill="1" applyBorder="1" applyAlignment="1">
      <alignment vertical="center" wrapText="1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71" fontId="0" fillId="3" borderId="0" xfId="1" applyNumberFormat="1" applyFont="1" applyFill="1"/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37" borderId="2" xfId="0" applyFill="1" applyBorder="1"/>
    <xf numFmtId="2" fontId="0" fillId="3" borderId="0" xfId="0" applyNumberFormat="1" applyFill="1"/>
    <xf numFmtId="43" fontId="23" fillId="3" borderId="1" xfId="0" applyNumberFormat="1" applyFont="1" applyFill="1" applyBorder="1"/>
    <xf numFmtId="165" fontId="23" fillId="3" borderId="1" xfId="0" applyNumberFormat="1" applyFont="1" applyFill="1" applyBorder="1"/>
    <xf numFmtId="0" fontId="0" fillId="0" borderId="1" xfId="0" applyBorder="1"/>
    <xf numFmtId="10" fontId="0" fillId="3" borderId="1" xfId="2" applyNumberFormat="1" applyFont="1" applyFill="1" applyBorder="1"/>
    <xf numFmtId="10" fontId="0" fillId="37" borderId="2" xfId="0" applyNumberFormat="1" applyFill="1" applyBorder="1"/>
    <xf numFmtId="14" fontId="5" fillId="2" borderId="1" xfId="0" applyNumberFormat="1" applyFont="1" applyFill="1" applyBorder="1"/>
    <xf numFmtId="14" fontId="0" fillId="3" borderId="1" xfId="0" applyNumberFormat="1" applyFill="1" applyBorder="1"/>
    <xf numFmtId="10" fontId="0" fillId="3" borderId="0" xfId="0" applyNumberFormat="1" applyFill="1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/>
    <xf numFmtId="4" fontId="0" fillId="0" borderId="0" xfId="0" applyNumberFormat="1" applyAlignment="1">
      <alignment horizontal="right"/>
    </xf>
    <xf numFmtId="0" fontId="20" fillId="3" borderId="0" xfId="0" applyFont="1" applyFill="1"/>
    <xf numFmtId="0" fontId="23" fillId="3" borderId="0" xfId="0" applyFont="1" applyFill="1"/>
    <xf numFmtId="167" fontId="0" fillId="37" borderId="2" xfId="0" applyNumberFormat="1" applyFill="1" applyBorder="1"/>
    <xf numFmtId="14" fontId="0" fillId="37" borderId="2" xfId="0" applyNumberFormat="1" applyFill="1" applyBorder="1"/>
    <xf numFmtId="172" fontId="0" fillId="37" borderId="2" xfId="0" applyNumberFormat="1" applyFill="1" applyBorder="1"/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39" borderId="0" xfId="0" applyFill="1"/>
    <xf numFmtId="0" fontId="2" fillId="3" borderId="47" xfId="0" applyFont="1" applyFill="1" applyBorder="1"/>
    <xf numFmtId="0" fontId="2" fillId="3" borderId="48" xfId="0" applyFont="1" applyFill="1" applyBorder="1"/>
    <xf numFmtId="0" fontId="0" fillId="3" borderId="48" xfId="0" applyFill="1" applyBorder="1"/>
    <xf numFmtId="0" fontId="0" fillId="3" borderId="49" xfId="0" applyFill="1" applyBorder="1"/>
    <xf numFmtId="10" fontId="0" fillId="3" borderId="49" xfId="2" applyNumberFormat="1" applyFont="1" applyFill="1" applyBorder="1"/>
    <xf numFmtId="43" fontId="0" fillId="3" borderId="0" xfId="2" applyNumberFormat="1" applyFont="1" applyFill="1"/>
    <xf numFmtId="173" fontId="0" fillId="3" borderId="0" xfId="2" applyNumberFormat="1" applyFont="1" applyFill="1"/>
    <xf numFmtId="0" fontId="0" fillId="3" borderId="0" xfId="2" applyNumberFormat="1" applyFont="1" applyFill="1"/>
    <xf numFmtId="174" fontId="0" fillId="3" borderId="0" xfId="2" applyNumberFormat="1" applyFont="1" applyFill="1"/>
    <xf numFmtId="14" fontId="0" fillId="3" borderId="49" xfId="0" applyNumberFormat="1" applyFill="1" applyBorder="1"/>
    <xf numFmtId="9" fontId="0" fillId="3" borderId="0" xfId="0" applyNumberFormat="1" applyFill="1"/>
    <xf numFmtId="173" fontId="0" fillId="3" borderId="0" xfId="0" applyNumberFormat="1" applyFill="1"/>
    <xf numFmtId="0" fontId="0" fillId="3" borderId="11" xfId="0" applyFill="1" applyBorder="1" applyAlignment="1">
      <alignment horizontal="right"/>
    </xf>
    <xf numFmtId="10" fontId="0" fillId="3" borderId="0" xfId="2" applyNumberFormat="1" applyFont="1" applyFill="1" applyAlignment="1">
      <alignment horizontal="left"/>
    </xf>
    <xf numFmtId="173" fontId="0" fillId="3" borderId="0" xfId="2" applyNumberFormat="1" applyFont="1" applyFill="1" applyAlignment="1">
      <alignment horizontal="right"/>
    </xf>
    <xf numFmtId="173" fontId="0" fillId="3" borderId="0" xfId="2" applyNumberFormat="1" applyFont="1" applyFill="1" applyAlignment="1">
      <alignment horizontal="left"/>
    </xf>
    <xf numFmtId="10" fontId="0" fillId="3" borderId="0" xfId="2" applyNumberFormat="1" applyFont="1" applyFill="1" applyAlignment="1">
      <alignment horizontal="right"/>
    </xf>
    <xf numFmtId="0" fontId="0" fillId="3" borderId="50" xfId="0" applyFill="1" applyBorder="1"/>
    <xf numFmtId="173" fontId="0" fillId="3" borderId="50" xfId="0" applyNumberFormat="1" applyFill="1" applyBorder="1" applyAlignment="1">
      <alignment horizontal="right"/>
    </xf>
    <xf numFmtId="10" fontId="0" fillId="3" borderId="50" xfId="2" applyNumberFormat="1" applyFont="1" applyFill="1" applyBorder="1" applyAlignment="1">
      <alignment horizontal="left"/>
    </xf>
    <xf numFmtId="10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12" xfId="0" applyFill="1" applyBorder="1" applyAlignment="1">
      <alignment horizontal="left"/>
    </xf>
    <xf numFmtId="173" fontId="2" fillId="3" borderId="0" xfId="2" applyNumberFormat="1" applyFont="1" applyFill="1" applyAlignment="1">
      <alignment horizontal="right"/>
    </xf>
    <xf numFmtId="10" fontId="2" fillId="3" borderId="0" xfId="2" applyNumberFormat="1" applyFont="1" applyFill="1" applyAlignment="1">
      <alignment horizontal="left"/>
    </xf>
    <xf numFmtId="10" fontId="0" fillId="3" borderId="0" xfId="0" applyNumberFormat="1" applyFill="1" applyBorder="1"/>
    <xf numFmtId="0" fontId="2" fillId="3" borderId="49" xfId="0" applyFont="1" applyFill="1" applyBorder="1"/>
    <xf numFmtId="10" fontId="5" fillId="3" borderId="0" xfId="2" applyNumberFormat="1" applyFont="1" applyFill="1"/>
    <xf numFmtId="174" fontId="0" fillId="3" borderId="0" xfId="2" applyNumberFormat="1" applyFont="1" applyFill="1" applyAlignment="1">
      <alignment horizontal="left"/>
    </xf>
    <xf numFmtId="175" fontId="0" fillId="3" borderId="0" xfId="0" applyNumberFormat="1" applyFill="1"/>
    <xf numFmtId="10" fontId="0" fillId="3" borderId="0" xfId="2" applyNumberFormat="1" applyFont="1" applyFill="1" applyBorder="1" applyAlignment="1">
      <alignment horizontal="left"/>
    </xf>
    <xf numFmtId="173" fontId="0" fillId="3" borderId="0" xfId="2" applyNumberFormat="1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173" fontId="0" fillId="3" borderId="0" xfId="0" applyNumberFormat="1" applyFill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73" fontId="0" fillId="3" borderId="50" xfId="2" applyNumberFormat="1" applyFont="1" applyFill="1" applyBorder="1" applyAlignment="1">
      <alignment horizontal="left"/>
    </xf>
    <xf numFmtId="174" fontId="0" fillId="3" borderId="0" xfId="2" applyNumberFormat="1" applyFont="1" applyFill="1" applyBorder="1"/>
    <xf numFmtId="174" fontId="0" fillId="3" borderId="0" xfId="2" applyNumberFormat="1" applyFont="1" applyFill="1" applyBorder="1" applyAlignment="1">
      <alignment horizontal="left"/>
    </xf>
    <xf numFmtId="10" fontId="0" fillId="3" borderId="0" xfId="2" applyNumberFormat="1" applyFont="1" applyFill="1" applyBorder="1" applyAlignment="1">
      <alignment horizontal="right"/>
    </xf>
    <xf numFmtId="10" fontId="23" fillId="3" borderId="0" xfId="2" applyNumberFormat="1" applyFont="1" applyFill="1"/>
    <xf numFmtId="174" fontId="0" fillId="3" borderId="0" xfId="0" applyNumberFormat="1" applyFill="1"/>
    <xf numFmtId="173" fontId="2" fillId="3" borderId="0" xfId="0" applyNumberFormat="1" applyFont="1" applyFill="1" applyAlignment="1">
      <alignment horizontal="right"/>
    </xf>
    <xf numFmtId="173" fontId="2" fillId="3" borderId="0" xfId="0" applyNumberFormat="1" applyFont="1" applyFill="1"/>
    <xf numFmtId="175" fontId="0" fillId="3" borderId="0" xfId="0" applyNumberFormat="1" applyFill="1" applyBorder="1"/>
    <xf numFmtId="0" fontId="0" fillId="3" borderId="0" xfId="0" applyFill="1" applyBorder="1" applyAlignment="1">
      <alignment horizontal="left"/>
    </xf>
    <xf numFmtId="14" fontId="0" fillId="38" borderId="0" xfId="0" applyNumberForma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Performance</a:t>
            </a:r>
            <a:r>
              <a:rPr lang="it-IT" baseline="0"/>
              <a:t> cumulate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Performance!$F$2</c:f>
              <c:strCache>
                <c:ptCount val="1"/>
                <c:pt idx="0">
                  <c:v>portafoglio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Performance!$C$5:$C$35</c:f>
              <c:numCache>
                <c:formatCode>m/d/yyyy</c:formatCode>
                <c:ptCount val="31"/>
                <c:pt idx="0">
                  <c:v>43721</c:v>
                </c:pt>
                <c:pt idx="1">
                  <c:v>43724</c:v>
                </c:pt>
                <c:pt idx="2">
                  <c:v>43725</c:v>
                </c:pt>
                <c:pt idx="3">
                  <c:v>43726</c:v>
                </c:pt>
                <c:pt idx="4">
                  <c:v>43727</c:v>
                </c:pt>
                <c:pt idx="5">
                  <c:v>43728</c:v>
                </c:pt>
                <c:pt idx="6">
                  <c:v>43731</c:v>
                </c:pt>
                <c:pt idx="7">
                  <c:v>43732</c:v>
                </c:pt>
                <c:pt idx="8">
                  <c:v>43733</c:v>
                </c:pt>
                <c:pt idx="9">
                  <c:v>43734</c:v>
                </c:pt>
                <c:pt idx="10">
                  <c:v>43735</c:v>
                </c:pt>
                <c:pt idx="11">
                  <c:v>43738</c:v>
                </c:pt>
                <c:pt idx="12">
                  <c:v>43739</c:v>
                </c:pt>
                <c:pt idx="13">
                  <c:v>43740</c:v>
                </c:pt>
                <c:pt idx="14">
                  <c:v>43741</c:v>
                </c:pt>
                <c:pt idx="15">
                  <c:v>43742</c:v>
                </c:pt>
                <c:pt idx="16">
                  <c:v>43745</c:v>
                </c:pt>
                <c:pt idx="17">
                  <c:v>43746</c:v>
                </c:pt>
                <c:pt idx="18">
                  <c:v>43747</c:v>
                </c:pt>
                <c:pt idx="19">
                  <c:v>43748</c:v>
                </c:pt>
                <c:pt idx="20">
                  <c:v>43749</c:v>
                </c:pt>
                <c:pt idx="21">
                  <c:v>43752</c:v>
                </c:pt>
                <c:pt idx="22">
                  <c:v>43753</c:v>
                </c:pt>
                <c:pt idx="23">
                  <c:v>43754</c:v>
                </c:pt>
                <c:pt idx="24">
                  <c:v>43755</c:v>
                </c:pt>
                <c:pt idx="25">
                  <c:v>43756</c:v>
                </c:pt>
                <c:pt idx="26">
                  <c:v>43759</c:v>
                </c:pt>
                <c:pt idx="27">
                  <c:v>43760</c:v>
                </c:pt>
                <c:pt idx="28">
                  <c:v>43761</c:v>
                </c:pt>
                <c:pt idx="29">
                  <c:v>43762</c:v>
                </c:pt>
                <c:pt idx="30">
                  <c:v>43763</c:v>
                </c:pt>
              </c:numCache>
            </c:numRef>
          </c:cat>
          <c:val>
            <c:numRef>
              <c:f>Performance!$F$5:$F$35</c:f>
              <c:numCache>
                <c:formatCode>0.00%</c:formatCode>
                <c:ptCount val="31"/>
                <c:pt idx="0">
                  <c:v>0</c:v>
                </c:pt>
                <c:pt idx="1">
                  <c:v>-2.1156978347979249E-3</c:v>
                </c:pt>
                <c:pt idx="2">
                  <c:v>1.6564062630850529E-3</c:v>
                </c:pt>
                <c:pt idx="3">
                  <c:v>1.2292269820719515E-3</c:v>
                </c:pt>
                <c:pt idx="4">
                  <c:v>8.1809560831014316E-4</c:v>
                </c:pt>
                <c:pt idx="5">
                  <c:v>4.7899577306431684E-3</c:v>
                </c:pt>
                <c:pt idx="6">
                  <c:v>1.0064252861017087E-2</c:v>
                </c:pt>
                <c:pt idx="7">
                  <c:v>6.2755088473567255E-3</c:v>
                </c:pt>
                <c:pt idx="8">
                  <c:v>2.7847674905869813E-3</c:v>
                </c:pt>
                <c:pt idx="9">
                  <c:v>8.2085521397521344E-3</c:v>
                </c:pt>
                <c:pt idx="10">
                  <c:v>7.2550441174168423E-3</c:v>
                </c:pt>
                <c:pt idx="11">
                  <c:v>1.0574441176325555E-2</c:v>
                </c:pt>
                <c:pt idx="12">
                  <c:v>4.5986025033009081E-3</c:v>
                </c:pt>
                <c:pt idx="13">
                  <c:v>-3.9453666916691166E-3</c:v>
                </c:pt>
                <c:pt idx="14">
                  <c:v>-1.9748009909950071E-3</c:v>
                </c:pt>
                <c:pt idx="15">
                  <c:v>1.8034604909673568E-3</c:v>
                </c:pt>
                <c:pt idx="16">
                  <c:v>3.3300688097916975E-3</c:v>
                </c:pt>
                <c:pt idx="17">
                  <c:v>-3.2514567991710486E-3</c:v>
                </c:pt>
                <c:pt idx="18">
                  <c:v>-2.2716649665532884E-4</c:v>
                </c:pt>
                <c:pt idx="19">
                  <c:v>-4.3187027133104738E-3</c:v>
                </c:pt>
                <c:pt idx="20">
                  <c:v>-1.6759809232076428E-3</c:v>
                </c:pt>
                <c:pt idx="21">
                  <c:v>-9.5240520271444584E-4</c:v>
                </c:pt>
                <c:pt idx="22">
                  <c:v>3.6040035255990865E-3</c:v>
                </c:pt>
                <c:pt idx="23">
                  <c:v>2.3520921189394972E-3</c:v>
                </c:pt>
                <c:pt idx="24">
                  <c:v>-4.3826720050391677E-3</c:v>
                </c:pt>
                <c:pt idx="25">
                  <c:v>-6.3326874810253342E-3</c:v>
                </c:pt>
                <c:pt idx="26">
                  <c:v>-8.0008706469435475E-3</c:v>
                </c:pt>
                <c:pt idx="27">
                  <c:v>-5.8965594976634339E-3</c:v>
                </c:pt>
                <c:pt idx="28">
                  <c:v>-4.5326202547635308E-3</c:v>
                </c:pt>
                <c:pt idx="29">
                  <c:v>-3.403368997416556E-3</c:v>
                </c:pt>
                <c:pt idx="30">
                  <c:v>-2.8769293152400843E-3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09-4085-B150-AA6398C10648}"/>
            </c:ext>
          </c:extLst>
        </c:ser>
        <c:ser>
          <c:idx val="1"/>
          <c:order val="1"/>
          <c:tx>
            <c:strRef>
              <c:f>Performance!$G$2</c:f>
              <c:strCache>
                <c:ptCount val="1"/>
                <c:pt idx="0">
                  <c:v>benchmark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Performance!$C$5:$C$35</c:f>
              <c:numCache>
                <c:formatCode>m/d/yyyy</c:formatCode>
                <c:ptCount val="31"/>
                <c:pt idx="0">
                  <c:v>43721</c:v>
                </c:pt>
                <c:pt idx="1">
                  <c:v>43724</c:v>
                </c:pt>
                <c:pt idx="2">
                  <c:v>43725</c:v>
                </c:pt>
                <c:pt idx="3">
                  <c:v>43726</c:v>
                </c:pt>
                <c:pt idx="4">
                  <c:v>43727</c:v>
                </c:pt>
                <c:pt idx="5">
                  <c:v>43728</c:v>
                </c:pt>
                <c:pt idx="6">
                  <c:v>43731</c:v>
                </c:pt>
                <c:pt idx="7">
                  <c:v>43732</c:v>
                </c:pt>
                <c:pt idx="8">
                  <c:v>43733</c:v>
                </c:pt>
                <c:pt idx="9">
                  <c:v>43734</c:v>
                </c:pt>
                <c:pt idx="10">
                  <c:v>43735</c:v>
                </c:pt>
                <c:pt idx="11">
                  <c:v>43738</c:v>
                </c:pt>
                <c:pt idx="12">
                  <c:v>43739</c:v>
                </c:pt>
                <c:pt idx="13">
                  <c:v>43740</c:v>
                </c:pt>
                <c:pt idx="14">
                  <c:v>43741</c:v>
                </c:pt>
                <c:pt idx="15">
                  <c:v>43742</c:v>
                </c:pt>
                <c:pt idx="16">
                  <c:v>43745</c:v>
                </c:pt>
                <c:pt idx="17">
                  <c:v>43746</c:v>
                </c:pt>
                <c:pt idx="18">
                  <c:v>43747</c:v>
                </c:pt>
                <c:pt idx="19">
                  <c:v>43748</c:v>
                </c:pt>
                <c:pt idx="20">
                  <c:v>43749</c:v>
                </c:pt>
                <c:pt idx="21">
                  <c:v>43752</c:v>
                </c:pt>
                <c:pt idx="22">
                  <c:v>43753</c:v>
                </c:pt>
                <c:pt idx="23">
                  <c:v>43754</c:v>
                </c:pt>
                <c:pt idx="24">
                  <c:v>43755</c:v>
                </c:pt>
                <c:pt idx="25">
                  <c:v>43756</c:v>
                </c:pt>
                <c:pt idx="26">
                  <c:v>43759</c:v>
                </c:pt>
                <c:pt idx="27">
                  <c:v>43760</c:v>
                </c:pt>
                <c:pt idx="28">
                  <c:v>43761</c:v>
                </c:pt>
                <c:pt idx="29">
                  <c:v>43762</c:v>
                </c:pt>
                <c:pt idx="30">
                  <c:v>43763</c:v>
                </c:pt>
              </c:numCache>
            </c:numRef>
          </c:cat>
          <c:val>
            <c:numRef>
              <c:f>Performance!$G$5:$G$35</c:f>
              <c:numCache>
                <c:formatCode>0.00%</c:formatCode>
                <c:ptCount val="31"/>
                <c:pt idx="0">
                  <c:v>0</c:v>
                </c:pt>
                <c:pt idx="1">
                  <c:v>4.5654807462369544E-5</c:v>
                </c:pt>
                <c:pt idx="2">
                  <c:v>-3.1978035548352324E-4</c:v>
                </c:pt>
                <c:pt idx="3">
                  <c:v>1.7665818637979669E-3</c:v>
                </c:pt>
                <c:pt idx="4">
                  <c:v>1.8203493033703833E-3</c:v>
                </c:pt>
                <c:pt idx="5">
                  <c:v>1.1838211464305637E-3</c:v>
                </c:pt>
                <c:pt idx="6">
                  <c:v>3.742601416854674E-3</c:v>
                </c:pt>
                <c:pt idx="7">
                  <c:v>2.4818071392007646E-3</c:v>
                </c:pt>
                <c:pt idx="8">
                  <c:v>2.0390564572316805E-3</c:v>
                </c:pt>
                <c:pt idx="9">
                  <c:v>2.0997391342127969E-3</c:v>
                </c:pt>
                <c:pt idx="10">
                  <c:v>4.272758626937545E-4</c:v>
                </c:pt>
                <c:pt idx="11">
                  <c:v>1.1848385846680021E-3</c:v>
                </c:pt>
                <c:pt idx="12">
                  <c:v>-3.1727236303805695E-3</c:v>
                </c:pt>
                <c:pt idx="13">
                  <c:v>-1.0832108495605564E-2</c:v>
                </c:pt>
                <c:pt idx="14">
                  <c:v>-7.1180246127766633E-3</c:v>
                </c:pt>
                <c:pt idx="15">
                  <c:v>-3.3403292254092776E-3</c:v>
                </c:pt>
                <c:pt idx="16">
                  <c:v>-4.382374707623593E-3</c:v>
                </c:pt>
                <c:pt idx="17">
                  <c:v>-8.2449437386254987E-3</c:v>
                </c:pt>
                <c:pt idx="18">
                  <c:v>-7.524558913428181E-3</c:v>
                </c:pt>
                <c:pt idx="19">
                  <c:v>-7.9948966498668561E-3</c:v>
                </c:pt>
                <c:pt idx="20">
                  <c:v>-3.5254178524942725E-3</c:v>
                </c:pt>
                <c:pt idx="21">
                  <c:v>-3.1135597345645083E-3</c:v>
                </c:pt>
                <c:pt idx="22">
                  <c:v>-1.0033646262256335E-3</c:v>
                </c:pt>
                <c:pt idx="23">
                  <c:v>-1.5030194399512364E-3</c:v>
                </c:pt>
                <c:pt idx="24">
                  <c:v>2.7636518240470309E-4</c:v>
                </c:pt>
                <c:pt idx="25">
                  <c:v>-1.775280711934335E-3</c:v>
                </c:pt>
                <c:pt idx="26">
                  <c:v>-1.2824137138411906E-3</c:v>
                </c:pt>
                <c:pt idx="27">
                  <c:v>-1.4698406556767907E-4</c:v>
                </c:pt>
                <c:pt idx="28">
                  <c:v>1.1754843809810289E-3</c:v>
                </c:pt>
                <c:pt idx="29">
                  <c:v>3.0996637958904394E-3</c:v>
                </c:pt>
                <c:pt idx="30">
                  <c:v>2.7270534822929626E-3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09-4085-B150-AA6398C10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379720"/>
        <c:axId val="479375408"/>
      </c:lineChart>
      <c:dateAx>
        <c:axId val="4793797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75408"/>
        <c:crosses val="autoZero"/>
        <c:auto val="1"/>
        <c:lblOffset val="100"/>
        <c:baseTimeUnit val="days"/>
      </c:dateAx>
      <c:valAx>
        <c:axId val="4793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79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199478</xdr:colOff>
      <xdr:row>3</xdr:row>
      <xdr:rowOff>134470</xdr:rowOff>
    </xdr:from>
    <xdr:to>
      <xdr:col>20</xdr:col>
      <xdr:colOff>455049</xdr:colOff>
      <xdr:row>22</xdr:row>
      <xdr:rowOff>128060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4BC955-57AC-4644-B0F9-F68FE923EA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1"/>
  <dimension ref="A2:X367"/>
  <sheetViews>
    <sheetView topLeftCell="G354" zoomScale="85" zoomScaleNormal="85" workbookViewId="0">
      <selection activeCell="I12" sqref="I12"/>
    </sheetView>
  </sheetViews>
  <sheetFormatPr defaultColWidth="8.81640625" defaultRowHeight="14.75" x14ac:dyDescent="0.75"/>
  <cols>
    <col min="1" max="1" width="8.81640625" style="1"/>
    <col min="2" max="2" width="11.453125" style="1" customWidth="1"/>
    <col min="3" max="3" width="15.81640625" style="1" customWidth="1"/>
    <col min="4" max="4" width="13.36328125" style="1" customWidth="1"/>
    <col min="5" max="5" width="17.36328125" style="1" customWidth="1"/>
    <col min="6" max="6" width="12.6328125" style="1" customWidth="1"/>
    <col min="7" max="7" width="24.81640625" style="1" customWidth="1"/>
    <col min="8" max="8" width="10.453125" style="1" bestFit="1" customWidth="1"/>
    <col min="9" max="9" width="12.453125" style="1" customWidth="1"/>
    <col min="10" max="10" width="10.81640625" style="1" customWidth="1"/>
    <col min="11" max="11" width="12.453125" style="1" customWidth="1"/>
    <col min="12" max="12" width="12.6328125" style="1" customWidth="1"/>
    <col min="13" max="13" width="12.453125" style="1" customWidth="1"/>
    <col min="14" max="14" width="10.81640625" style="1" customWidth="1"/>
    <col min="15" max="15" width="12.453125" style="1" customWidth="1"/>
    <col min="16" max="16" width="10.1796875" style="1" customWidth="1"/>
    <col min="17" max="17" width="12.453125" style="1" customWidth="1"/>
    <col min="18" max="18" width="11.6328125" style="1" customWidth="1"/>
    <col min="19" max="19" width="12.453125" style="1" customWidth="1"/>
    <col min="20" max="20" width="8.81640625" style="1" customWidth="1"/>
    <col min="21" max="21" width="8.81640625" style="1"/>
    <col min="22" max="23" width="8.81640625" style="10"/>
    <col min="24" max="16384" width="8.81640625" style="1"/>
  </cols>
  <sheetData>
    <row r="2" spans="1:23" ht="15.5" thickBot="1" x14ac:dyDescent="0.9">
      <c r="A2" s="10"/>
      <c r="B2" s="10"/>
      <c r="D2" s="1" t="s">
        <v>59</v>
      </c>
      <c r="E2" s="1" t="s">
        <v>59</v>
      </c>
      <c r="F2" s="1" t="s">
        <v>59</v>
      </c>
      <c r="G2" s="1" t="s">
        <v>59</v>
      </c>
    </row>
    <row r="3" spans="1:23" ht="13.5" customHeight="1" x14ac:dyDescent="0.75">
      <c r="A3" s="10"/>
      <c r="B3" s="81" t="s">
        <v>30</v>
      </c>
      <c r="C3" s="82" t="s">
        <v>58</v>
      </c>
      <c r="D3" s="82" t="s">
        <v>54</v>
      </c>
      <c r="E3" s="82" t="s">
        <v>55</v>
      </c>
      <c r="F3" s="82" t="s">
        <v>57</v>
      </c>
      <c r="G3" s="83" t="s">
        <v>56</v>
      </c>
      <c r="H3" s="84" t="s">
        <v>2</v>
      </c>
    </row>
    <row r="4" spans="1:23" ht="45" thickBot="1" x14ac:dyDescent="0.9">
      <c r="A4" s="10"/>
      <c r="B4" s="85" t="s">
        <v>47</v>
      </c>
      <c r="C4" s="86" t="s">
        <v>52</v>
      </c>
      <c r="D4" s="86" t="s">
        <v>48</v>
      </c>
      <c r="E4" s="86" t="s">
        <v>49</v>
      </c>
      <c r="F4" s="86" t="s">
        <v>51</v>
      </c>
      <c r="G4" s="86" t="s">
        <v>50</v>
      </c>
      <c r="H4" s="87" t="s">
        <v>3</v>
      </c>
    </row>
    <row r="5" spans="1:23" x14ac:dyDescent="0.75">
      <c r="A5" s="10"/>
      <c r="B5" s="10"/>
      <c r="C5" s="10"/>
      <c r="D5" s="10"/>
      <c r="E5" s="10"/>
      <c r="F5" s="10"/>
      <c r="G5" s="10"/>
      <c r="H5" s="39"/>
    </row>
    <row r="6" spans="1:23" ht="51" customHeight="1" x14ac:dyDescent="0.75">
      <c r="A6" s="10"/>
      <c r="B6" s="10"/>
      <c r="C6" s="10"/>
      <c r="D6" s="10"/>
      <c r="E6" s="10"/>
      <c r="F6" s="10"/>
      <c r="G6" s="10"/>
      <c r="H6" s="39"/>
    </row>
    <row r="7" spans="1:23" x14ac:dyDescent="0.75">
      <c r="K7" s="120"/>
    </row>
    <row r="10" spans="1:23" x14ac:dyDescent="0.75">
      <c r="I10" s="80" t="s">
        <v>58</v>
      </c>
      <c r="J10" s="80" t="s">
        <v>58</v>
      </c>
      <c r="K10" s="80" t="s">
        <v>54</v>
      </c>
      <c r="L10" s="80" t="s">
        <v>54</v>
      </c>
      <c r="M10" s="80" t="s">
        <v>55</v>
      </c>
      <c r="N10" s="80" t="s">
        <v>55</v>
      </c>
      <c r="O10" s="80" t="s">
        <v>57</v>
      </c>
      <c r="P10" s="80" t="s">
        <v>57</v>
      </c>
      <c r="Q10" s="80" t="s">
        <v>56</v>
      </c>
      <c r="R10" s="80" t="s">
        <v>56</v>
      </c>
      <c r="S10" s="11" t="s">
        <v>2</v>
      </c>
      <c r="T10" s="11" t="s">
        <v>2</v>
      </c>
    </row>
    <row r="11" spans="1:23" x14ac:dyDescent="0.75">
      <c r="H11" s="3"/>
      <c r="I11" s="1" t="s">
        <v>0</v>
      </c>
      <c r="J11" s="1" t="s">
        <v>1</v>
      </c>
      <c r="K11" s="1" t="s">
        <v>0</v>
      </c>
      <c r="L11" s="1" t="s">
        <v>1</v>
      </c>
      <c r="M11" s="1" t="s">
        <v>0</v>
      </c>
      <c r="N11" s="1" t="s">
        <v>1</v>
      </c>
      <c r="O11" s="1" t="s">
        <v>0</v>
      </c>
      <c r="P11" s="1" t="s">
        <v>1</v>
      </c>
      <c r="Q11" s="1" t="s">
        <v>0</v>
      </c>
      <c r="R11" s="1" t="s">
        <v>1</v>
      </c>
      <c r="S11" s="1" t="s">
        <v>0</v>
      </c>
      <c r="T11" s="1" t="s">
        <v>4</v>
      </c>
    </row>
    <row r="12" spans="1:23" x14ac:dyDescent="0.75">
      <c r="H12" s="3"/>
      <c r="I12" s="35">
        <v>43770</v>
      </c>
      <c r="J12" s="188">
        <v>5.214162</v>
      </c>
      <c r="K12" s="35">
        <v>43770</v>
      </c>
      <c r="L12" s="188">
        <v>307.898796</v>
      </c>
      <c r="M12" s="35">
        <v>43770</v>
      </c>
      <c r="N12" s="188">
        <v>26.228110000000001</v>
      </c>
      <c r="O12" s="35">
        <v>43770</v>
      </c>
      <c r="P12" s="188">
        <v>57.318348</v>
      </c>
      <c r="Q12" s="35">
        <v>43770</v>
      </c>
      <c r="R12" s="188">
        <v>113.043131</v>
      </c>
      <c r="S12" s="35">
        <v>43770</v>
      </c>
      <c r="T12" s="47">
        <v>1.1138999999999999</v>
      </c>
    </row>
    <row r="13" spans="1:23" x14ac:dyDescent="0.75">
      <c r="H13" s="3"/>
      <c r="I13" s="35">
        <v>43769</v>
      </c>
      <c r="J13" s="188">
        <v>5.2179380000000002</v>
      </c>
      <c r="K13" s="35">
        <v>43769</v>
      </c>
      <c r="L13" s="188">
        <v>304.92727500000001</v>
      </c>
      <c r="M13" s="35">
        <v>43769</v>
      </c>
      <c r="N13" s="188">
        <v>26.145472999999999</v>
      </c>
      <c r="O13" s="35">
        <v>43769</v>
      </c>
      <c r="P13" s="188">
        <v>57.413628000000003</v>
      </c>
      <c r="Q13" s="35">
        <v>43769</v>
      </c>
      <c r="R13" s="188">
        <v>113.147379</v>
      </c>
      <c r="S13" s="35">
        <v>43769</v>
      </c>
      <c r="T13" s="47">
        <v>1.1153999999999999</v>
      </c>
    </row>
    <row r="14" spans="1:23" x14ac:dyDescent="0.75">
      <c r="H14" s="3"/>
      <c r="I14" s="35">
        <v>43768</v>
      </c>
      <c r="J14" s="188">
        <v>5.1973929999999999</v>
      </c>
      <c r="K14" s="35">
        <v>43768</v>
      </c>
      <c r="L14" s="188">
        <v>305.83176200000003</v>
      </c>
      <c r="M14" s="35">
        <v>43768</v>
      </c>
      <c r="N14" s="188">
        <v>26.148349</v>
      </c>
      <c r="O14" s="35">
        <v>43768</v>
      </c>
      <c r="P14" s="188">
        <v>56.779840999999998</v>
      </c>
      <c r="Q14" s="35">
        <v>43768</v>
      </c>
      <c r="R14" s="188">
        <v>112.68719299999999</v>
      </c>
      <c r="S14" s="35">
        <v>43768</v>
      </c>
      <c r="T14" s="47">
        <v>1.1106</v>
      </c>
      <c r="W14" s="1"/>
    </row>
    <row r="15" spans="1:23" x14ac:dyDescent="0.75">
      <c r="H15" s="3"/>
      <c r="I15" s="35">
        <v>43767</v>
      </c>
      <c r="J15" s="188">
        <v>5.1909320000000001</v>
      </c>
      <c r="K15" s="35">
        <v>43767</v>
      </c>
      <c r="L15" s="188">
        <v>304.81552599999998</v>
      </c>
      <c r="M15" s="35">
        <v>43767</v>
      </c>
      <c r="N15" s="188">
        <v>25.943137</v>
      </c>
      <c r="O15" s="35">
        <v>43767</v>
      </c>
      <c r="P15" s="188">
        <v>56.525821999999998</v>
      </c>
      <c r="Q15" s="35">
        <v>43767</v>
      </c>
      <c r="R15" s="188">
        <v>112.859793</v>
      </c>
      <c r="S15" s="35">
        <v>43767</v>
      </c>
      <c r="T15" s="47">
        <v>1.1094999999999999</v>
      </c>
      <c r="W15" s="1"/>
    </row>
    <row r="16" spans="1:23" x14ac:dyDescent="0.75">
      <c r="H16" s="3"/>
      <c r="I16" s="35">
        <v>43766</v>
      </c>
      <c r="J16" s="188">
        <v>5.1895619999999996</v>
      </c>
      <c r="K16" s="35">
        <v>43766</v>
      </c>
      <c r="L16" s="188">
        <v>305.06589600000001</v>
      </c>
      <c r="M16" s="35">
        <v>43766</v>
      </c>
      <c r="N16" s="188">
        <v>25.933682999999998</v>
      </c>
      <c r="O16" s="35">
        <v>43766</v>
      </c>
      <c r="P16" s="188">
        <v>56.716479999999997</v>
      </c>
      <c r="Q16" s="35">
        <v>43766</v>
      </c>
      <c r="R16" s="188">
        <v>112.947118</v>
      </c>
      <c r="S16" s="35">
        <v>43766</v>
      </c>
      <c r="T16" s="47">
        <v>1.1087</v>
      </c>
      <c r="W16" s="1"/>
    </row>
    <row r="17" spans="7:24" x14ac:dyDescent="0.75">
      <c r="H17" s="3"/>
      <c r="I17" s="35">
        <v>43763</v>
      </c>
      <c r="J17" s="188">
        <v>5.2021139999999999</v>
      </c>
      <c r="K17" s="35">
        <v>43763</v>
      </c>
      <c r="L17" s="188">
        <v>303.37384100000003</v>
      </c>
      <c r="M17" s="35">
        <v>43763</v>
      </c>
      <c r="N17" s="188">
        <v>25.932645999999998</v>
      </c>
      <c r="O17" s="35">
        <v>43763</v>
      </c>
      <c r="P17" s="188">
        <v>57.104104999999997</v>
      </c>
      <c r="Q17" s="35">
        <v>43763</v>
      </c>
      <c r="R17" s="188">
        <v>113.19274</v>
      </c>
      <c r="S17" s="35">
        <v>43763</v>
      </c>
      <c r="T17" s="47">
        <v>1.1107</v>
      </c>
      <c r="W17" s="1"/>
    </row>
    <row r="18" spans="7:24" x14ac:dyDescent="0.75">
      <c r="H18" s="3"/>
      <c r="I18" s="35">
        <v>43762</v>
      </c>
      <c r="J18" s="185">
        <v>5.2097389999999999</v>
      </c>
      <c r="K18" s="35">
        <v>43762</v>
      </c>
      <c r="L18" s="184">
        <v>302.138623</v>
      </c>
      <c r="M18" s="35">
        <v>43762</v>
      </c>
      <c r="N18" s="186">
        <v>25.974429000000001</v>
      </c>
      <c r="O18" s="35">
        <v>43762</v>
      </c>
      <c r="P18" s="187">
        <v>57.056820999999999</v>
      </c>
      <c r="Q18" s="35">
        <v>43762</v>
      </c>
      <c r="R18" s="188">
        <v>113.13304599999999</v>
      </c>
      <c r="S18" s="35">
        <v>43762</v>
      </c>
      <c r="T18" s="47">
        <v>1.1128</v>
      </c>
      <c r="W18" s="1"/>
    </row>
    <row r="19" spans="7:24" x14ac:dyDescent="0.75">
      <c r="H19" s="3"/>
      <c r="I19" s="35">
        <v>43761</v>
      </c>
      <c r="J19" s="188">
        <v>5.206696</v>
      </c>
      <c r="K19" s="35">
        <v>43761</v>
      </c>
      <c r="L19" s="144">
        <v>301.56040899999999</v>
      </c>
      <c r="M19" s="35">
        <v>43761</v>
      </c>
      <c r="N19" s="188">
        <v>25.900144999999998</v>
      </c>
      <c r="O19" s="35">
        <v>43761</v>
      </c>
      <c r="P19" s="147">
        <v>56.704383</v>
      </c>
      <c r="Q19" s="35">
        <v>43761</v>
      </c>
      <c r="R19" s="188">
        <v>112.96490900000001</v>
      </c>
      <c r="S19" s="35">
        <v>43761</v>
      </c>
      <c r="T19" s="47">
        <v>1.1123000000000001</v>
      </c>
    </row>
    <row r="20" spans="7:24" x14ac:dyDescent="0.75">
      <c r="H20" s="3"/>
      <c r="I20" s="35">
        <v>43760</v>
      </c>
      <c r="J20" s="145">
        <v>5.203023</v>
      </c>
      <c r="K20" s="35">
        <v>43760</v>
      </c>
      <c r="L20" s="144">
        <v>300.69348000000002</v>
      </c>
      <c r="M20" s="35">
        <v>43760</v>
      </c>
      <c r="N20" s="146">
        <v>25.953234999999999</v>
      </c>
      <c r="O20" s="35">
        <v>43760</v>
      </c>
      <c r="P20" s="147">
        <v>56.430425</v>
      </c>
      <c r="Q20" s="35">
        <v>43760</v>
      </c>
      <c r="R20" s="148">
        <v>112.868579</v>
      </c>
      <c r="S20" s="35">
        <v>43760</v>
      </c>
      <c r="T20" s="47">
        <v>1.113</v>
      </c>
    </row>
    <row r="21" spans="7:24" x14ac:dyDescent="0.75">
      <c r="H21" s="3"/>
      <c r="I21" s="35">
        <v>43759</v>
      </c>
      <c r="J21" s="145">
        <v>5.1953860000000001</v>
      </c>
      <c r="K21" s="35">
        <v>43759</v>
      </c>
      <c r="L21" s="144">
        <v>301.76272399999999</v>
      </c>
      <c r="M21" s="35">
        <v>43759</v>
      </c>
      <c r="N21" s="146">
        <v>25.916445</v>
      </c>
      <c r="O21" s="35">
        <v>43759</v>
      </c>
      <c r="P21" s="147">
        <v>56.399517000000003</v>
      </c>
      <c r="Q21" s="35">
        <v>43759</v>
      </c>
      <c r="R21" s="148">
        <v>112.76899899999999</v>
      </c>
      <c r="S21" s="35">
        <v>43759</v>
      </c>
      <c r="T21" s="47">
        <v>1.1173</v>
      </c>
    </row>
    <row r="22" spans="7:24" x14ac:dyDescent="0.75">
      <c r="G22" s="3"/>
      <c r="H22" s="3"/>
      <c r="I22" s="35">
        <v>43756</v>
      </c>
      <c r="J22" s="124">
        <v>5.2061260000000003</v>
      </c>
      <c r="K22" s="35">
        <v>43756</v>
      </c>
      <c r="L22" s="124">
        <v>299.69609500000001</v>
      </c>
      <c r="M22" s="35">
        <v>43756</v>
      </c>
      <c r="N22" s="136">
        <v>25.893298999999999</v>
      </c>
      <c r="O22" s="35">
        <v>43756</v>
      </c>
      <c r="P22" s="135">
        <v>56.631422000000001</v>
      </c>
      <c r="Q22" s="35">
        <v>43756</v>
      </c>
      <c r="R22" s="138">
        <v>112.972308</v>
      </c>
      <c r="S22" s="35">
        <v>43756</v>
      </c>
      <c r="T22" s="47">
        <v>1.1144000000000001</v>
      </c>
      <c r="V22" s="1"/>
      <c r="X22" s="10"/>
    </row>
    <row r="23" spans="7:24" x14ac:dyDescent="0.75">
      <c r="G23" s="3"/>
      <c r="H23" s="3"/>
      <c r="I23" s="35">
        <v>43755</v>
      </c>
      <c r="J23" s="124">
        <v>5.2077739999999997</v>
      </c>
      <c r="K23" s="35">
        <v>43755</v>
      </c>
      <c r="L23" s="124">
        <v>300.86720400000002</v>
      </c>
      <c r="M23" s="35">
        <v>43755</v>
      </c>
      <c r="N23" s="136">
        <v>25.914375</v>
      </c>
      <c r="O23" s="35">
        <v>43755</v>
      </c>
      <c r="P23" s="135">
        <v>56.767786000000001</v>
      </c>
      <c r="Q23" s="35">
        <v>43755</v>
      </c>
      <c r="R23" s="138">
        <v>112.910585</v>
      </c>
      <c r="S23" s="35">
        <v>43755</v>
      </c>
      <c r="T23" s="47">
        <v>1.1113</v>
      </c>
      <c r="V23" s="1"/>
      <c r="X23" s="10"/>
    </row>
    <row r="24" spans="7:24" x14ac:dyDescent="0.75">
      <c r="G24" s="3"/>
      <c r="H24" s="3"/>
      <c r="I24" s="35">
        <v>43754</v>
      </c>
      <c r="J24" s="124">
        <v>5.2086889999999997</v>
      </c>
      <c r="K24" s="35">
        <v>43754</v>
      </c>
      <c r="L24" s="124">
        <v>300.01571899999999</v>
      </c>
      <c r="M24" s="35">
        <v>43754</v>
      </c>
      <c r="N24" s="136">
        <v>25.722940000000001</v>
      </c>
      <c r="O24" s="35">
        <v>43754</v>
      </c>
      <c r="P24" s="135">
        <v>56.624035999999997</v>
      </c>
      <c r="Q24" s="35">
        <v>43754</v>
      </c>
      <c r="R24" s="138">
        <v>112.82553</v>
      </c>
      <c r="S24" s="35">
        <v>43754</v>
      </c>
      <c r="T24" s="47">
        <v>1.1025</v>
      </c>
      <c r="V24" s="1"/>
      <c r="X24" s="10"/>
    </row>
    <row r="25" spans="7:24" x14ac:dyDescent="0.75">
      <c r="G25" s="3"/>
      <c r="H25" s="3"/>
      <c r="I25" s="35">
        <v>43753</v>
      </c>
      <c r="J25" s="123">
        <v>5.2079899999999997</v>
      </c>
      <c r="K25" s="35">
        <v>43753</v>
      </c>
      <c r="L25" s="120">
        <v>300.59743800000001</v>
      </c>
      <c r="M25" s="35">
        <v>43753</v>
      </c>
      <c r="N25" s="122">
        <v>25.748425999999998</v>
      </c>
      <c r="O25" s="35">
        <v>43753</v>
      </c>
      <c r="P25" s="124">
        <v>56.256343000000001</v>
      </c>
      <c r="Q25" s="35">
        <v>43753</v>
      </c>
      <c r="R25" s="121">
        <v>112.884348</v>
      </c>
      <c r="S25" s="35">
        <v>43753</v>
      </c>
      <c r="T25" s="47">
        <v>1.1007</v>
      </c>
      <c r="V25" s="1"/>
      <c r="X25" s="10"/>
    </row>
    <row r="26" spans="7:24" x14ac:dyDescent="0.75">
      <c r="H26" s="3"/>
      <c r="I26" s="35">
        <v>43752</v>
      </c>
      <c r="J26" s="118">
        <v>5.213908</v>
      </c>
      <c r="K26" s="35">
        <v>43752</v>
      </c>
      <c r="L26" s="117">
        <v>297.633622</v>
      </c>
      <c r="M26" s="35">
        <v>43752</v>
      </c>
      <c r="N26" s="118">
        <v>25.516922000000001</v>
      </c>
      <c r="O26" s="35">
        <v>43752</v>
      </c>
      <c r="P26" s="118">
        <v>56.732725000000002</v>
      </c>
      <c r="Q26" s="35">
        <v>43752</v>
      </c>
      <c r="R26" s="118">
        <v>112.82281999999999</v>
      </c>
      <c r="S26" s="35">
        <v>43752</v>
      </c>
      <c r="T26" s="47">
        <v>1.1031</v>
      </c>
      <c r="V26" s="1"/>
      <c r="X26" s="10"/>
    </row>
    <row r="27" spans="7:24" x14ac:dyDescent="0.75">
      <c r="H27" s="3"/>
      <c r="I27" s="35">
        <v>43749</v>
      </c>
      <c r="J27" s="118">
        <v>5.2105940000000004</v>
      </c>
      <c r="K27" s="35">
        <v>43749</v>
      </c>
      <c r="L27" s="118">
        <v>298.04803900000002</v>
      </c>
      <c r="M27" s="35">
        <v>43749</v>
      </c>
      <c r="N27" s="112">
        <v>25.642876999999999</v>
      </c>
      <c r="O27" s="35">
        <v>43749</v>
      </c>
      <c r="P27" s="113">
        <v>56.427208</v>
      </c>
      <c r="Q27" s="35">
        <v>43749</v>
      </c>
      <c r="R27" s="110">
        <v>112.77691799999999</v>
      </c>
      <c r="S27" s="35">
        <v>43749</v>
      </c>
      <c r="T27" s="47">
        <v>1.1043000000000001</v>
      </c>
      <c r="V27" s="1"/>
      <c r="W27" s="1"/>
    </row>
    <row r="28" spans="7:24" x14ac:dyDescent="0.75">
      <c r="H28" s="3"/>
      <c r="I28" s="35">
        <v>43748</v>
      </c>
      <c r="J28" s="109">
        <v>5.2288500000000004</v>
      </c>
      <c r="K28" s="35">
        <v>43748</v>
      </c>
      <c r="L28" s="108">
        <v>294.79713900000002</v>
      </c>
      <c r="M28" s="35">
        <v>43748</v>
      </c>
      <c r="N28" s="112">
        <v>25.221163000000001</v>
      </c>
      <c r="O28" s="35">
        <v>43748</v>
      </c>
      <c r="P28" s="113">
        <v>56.847738999999997</v>
      </c>
      <c r="Q28" s="35">
        <v>43748</v>
      </c>
      <c r="R28" s="110">
        <v>112.875248</v>
      </c>
      <c r="S28" s="35">
        <v>43748</v>
      </c>
      <c r="T28" s="47">
        <v>1.103</v>
      </c>
    </row>
    <row r="29" spans="7:24" x14ac:dyDescent="0.75">
      <c r="H29" s="3"/>
      <c r="I29" s="35">
        <v>43747</v>
      </c>
      <c r="J29" s="109">
        <v>5.2448589999999999</v>
      </c>
      <c r="K29" s="35">
        <v>43747</v>
      </c>
      <c r="L29" s="108">
        <v>292.91159699999997</v>
      </c>
      <c r="M29" s="35">
        <v>43747</v>
      </c>
      <c r="N29" s="112">
        <v>25.141991999999998</v>
      </c>
      <c r="O29" s="35">
        <v>43747</v>
      </c>
      <c r="P29" s="113">
        <v>57.307476999999999</v>
      </c>
      <c r="Q29" s="35">
        <v>43747</v>
      </c>
      <c r="R29" s="110">
        <v>113.021264</v>
      </c>
      <c r="S29" s="35">
        <v>43747</v>
      </c>
      <c r="T29" s="47">
        <v>1.0981000000000001</v>
      </c>
    </row>
    <row r="30" spans="7:24" x14ac:dyDescent="0.75">
      <c r="H30" s="3"/>
      <c r="I30" s="35">
        <v>43746</v>
      </c>
      <c r="J30" s="109">
        <v>5.2548519999999996</v>
      </c>
      <c r="K30" s="35">
        <v>43746</v>
      </c>
      <c r="L30" s="108">
        <v>290.17778199999998</v>
      </c>
      <c r="M30" s="35">
        <v>43746</v>
      </c>
      <c r="N30" s="112">
        <v>25.045967999999998</v>
      </c>
      <c r="O30" s="35">
        <v>43746</v>
      </c>
      <c r="P30" s="113">
        <v>57.041232000000001</v>
      </c>
      <c r="Q30" s="35">
        <v>43746</v>
      </c>
      <c r="R30" s="110">
        <v>113.172605</v>
      </c>
      <c r="S30" s="35">
        <v>43746</v>
      </c>
      <c r="T30" s="47">
        <v>1.0986</v>
      </c>
    </row>
    <row r="31" spans="7:24" x14ac:dyDescent="0.75">
      <c r="H31" s="3"/>
      <c r="I31" s="35">
        <v>43745</v>
      </c>
      <c r="J31" s="109">
        <v>5.2536009999999997</v>
      </c>
      <c r="K31" s="35">
        <v>43745</v>
      </c>
      <c r="L31" s="108">
        <v>294.757341</v>
      </c>
      <c r="M31" s="35">
        <v>43745</v>
      </c>
      <c r="N31" s="112">
        <v>25.336075999999998</v>
      </c>
      <c r="O31" s="35">
        <v>43745</v>
      </c>
      <c r="P31" s="113">
        <v>56.933109999999999</v>
      </c>
      <c r="Q31" s="35">
        <v>43745</v>
      </c>
      <c r="R31" s="110">
        <v>113.46038299999999</v>
      </c>
      <c r="S31" s="35">
        <v>43745</v>
      </c>
      <c r="T31" s="47">
        <v>1.0992999999999999</v>
      </c>
    </row>
    <row r="32" spans="7:24" x14ac:dyDescent="0.75">
      <c r="H32" s="39"/>
      <c r="I32" s="79">
        <v>43742</v>
      </c>
      <c r="J32" s="45">
        <v>5.2605130000000004</v>
      </c>
      <c r="K32" s="35">
        <v>43742</v>
      </c>
      <c r="L32" s="41">
        <v>296.08320700000002</v>
      </c>
      <c r="M32" s="35">
        <v>43742</v>
      </c>
      <c r="N32" s="42">
        <v>25.123553000000001</v>
      </c>
      <c r="O32" s="35">
        <v>43742</v>
      </c>
      <c r="P32" s="44">
        <v>57.293187000000003</v>
      </c>
      <c r="Q32" s="35">
        <v>43742</v>
      </c>
      <c r="R32" s="43">
        <v>113.30726300000001</v>
      </c>
      <c r="S32" s="35">
        <v>43742</v>
      </c>
      <c r="T32" s="47">
        <v>1.0979000000000001</v>
      </c>
    </row>
    <row r="33" spans="7:20" x14ac:dyDescent="0.75">
      <c r="G33" s="35"/>
      <c r="H33" s="3"/>
      <c r="I33" s="35">
        <v>43741</v>
      </c>
      <c r="J33" s="45">
        <v>5.2548870000000001</v>
      </c>
      <c r="K33" s="35">
        <v>43741</v>
      </c>
      <c r="L33" s="41">
        <v>291.93192699999997</v>
      </c>
      <c r="M33" s="35">
        <v>43741</v>
      </c>
      <c r="N33" s="42">
        <v>24.906010999999999</v>
      </c>
      <c r="O33" s="35">
        <v>43741</v>
      </c>
      <c r="P33" s="44">
        <v>57.313858000000003</v>
      </c>
      <c r="Q33" s="35">
        <v>43741</v>
      </c>
      <c r="R33" s="43">
        <v>112.81319999999999</v>
      </c>
      <c r="S33" s="35">
        <v>43741</v>
      </c>
      <c r="T33" s="47">
        <v>1.0951</v>
      </c>
    </row>
    <row r="34" spans="7:20" x14ac:dyDescent="0.75">
      <c r="H34" s="3"/>
      <c r="I34" s="35">
        <v>43740</v>
      </c>
      <c r="J34" s="45">
        <v>5.2405670000000004</v>
      </c>
      <c r="K34" s="35">
        <v>43740</v>
      </c>
      <c r="L34" s="41">
        <v>289.55047100000002</v>
      </c>
      <c r="M34" s="35">
        <v>43740</v>
      </c>
      <c r="N34" s="42">
        <v>24.801452999999999</v>
      </c>
      <c r="O34" s="35">
        <v>43740</v>
      </c>
      <c r="P34" s="44">
        <v>57.078077999999998</v>
      </c>
      <c r="Q34" s="35">
        <v>43740</v>
      </c>
      <c r="R34" s="43">
        <v>112.56366</v>
      </c>
      <c r="S34" s="35">
        <v>43740</v>
      </c>
      <c r="T34" s="47">
        <v>1.0925</v>
      </c>
    </row>
    <row r="35" spans="7:20" x14ac:dyDescent="0.75">
      <c r="H35" s="3"/>
      <c r="I35" s="35">
        <v>43739</v>
      </c>
      <c r="J35" s="45">
        <v>5.2380170000000001</v>
      </c>
      <c r="K35" s="35">
        <v>43739</v>
      </c>
      <c r="L35" s="41">
        <v>294.82969600000001</v>
      </c>
      <c r="M35" s="35">
        <v>43739</v>
      </c>
      <c r="N35" s="42">
        <v>25.318272</v>
      </c>
      <c r="O35" s="35">
        <v>43739</v>
      </c>
      <c r="P35" s="44">
        <v>56.376826999999999</v>
      </c>
      <c r="Q35" s="35">
        <v>43739</v>
      </c>
      <c r="R35" s="43">
        <v>112.75814099999999</v>
      </c>
      <c r="S35" s="35">
        <v>43739</v>
      </c>
      <c r="T35" s="47">
        <v>1.0898000000000001</v>
      </c>
    </row>
    <row r="36" spans="7:20" x14ac:dyDescent="0.75">
      <c r="H36" s="3"/>
      <c r="I36" s="35">
        <v>43738</v>
      </c>
      <c r="J36" s="45">
        <v>5.2405670000000004</v>
      </c>
      <c r="K36" s="35">
        <v>43738</v>
      </c>
      <c r="L36" s="41">
        <v>298.47614399999998</v>
      </c>
      <c r="M36" s="35">
        <v>43738</v>
      </c>
      <c r="N36" s="42">
        <v>25.524374000000002</v>
      </c>
      <c r="O36" s="35">
        <v>43738</v>
      </c>
      <c r="P36" s="44">
        <v>55.848263000000003</v>
      </c>
      <c r="Q36" s="35">
        <v>43738</v>
      </c>
      <c r="R36" s="43">
        <v>113.244587</v>
      </c>
      <c r="S36" s="35">
        <v>43738</v>
      </c>
      <c r="T36" s="47">
        <v>1.0889</v>
      </c>
    </row>
    <row r="37" spans="7:20" x14ac:dyDescent="0.75">
      <c r="H37" s="3"/>
      <c r="I37" s="35">
        <v>43735</v>
      </c>
      <c r="J37" s="45">
        <v>5.2419330000000004</v>
      </c>
      <c r="K37" s="35">
        <v>43735</v>
      </c>
      <c r="L37" s="41">
        <v>296.96300100000002</v>
      </c>
      <c r="M37" s="35">
        <v>43735</v>
      </c>
      <c r="N37" s="42">
        <v>25.555807999999999</v>
      </c>
      <c r="O37" s="35">
        <v>43735</v>
      </c>
      <c r="P37" s="44">
        <v>57.008419000000004</v>
      </c>
      <c r="Q37" s="35">
        <v>43735</v>
      </c>
      <c r="R37" s="43">
        <v>113.281385</v>
      </c>
      <c r="S37" s="35">
        <v>43735</v>
      </c>
      <c r="T37" s="47">
        <v>1.0934999999999999</v>
      </c>
    </row>
    <row r="38" spans="7:20" x14ac:dyDescent="0.75">
      <c r="H38" s="3"/>
      <c r="I38" s="35">
        <v>43734</v>
      </c>
      <c r="J38" s="45">
        <v>5.2407599999999999</v>
      </c>
      <c r="K38" s="35">
        <v>43734</v>
      </c>
      <c r="L38" s="41">
        <v>298.508037</v>
      </c>
      <c r="M38" s="35">
        <v>43734</v>
      </c>
      <c r="N38" s="42">
        <v>25.505382000000001</v>
      </c>
      <c r="O38" s="35">
        <v>43734</v>
      </c>
      <c r="P38" s="44">
        <v>57.321964999999999</v>
      </c>
      <c r="Q38" s="35">
        <v>43734</v>
      </c>
      <c r="R38" s="43">
        <v>113.20443899999999</v>
      </c>
      <c r="S38" s="35">
        <v>43734</v>
      </c>
      <c r="T38" s="47">
        <v>1.0938000000000001</v>
      </c>
    </row>
    <row r="39" spans="7:20" x14ac:dyDescent="0.75">
      <c r="H39" s="3"/>
      <c r="I39" s="35">
        <v>43733</v>
      </c>
      <c r="J39" s="45">
        <v>5.2351530000000004</v>
      </c>
      <c r="K39" s="35">
        <v>43733</v>
      </c>
      <c r="L39" s="41">
        <v>299.21629300000001</v>
      </c>
      <c r="M39" s="35">
        <v>43733</v>
      </c>
      <c r="N39" s="42">
        <v>25.290375000000001</v>
      </c>
      <c r="O39" s="35">
        <v>43733</v>
      </c>
      <c r="P39" s="44">
        <v>57.236452999999997</v>
      </c>
      <c r="Q39" s="35">
        <v>43733</v>
      </c>
      <c r="R39" s="43">
        <v>113.13292300000001</v>
      </c>
      <c r="S39" s="35">
        <v>43733</v>
      </c>
      <c r="T39" s="47">
        <v>1.0982000000000001</v>
      </c>
    </row>
    <row r="40" spans="7:20" x14ac:dyDescent="0.75">
      <c r="H40" s="3"/>
      <c r="I40" s="35">
        <v>43732</v>
      </c>
      <c r="J40" s="45">
        <v>5.2485080000000002</v>
      </c>
      <c r="K40" s="35">
        <v>43732</v>
      </c>
      <c r="L40" s="41">
        <v>297.38528400000001</v>
      </c>
      <c r="M40" s="35">
        <v>43732</v>
      </c>
      <c r="N40" s="42">
        <v>25.543119999999998</v>
      </c>
      <c r="O40" s="35">
        <v>43732</v>
      </c>
      <c r="P40" s="44">
        <v>58.283935999999997</v>
      </c>
      <c r="Q40" s="35">
        <v>43732</v>
      </c>
      <c r="R40" s="43">
        <v>113.58248399999999</v>
      </c>
      <c r="S40" s="35">
        <v>43732</v>
      </c>
      <c r="T40" s="47">
        <v>1.1003000000000001</v>
      </c>
    </row>
    <row r="41" spans="7:20" x14ac:dyDescent="0.75">
      <c r="H41" s="3"/>
      <c r="I41" s="35">
        <v>43731</v>
      </c>
      <c r="J41" s="45">
        <v>5.238137</v>
      </c>
      <c r="K41" s="35">
        <v>43731</v>
      </c>
      <c r="L41" s="41">
        <v>301.38042799999999</v>
      </c>
      <c r="M41" s="35">
        <v>43731</v>
      </c>
      <c r="N41" s="42">
        <v>25.447593999999999</v>
      </c>
      <c r="O41" s="35">
        <v>43731</v>
      </c>
      <c r="P41" s="44">
        <v>57.967109999999998</v>
      </c>
      <c r="Q41" s="35">
        <v>43731</v>
      </c>
      <c r="R41" s="43">
        <v>114.049887</v>
      </c>
      <c r="S41" s="35">
        <v>43731</v>
      </c>
      <c r="T41" s="47">
        <v>1.0985</v>
      </c>
    </row>
    <row r="42" spans="7:20" x14ac:dyDescent="0.75">
      <c r="H42" s="3"/>
      <c r="I42" s="35">
        <v>43728</v>
      </c>
      <c r="J42" s="45">
        <v>5.2239849999999999</v>
      </c>
      <c r="K42" s="35">
        <v>43728</v>
      </c>
      <c r="L42" s="41">
        <v>301.40905600000002</v>
      </c>
      <c r="M42" s="35">
        <v>43728</v>
      </c>
      <c r="N42" s="42">
        <v>25.512049999999999</v>
      </c>
      <c r="O42" s="35">
        <v>43728</v>
      </c>
      <c r="P42" s="44">
        <v>57.419168999999997</v>
      </c>
      <c r="Q42" s="35">
        <v>43728</v>
      </c>
      <c r="R42" s="43">
        <v>113.93073200000001</v>
      </c>
      <c r="S42" s="35">
        <v>43728</v>
      </c>
      <c r="T42" s="47">
        <v>1.103</v>
      </c>
    </row>
    <row r="43" spans="7:20" x14ac:dyDescent="0.75">
      <c r="H43" s="3"/>
      <c r="I43" s="35">
        <v>43727</v>
      </c>
      <c r="J43" s="45">
        <v>5.2219389999999999</v>
      </c>
      <c r="K43" s="35">
        <v>43727</v>
      </c>
      <c r="L43" s="41">
        <v>302.87896599999999</v>
      </c>
      <c r="M43" s="35">
        <v>43727</v>
      </c>
      <c r="N43" s="42">
        <v>25.528029</v>
      </c>
      <c r="O43" s="35">
        <v>43727</v>
      </c>
      <c r="P43" s="44">
        <v>57.002865999999997</v>
      </c>
      <c r="Q43" s="35">
        <v>43727</v>
      </c>
      <c r="R43" s="43">
        <v>113.637835</v>
      </c>
      <c r="S43" s="35">
        <v>43727</v>
      </c>
      <c r="T43" s="47">
        <v>1.1067</v>
      </c>
    </row>
    <row r="44" spans="7:20" x14ac:dyDescent="0.75">
      <c r="H44" s="3"/>
      <c r="I44" s="35">
        <v>43726</v>
      </c>
      <c r="J44" s="45">
        <v>5.215897</v>
      </c>
      <c r="K44" s="35">
        <v>43726</v>
      </c>
      <c r="L44" s="41">
        <v>302.85489899999999</v>
      </c>
      <c r="M44" s="35">
        <v>43726</v>
      </c>
      <c r="N44" s="42">
        <v>25.40813</v>
      </c>
      <c r="O44" s="35">
        <v>43726</v>
      </c>
      <c r="P44" s="44">
        <v>57.209257000000001</v>
      </c>
      <c r="Q44" s="35">
        <v>43726</v>
      </c>
      <c r="R44" s="43">
        <v>113.57291499999999</v>
      </c>
      <c r="S44" s="35">
        <v>43726</v>
      </c>
      <c r="T44" s="47">
        <v>1.1052999999999999</v>
      </c>
    </row>
    <row r="45" spans="7:20" x14ac:dyDescent="0.75">
      <c r="H45" s="3"/>
      <c r="I45" s="35">
        <v>43725</v>
      </c>
      <c r="J45" s="45">
        <v>5.2051109999999996</v>
      </c>
      <c r="K45" s="35">
        <v>43725</v>
      </c>
      <c r="L45" s="41">
        <v>302.74954300000002</v>
      </c>
      <c r="M45" s="35">
        <v>43725</v>
      </c>
      <c r="N45" s="42">
        <v>25.37285</v>
      </c>
      <c r="O45" s="35">
        <v>43725</v>
      </c>
      <c r="P45" s="44">
        <v>57.219701000000001</v>
      </c>
      <c r="Q45" s="35">
        <v>43725</v>
      </c>
      <c r="R45" s="43">
        <v>113.168497</v>
      </c>
      <c r="S45" s="35">
        <v>43725</v>
      </c>
      <c r="T45" s="48">
        <v>1.1026</v>
      </c>
    </row>
    <row r="46" spans="7:20" x14ac:dyDescent="0.75">
      <c r="H46" s="3"/>
      <c r="I46" s="35">
        <v>43724</v>
      </c>
      <c r="J46" s="45">
        <v>5.2031720000000004</v>
      </c>
      <c r="K46" s="35">
        <v>43724</v>
      </c>
      <c r="L46" s="41">
        <v>301.96965499999999</v>
      </c>
      <c r="M46" s="35">
        <v>43724</v>
      </c>
      <c r="N46" s="42">
        <v>25.113344999999999</v>
      </c>
      <c r="O46" s="35">
        <v>43724</v>
      </c>
      <c r="P46" s="44">
        <v>57.144787000000001</v>
      </c>
      <c r="Q46" s="35">
        <v>43724</v>
      </c>
      <c r="R46" s="43">
        <v>112.984245</v>
      </c>
      <c r="S46" s="35">
        <v>43724</v>
      </c>
      <c r="T46" s="48">
        <v>1.1031</v>
      </c>
    </row>
    <row r="47" spans="7:20" x14ac:dyDescent="0.75">
      <c r="H47" s="3"/>
      <c r="I47" s="35">
        <v>43721</v>
      </c>
      <c r="J47" s="45">
        <v>5.191821</v>
      </c>
      <c r="K47" s="35">
        <v>43721</v>
      </c>
      <c r="L47" s="41">
        <v>302.90967899999998</v>
      </c>
      <c r="M47" s="35">
        <v>43721</v>
      </c>
      <c r="N47" s="42">
        <v>25.402636000000001</v>
      </c>
      <c r="O47" s="35">
        <v>43721</v>
      </c>
      <c r="P47" s="44">
        <v>56.686847</v>
      </c>
      <c r="Q47" s="35">
        <v>43721</v>
      </c>
      <c r="R47" s="43">
        <v>113.063075</v>
      </c>
      <c r="S47" s="35">
        <v>43721</v>
      </c>
      <c r="T47" s="48">
        <v>1.1095999999999999</v>
      </c>
    </row>
    <row r="48" spans="7:20" x14ac:dyDescent="0.75">
      <c r="H48" s="3"/>
      <c r="I48" s="35">
        <v>43720</v>
      </c>
      <c r="J48" s="45">
        <v>5.2192429999999996</v>
      </c>
      <c r="K48" s="35">
        <v>43720</v>
      </c>
      <c r="L48" s="41">
        <v>303.04807499999998</v>
      </c>
      <c r="M48" s="35">
        <v>43720</v>
      </c>
      <c r="N48" s="42">
        <v>25.394317000000001</v>
      </c>
      <c r="O48" s="35">
        <v>43720</v>
      </c>
      <c r="P48" s="44">
        <v>57.010503999999997</v>
      </c>
      <c r="Q48" s="35">
        <v>43720</v>
      </c>
      <c r="R48" s="43">
        <v>114.034345</v>
      </c>
      <c r="S48" s="35">
        <v>43720</v>
      </c>
      <c r="T48" s="48">
        <v>1.0963000000000001</v>
      </c>
    </row>
    <row r="49" spans="8:20" x14ac:dyDescent="0.75">
      <c r="H49" s="3"/>
      <c r="I49" s="35">
        <v>43719</v>
      </c>
      <c r="J49" s="45">
        <v>5.2239969999999998</v>
      </c>
      <c r="K49" s="35">
        <v>43719</v>
      </c>
      <c r="L49" s="41">
        <v>302.13116600000001</v>
      </c>
      <c r="M49" s="35">
        <v>43719</v>
      </c>
      <c r="N49" s="42">
        <v>25.256091000000001</v>
      </c>
      <c r="O49" s="35">
        <v>43719</v>
      </c>
      <c r="P49" s="44">
        <v>56.869377999999998</v>
      </c>
      <c r="Q49" s="35">
        <v>43719</v>
      </c>
      <c r="R49" s="43">
        <v>113.77816300000001</v>
      </c>
      <c r="S49" s="35">
        <v>43719</v>
      </c>
      <c r="T49" s="49">
        <v>1.1003000000000001</v>
      </c>
    </row>
    <row r="50" spans="8:20" x14ac:dyDescent="0.75">
      <c r="H50" s="3"/>
      <c r="I50" s="35">
        <v>43718</v>
      </c>
      <c r="J50" s="45">
        <v>5.2271960000000002</v>
      </c>
      <c r="K50" s="35">
        <v>43718</v>
      </c>
      <c r="L50" s="41">
        <v>299.94669099999999</v>
      </c>
      <c r="M50" s="35">
        <v>43718</v>
      </c>
      <c r="N50" s="42">
        <v>25.165406000000001</v>
      </c>
      <c r="O50" s="35">
        <v>43718</v>
      </c>
      <c r="P50" s="44">
        <v>56.668923999999997</v>
      </c>
      <c r="Q50" s="35">
        <v>43718</v>
      </c>
      <c r="R50" s="43">
        <v>114.101848</v>
      </c>
      <c r="S50" s="35">
        <v>43718</v>
      </c>
      <c r="T50" s="50">
        <v>1.1040000000000001</v>
      </c>
    </row>
    <row r="51" spans="8:20" x14ac:dyDescent="0.75">
      <c r="H51" s="3"/>
      <c r="I51" s="35">
        <v>43717</v>
      </c>
      <c r="J51" s="45">
        <v>5.2458450000000001</v>
      </c>
      <c r="K51" s="35">
        <v>43717</v>
      </c>
      <c r="L51" s="41">
        <v>299.84167500000001</v>
      </c>
      <c r="M51" s="35">
        <v>43717</v>
      </c>
      <c r="N51" s="42">
        <v>25.287915000000002</v>
      </c>
      <c r="O51" s="35">
        <v>43717</v>
      </c>
      <c r="P51" s="44">
        <v>57.119121999999997</v>
      </c>
      <c r="Q51" s="35">
        <v>43717</v>
      </c>
      <c r="R51" s="43">
        <v>114.65495</v>
      </c>
      <c r="S51" s="35">
        <v>43717</v>
      </c>
      <c r="T51" s="48">
        <v>1.1032999999999999</v>
      </c>
    </row>
    <row r="52" spans="8:20" x14ac:dyDescent="0.75">
      <c r="H52" s="3"/>
      <c r="I52" s="35">
        <v>43714</v>
      </c>
      <c r="J52" s="45">
        <v>5.2628360000000001</v>
      </c>
      <c r="K52" s="35">
        <v>43714</v>
      </c>
      <c r="L52" s="41">
        <v>299.848232</v>
      </c>
      <c r="M52" s="35">
        <v>43714</v>
      </c>
      <c r="N52" s="42">
        <v>25.512991</v>
      </c>
      <c r="O52" s="35">
        <v>43714</v>
      </c>
      <c r="P52" s="44">
        <v>57.306787</v>
      </c>
      <c r="Q52" s="35">
        <v>43714</v>
      </c>
      <c r="R52" s="43">
        <v>114.88745299999999</v>
      </c>
      <c r="S52" s="35">
        <v>43714</v>
      </c>
      <c r="T52" s="51">
        <v>1.1027</v>
      </c>
    </row>
    <row r="53" spans="8:20" x14ac:dyDescent="0.75">
      <c r="H53" s="3"/>
      <c r="I53" s="35">
        <v>43713</v>
      </c>
      <c r="J53" s="45">
        <v>5.256348</v>
      </c>
      <c r="K53" s="35">
        <v>43713</v>
      </c>
      <c r="L53" s="41">
        <v>299.56194099999999</v>
      </c>
      <c r="M53" s="35">
        <v>43713</v>
      </c>
      <c r="N53" s="42">
        <v>25.446372</v>
      </c>
      <c r="O53" s="35">
        <v>43713</v>
      </c>
      <c r="P53" s="44">
        <v>57.699370000000002</v>
      </c>
      <c r="Q53" s="35">
        <v>43713</v>
      </c>
      <c r="R53" s="43">
        <v>115.01836299999999</v>
      </c>
      <c r="S53" s="35">
        <v>43713</v>
      </c>
      <c r="T53" s="48">
        <v>1.1057999999999999</v>
      </c>
    </row>
    <row r="54" spans="8:20" x14ac:dyDescent="0.75">
      <c r="H54" s="3"/>
      <c r="I54" s="35">
        <v>43712</v>
      </c>
      <c r="J54" s="45">
        <v>5.2834490000000001</v>
      </c>
      <c r="K54" s="35">
        <v>43712</v>
      </c>
      <c r="L54" s="41">
        <v>295.64962500000001</v>
      </c>
      <c r="M54" s="35">
        <v>43712</v>
      </c>
      <c r="N54" s="42">
        <v>25.439007</v>
      </c>
      <c r="O54" s="35">
        <v>43712</v>
      </c>
      <c r="P54" s="44">
        <v>59.021420999999997</v>
      </c>
      <c r="Q54" s="35">
        <v>43712</v>
      </c>
      <c r="R54" s="43">
        <v>115.017422</v>
      </c>
      <c r="S54" s="35">
        <v>43712</v>
      </c>
      <c r="T54" s="48">
        <v>1.1017999999999999</v>
      </c>
    </row>
    <row r="55" spans="8:20" x14ac:dyDescent="0.75">
      <c r="H55" s="3"/>
      <c r="I55" s="35">
        <v>43711</v>
      </c>
      <c r="J55" s="45">
        <v>5.2873590000000004</v>
      </c>
      <c r="K55" s="35">
        <v>43711</v>
      </c>
      <c r="L55" s="41">
        <v>292.45169800000002</v>
      </c>
      <c r="M55" s="35">
        <v>43711</v>
      </c>
      <c r="N55" s="42">
        <v>25.164688999999999</v>
      </c>
      <c r="O55" s="35">
        <v>43711</v>
      </c>
      <c r="P55" s="44">
        <v>58.805214999999997</v>
      </c>
      <c r="Q55" s="35">
        <v>43711</v>
      </c>
      <c r="R55" s="43">
        <v>114.387168</v>
      </c>
      <c r="S55" s="35">
        <v>43711</v>
      </c>
      <c r="T55" s="48">
        <v>1.0936999999999999</v>
      </c>
    </row>
    <row r="56" spans="8:20" x14ac:dyDescent="0.75">
      <c r="H56" s="3"/>
      <c r="I56" s="35">
        <v>43707</v>
      </c>
      <c r="J56" s="45">
        <v>5.2778939999999999</v>
      </c>
      <c r="K56" s="35">
        <v>43707</v>
      </c>
      <c r="L56" s="41">
        <v>294.46315299999998</v>
      </c>
      <c r="M56" s="35">
        <v>43707</v>
      </c>
      <c r="N56" s="42">
        <v>25.118272000000001</v>
      </c>
      <c r="O56" s="35">
        <v>43707</v>
      </c>
      <c r="P56" s="44">
        <v>57.822223999999999</v>
      </c>
      <c r="Q56" s="35">
        <v>43707</v>
      </c>
      <c r="R56" s="43">
        <v>114.353855</v>
      </c>
      <c r="S56" s="35">
        <v>43707</v>
      </c>
      <c r="T56" s="48">
        <v>1.1035999999999999</v>
      </c>
    </row>
    <row r="57" spans="8:20" x14ac:dyDescent="0.75">
      <c r="H57" s="3"/>
      <c r="I57" s="35">
        <v>43706</v>
      </c>
      <c r="J57" s="45">
        <v>5.2792669999999999</v>
      </c>
      <c r="K57" s="35">
        <v>43706</v>
      </c>
      <c r="L57" s="41">
        <v>294.23586999999998</v>
      </c>
      <c r="M57" s="35">
        <v>43706</v>
      </c>
      <c r="N57" s="42">
        <v>25.095659000000001</v>
      </c>
      <c r="O57" s="35">
        <v>43706</v>
      </c>
      <c r="P57" s="44">
        <v>58.086219999999997</v>
      </c>
      <c r="Q57" s="35">
        <v>43706</v>
      </c>
      <c r="R57" s="43">
        <v>114.138041</v>
      </c>
      <c r="S57" s="35">
        <v>43706</v>
      </c>
      <c r="T57" s="48">
        <v>1.1072</v>
      </c>
    </row>
    <row r="58" spans="8:20" x14ac:dyDescent="0.75">
      <c r="H58" s="3"/>
      <c r="I58" s="35">
        <v>43705</v>
      </c>
      <c r="J58" s="45">
        <v>5.2802280000000001</v>
      </c>
      <c r="K58" s="35">
        <v>43705</v>
      </c>
      <c r="L58" s="41">
        <v>290.50169399999999</v>
      </c>
      <c r="M58" s="35">
        <v>43705</v>
      </c>
      <c r="N58" s="42">
        <v>24.958977000000001</v>
      </c>
      <c r="O58" s="35">
        <v>43705</v>
      </c>
      <c r="P58" s="44">
        <v>58.539534000000003</v>
      </c>
      <c r="Q58" s="35">
        <v>43705</v>
      </c>
      <c r="R58" s="43">
        <v>114.10464</v>
      </c>
      <c r="S58" s="35">
        <v>43705</v>
      </c>
      <c r="T58" s="48">
        <v>1.1083000000000001</v>
      </c>
    </row>
    <row r="59" spans="8:20" x14ac:dyDescent="0.75">
      <c r="H59" s="3"/>
      <c r="I59" s="35">
        <v>43704</v>
      </c>
      <c r="J59" s="45">
        <v>5.2847499999999998</v>
      </c>
      <c r="K59" s="35">
        <v>43704</v>
      </c>
      <c r="L59" s="41">
        <v>288.60049700000002</v>
      </c>
      <c r="M59" s="35">
        <v>43704</v>
      </c>
      <c r="N59" s="42">
        <v>25.061565999999999</v>
      </c>
      <c r="O59" s="35">
        <v>43704</v>
      </c>
      <c r="P59" s="44">
        <v>58.643306000000003</v>
      </c>
      <c r="Q59" s="35">
        <v>43704</v>
      </c>
      <c r="R59" s="43">
        <v>113.818825</v>
      </c>
      <c r="S59" s="35">
        <v>43704</v>
      </c>
      <c r="T59" s="48">
        <v>1.1104000000000001</v>
      </c>
    </row>
    <row r="60" spans="8:20" x14ac:dyDescent="0.75">
      <c r="H60" s="3"/>
      <c r="I60" s="35">
        <v>43703</v>
      </c>
      <c r="J60" s="45">
        <v>5.2757810000000003</v>
      </c>
      <c r="K60" s="35">
        <v>43703</v>
      </c>
      <c r="L60" s="41">
        <v>289.52911399999999</v>
      </c>
      <c r="M60" s="35">
        <v>43703</v>
      </c>
      <c r="N60" s="42">
        <v>24.900725999999999</v>
      </c>
      <c r="O60" s="35">
        <v>43703</v>
      </c>
      <c r="P60" s="44">
        <v>58.098053999999998</v>
      </c>
      <c r="Q60" s="35">
        <v>43703</v>
      </c>
      <c r="R60" s="43">
        <v>113.70657199999999</v>
      </c>
      <c r="S60" s="35">
        <v>43703</v>
      </c>
      <c r="T60" s="48">
        <v>1.1115999999999999</v>
      </c>
    </row>
    <row r="61" spans="8:20" x14ac:dyDescent="0.75">
      <c r="H61" s="3"/>
      <c r="I61" s="35">
        <v>43700</v>
      </c>
      <c r="J61" s="45">
        <v>5.2617060000000002</v>
      </c>
      <c r="K61" s="35">
        <v>43700</v>
      </c>
      <c r="L61" s="41">
        <v>286.35060099999998</v>
      </c>
      <c r="M61" s="35">
        <v>43700</v>
      </c>
      <c r="N61" s="42">
        <v>24.906400000000001</v>
      </c>
      <c r="O61" s="35">
        <v>43700</v>
      </c>
      <c r="P61" s="44">
        <v>58.100385000000003</v>
      </c>
      <c r="Q61" s="35">
        <v>43700</v>
      </c>
      <c r="R61" s="43">
        <v>113.68922499999999</v>
      </c>
      <c r="S61" s="35">
        <v>43700</v>
      </c>
      <c r="T61" s="48">
        <v>1.1065</v>
      </c>
    </row>
    <row r="62" spans="8:20" x14ac:dyDescent="0.75">
      <c r="H62" s="3"/>
      <c r="I62" s="35">
        <v>43699</v>
      </c>
      <c r="J62" s="45">
        <v>5.2512650000000001</v>
      </c>
      <c r="K62" s="35">
        <v>43699</v>
      </c>
      <c r="L62" s="41">
        <v>293.97292900000002</v>
      </c>
      <c r="M62" s="35">
        <v>43699</v>
      </c>
      <c r="N62" s="42">
        <v>24.920085</v>
      </c>
      <c r="O62" s="35">
        <v>43699</v>
      </c>
      <c r="P62" s="44">
        <v>56.990290999999999</v>
      </c>
      <c r="Q62" s="35">
        <v>43699</v>
      </c>
      <c r="R62" s="43">
        <v>113.691215</v>
      </c>
      <c r="S62" s="35">
        <v>43699</v>
      </c>
      <c r="T62" s="48">
        <v>1.1083000000000001</v>
      </c>
    </row>
    <row r="63" spans="8:20" x14ac:dyDescent="0.75">
      <c r="H63" s="3"/>
      <c r="I63" s="35">
        <v>43698</v>
      </c>
      <c r="J63" s="45">
        <v>5.2608750000000004</v>
      </c>
      <c r="K63" s="35">
        <v>43698</v>
      </c>
      <c r="L63" s="41">
        <v>294.11590000000001</v>
      </c>
      <c r="M63" s="35">
        <v>43698</v>
      </c>
      <c r="N63" s="42">
        <v>25.066638999999999</v>
      </c>
      <c r="O63" s="35">
        <v>43698</v>
      </c>
      <c r="P63" s="44">
        <v>57.216050000000003</v>
      </c>
      <c r="Q63" s="35">
        <v>43698</v>
      </c>
      <c r="R63" s="43">
        <v>113.460735</v>
      </c>
      <c r="S63" s="35">
        <v>43698</v>
      </c>
      <c r="T63" s="48">
        <v>1.1104000000000001</v>
      </c>
    </row>
    <row r="64" spans="8:20" x14ac:dyDescent="0.75">
      <c r="H64" s="3"/>
      <c r="I64" s="35">
        <v>43697</v>
      </c>
      <c r="J64" s="45">
        <v>5.2630670000000004</v>
      </c>
      <c r="K64" s="35">
        <v>43697</v>
      </c>
      <c r="L64" s="41">
        <v>291.69626099999999</v>
      </c>
      <c r="M64" s="35">
        <v>43697</v>
      </c>
      <c r="N64" s="42">
        <v>24.805472000000002</v>
      </c>
      <c r="O64" s="35">
        <v>43697</v>
      </c>
      <c r="P64" s="44">
        <v>57.270493000000002</v>
      </c>
      <c r="Q64" s="35">
        <v>43697</v>
      </c>
      <c r="R64" s="43">
        <v>113.29142</v>
      </c>
      <c r="S64" s="35">
        <v>43697</v>
      </c>
      <c r="T64" s="48">
        <v>1.1075999999999999</v>
      </c>
    </row>
    <row r="65" spans="8:20" x14ac:dyDescent="0.75">
      <c r="H65" s="3"/>
      <c r="I65" s="35">
        <v>43696</v>
      </c>
      <c r="J65" s="45">
        <v>5.2537419999999999</v>
      </c>
      <c r="K65" s="35">
        <v>43696</v>
      </c>
      <c r="L65" s="41">
        <v>294.00223499999998</v>
      </c>
      <c r="M65" s="35">
        <v>43696</v>
      </c>
      <c r="N65" s="42">
        <v>24.988952999999999</v>
      </c>
      <c r="O65" s="35">
        <v>43696</v>
      </c>
      <c r="P65" s="44">
        <v>57.057405000000003</v>
      </c>
      <c r="Q65" s="35">
        <v>43696</v>
      </c>
      <c r="R65" s="43">
        <v>113.258008</v>
      </c>
      <c r="S65" s="35">
        <v>43696</v>
      </c>
      <c r="T65" s="48">
        <v>1.1103000000000001</v>
      </c>
    </row>
    <row r="66" spans="8:20" x14ac:dyDescent="0.75">
      <c r="H66" s="3"/>
      <c r="I66" s="35">
        <v>43693</v>
      </c>
      <c r="J66" s="45">
        <v>5.2683580000000001</v>
      </c>
      <c r="K66" s="35">
        <v>43693</v>
      </c>
      <c r="L66" s="41">
        <v>290.471159</v>
      </c>
      <c r="M66" s="35">
        <v>43693</v>
      </c>
      <c r="N66" s="42">
        <v>24.795864999999999</v>
      </c>
      <c r="O66" s="35">
        <v>43693</v>
      </c>
      <c r="P66" s="44">
        <v>57.561549999999997</v>
      </c>
      <c r="Q66" s="35">
        <v>43693</v>
      </c>
      <c r="R66" s="43">
        <v>113.510503</v>
      </c>
      <c r="S66" s="35">
        <v>43693</v>
      </c>
      <c r="T66" s="48">
        <v>1.1075999999999999</v>
      </c>
    </row>
    <row r="67" spans="8:20" x14ac:dyDescent="0.75">
      <c r="H67" s="3"/>
      <c r="I67" s="35">
        <v>43692</v>
      </c>
      <c r="J67" s="45">
        <v>5.2739859999999998</v>
      </c>
      <c r="K67" s="35">
        <v>43692</v>
      </c>
      <c r="L67" s="41">
        <v>286.29376999999999</v>
      </c>
      <c r="M67" s="35">
        <v>43692</v>
      </c>
      <c r="N67" s="42">
        <v>24.515936</v>
      </c>
      <c r="O67" s="35">
        <v>43692</v>
      </c>
      <c r="P67" s="44">
        <v>57.859071999999998</v>
      </c>
      <c r="Q67" s="35">
        <v>43692</v>
      </c>
      <c r="R67" s="43">
        <v>113.086645</v>
      </c>
      <c r="S67" s="35">
        <v>43692</v>
      </c>
      <c r="T67" s="50">
        <v>1.115</v>
      </c>
    </row>
    <row r="68" spans="8:20" x14ac:dyDescent="0.75">
      <c r="H68" s="3"/>
      <c r="I68" s="35">
        <v>43691</v>
      </c>
      <c r="J68" s="45">
        <v>5.2545539999999997</v>
      </c>
      <c r="K68" s="35">
        <v>43691</v>
      </c>
      <c r="L68" s="41">
        <v>285.53654699999998</v>
      </c>
      <c r="M68" s="35">
        <v>43691</v>
      </c>
      <c r="N68" s="42">
        <v>24.563037999999999</v>
      </c>
      <c r="O68" s="35">
        <v>43691</v>
      </c>
      <c r="P68" s="44">
        <v>57.665362000000002</v>
      </c>
      <c r="Q68" s="35">
        <v>43691</v>
      </c>
      <c r="R68" s="43">
        <v>112.92105599999999</v>
      </c>
      <c r="S68" s="35">
        <v>43691</v>
      </c>
      <c r="T68" s="48">
        <v>1.1188</v>
      </c>
    </row>
    <row r="69" spans="8:20" x14ac:dyDescent="0.75">
      <c r="H69" s="3"/>
      <c r="I69" s="35">
        <v>43690</v>
      </c>
      <c r="J69" s="45">
        <v>5.2382770000000001</v>
      </c>
      <c r="K69" s="35">
        <v>43690</v>
      </c>
      <c r="L69" s="41">
        <v>294.06730199999998</v>
      </c>
      <c r="M69" s="35">
        <v>43690</v>
      </c>
      <c r="N69" s="42">
        <v>24.881176</v>
      </c>
      <c r="O69" s="35">
        <v>43690</v>
      </c>
      <c r="P69" s="44">
        <v>57.172227999999997</v>
      </c>
      <c r="Q69" s="35">
        <v>43690</v>
      </c>
      <c r="R69" s="43">
        <v>112.92826100000001</v>
      </c>
      <c r="S69" s="35">
        <v>43690</v>
      </c>
      <c r="T69" s="48">
        <v>1.1222000000000001</v>
      </c>
    </row>
    <row r="70" spans="8:20" x14ac:dyDescent="0.75">
      <c r="H70" s="3"/>
      <c r="I70" s="35">
        <v>43689</v>
      </c>
      <c r="J70" s="45">
        <v>5.2374039999999997</v>
      </c>
      <c r="K70" s="35">
        <v>43689</v>
      </c>
      <c r="L70" s="41">
        <v>289.776141</v>
      </c>
      <c r="M70" s="35">
        <v>43689</v>
      </c>
      <c r="N70" s="42">
        <v>24.903934</v>
      </c>
      <c r="O70" s="35">
        <v>43689</v>
      </c>
      <c r="P70" s="44">
        <v>57.333976999999997</v>
      </c>
      <c r="Q70" s="35">
        <v>43689</v>
      </c>
      <c r="R70" s="43">
        <v>113.125879</v>
      </c>
      <c r="S70" s="35">
        <v>43689</v>
      </c>
      <c r="T70" s="48">
        <v>1.1194</v>
      </c>
    </row>
    <row r="71" spans="8:20" x14ac:dyDescent="0.75">
      <c r="H71" s="3"/>
      <c r="I71" s="35">
        <v>43686</v>
      </c>
      <c r="J71" s="45">
        <v>5.2244609999999998</v>
      </c>
      <c r="K71" s="35">
        <v>43686</v>
      </c>
      <c r="L71" s="41">
        <v>293.23460699999998</v>
      </c>
      <c r="M71" s="35">
        <v>43686</v>
      </c>
      <c r="N71" s="42">
        <v>24.847639999999998</v>
      </c>
      <c r="O71" s="35">
        <v>43686</v>
      </c>
      <c r="P71" s="44">
        <v>56.959366000000003</v>
      </c>
      <c r="Q71" s="35">
        <v>43686</v>
      </c>
      <c r="R71" s="43">
        <v>114.391093</v>
      </c>
      <c r="S71" s="35">
        <v>43686</v>
      </c>
      <c r="T71" s="48">
        <v>1.1197999999999999</v>
      </c>
    </row>
    <row r="72" spans="8:20" x14ac:dyDescent="0.75">
      <c r="H72" s="3"/>
      <c r="I72" s="35">
        <v>43685</v>
      </c>
      <c r="J72" s="45">
        <v>5.2264780000000002</v>
      </c>
      <c r="K72" s="35">
        <v>43685</v>
      </c>
      <c r="L72" s="41">
        <v>295.14134799999999</v>
      </c>
      <c r="M72" s="35">
        <v>43685</v>
      </c>
      <c r="N72" s="42">
        <v>24.932017999999999</v>
      </c>
      <c r="O72" s="35">
        <v>43685</v>
      </c>
      <c r="P72" s="44">
        <v>57.037503000000001</v>
      </c>
      <c r="Q72" s="35">
        <v>43685</v>
      </c>
      <c r="R72" s="43">
        <v>113.977299</v>
      </c>
      <c r="S72" s="35">
        <v>43685</v>
      </c>
      <c r="T72" s="48">
        <v>1.1193</v>
      </c>
    </row>
    <row r="73" spans="8:20" x14ac:dyDescent="0.75">
      <c r="H73" s="3"/>
      <c r="I73" s="35">
        <v>43684</v>
      </c>
      <c r="J73" s="45">
        <v>5.2357129999999996</v>
      </c>
      <c r="K73" s="35">
        <v>43684</v>
      </c>
      <c r="L73" s="41">
        <v>289.63285100000002</v>
      </c>
      <c r="M73" s="35">
        <v>43684</v>
      </c>
      <c r="N73" s="42">
        <v>24.624649999999999</v>
      </c>
      <c r="O73" s="35">
        <v>43684</v>
      </c>
      <c r="P73" s="44">
        <v>57.245730999999999</v>
      </c>
      <c r="Q73" s="35">
        <v>43684</v>
      </c>
      <c r="R73" s="43">
        <v>113.76261100000001</v>
      </c>
      <c r="S73" s="35">
        <v>43684</v>
      </c>
      <c r="T73" s="48">
        <v>1.1202000000000001</v>
      </c>
    </row>
    <row r="74" spans="8:20" x14ac:dyDescent="0.75">
      <c r="H74" s="3"/>
      <c r="I74" s="35">
        <v>43683</v>
      </c>
      <c r="J74" s="45">
        <v>5.2187469999999996</v>
      </c>
      <c r="K74" s="35">
        <v>43683</v>
      </c>
      <c r="L74" s="41">
        <v>289.40220099999999</v>
      </c>
      <c r="M74" s="35">
        <v>43683</v>
      </c>
      <c r="N74" s="42">
        <v>24.418136000000001</v>
      </c>
      <c r="O74" s="35">
        <v>43683</v>
      </c>
      <c r="P74" s="44">
        <v>56.030250000000002</v>
      </c>
      <c r="Q74" s="35">
        <v>43683</v>
      </c>
      <c r="R74" s="43">
        <v>113.10583099999999</v>
      </c>
      <c r="S74" s="35">
        <v>43683</v>
      </c>
      <c r="T74" s="48">
        <v>1.1187</v>
      </c>
    </row>
    <row r="75" spans="8:20" x14ac:dyDescent="0.75">
      <c r="H75" s="3"/>
      <c r="I75" s="35">
        <v>43682</v>
      </c>
      <c r="J75" s="45">
        <v>5.2166030000000001</v>
      </c>
      <c r="K75" s="35">
        <v>43682</v>
      </c>
      <c r="L75" s="41">
        <v>285.66159299999998</v>
      </c>
      <c r="M75" s="35">
        <v>43682</v>
      </c>
      <c r="N75" s="42">
        <v>24.517043000000001</v>
      </c>
      <c r="O75" s="35">
        <v>43682</v>
      </c>
      <c r="P75" s="44">
        <v>55.692608</v>
      </c>
      <c r="Q75" s="35">
        <v>43682</v>
      </c>
      <c r="R75" s="43">
        <v>112.924657</v>
      </c>
      <c r="S75" s="35">
        <v>43682</v>
      </c>
      <c r="T75" s="48">
        <v>1.1182000000000001</v>
      </c>
    </row>
    <row r="76" spans="8:20" x14ac:dyDescent="0.75">
      <c r="H76" s="3"/>
      <c r="I76" s="35">
        <v>43679</v>
      </c>
      <c r="J76" s="45">
        <v>5.2005189999999999</v>
      </c>
      <c r="K76" s="35">
        <v>43679</v>
      </c>
      <c r="L76" s="41">
        <v>294.41665799999998</v>
      </c>
      <c r="M76" s="35">
        <v>43679</v>
      </c>
      <c r="N76" s="42">
        <v>24.815816000000002</v>
      </c>
      <c r="O76" s="35">
        <v>43679</v>
      </c>
      <c r="P76" s="44">
        <v>54.962667000000003</v>
      </c>
      <c r="Q76" s="35">
        <v>43679</v>
      </c>
      <c r="R76" s="43">
        <v>113.361994</v>
      </c>
      <c r="S76" s="35">
        <v>43679</v>
      </c>
      <c r="T76" s="48">
        <v>1.1106</v>
      </c>
    </row>
    <row r="77" spans="8:20" x14ac:dyDescent="0.75">
      <c r="H77" s="3"/>
      <c r="I77" s="35">
        <v>43678</v>
      </c>
      <c r="J77" s="45">
        <v>5.1917939999999998</v>
      </c>
      <c r="K77" s="35">
        <v>43678</v>
      </c>
      <c r="L77" s="41">
        <v>296.55020300000001</v>
      </c>
      <c r="M77" s="35">
        <v>43678</v>
      </c>
      <c r="N77" s="42">
        <v>25.04194</v>
      </c>
      <c r="O77" s="35">
        <v>43678</v>
      </c>
      <c r="P77" s="44">
        <v>54.266072000000001</v>
      </c>
      <c r="Q77" s="35">
        <v>43678</v>
      </c>
      <c r="R77" s="43">
        <v>113.30579400000001</v>
      </c>
      <c r="S77" s="35">
        <v>43678</v>
      </c>
      <c r="T77" s="48">
        <v>1.1036999999999999</v>
      </c>
    </row>
    <row r="78" spans="8:20" x14ac:dyDescent="0.75">
      <c r="H78" s="3"/>
      <c r="I78" s="35">
        <v>43677</v>
      </c>
      <c r="J78" s="45">
        <v>5.1755079999999998</v>
      </c>
      <c r="K78" s="35">
        <v>43677</v>
      </c>
      <c r="L78" s="41">
        <v>299.21257100000003</v>
      </c>
      <c r="M78" s="35">
        <v>43677</v>
      </c>
      <c r="N78" s="42">
        <v>25.03285</v>
      </c>
      <c r="O78" s="35">
        <v>43677</v>
      </c>
      <c r="P78" s="44">
        <v>54.165919000000002</v>
      </c>
      <c r="Q78" s="35">
        <v>43677</v>
      </c>
      <c r="R78" s="43">
        <v>113.873363</v>
      </c>
      <c r="S78" s="35">
        <v>43677</v>
      </c>
      <c r="T78" s="48">
        <v>1.1151</v>
      </c>
    </row>
    <row r="79" spans="8:20" x14ac:dyDescent="0.75">
      <c r="H79" s="3"/>
      <c r="I79" s="35">
        <v>43676</v>
      </c>
      <c r="J79" s="45">
        <v>5.1667360000000002</v>
      </c>
      <c r="K79" s="35">
        <v>43676</v>
      </c>
      <c r="L79" s="41">
        <v>302.49787700000002</v>
      </c>
      <c r="M79" s="35">
        <v>43676</v>
      </c>
      <c r="N79" s="42">
        <v>25.020251999999999</v>
      </c>
      <c r="O79" s="35">
        <v>43676</v>
      </c>
      <c r="P79" s="44">
        <v>54.419837000000001</v>
      </c>
      <c r="Q79" s="35">
        <v>43676</v>
      </c>
      <c r="R79" s="43">
        <v>113.7928</v>
      </c>
      <c r="S79" s="35">
        <v>43676</v>
      </c>
      <c r="T79" s="48">
        <v>1.1153999999999999</v>
      </c>
    </row>
    <row r="80" spans="8:20" x14ac:dyDescent="0.75">
      <c r="H80" s="3"/>
      <c r="I80" s="35">
        <v>43675</v>
      </c>
      <c r="J80" s="45">
        <v>5.1683209999999997</v>
      </c>
      <c r="K80" s="35">
        <v>43675</v>
      </c>
      <c r="L80" s="41">
        <v>303.250539</v>
      </c>
      <c r="M80" s="35">
        <v>43675</v>
      </c>
      <c r="N80" s="42">
        <v>25.309661999999999</v>
      </c>
      <c r="O80" s="35">
        <v>43675</v>
      </c>
      <c r="P80" s="44">
        <v>54.122270999999998</v>
      </c>
      <c r="Q80" s="35">
        <v>43675</v>
      </c>
      <c r="R80" s="43">
        <v>113.96744200000001</v>
      </c>
      <c r="S80" s="35">
        <v>43675</v>
      </c>
      <c r="T80" s="48">
        <v>1.1119000000000001</v>
      </c>
    </row>
    <row r="81" spans="8:20" x14ac:dyDescent="0.75">
      <c r="H81" s="3"/>
      <c r="I81" s="35">
        <v>43672</v>
      </c>
      <c r="J81" s="45">
        <v>5.1646359999999998</v>
      </c>
      <c r="K81" s="35">
        <v>43672</v>
      </c>
      <c r="L81" s="41">
        <v>303.74090799999999</v>
      </c>
      <c r="M81" s="35">
        <v>43672</v>
      </c>
      <c r="N81" s="42">
        <v>25.211507000000001</v>
      </c>
      <c r="O81" s="35">
        <v>43672</v>
      </c>
      <c r="P81" s="44">
        <v>54.005513000000001</v>
      </c>
      <c r="Q81" s="35">
        <v>43672</v>
      </c>
      <c r="R81" s="43">
        <v>113.84098400000001</v>
      </c>
      <c r="S81" s="35">
        <v>43672</v>
      </c>
      <c r="T81" s="48">
        <v>1.1137999999999999</v>
      </c>
    </row>
    <row r="82" spans="8:20" x14ac:dyDescent="0.75">
      <c r="H82" s="3"/>
      <c r="I82" s="35">
        <v>43671</v>
      </c>
      <c r="J82" s="45">
        <v>5.1644230000000002</v>
      </c>
      <c r="K82" s="35">
        <v>43671</v>
      </c>
      <c r="L82" s="41">
        <v>301.510561</v>
      </c>
      <c r="M82" s="35">
        <v>43671</v>
      </c>
      <c r="N82" s="42">
        <v>25.201284999999999</v>
      </c>
      <c r="O82" s="35">
        <v>43671</v>
      </c>
      <c r="P82" s="44">
        <v>53.846774000000003</v>
      </c>
      <c r="Q82" s="35">
        <v>43671</v>
      </c>
      <c r="R82" s="43">
        <v>113.880071</v>
      </c>
      <c r="S82" s="35">
        <v>43671</v>
      </c>
      <c r="T82" s="48">
        <v>1.1114999999999999</v>
      </c>
    </row>
    <row r="83" spans="8:20" x14ac:dyDescent="0.75">
      <c r="H83" s="3"/>
      <c r="I83" s="35">
        <v>43670</v>
      </c>
      <c r="J83" s="45">
        <v>5.1685100000000004</v>
      </c>
      <c r="K83" s="35">
        <v>43670</v>
      </c>
      <c r="L83" s="41">
        <v>303.10426200000001</v>
      </c>
      <c r="M83" s="35">
        <v>43670</v>
      </c>
      <c r="N83" s="42">
        <v>25.277505999999999</v>
      </c>
      <c r="O83" s="35">
        <v>43670</v>
      </c>
      <c r="P83" s="44">
        <v>54.188003000000002</v>
      </c>
      <c r="Q83" s="35">
        <v>43670</v>
      </c>
      <c r="R83" s="43">
        <v>113.88680600000001</v>
      </c>
      <c r="S83" s="35">
        <v>43670</v>
      </c>
      <c r="T83" s="48">
        <v>1.1140000000000001</v>
      </c>
    </row>
    <row r="84" spans="8:20" x14ac:dyDescent="0.75">
      <c r="H84" s="3"/>
      <c r="I84" s="35">
        <v>43669</v>
      </c>
      <c r="J84" s="45">
        <v>5.1604910000000004</v>
      </c>
      <c r="K84" s="35">
        <v>43669</v>
      </c>
      <c r="L84" s="41">
        <v>301.67836899999998</v>
      </c>
      <c r="M84" s="35">
        <v>43669</v>
      </c>
      <c r="N84" s="42">
        <v>25.289297000000001</v>
      </c>
      <c r="O84" s="35">
        <v>43669</v>
      </c>
      <c r="P84" s="44">
        <v>54.073967000000003</v>
      </c>
      <c r="Q84" s="35">
        <v>43669</v>
      </c>
      <c r="R84" s="43">
        <v>113.652377</v>
      </c>
      <c r="S84" s="35">
        <v>43669</v>
      </c>
      <c r="T84" s="48">
        <v>1.1173</v>
      </c>
    </row>
    <row r="85" spans="8:20" x14ac:dyDescent="0.75">
      <c r="H85" s="3"/>
      <c r="I85" s="35">
        <v>43668</v>
      </c>
      <c r="J85" s="45">
        <v>5.1611950000000002</v>
      </c>
      <c r="K85" s="35">
        <v>43668</v>
      </c>
      <c r="L85" s="41">
        <v>299.62196</v>
      </c>
      <c r="M85" s="35">
        <v>43668</v>
      </c>
      <c r="N85" s="42">
        <v>25.332315000000001</v>
      </c>
      <c r="O85" s="35">
        <v>43668</v>
      </c>
      <c r="P85" s="44">
        <v>54.288566000000003</v>
      </c>
      <c r="Q85" s="35">
        <v>43668</v>
      </c>
      <c r="R85" s="43">
        <v>113.47614</v>
      </c>
      <c r="S85" s="35">
        <v>43668</v>
      </c>
      <c r="T85" s="48">
        <v>1.1214999999999999</v>
      </c>
    </row>
    <row r="86" spans="8:20" x14ac:dyDescent="0.75">
      <c r="H86" s="3"/>
      <c r="I86" s="35">
        <v>43665</v>
      </c>
      <c r="J86" s="45">
        <v>5.1580029999999999</v>
      </c>
      <c r="K86" s="35">
        <v>43665</v>
      </c>
      <c r="L86" s="41">
        <v>298.76989400000002</v>
      </c>
      <c r="M86" s="35">
        <v>43665</v>
      </c>
      <c r="N86" s="42">
        <v>25.346323999999999</v>
      </c>
      <c r="O86" s="35">
        <v>43665</v>
      </c>
      <c r="P86" s="44">
        <v>54.298363000000002</v>
      </c>
      <c r="Q86" s="35">
        <v>43665</v>
      </c>
      <c r="R86" s="43">
        <v>113.266969</v>
      </c>
      <c r="S86" s="35">
        <v>43665</v>
      </c>
      <c r="T86" s="48">
        <v>1.1226</v>
      </c>
    </row>
    <row r="87" spans="8:20" x14ac:dyDescent="0.75">
      <c r="H87" s="3"/>
      <c r="I87" s="35">
        <v>43664</v>
      </c>
      <c r="J87" s="45">
        <v>5.1580440000000003</v>
      </c>
      <c r="K87" s="35">
        <v>43664</v>
      </c>
      <c r="L87" s="41">
        <v>300.61466100000001</v>
      </c>
      <c r="M87" s="35">
        <v>43664</v>
      </c>
      <c r="N87" s="42">
        <v>25.343658000000001</v>
      </c>
      <c r="O87" s="35">
        <v>43664</v>
      </c>
      <c r="P87" s="44">
        <v>54.504134999999998</v>
      </c>
      <c r="Q87" s="35">
        <v>43664</v>
      </c>
      <c r="R87" s="43">
        <v>113.050506</v>
      </c>
      <c r="S87" s="35">
        <v>43664</v>
      </c>
      <c r="T87" s="48">
        <v>1.1215999999999999</v>
      </c>
    </row>
    <row r="88" spans="8:20" x14ac:dyDescent="0.75">
      <c r="H88" s="3"/>
      <c r="I88" s="35">
        <v>43663</v>
      </c>
      <c r="J88" s="45">
        <v>5.1520320000000002</v>
      </c>
      <c r="K88" s="35">
        <v>43663</v>
      </c>
      <c r="L88" s="41">
        <v>299.5095</v>
      </c>
      <c r="M88" s="35">
        <v>43663</v>
      </c>
      <c r="N88" s="42">
        <v>25.351165999999999</v>
      </c>
      <c r="O88" s="35">
        <v>43663</v>
      </c>
      <c r="P88" s="44">
        <v>54.183134000000003</v>
      </c>
      <c r="Q88" s="35">
        <v>43663</v>
      </c>
      <c r="R88" s="43">
        <v>113.164554</v>
      </c>
      <c r="S88" s="35">
        <v>43663</v>
      </c>
      <c r="T88" s="48">
        <v>1.1214999999999999</v>
      </c>
    </row>
    <row r="89" spans="8:20" x14ac:dyDescent="0.75">
      <c r="H89" s="3"/>
      <c r="I89" s="35">
        <v>43662</v>
      </c>
      <c r="J89" s="45">
        <v>5.1403080000000001</v>
      </c>
      <c r="K89" s="35">
        <v>43662</v>
      </c>
      <c r="L89" s="41">
        <v>301.47457400000002</v>
      </c>
      <c r="M89" s="35">
        <v>43662</v>
      </c>
      <c r="N89" s="42">
        <v>25.322172999999999</v>
      </c>
      <c r="O89" s="35">
        <v>43662</v>
      </c>
      <c r="P89" s="44">
        <v>53.631520000000002</v>
      </c>
      <c r="Q89" s="35">
        <v>43662</v>
      </c>
      <c r="R89" s="43">
        <v>112.984533</v>
      </c>
      <c r="S89" s="35">
        <v>43662</v>
      </c>
      <c r="T89" s="48">
        <v>1.1223000000000001</v>
      </c>
    </row>
    <row r="90" spans="8:20" x14ac:dyDescent="0.75">
      <c r="H90" s="3"/>
      <c r="I90" s="35">
        <v>43661</v>
      </c>
      <c r="J90" s="45">
        <v>5.1421239999999999</v>
      </c>
      <c r="K90" s="35">
        <v>43661</v>
      </c>
      <c r="L90" s="41">
        <v>302.495159</v>
      </c>
      <c r="M90" s="35">
        <v>43661</v>
      </c>
      <c r="N90" s="42">
        <v>25.411138999999999</v>
      </c>
      <c r="O90" s="35">
        <v>43661</v>
      </c>
      <c r="P90" s="44">
        <v>53.799576999999999</v>
      </c>
      <c r="Q90" s="35">
        <v>43661</v>
      </c>
      <c r="R90" s="43">
        <v>112.940259</v>
      </c>
      <c r="S90" s="35">
        <v>43661</v>
      </c>
      <c r="T90" s="48">
        <v>1.1269</v>
      </c>
    </row>
    <row r="91" spans="8:20" x14ac:dyDescent="0.75">
      <c r="H91" s="3"/>
      <c r="I91" s="35">
        <v>43658</v>
      </c>
      <c r="J91" s="45">
        <v>5.1351570000000004</v>
      </c>
      <c r="K91" s="35">
        <v>43658</v>
      </c>
      <c r="L91" s="41">
        <v>302.44297</v>
      </c>
      <c r="M91" s="35">
        <v>43658</v>
      </c>
      <c r="N91" s="42">
        <v>25.355060999999999</v>
      </c>
      <c r="O91" s="35">
        <v>43658</v>
      </c>
      <c r="P91" s="44">
        <v>53.758422000000003</v>
      </c>
      <c r="Q91" s="35">
        <v>43658</v>
      </c>
      <c r="R91" s="43">
        <v>112.678625</v>
      </c>
      <c r="S91" s="35">
        <v>43658</v>
      </c>
      <c r="T91" s="48">
        <v>1.1253</v>
      </c>
    </row>
    <row r="92" spans="8:20" x14ac:dyDescent="0.75">
      <c r="H92" s="3"/>
      <c r="I92" s="35">
        <v>43657</v>
      </c>
      <c r="J92" s="45">
        <v>5.1380600000000003</v>
      </c>
      <c r="K92" s="35">
        <v>43657</v>
      </c>
      <c r="L92" s="41">
        <v>301.02476899999999</v>
      </c>
      <c r="M92" s="35">
        <v>43657</v>
      </c>
      <c r="N92" s="42">
        <v>25.405328999999998</v>
      </c>
      <c r="O92" s="35">
        <v>43657</v>
      </c>
      <c r="P92" s="44">
        <v>53.518267000000002</v>
      </c>
      <c r="Q92" s="35">
        <v>43657</v>
      </c>
      <c r="R92" s="43">
        <v>112.75233799999999</v>
      </c>
      <c r="S92" s="35">
        <v>43657</v>
      </c>
      <c r="T92" s="48">
        <v>1.1285000000000001</v>
      </c>
    </row>
    <row r="93" spans="8:20" x14ac:dyDescent="0.75">
      <c r="H93" s="3"/>
      <c r="I93" s="35">
        <v>43656</v>
      </c>
      <c r="J93" s="45">
        <v>5.1481329999999996</v>
      </c>
      <c r="K93" s="35">
        <v>43656</v>
      </c>
      <c r="L93" s="41">
        <v>300.33828999999997</v>
      </c>
      <c r="M93" s="35">
        <v>43656</v>
      </c>
      <c r="N93" s="42">
        <v>25.441859000000001</v>
      </c>
      <c r="O93" s="35">
        <v>43656</v>
      </c>
      <c r="P93" s="44">
        <v>53.787781000000003</v>
      </c>
      <c r="Q93" s="35">
        <v>43656</v>
      </c>
      <c r="R93" s="43">
        <v>112.815321</v>
      </c>
      <c r="S93" s="35">
        <v>43656</v>
      </c>
      <c r="T93" s="48">
        <v>1.1220000000000001</v>
      </c>
    </row>
    <row r="94" spans="8:20" x14ac:dyDescent="0.75">
      <c r="H94" s="3"/>
      <c r="I94" s="35">
        <v>43655</v>
      </c>
      <c r="J94" s="45">
        <v>5.1534490000000002</v>
      </c>
      <c r="K94" s="35">
        <v>43655</v>
      </c>
      <c r="L94" s="41">
        <v>298.98510299999998</v>
      </c>
      <c r="M94" s="35">
        <v>43655</v>
      </c>
      <c r="N94" s="42">
        <v>25.442322000000001</v>
      </c>
      <c r="O94" s="35">
        <v>43655</v>
      </c>
      <c r="P94" s="44">
        <v>53.239058</v>
      </c>
      <c r="Q94" s="35">
        <v>43655</v>
      </c>
      <c r="R94" s="43">
        <v>112.78527099999999</v>
      </c>
      <c r="S94" s="35">
        <v>43655</v>
      </c>
      <c r="T94" s="48">
        <v>1.1205000000000001</v>
      </c>
    </row>
    <row r="95" spans="8:20" x14ac:dyDescent="0.75">
      <c r="H95" s="3"/>
      <c r="I95" s="35">
        <v>43654</v>
      </c>
      <c r="J95" s="45">
        <v>5.1588139999999996</v>
      </c>
      <c r="K95" s="35">
        <v>43654</v>
      </c>
      <c r="L95" s="41">
        <v>298.52344299999999</v>
      </c>
      <c r="M95" s="35">
        <v>43654</v>
      </c>
      <c r="N95" s="42">
        <v>25.481521999999998</v>
      </c>
      <c r="O95" s="35">
        <v>43654</v>
      </c>
      <c r="P95" s="44">
        <v>53.184241999999998</v>
      </c>
      <c r="Q95" s="35">
        <v>43654</v>
      </c>
      <c r="R95" s="43">
        <v>113.07032700000001</v>
      </c>
      <c r="S95" s="35">
        <v>43654</v>
      </c>
      <c r="T95" s="48">
        <v>1.1214999999999999</v>
      </c>
    </row>
    <row r="96" spans="8:20" x14ac:dyDescent="0.75">
      <c r="H96" s="3"/>
      <c r="I96" s="35">
        <v>43651</v>
      </c>
      <c r="J96" s="45">
        <v>5.1578439999999999</v>
      </c>
      <c r="K96" s="35">
        <v>43651</v>
      </c>
      <c r="L96" s="41">
        <v>299.96946500000001</v>
      </c>
      <c r="M96" s="35">
        <v>43651</v>
      </c>
      <c r="N96" s="42">
        <v>25.484385</v>
      </c>
      <c r="O96" s="35">
        <v>43651</v>
      </c>
      <c r="P96" s="44">
        <v>53.2592</v>
      </c>
      <c r="Q96" s="35">
        <v>43651</v>
      </c>
      <c r="R96" s="43">
        <v>113.25535499999999</v>
      </c>
      <c r="S96" s="35">
        <v>43651</v>
      </c>
      <c r="T96" s="48">
        <v>1.1259999999999999</v>
      </c>
    </row>
    <row r="97" spans="8:20" x14ac:dyDescent="0.75">
      <c r="H97" s="3"/>
      <c r="I97" s="35">
        <v>43649</v>
      </c>
      <c r="J97" s="45">
        <v>5.1746780000000001</v>
      </c>
      <c r="K97" s="35">
        <v>43649</v>
      </c>
      <c r="L97" s="41">
        <v>300.48153300000001</v>
      </c>
      <c r="M97" s="35">
        <v>43649</v>
      </c>
      <c r="N97" s="42">
        <v>25.825700000000001</v>
      </c>
      <c r="O97" s="35">
        <v>43649</v>
      </c>
      <c r="P97" s="44">
        <v>54.005398</v>
      </c>
      <c r="Q97" s="35">
        <v>43649</v>
      </c>
      <c r="R97" s="43">
        <v>113.49519600000001</v>
      </c>
      <c r="S97" s="35">
        <v>43649</v>
      </c>
      <c r="T97" s="48">
        <v>1.1293</v>
      </c>
    </row>
    <row r="98" spans="8:20" x14ac:dyDescent="0.75">
      <c r="H98" s="3"/>
      <c r="I98" s="35">
        <v>43648</v>
      </c>
      <c r="J98" s="45">
        <v>5.1726929999999998</v>
      </c>
      <c r="K98" s="35">
        <v>43648</v>
      </c>
      <c r="L98" s="41">
        <v>298.122862</v>
      </c>
      <c r="M98" s="35">
        <v>43648</v>
      </c>
      <c r="N98" s="42">
        <v>25.596696999999999</v>
      </c>
      <c r="O98" s="35">
        <v>43648</v>
      </c>
      <c r="P98" s="44">
        <v>53.599549000000003</v>
      </c>
      <c r="Q98" s="35">
        <v>43648</v>
      </c>
      <c r="R98" s="43">
        <v>113.181833</v>
      </c>
      <c r="S98" s="35">
        <v>43648</v>
      </c>
      <c r="T98" s="48">
        <v>1.1301000000000001</v>
      </c>
    </row>
    <row r="99" spans="8:20" x14ac:dyDescent="0.75">
      <c r="H99" s="3"/>
      <c r="I99" s="35">
        <v>43647</v>
      </c>
      <c r="J99" s="45">
        <v>5.1595069999999996</v>
      </c>
      <c r="K99" s="35">
        <v>43647</v>
      </c>
      <c r="L99" s="41">
        <v>297.23985599999997</v>
      </c>
      <c r="M99" s="35">
        <v>43647</v>
      </c>
      <c r="N99" s="42">
        <v>25.469090000000001</v>
      </c>
      <c r="O99" s="35">
        <v>43647</v>
      </c>
      <c r="P99" s="44">
        <v>52.791933</v>
      </c>
      <c r="Q99" s="35">
        <v>43647</v>
      </c>
      <c r="R99" s="43">
        <v>113.057367</v>
      </c>
      <c r="S99" s="35">
        <v>43647</v>
      </c>
      <c r="T99" s="48">
        <v>1.1349</v>
      </c>
    </row>
    <row r="100" spans="8:20" x14ac:dyDescent="0.75">
      <c r="H100" s="3"/>
      <c r="I100" s="35">
        <v>43644</v>
      </c>
      <c r="J100" s="45">
        <v>5.1504269999999996</v>
      </c>
      <c r="K100" s="35">
        <v>43644</v>
      </c>
      <c r="L100" s="41">
        <v>294.97585199999997</v>
      </c>
      <c r="M100" s="35">
        <v>43644</v>
      </c>
      <c r="N100" s="42">
        <v>25.500616999999998</v>
      </c>
      <c r="O100" s="35">
        <v>43644</v>
      </c>
      <c r="P100" s="44">
        <v>53.732903</v>
      </c>
      <c r="Q100" s="35">
        <v>43644</v>
      </c>
      <c r="R100" s="43">
        <v>112.89968500000001</v>
      </c>
      <c r="S100" s="35">
        <v>43644</v>
      </c>
      <c r="T100" s="48">
        <v>1.1379999999999999</v>
      </c>
    </row>
    <row r="101" spans="8:20" x14ac:dyDescent="0.75">
      <c r="H101" s="3"/>
      <c r="I101" s="35">
        <v>43643</v>
      </c>
      <c r="J101" s="45">
        <v>5.1484819999999996</v>
      </c>
      <c r="K101" s="35">
        <v>43643</v>
      </c>
      <c r="L101" s="41">
        <v>293.27372500000001</v>
      </c>
      <c r="M101" s="35">
        <v>43643</v>
      </c>
      <c r="N101" s="42">
        <v>25.321691999999999</v>
      </c>
      <c r="O101" s="35">
        <v>43643</v>
      </c>
      <c r="P101" s="44">
        <v>53.659540999999997</v>
      </c>
      <c r="Q101" s="35">
        <v>43643</v>
      </c>
      <c r="R101" s="43">
        <v>112.762114</v>
      </c>
      <c r="S101" s="35">
        <v>43643</v>
      </c>
      <c r="T101" s="48">
        <v>1.137</v>
      </c>
    </row>
    <row r="102" spans="8:20" x14ac:dyDescent="0.75">
      <c r="H102" s="3"/>
      <c r="I102" s="35">
        <v>43642</v>
      </c>
      <c r="J102" s="45">
        <v>5.1453530000000001</v>
      </c>
      <c r="K102" s="35">
        <v>43642</v>
      </c>
      <c r="L102" s="41">
        <v>292.11218300000002</v>
      </c>
      <c r="M102" s="35">
        <v>43642</v>
      </c>
      <c r="N102" s="42">
        <v>25.436098999999999</v>
      </c>
      <c r="O102" s="35">
        <v>43642</v>
      </c>
      <c r="P102" s="44">
        <v>53.755780000000001</v>
      </c>
      <c r="Q102" s="35">
        <v>43642</v>
      </c>
      <c r="R102" s="43">
        <v>112.616828</v>
      </c>
      <c r="S102" s="35">
        <v>43642</v>
      </c>
      <c r="T102" s="48">
        <v>1.1362000000000001</v>
      </c>
    </row>
    <row r="103" spans="8:20" x14ac:dyDescent="0.75">
      <c r="H103" s="3"/>
      <c r="I103" s="35">
        <v>43641</v>
      </c>
      <c r="J103" s="45">
        <v>5.1402580000000002</v>
      </c>
      <c r="K103" s="35">
        <v>43641</v>
      </c>
      <c r="L103" s="41">
        <v>292.47410600000001</v>
      </c>
      <c r="M103" s="35">
        <v>43641</v>
      </c>
      <c r="N103" s="42">
        <v>25.620587</v>
      </c>
      <c r="O103" s="35">
        <v>43641</v>
      </c>
      <c r="P103" s="44">
        <v>53.981397999999999</v>
      </c>
      <c r="Q103" s="35">
        <v>43641</v>
      </c>
      <c r="R103" s="43">
        <v>112.75759100000001</v>
      </c>
      <c r="S103" s="35">
        <v>43641</v>
      </c>
      <c r="T103" s="48">
        <v>1.1388</v>
      </c>
    </row>
    <row r="104" spans="8:20" x14ac:dyDescent="0.75">
      <c r="H104" s="3"/>
      <c r="I104" s="35">
        <v>43640</v>
      </c>
      <c r="J104" s="45">
        <v>5.1498470000000003</v>
      </c>
      <c r="K104" s="35">
        <v>43640</v>
      </c>
      <c r="L104" s="41">
        <v>295.27932499999997</v>
      </c>
      <c r="M104" s="35">
        <v>43640</v>
      </c>
      <c r="N104" s="42">
        <v>25.647880000000001</v>
      </c>
      <c r="O104" s="35">
        <v>43640</v>
      </c>
      <c r="P104" s="44">
        <v>53.936374999999998</v>
      </c>
      <c r="Q104" s="35">
        <v>43640</v>
      </c>
      <c r="R104" s="43">
        <v>112.906166</v>
      </c>
      <c r="S104" s="35">
        <v>43640</v>
      </c>
      <c r="T104" s="48">
        <v>1.1394</v>
      </c>
    </row>
    <row r="105" spans="8:20" x14ac:dyDescent="0.75">
      <c r="H105" s="3"/>
      <c r="I105" s="35">
        <v>43637</v>
      </c>
      <c r="J105" s="45">
        <v>5.1458380000000004</v>
      </c>
      <c r="K105" s="35">
        <v>43637</v>
      </c>
      <c r="L105" s="41">
        <v>295.79185200000001</v>
      </c>
      <c r="M105" s="35">
        <v>43637</v>
      </c>
      <c r="N105" s="42">
        <v>25.468702</v>
      </c>
      <c r="O105" s="35">
        <v>43637</v>
      </c>
      <c r="P105" s="44">
        <v>53.21848</v>
      </c>
      <c r="Q105" s="35">
        <v>43637</v>
      </c>
      <c r="R105" s="43">
        <v>112.84502500000001</v>
      </c>
      <c r="S105" s="35">
        <v>43637</v>
      </c>
      <c r="T105" s="48">
        <v>1.1315999999999999</v>
      </c>
    </row>
    <row r="106" spans="8:20" x14ac:dyDescent="0.75">
      <c r="H106" s="3"/>
      <c r="I106" s="35">
        <v>43636</v>
      </c>
      <c r="J106" s="45">
        <v>5.138782</v>
      </c>
      <c r="K106" s="35">
        <v>43636</v>
      </c>
      <c r="L106" s="41">
        <v>296.14907699999998</v>
      </c>
      <c r="M106" s="35">
        <v>43636</v>
      </c>
      <c r="N106" s="42">
        <v>25.494758000000001</v>
      </c>
      <c r="O106" s="35">
        <v>43636</v>
      </c>
      <c r="P106" s="44">
        <v>53.026643999999997</v>
      </c>
      <c r="Q106" s="35">
        <v>43636</v>
      </c>
      <c r="R106" s="43">
        <v>113.325992</v>
      </c>
      <c r="S106" s="35">
        <v>43636</v>
      </c>
      <c r="T106" s="48">
        <v>1.1307</v>
      </c>
    </row>
    <row r="107" spans="8:20" x14ac:dyDescent="0.75">
      <c r="H107" s="3"/>
      <c r="I107" s="35">
        <v>43635</v>
      </c>
      <c r="J107" s="45">
        <v>5.1514600000000002</v>
      </c>
      <c r="K107" s="35">
        <v>43635</v>
      </c>
      <c r="L107" s="41">
        <v>293.34292199999999</v>
      </c>
      <c r="M107" s="35">
        <v>43635</v>
      </c>
      <c r="N107" s="42">
        <v>25.282737000000001</v>
      </c>
      <c r="O107" s="35">
        <v>43635</v>
      </c>
      <c r="P107" s="44">
        <v>51.331041999999997</v>
      </c>
      <c r="Q107" s="35">
        <v>43635</v>
      </c>
      <c r="R107" s="43">
        <v>112.13849</v>
      </c>
      <c r="S107" s="35">
        <v>43635</v>
      </c>
      <c r="T107" s="48">
        <v>1.1207</v>
      </c>
    </row>
    <row r="108" spans="8:20" x14ac:dyDescent="0.75">
      <c r="H108" s="3"/>
      <c r="I108" s="35">
        <v>43634</v>
      </c>
      <c r="J108" s="45">
        <v>5.1370329999999997</v>
      </c>
      <c r="K108" s="35">
        <v>43634</v>
      </c>
      <c r="L108" s="41">
        <v>292.46986900000002</v>
      </c>
      <c r="M108" s="35">
        <v>43634</v>
      </c>
      <c r="N108" s="42">
        <v>25.296973000000001</v>
      </c>
      <c r="O108" s="35">
        <v>43634</v>
      </c>
      <c r="P108" s="44">
        <v>51.298741</v>
      </c>
      <c r="Q108" s="35">
        <v>43634</v>
      </c>
      <c r="R108" s="43">
        <v>111.81526599999999</v>
      </c>
      <c r="S108" s="35">
        <v>43634</v>
      </c>
      <c r="T108" s="48">
        <v>1.1187</v>
      </c>
    </row>
    <row r="109" spans="8:20" x14ac:dyDescent="0.75">
      <c r="H109" s="3"/>
      <c r="I109" s="35">
        <v>43633</v>
      </c>
      <c r="J109" s="45">
        <v>5.1336719999999998</v>
      </c>
      <c r="K109" s="35">
        <v>43633</v>
      </c>
      <c r="L109" s="41">
        <v>289.64768800000002</v>
      </c>
      <c r="M109" s="35">
        <v>43633</v>
      </c>
      <c r="N109" s="42">
        <v>25.061502999999998</v>
      </c>
      <c r="O109" s="35">
        <v>43633</v>
      </c>
      <c r="P109" s="44">
        <v>51.013325999999999</v>
      </c>
      <c r="Q109" s="35">
        <v>43633</v>
      </c>
      <c r="R109" s="43">
        <v>111.04574599999999</v>
      </c>
      <c r="S109" s="35">
        <v>43633</v>
      </c>
      <c r="T109" s="48">
        <v>1.1234</v>
      </c>
    </row>
    <row r="110" spans="8:20" x14ac:dyDescent="0.75">
      <c r="H110" s="3"/>
      <c r="I110" s="35">
        <v>43630</v>
      </c>
      <c r="J110" s="45">
        <v>5.1178299999999997</v>
      </c>
      <c r="K110" s="35">
        <v>43630</v>
      </c>
      <c r="L110" s="41">
        <v>291.15320300000002</v>
      </c>
      <c r="M110" s="35">
        <v>43630</v>
      </c>
      <c r="N110" s="42">
        <v>25.703868</v>
      </c>
      <c r="O110" s="35">
        <v>43630</v>
      </c>
      <c r="P110" s="44">
        <v>51.060682</v>
      </c>
      <c r="Q110" s="35">
        <v>43630</v>
      </c>
      <c r="R110" s="43">
        <v>111.03353199999999</v>
      </c>
      <c r="S110" s="35">
        <v>43630</v>
      </c>
      <c r="T110" s="48">
        <v>1.1265000000000001</v>
      </c>
    </row>
    <row r="111" spans="8:20" x14ac:dyDescent="0.75">
      <c r="H111" s="3"/>
      <c r="I111" s="35">
        <v>43629</v>
      </c>
      <c r="J111" s="45">
        <v>5.1187329999999998</v>
      </c>
      <c r="K111" s="35">
        <v>43629</v>
      </c>
      <c r="L111" s="41">
        <v>291.582741</v>
      </c>
      <c r="M111" s="35">
        <v>43629</v>
      </c>
      <c r="N111" s="42">
        <v>25.840014</v>
      </c>
      <c r="O111" s="35">
        <v>43629</v>
      </c>
      <c r="P111" s="44">
        <v>51.032946000000003</v>
      </c>
      <c r="Q111" s="35">
        <v>43629</v>
      </c>
      <c r="R111" s="43">
        <v>111.064982</v>
      </c>
      <c r="S111" s="35">
        <v>43629</v>
      </c>
      <c r="T111" s="48">
        <v>1.1289</v>
      </c>
    </row>
    <row r="112" spans="8:20" x14ac:dyDescent="0.75">
      <c r="H112" s="3"/>
      <c r="I112" s="35">
        <v>43628</v>
      </c>
      <c r="J112" s="45">
        <v>5.1163210000000001</v>
      </c>
      <c r="K112" s="35">
        <v>43628</v>
      </c>
      <c r="L112" s="41">
        <v>290.306759</v>
      </c>
      <c r="M112" s="35">
        <v>43628</v>
      </c>
      <c r="N112" s="42">
        <v>25.917377999999999</v>
      </c>
      <c r="O112" s="35">
        <v>43628</v>
      </c>
      <c r="P112" s="44">
        <v>50.764490000000002</v>
      </c>
      <c r="Q112" s="35">
        <v>43628</v>
      </c>
      <c r="R112" s="43">
        <v>111.07717100000001</v>
      </c>
      <c r="S112" s="35">
        <v>43628</v>
      </c>
      <c r="T112" s="48">
        <v>1.1323000000000001</v>
      </c>
    </row>
    <row r="113" spans="8:20" x14ac:dyDescent="0.75">
      <c r="H113" s="3"/>
      <c r="I113" s="35">
        <v>43627</v>
      </c>
      <c r="J113" s="45">
        <v>5.1101380000000001</v>
      </c>
      <c r="K113" s="35">
        <v>43627</v>
      </c>
      <c r="L113" s="41">
        <v>290.89450900000003</v>
      </c>
      <c r="M113" s="35">
        <v>43627</v>
      </c>
      <c r="N113" s="42">
        <v>25.870083999999999</v>
      </c>
      <c r="O113" s="35">
        <v>43627</v>
      </c>
      <c r="P113" s="44">
        <v>50.532817999999999</v>
      </c>
      <c r="Q113" s="35">
        <v>43627</v>
      </c>
      <c r="R113" s="43">
        <v>111.025819</v>
      </c>
      <c r="S113" s="35">
        <v>43627</v>
      </c>
      <c r="T113" s="48">
        <v>1.1319999999999999</v>
      </c>
    </row>
    <row r="114" spans="8:20" x14ac:dyDescent="0.75">
      <c r="H114" s="3"/>
      <c r="I114" s="35">
        <v>43626</v>
      </c>
      <c r="J114" s="45">
        <v>5.1096459999999997</v>
      </c>
      <c r="K114" s="35">
        <v>43626</v>
      </c>
      <c r="L114" s="41">
        <v>290.98311799999999</v>
      </c>
      <c r="M114" s="35">
        <v>43626</v>
      </c>
      <c r="N114" s="42">
        <v>25.780262</v>
      </c>
      <c r="O114" s="35">
        <v>43626</v>
      </c>
      <c r="P114" s="44">
        <v>50.503346999999998</v>
      </c>
      <c r="Q114" s="35">
        <v>43626</v>
      </c>
      <c r="R114" s="43">
        <v>111.049699</v>
      </c>
      <c r="S114" s="35">
        <v>43626</v>
      </c>
      <c r="T114" s="48">
        <v>1.1301000000000001</v>
      </c>
    </row>
    <row r="115" spans="8:20" x14ac:dyDescent="0.75">
      <c r="H115" s="3"/>
      <c r="I115" s="35">
        <v>43623</v>
      </c>
      <c r="J115" s="45">
        <v>5.1084420000000001</v>
      </c>
      <c r="K115" s="35">
        <v>43623</v>
      </c>
      <c r="L115" s="41">
        <v>289.63194700000003</v>
      </c>
      <c r="M115" s="35">
        <v>43623</v>
      </c>
      <c r="N115" s="42">
        <v>25.85022</v>
      </c>
      <c r="O115" s="35">
        <v>43623</v>
      </c>
      <c r="P115" s="44">
        <v>51.089775000000003</v>
      </c>
      <c r="Q115" s="35">
        <v>43623</v>
      </c>
      <c r="R115" s="43">
        <v>110.76148499999999</v>
      </c>
      <c r="S115" s="35">
        <v>43623</v>
      </c>
      <c r="T115" s="48">
        <v>1.1273</v>
      </c>
    </row>
    <row r="116" spans="8:20" x14ac:dyDescent="0.75">
      <c r="H116" s="3"/>
      <c r="I116" s="35">
        <v>43622</v>
      </c>
      <c r="J116" s="45">
        <v>5.116511</v>
      </c>
      <c r="K116" s="35">
        <v>43622</v>
      </c>
      <c r="L116" s="41">
        <v>286.59654399999999</v>
      </c>
      <c r="M116" s="35">
        <v>43622</v>
      </c>
      <c r="N116" s="42">
        <v>25.500260000000001</v>
      </c>
      <c r="O116" s="35">
        <v>43622</v>
      </c>
      <c r="P116" s="44">
        <v>50.919507000000003</v>
      </c>
      <c r="Q116" s="35">
        <v>43622</v>
      </c>
      <c r="R116" s="43">
        <v>110.381311</v>
      </c>
      <c r="S116" s="35">
        <v>43622</v>
      </c>
      <c r="T116" s="48">
        <v>1.1266</v>
      </c>
    </row>
    <row r="117" spans="8:20" x14ac:dyDescent="0.75">
      <c r="H117" s="3"/>
      <c r="I117" s="35">
        <v>43621</v>
      </c>
      <c r="J117" s="45">
        <v>5.1057629999999996</v>
      </c>
      <c r="K117" s="35">
        <v>43621</v>
      </c>
      <c r="L117" s="41">
        <v>284.77140800000001</v>
      </c>
      <c r="M117" s="35">
        <v>43621</v>
      </c>
      <c r="N117" s="42">
        <v>25.370843000000001</v>
      </c>
      <c r="O117" s="35">
        <v>43621</v>
      </c>
      <c r="P117" s="44">
        <v>50.623624</v>
      </c>
      <c r="Q117" s="35">
        <v>43621</v>
      </c>
      <c r="R117" s="43">
        <v>110.136077</v>
      </c>
      <c r="S117" s="35">
        <v>43621</v>
      </c>
      <c r="T117" s="48">
        <v>1.1256999999999999</v>
      </c>
    </row>
    <row r="118" spans="8:20" x14ac:dyDescent="0.75">
      <c r="H118" s="3"/>
      <c r="I118" s="35">
        <v>43620</v>
      </c>
      <c r="J118" s="45">
        <v>5.1037650000000001</v>
      </c>
      <c r="K118" s="35">
        <v>43620</v>
      </c>
      <c r="L118" s="41">
        <v>282.43176499999998</v>
      </c>
      <c r="M118" s="35">
        <v>43620</v>
      </c>
      <c r="N118" s="42">
        <v>25.119406000000001</v>
      </c>
      <c r="O118" s="35">
        <v>43620</v>
      </c>
      <c r="P118" s="44">
        <v>50.450735000000002</v>
      </c>
      <c r="Q118" s="35">
        <v>43620</v>
      </c>
      <c r="R118" s="43">
        <v>109.55782600000001</v>
      </c>
      <c r="S118" s="35">
        <v>43620</v>
      </c>
      <c r="T118" s="49">
        <v>1.1244000000000001</v>
      </c>
    </row>
    <row r="119" spans="8:20" x14ac:dyDescent="0.75">
      <c r="H119" s="3"/>
      <c r="I119" s="35">
        <v>43619</v>
      </c>
      <c r="J119" s="45">
        <v>5.0979369999999999</v>
      </c>
      <c r="K119" s="35">
        <v>43619</v>
      </c>
      <c r="L119" s="41">
        <v>276.494192</v>
      </c>
      <c r="M119" s="35">
        <v>43619</v>
      </c>
      <c r="N119" s="42">
        <v>25.068451</v>
      </c>
      <c r="O119" s="35">
        <v>43619</v>
      </c>
      <c r="P119" s="44">
        <v>50.406207000000002</v>
      </c>
      <c r="Q119" s="35">
        <v>43619</v>
      </c>
      <c r="R119" s="43">
        <v>109.14993</v>
      </c>
      <c r="S119" s="35">
        <v>43619</v>
      </c>
      <c r="T119" s="48">
        <v>1.1185</v>
      </c>
    </row>
    <row r="120" spans="8:20" x14ac:dyDescent="0.75">
      <c r="H120" s="3"/>
      <c r="I120" s="35">
        <v>43616</v>
      </c>
      <c r="J120" s="45">
        <v>5.1000990000000002</v>
      </c>
      <c r="K120" s="35">
        <v>43616</v>
      </c>
      <c r="L120" s="41">
        <v>277.25744900000001</v>
      </c>
      <c r="M120" s="35">
        <v>43616</v>
      </c>
      <c r="N120" s="42">
        <v>24.794445</v>
      </c>
      <c r="O120" s="35">
        <v>43616</v>
      </c>
      <c r="P120" s="44">
        <v>49.754316000000003</v>
      </c>
      <c r="Q120" s="35">
        <v>43616</v>
      </c>
      <c r="R120" s="43">
        <v>109.460438</v>
      </c>
      <c r="S120" s="35">
        <v>43616</v>
      </c>
      <c r="T120" s="48">
        <v>1.1151</v>
      </c>
    </row>
    <row r="121" spans="8:20" x14ac:dyDescent="0.75">
      <c r="H121" s="3"/>
      <c r="I121" s="35">
        <v>43615</v>
      </c>
      <c r="J121" s="45">
        <v>5.091558</v>
      </c>
      <c r="K121" s="35">
        <v>43615</v>
      </c>
      <c r="L121" s="41">
        <v>280.91048000000001</v>
      </c>
      <c r="M121" s="35">
        <v>43615</v>
      </c>
      <c r="N121" s="42">
        <v>24.825104</v>
      </c>
      <c r="O121" s="35">
        <v>43615</v>
      </c>
      <c r="P121" s="44">
        <v>49.037574999999997</v>
      </c>
      <c r="Q121" s="35">
        <v>43615</v>
      </c>
      <c r="R121" s="43">
        <v>109.59801400000001</v>
      </c>
      <c r="S121" s="35">
        <v>43615</v>
      </c>
      <c r="T121" s="49">
        <v>1.1133999999999999</v>
      </c>
    </row>
    <row r="122" spans="8:20" x14ac:dyDescent="0.75">
      <c r="H122" s="3"/>
      <c r="I122" s="35">
        <v>43614</v>
      </c>
      <c r="J122" s="45">
        <v>5.0774499999999998</v>
      </c>
      <c r="K122" s="35">
        <v>43614</v>
      </c>
      <c r="L122" s="41">
        <v>280.282194</v>
      </c>
      <c r="M122" s="35">
        <v>43614</v>
      </c>
      <c r="N122" s="42">
        <v>24.779432</v>
      </c>
      <c r="O122" s="35">
        <v>43614</v>
      </c>
      <c r="P122" s="44">
        <v>48.783634999999997</v>
      </c>
      <c r="Q122" s="35">
        <v>43614</v>
      </c>
      <c r="R122" s="43">
        <v>109.396973</v>
      </c>
      <c r="S122" s="35">
        <v>43614</v>
      </c>
      <c r="T122" s="48">
        <v>1.1155999999999999</v>
      </c>
    </row>
    <row r="123" spans="8:20" x14ac:dyDescent="0.75">
      <c r="H123" s="3"/>
      <c r="I123" s="35">
        <v>43613</v>
      </c>
      <c r="J123" s="45">
        <v>5.0766150000000003</v>
      </c>
      <c r="K123" s="35">
        <v>43613</v>
      </c>
      <c r="L123" s="41">
        <v>282.22837600000003</v>
      </c>
      <c r="M123" s="35">
        <v>43613</v>
      </c>
      <c r="N123" s="42">
        <v>25.142600999999999</v>
      </c>
      <c r="O123" s="35">
        <v>43613</v>
      </c>
      <c r="P123" s="44">
        <v>48.660418999999997</v>
      </c>
      <c r="Q123" s="35">
        <v>43613</v>
      </c>
      <c r="R123" s="43">
        <v>109.41150500000001</v>
      </c>
      <c r="S123" s="35">
        <v>43613</v>
      </c>
      <c r="T123" s="48">
        <v>1.1192</v>
      </c>
    </row>
    <row r="124" spans="8:20" x14ac:dyDescent="0.75">
      <c r="H124" s="3"/>
      <c r="I124" s="35">
        <v>43609</v>
      </c>
      <c r="J124" s="45">
        <v>5.0697570000000001</v>
      </c>
      <c r="K124" s="35">
        <v>43609</v>
      </c>
      <c r="L124" s="41">
        <v>284.61300999999997</v>
      </c>
      <c r="M124" s="35">
        <v>43609</v>
      </c>
      <c r="N124" s="42">
        <v>25.214120999999999</v>
      </c>
      <c r="O124" s="35">
        <v>43609</v>
      </c>
      <c r="P124" s="44">
        <v>48.890703999999999</v>
      </c>
      <c r="Q124" s="35">
        <v>43609</v>
      </c>
      <c r="R124" s="43">
        <v>109.22216400000001</v>
      </c>
      <c r="S124" s="35">
        <v>43609</v>
      </c>
      <c r="T124" s="48">
        <v>1.1187</v>
      </c>
    </row>
    <row r="125" spans="8:20" x14ac:dyDescent="0.75">
      <c r="H125" s="3"/>
      <c r="I125" s="35">
        <v>43608</v>
      </c>
      <c r="J125" s="45">
        <v>5.0623550000000002</v>
      </c>
      <c r="K125" s="35">
        <v>43608</v>
      </c>
      <c r="L125" s="41">
        <v>284.18177500000002</v>
      </c>
      <c r="M125" s="35">
        <v>43608</v>
      </c>
      <c r="N125" s="42">
        <v>24.954103</v>
      </c>
      <c r="O125" s="35">
        <v>43608</v>
      </c>
      <c r="P125" s="44">
        <v>48.927408999999997</v>
      </c>
      <c r="Q125" s="35">
        <v>43608</v>
      </c>
      <c r="R125" s="43">
        <v>109.181264</v>
      </c>
      <c r="S125" s="35">
        <v>43608</v>
      </c>
      <c r="T125" s="48">
        <v>1.1138999999999999</v>
      </c>
    </row>
    <row r="126" spans="8:20" x14ac:dyDescent="0.75">
      <c r="H126" s="3"/>
      <c r="I126" s="35">
        <v>43607</v>
      </c>
      <c r="J126" s="45">
        <v>5.0633030000000003</v>
      </c>
      <c r="K126" s="35">
        <v>43607</v>
      </c>
      <c r="L126" s="41">
        <v>287.58024</v>
      </c>
      <c r="M126" s="35">
        <v>43607</v>
      </c>
      <c r="N126" s="42">
        <v>25.176912999999999</v>
      </c>
      <c r="O126" s="35">
        <v>43607</v>
      </c>
      <c r="P126" s="44">
        <v>48.512884999999997</v>
      </c>
      <c r="Q126" s="35">
        <v>43607</v>
      </c>
      <c r="R126" s="43">
        <v>109.39116799999999</v>
      </c>
      <c r="S126" s="35">
        <v>43607</v>
      </c>
      <c r="T126" s="48">
        <v>1.1171</v>
      </c>
    </row>
    <row r="127" spans="8:20" x14ac:dyDescent="0.75">
      <c r="H127" s="3"/>
      <c r="I127" s="35">
        <v>43606</v>
      </c>
      <c r="J127" s="45">
        <v>5.0491200000000003</v>
      </c>
      <c r="K127" s="35">
        <v>43606</v>
      </c>
      <c r="L127" s="41">
        <v>288.38871499999999</v>
      </c>
      <c r="M127" s="35">
        <v>43606</v>
      </c>
      <c r="N127" s="42">
        <v>25.212333999999998</v>
      </c>
      <c r="O127" s="35">
        <v>43606</v>
      </c>
      <c r="P127" s="44">
        <v>48.481223</v>
      </c>
      <c r="Q127" s="35">
        <v>43606</v>
      </c>
      <c r="R127" s="43">
        <v>109.28868</v>
      </c>
      <c r="S127" s="35">
        <v>43606</v>
      </c>
      <c r="T127" s="48">
        <v>1.1161000000000001</v>
      </c>
    </row>
    <row r="128" spans="8:20" x14ac:dyDescent="0.75">
      <c r="H128" s="3"/>
      <c r="I128" s="35">
        <v>43605</v>
      </c>
      <c r="J128" s="45">
        <v>5.0433159999999999</v>
      </c>
      <c r="K128" s="35">
        <v>43605</v>
      </c>
      <c r="L128" s="41">
        <v>285.95347600000002</v>
      </c>
      <c r="M128" s="35">
        <v>43605</v>
      </c>
      <c r="N128" s="42">
        <v>25.096834999999999</v>
      </c>
      <c r="O128" s="35">
        <v>43605</v>
      </c>
      <c r="P128" s="44">
        <v>48.627389999999998</v>
      </c>
      <c r="Q128" s="35">
        <v>43605</v>
      </c>
      <c r="R128" s="43">
        <v>109.12035</v>
      </c>
      <c r="S128" s="35">
        <v>43605</v>
      </c>
      <c r="T128" s="49">
        <v>1.1167</v>
      </c>
    </row>
    <row r="129" spans="8:20" x14ac:dyDescent="0.75">
      <c r="H129" s="3"/>
      <c r="I129" s="35">
        <v>43602</v>
      </c>
      <c r="J129" s="45">
        <v>5.0466730000000002</v>
      </c>
      <c r="K129" s="35">
        <v>43602</v>
      </c>
      <c r="L129" s="41">
        <v>287.89227299999999</v>
      </c>
      <c r="M129" s="35">
        <v>43602</v>
      </c>
      <c r="N129" s="42">
        <v>25.188807000000001</v>
      </c>
      <c r="O129" s="35">
        <v>43602</v>
      </c>
      <c r="P129" s="44">
        <v>48.576768999999999</v>
      </c>
      <c r="Q129" s="35">
        <v>43602</v>
      </c>
      <c r="R129" s="43">
        <v>109.032749</v>
      </c>
      <c r="S129" s="35">
        <v>43602</v>
      </c>
      <c r="T129" s="48">
        <v>1.1172</v>
      </c>
    </row>
    <row r="130" spans="8:20" x14ac:dyDescent="0.75">
      <c r="H130" s="3"/>
      <c r="I130" s="35">
        <v>43601</v>
      </c>
      <c r="J130" s="45">
        <v>5.0526350000000004</v>
      </c>
      <c r="K130" s="35">
        <v>43601</v>
      </c>
      <c r="L130" s="41">
        <v>289.55367200000001</v>
      </c>
      <c r="M130" s="35">
        <v>43601</v>
      </c>
      <c r="N130" s="42">
        <v>25.261748999999998</v>
      </c>
      <c r="O130" s="35">
        <v>43601</v>
      </c>
      <c r="P130" s="44">
        <v>48.971271999999999</v>
      </c>
      <c r="Q130" s="35">
        <v>43601</v>
      </c>
      <c r="R130" s="43">
        <v>109.11114600000001</v>
      </c>
      <c r="S130" s="35">
        <v>43601</v>
      </c>
      <c r="T130" s="49">
        <v>1.1203000000000001</v>
      </c>
    </row>
    <row r="131" spans="8:20" x14ac:dyDescent="0.75">
      <c r="H131" s="3"/>
      <c r="I131" s="35">
        <v>43600</v>
      </c>
      <c r="J131" s="45">
        <v>5.050935</v>
      </c>
      <c r="K131" s="35">
        <v>43600</v>
      </c>
      <c r="L131" s="41">
        <v>286.91909099999998</v>
      </c>
      <c r="M131" s="35">
        <v>43600</v>
      </c>
      <c r="N131" s="42">
        <v>25.016556000000001</v>
      </c>
      <c r="O131" s="35">
        <v>43600</v>
      </c>
      <c r="P131" s="44">
        <v>49.380800999999998</v>
      </c>
      <c r="Q131" s="35">
        <v>43600</v>
      </c>
      <c r="R131" s="43">
        <v>108.979151</v>
      </c>
      <c r="S131" s="35">
        <v>43600</v>
      </c>
      <c r="T131" s="52">
        <v>1.1183000000000001</v>
      </c>
    </row>
    <row r="132" spans="8:20" x14ac:dyDescent="0.75">
      <c r="H132" s="3"/>
      <c r="I132" s="35">
        <v>43599</v>
      </c>
      <c r="J132" s="45">
        <v>5.0511100000000004</v>
      </c>
      <c r="K132" s="35">
        <v>43599</v>
      </c>
      <c r="L132" s="41">
        <v>285.19694600000003</v>
      </c>
      <c r="M132" s="35">
        <v>43599</v>
      </c>
      <c r="N132" s="42">
        <v>24.91574</v>
      </c>
      <c r="O132" s="35">
        <v>43599</v>
      </c>
      <c r="P132" s="44">
        <v>49.353999999999999</v>
      </c>
      <c r="Q132" s="35">
        <v>43599</v>
      </c>
      <c r="R132" s="43">
        <v>108.754914</v>
      </c>
      <c r="S132" s="35">
        <v>43599</v>
      </c>
      <c r="T132" s="49">
        <v>1.1226</v>
      </c>
    </row>
    <row r="133" spans="8:20" x14ac:dyDescent="0.75">
      <c r="H133" s="3"/>
      <c r="I133" s="35">
        <v>43598</v>
      </c>
      <c r="J133" s="45">
        <v>5.0442989999999996</v>
      </c>
      <c r="K133" s="35">
        <v>43598</v>
      </c>
      <c r="L133" s="41">
        <v>282.89329800000002</v>
      </c>
      <c r="M133" s="35">
        <v>43598</v>
      </c>
      <c r="N133" s="42">
        <v>24.830998999999998</v>
      </c>
      <c r="O133" s="35">
        <v>43598</v>
      </c>
      <c r="P133" s="44">
        <v>49.531728000000001</v>
      </c>
      <c r="Q133" s="35">
        <v>43598</v>
      </c>
      <c r="R133" s="43">
        <v>108.61318</v>
      </c>
      <c r="S133" s="35">
        <v>43598</v>
      </c>
      <c r="T133" s="48">
        <v>1.1245000000000001</v>
      </c>
    </row>
    <row r="134" spans="8:20" x14ac:dyDescent="0.75">
      <c r="H134" s="3"/>
      <c r="I134" s="35">
        <v>43595</v>
      </c>
      <c r="J134" s="45">
        <v>5.0446220000000004</v>
      </c>
      <c r="K134" s="35">
        <v>43595</v>
      </c>
      <c r="L134" s="41">
        <v>289.88166999999999</v>
      </c>
      <c r="M134" s="35">
        <v>43595</v>
      </c>
      <c r="N134" s="42">
        <v>24.989329999999999</v>
      </c>
      <c r="O134" s="35">
        <v>43595</v>
      </c>
      <c r="P134" s="44">
        <v>48.996881999999999</v>
      </c>
      <c r="Q134" s="35">
        <v>43595</v>
      </c>
      <c r="R134" s="43">
        <v>108.988799</v>
      </c>
      <c r="S134" s="35">
        <v>43595</v>
      </c>
      <c r="T134" s="48">
        <v>1.123</v>
      </c>
    </row>
    <row r="135" spans="8:20" x14ac:dyDescent="0.75">
      <c r="H135" s="3"/>
      <c r="I135" s="35">
        <v>43594</v>
      </c>
      <c r="J135" s="45">
        <v>5.039066</v>
      </c>
      <c r="K135" s="35">
        <v>43594</v>
      </c>
      <c r="L135" s="41">
        <v>288.70648399999999</v>
      </c>
      <c r="M135" s="35">
        <v>43594</v>
      </c>
      <c r="N135" s="42">
        <v>24.878692999999998</v>
      </c>
      <c r="O135" s="35">
        <v>43594</v>
      </c>
      <c r="P135" s="44">
        <v>48.908045000000001</v>
      </c>
      <c r="Q135" s="35">
        <v>43594</v>
      </c>
      <c r="R135" s="43">
        <v>108.809393</v>
      </c>
      <c r="S135" s="35">
        <v>43594</v>
      </c>
      <c r="T135" s="48">
        <v>1.1193</v>
      </c>
    </row>
    <row r="136" spans="8:20" x14ac:dyDescent="0.75">
      <c r="H136" s="3"/>
      <c r="I136" s="35">
        <v>43593</v>
      </c>
      <c r="J136" s="45">
        <v>5.0395019999999997</v>
      </c>
      <c r="K136" s="35">
        <v>43593</v>
      </c>
      <c r="L136" s="41">
        <v>289.48295899999999</v>
      </c>
      <c r="M136" s="35">
        <v>43593</v>
      </c>
      <c r="N136" s="42">
        <v>25.044720000000002</v>
      </c>
      <c r="O136" s="35">
        <v>43593</v>
      </c>
      <c r="P136" s="44">
        <v>48.757385999999997</v>
      </c>
      <c r="Q136" s="35">
        <v>43593</v>
      </c>
      <c r="R136" s="43">
        <v>109.079328</v>
      </c>
      <c r="S136" s="35">
        <v>43593</v>
      </c>
      <c r="T136" s="48">
        <v>1.1202000000000001</v>
      </c>
    </row>
    <row r="137" spans="8:20" x14ac:dyDescent="0.75">
      <c r="H137" s="3"/>
      <c r="I137" s="35">
        <v>43592</v>
      </c>
      <c r="J137" s="45">
        <v>5.0391959999999996</v>
      </c>
      <c r="K137" s="35">
        <v>43592</v>
      </c>
      <c r="L137" s="41">
        <v>289.940606</v>
      </c>
      <c r="M137" s="35">
        <v>43592</v>
      </c>
      <c r="N137" s="42">
        <v>25.027768999999999</v>
      </c>
      <c r="O137" s="35">
        <v>43592</v>
      </c>
      <c r="P137" s="44">
        <v>48.905081000000003</v>
      </c>
      <c r="Q137" s="35">
        <v>43592</v>
      </c>
      <c r="R137" s="43">
        <v>109.235981</v>
      </c>
      <c r="S137" s="35">
        <v>43592</v>
      </c>
      <c r="T137" s="48">
        <v>1.1185</v>
      </c>
    </row>
    <row r="138" spans="8:20" x14ac:dyDescent="0.75">
      <c r="H138" s="3"/>
      <c r="I138" s="35">
        <v>43591</v>
      </c>
      <c r="J138" s="45">
        <v>5.0421899999999997</v>
      </c>
      <c r="K138" s="35">
        <v>43591</v>
      </c>
      <c r="L138" s="41">
        <v>294.804283</v>
      </c>
      <c r="M138" s="35">
        <v>43591</v>
      </c>
      <c r="N138" s="42">
        <v>25.196089000000001</v>
      </c>
      <c r="O138" s="35">
        <v>43591</v>
      </c>
      <c r="P138" s="44">
        <v>48.812407</v>
      </c>
      <c r="Q138" s="35">
        <v>43591</v>
      </c>
      <c r="R138" s="43">
        <v>109.38073199999999</v>
      </c>
      <c r="S138" s="35">
        <v>43591</v>
      </c>
      <c r="T138" s="48">
        <v>1.1198999999999999</v>
      </c>
    </row>
    <row r="139" spans="8:20" x14ac:dyDescent="0.75">
      <c r="H139" s="3"/>
      <c r="I139" s="35">
        <v>43588</v>
      </c>
      <c r="J139" s="45">
        <v>5.0310199999999998</v>
      </c>
      <c r="K139" s="35">
        <v>43588</v>
      </c>
      <c r="L139" s="41">
        <v>296.10472900000002</v>
      </c>
      <c r="M139" s="35">
        <v>43588</v>
      </c>
      <c r="N139" s="42">
        <v>25.301404000000002</v>
      </c>
      <c r="O139" s="35">
        <v>43588</v>
      </c>
      <c r="P139" s="44">
        <v>48.716915999999998</v>
      </c>
      <c r="Q139" s="35">
        <v>43588</v>
      </c>
      <c r="R139" s="43">
        <v>109.306117</v>
      </c>
      <c r="S139" s="35">
        <v>43588</v>
      </c>
      <c r="T139" s="48">
        <v>1.1154999999999999</v>
      </c>
    </row>
    <row r="140" spans="8:20" x14ac:dyDescent="0.75">
      <c r="H140" s="3"/>
      <c r="I140" s="35">
        <v>43587</v>
      </c>
      <c r="J140" s="45">
        <v>5.0289130000000002</v>
      </c>
      <c r="K140" s="35">
        <v>43587</v>
      </c>
      <c r="L140" s="41">
        <v>293.24882700000001</v>
      </c>
      <c r="M140" s="35">
        <v>43587</v>
      </c>
      <c r="N140" s="42">
        <v>25.191044999999999</v>
      </c>
      <c r="O140" s="35">
        <v>43587</v>
      </c>
      <c r="P140" s="44">
        <v>48.384684</v>
      </c>
      <c r="Q140" s="35">
        <v>43587</v>
      </c>
      <c r="R140" s="43">
        <v>109.110337</v>
      </c>
      <c r="S140" s="35">
        <v>43587</v>
      </c>
      <c r="T140" s="48">
        <v>1.1212</v>
      </c>
    </row>
    <row r="141" spans="8:20" x14ac:dyDescent="0.75">
      <c r="H141" s="3"/>
      <c r="I141" s="35">
        <v>43586</v>
      </c>
      <c r="J141" s="45">
        <v>5.0355359999999996</v>
      </c>
      <c r="K141" s="35">
        <v>43586</v>
      </c>
      <c r="L141" s="41">
        <v>293.861897</v>
      </c>
      <c r="M141" s="35">
        <v>43586</v>
      </c>
      <c r="N141" s="42">
        <v>25.405881999999998</v>
      </c>
      <c r="O141" s="35">
        <v>43586</v>
      </c>
      <c r="P141" s="44">
        <v>48.774220999999997</v>
      </c>
      <c r="Q141" s="35">
        <v>43586</v>
      </c>
      <c r="R141" s="43">
        <v>109.243026</v>
      </c>
      <c r="S141" s="35">
        <v>43586</v>
      </c>
      <c r="T141" s="48">
        <v>1.1217999999999999</v>
      </c>
    </row>
    <row r="142" spans="8:20" x14ac:dyDescent="0.75">
      <c r="H142" s="3"/>
      <c r="I142" s="35">
        <v>43585</v>
      </c>
      <c r="J142" s="45">
        <v>5.0335599999999996</v>
      </c>
      <c r="K142" s="35">
        <v>43585</v>
      </c>
      <c r="L142" s="41">
        <v>296.08127500000001</v>
      </c>
      <c r="M142" s="35">
        <v>43585</v>
      </c>
      <c r="N142" s="42">
        <v>25.350853000000001</v>
      </c>
      <c r="O142" s="35">
        <v>43585</v>
      </c>
      <c r="P142" s="44">
        <v>48.881132000000001</v>
      </c>
      <c r="Q142" s="35">
        <v>43585</v>
      </c>
      <c r="R142" s="43">
        <v>109.536706</v>
      </c>
      <c r="S142" s="35">
        <v>43585</v>
      </c>
      <c r="T142" s="48">
        <v>1.1217999999999999</v>
      </c>
    </row>
    <row r="143" spans="8:20" x14ac:dyDescent="0.75">
      <c r="H143" s="3"/>
      <c r="I143" s="35">
        <v>43584</v>
      </c>
      <c r="J143" s="45">
        <v>5.0308770000000003</v>
      </c>
      <c r="K143" s="35">
        <v>43584</v>
      </c>
      <c r="L143" s="41">
        <v>295.78969599999999</v>
      </c>
      <c r="M143" s="35">
        <v>43584</v>
      </c>
      <c r="N143" s="42">
        <v>25.223828000000001</v>
      </c>
      <c r="O143" s="35">
        <v>43584</v>
      </c>
      <c r="P143" s="44">
        <v>48.723413000000001</v>
      </c>
      <c r="Q143" s="35">
        <v>43584</v>
      </c>
      <c r="R143" s="43">
        <v>109.37841</v>
      </c>
      <c r="S143" s="35">
        <v>43584</v>
      </c>
      <c r="T143" s="48">
        <v>1.115</v>
      </c>
    </row>
    <row r="144" spans="8:20" x14ac:dyDescent="0.75">
      <c r="H144" s="3"/>
      <c r="I144" s="35">
        <v>43581</v>
      </c>
      <c r="J144" s="45">
        <v>5.0358640000000001</v>
      </c>
      <c r="K144" s="35">
        <v>43581</v>
      </c>
      <c r="L144" s="41">
        <v>295.461186</v>
      </c>
      <c r="M144" s="35">
        <v>43581</v>
      </c>
      <c r="N144" s="42">
        <v>25.231349000000002</v>
      </c>
      <c r="O144" s="35">
        <v>43581</v>
      </c>
      <c r="P144" s="44">
        <v>48.972965000000002</v>
      </c>
      <c r="Q144" s="35">
        <v>43581</v>
      </c>
      <c r="R144" s="43">
        <v>109.35063100000001</v>
      </c>
      <c r="S144" s="35">
        <v>43581</v>
      </c>
      <c r="T144" s="49">
        <v>1.1133</v>
      </c>
    </row>
    <row r="145" spans="8:20" x14ac:dyDescent="0.75">
      <c r="H145" s="3"/>
      <c r="I145" s="35">
        <v>43580</v>
      </c>
      <c r="J145" s="45">
        <v>5.0285080000000004</v>
      </c>
      <c r="K145" s="35">
        <v>43580</v>
      </c>
      <c r="L145" s="41">
        <v>294.07543700000002</v>
      </c>
      <c r="M145" s="35">
        <v>43580</v>
      </c>
      <c r="N145" s="42">
        <v>25.081021</v>
      </c>
      <c r="O145" s="35">
        <v>43580</v>
      </c>
      <c r="P145" s="44">
        <v>48.637661000000001</v>
      </c>
      <c r="Q145" s="35">
        <v>43580</v>
      </c>
      <c r="R145" s="43">
        <v>109.06916</v>
      </c>
      <c r="S145" s="35">
        <v>43580</v>
      </c>
      <c r="T145" s="52">
        <v>1.1123000000000001</v>
      </c>
    </row>
    <row r="146" spans="8:20" x14ac:dyDescent="0.75">
      <c r="H146" s="3"/>
      <c r="I146" s="35">
        <v>43579</v>
      </c>
      <c r="J146" s="45">
        <v>5.0311859999999999</v>
      </c>
      <c r="K146" s="35">
        <v>43579</v>
      </c>
      <c r="L146" s="41">
        <v>294.18528099999997</v>
      </c>
      <c r="M146" s="35">
        <v>43579</v>
      </c>
      <c r="N146" s="42">
        <v>25.168962000000001</v>
      </c>
      <c r="O146" s="35">
        <v>43579</v>
      </c>
      <c r="P146" s="44">
        <v>48.617401000000001</v>
      </c>
      <c r="Q146" s="35">
        <v>43579</v>
      </c>
      <c r="R146" s="43">
        <v>109.46983899999999</v>
      </c>
      <c r="S146" s="35">
        <v>43579</v>
      </c>
      <c r="T146" s="48">
        <v>1.1209</v>
      </c>
    </row>
    <row r="147" spans="8:20" x14ac:dyDescent="0.75">
      <c r="H147" s="3"/>
      <c r="I147" s="35">
        <v>43578</v>
      </c>
      <c r="J147" s="45">
        <v>5.0182869999999999</v>
      </c>
      <c r="K147" s="35">
        <v>43578</v>
      </c>
      <c r="L147" s="41">
        <v>294.83210200000002</v>
      </c>
      <c r="M147" s="35">
        <v>43578</v>
      </c>
      <c r="N147" s="42">
        <v>25.174533</v>
      </c>
      <c r="O147" s="35">
        <v>43578</v>
      </c>
      <c r="P147" s="44">
        <v>48.397525000000002</v>
      </c>
      <c r="Q147" s="35">
        <v>43578</v>
      </c>
      <c r="R147" s="43">
        <v>109.51773900000001</v>
      </c>
      <c r="S147" s="35">
        <v>43578</v>
      </c>
      <c r="T147" s="48">
        <v>1.1245000000000001</v>
      </c>
    </row>
    <row r="148" spans="8:20" x14ac:dyDescent="0.75">
      <c r="H148" s="3"/>
      <c r="I148" s="35">
        <v>43577</v>
      </c>
      <c r="J148" s="45">
        <v>5.022691</v>
      </c>
      <c r="K148" s="35">
        <v>43577</v>
      </c>
      <c r="L148" s="41">
        <v>292.23496999999998</v>
      </c>
      <c r="M148" s="35">
        <v>43577</v>
      </c>
      <c r="N148" s="42">
        <v>25.124942000000001</v>
      </c>
      <c r="O148" s="35">
        <v>43577</v>
      </c>
      <c r="P148" s="44">
        <v>48.551157000000003</v>
      </c>
      <c r="Q148" s="35">
        <v>43577</v>
      </c>
      <c r="R148" s="43">
        <v>109.36461</v>
      </c>
      <c r="S148" s="35">
        <v>43577</v>
      </c>
      <c r="T148" s="48">
        <v>1.125</v>
      </c>
    </row>
    <row r="149" spans="8:20" x14ac:dyDescent="0.75">
      <c r="H149" s="3"/>
      <c r="I149" s="35">
        <v>43573</v>
      </c>
      <c r="J149" s="45">
        <v>5.0130660000000002</v>
      </c>
      <c r="K149" s="35">
        <v>43573</v>
      </c>
      <c r="L149" s="41">
        <v>291.93095499999998</v>
      </c>
      <c r="M149" s="35">
        <v>43573</v>
      </c>
      <c r="N149" s="42">
        <v>25.140902000000001</v>
      </c>
      <c r="O149" s="35">
        <v>43573</v>
      </c>
      <c r="P149" s="44">
        <v>48.508927</v>
      </c>
      <c r="Q149" s="35">
        <v>43573</v>
      </c>
      <c r="R149" s="43">
        <v>109.389329</v>
      </c>
      <c r="S149" s="35">
        <v>43573</v>
      </c>
      <c r="T149" s="48">
        <v>1.125</v>
      </c>
    </row>
    <row r="150" spans="8:20" x14ac:dyDescent="0.75">
      <c r="H150" s="3"/>
      <c r="I150" s="35">
        <v>43572</v>
      </c>
      <c r="J150" s="45">
        <v>5.016057</v>
      </c>
      <c r="K150" s="35">
        <v>43572</v>
      </c>
      <c r="L150" s="41">
        <v>291.46267999999998</v>
      </c>
      <c r="M150" s="35">
        <v>43572</v>
      </c>
      <c r="N150" s="42">
        <v>25.221249</v>
      </c>
      <c r="O150" s="35">
        <v>43572</v>
      </c>
      <c r="P150" s="44">
        <v>48.517063</v>
      </c>
      <c r="Q150" s="35">
        <v>43572</v>
      </c>
      <c r="R150" s="43">
        <v>109.41836000000001</v>
      </c>
      <c r="S150" s="35">
        <v>43572</v>
      </c>
      <c r="T150" s="48">
        <v>1.1301000000000001</v>
      </c>
    </row>
    <row r="151" spans="8:20" x14ac:dyDescent="0.75">
      <c r="H151" s="3"/>
      <c r="I151" s="35">
        <v>43571</v>
      </c>
      <c r="J151" s="45">
        <v>5.0213099999999997</v>
      </c>
      <c r="K151" s="35">
        <v>43571</v>
      </c>
      <c r="L151" s="41">
        <v>292.09766300000001</v>
      </c>
      <c r="M151" s="35">
        <v>43571</v>
      </c>
      <c r="N151" s="42">
        <v>25.279774</v>
      </c>
      <c r="O151" s="35">
        <v>43571</v>
      </c>
      <c r="P151" s="44">
        <v>48.545349000000002</v>
      </c>
      <c r="Q151" s="35">
        <v>43571</v>
      </c>
      <c r="R151" s="43">
        <v>109.373233</v>
      </c>
      <c r="S151" s="35">
        <v>43571</v>
      </c>
      <c r="T151" s="48">
        <v>1.1305000000000001</v>
      </c>
    </row>
    <row r="152" spans="8:20" x14ac:dyDescent="0.75">
      <c r="H152" s="3"/>
      <c r="I152" s="35">
        <v>43570</v>
      </c>
      <c r="J152" s="45">
        <v>5.0230680000000003</v>
      </c>
      <c r="K152" s="35">
        <v>43570</v>
      </c>
      <c r="L152" s="41">
        <v>291.95028300000001</v>
      </c>
      <c r="M152" s="35">
        <v>43570</v>
      </c>
      <c r="N152" s="42">
        <v>25.287647</v>
      </c>
      <c r="O152" s="35">
        <v>43570</v>
      </c>
      <c r="P152" s="44">
        <v>49.046444999999999</v>
      </c>
      <c r="Q152" s="35">
        <v>43570</v>
      </c>
      <c r="R152" s="43">
        <v>109.264872</v>
      </c>
      <c r="S152" s="35">
        <v>43570</v>
      </c>
      <c r="T152" s="48">
        <v>1.1313</v>
      </c>
    </row>
    <row r="153" spans="8:20" x14ac:dyDescent="0.75">
      <c r="H153" s="3"/>
      <c r="I153" s="35">
        <v>43567</v>
      </c>
      <c r="J153" s="45">
        <v>5.0338149999999997</v>
      </c>
      <c r="K153" s="35">
        <v>43567</v>
      </c>
      <c r="L153" s="41">
        <v>292.12727899999999</v>
      </c>
      <c r="M153" s="35">
        <v>43567</v>
      </c>
      <c r="N153" s="42">
        <v>25.230425</v>
      </c>
      <c r="O153" s="35">
        <v>43567</v>
      </c>
      <c r="P153" s="44">
        <v>49.174497000000002</v>
      </c>
      <c r="Q153" s="35">
        <v>43567</v>
      </c>
      <c r="R153" s="43">
        <v>109.182603</v>
      </c>
      <c r="S153" s="35">
        <v>43567</v>
      </c>
      <c r="T153" s="48">
        <v>1.1321000000000001</v>
      </c>
    </row>
    <row r="154" spans="8:20" x14ac:dyDescent="0.75">
      <c r="H154" s="3"/>
      <c r="I154" s="35">
        <v>43566</v>
      </c>
      <c r="J154" s="45">
        <v>5.03714</v>
      </c>
      <c r="K154" s="35">
        <v>43566</v>
      </c>
      <c r="L154" s="41">
        <v>290.17903000000001</v>
      </c>
      <c r="M154" s="35">
        <v>43566</v>
      </c>
      <c r="N154" s="42">
        <v>25.220480999999999</v>
      </c>
      <c r="O154" s="35">
        <v>43566</v>
      </c>
      <c r="P154" s="44">
        <v>49.133246</v>
      </c>
      <c r="Q154" s="35">
        <v>43566</v>
      </c>
      <c r="R154" s="43">
        <v>109.382729</v>
      </c>
      <c r="S154" s="35">
        <v>43566</v>
      </c>
      <c r="T154" s="49">
        <v>1.1264000000000001</v>
      </c>
    </row>
    <row r="155" spans="8:20" x14ac:dyDescent="0.75">
      <c r="H155" s="3"/>
      <c r="I155" s="35">
        <v>43565</v>
      </c>
      <c r="J155" s="45">
        <v>5.0307810000000002</v>
      </c>
      <c r="K155" s="35">
        <v>43565</v>
      </c>
      <c r="L155" s="41">
        <v>290.16499199999998</v>
      </c>
      <c r="M155" s="35">
        <v>43565</v>
      </c>
      <c r="N155" s="42">
        <v>25.221501</v>
      </c>
      <c r="O155" s="35">
        <v>43565</v>
      </c>
      <c r="P155" s="44">
        <v>49.869889000000001</v>
      </c>
      <c r="Q155" s="35">
        <v>43565</v>
      </c>
      <c r="R155" s="43">
        <v>109.626817</v>
      </c>
      <c r="S155" s="35">
        <v>43565</v>
      </c>
      <c r="T155" s="48">
        <v>1.1278999999999999</v>
      </c>
    </row>
    <row r="156" spans="8:20" x14ac:dyDescent="0.75">
      <c r="H156" s="3"/>
      <c r="I156" s="35">
        <v>43564</v>
      </c>
      <c r="J156" s="45">
        <v>5.0277839999999996</v>
      </c>
      <c r="K156" s="35">
        <v>43564</v>
      </c>
      <c r="L156" s="41">
        <v>289.136076</v>
      </c>
      <c r="M156" s="35">
        <v>43564</v>
      </c>
      <c r="N156" s="42">
        <v>25.182808999999999</v>
      </c>
      <c r="O156" s="35">
        <v>43564</v>
      </c>
      <c r="P156" s="44">
        <v>49.667316999999997</v>
      </c>
      <c r="Q156" s="35">
        <v>43564</v>
      </c>
      <c r="R156" s="43">
        <v>109.722373</v>
      </c>
      <c r="S156" s="35">
        <v>43564</v>
      </c>
      <c r="T156" s="48">
        <v>1.1276999999999999</v>
      </c>
    </row>
    <row r="157" spans="8:20" x14ac:dyDescent="0.75">
      <c r="H157" s="3"/>
      <c r="I157" s="35">
        <v>43563</v>
      </c>
      <c r="J157" s="45">
        <v>5.0280870000000002</v>
      </c>
      <c r="K157" s="35">
        <v>43563</v>
      </c>
      <c r="L157" s="41">
        <v>290.81092799999999</v>
      </c>
      <c r="M157" s="35">
        <v>43563</v>
      </c>
      <c r="N157" s="42">
        <v>25.264218</v>
      </c>
      <c r="O157" s="35">
        <v>43563</v>
      </c>
      <c r="P157" s="44">
        <v>49.431953</v>
      </c>
      <c r="Q157" s="35">
        <v>43563</v>
      </c>
      <c r="R157" s="43">
        <v>109.554585</v>
      </c>
      <c r="S157" s="35">
        <v>43563</v>
      </c>
      <c r="T157" s="48">
        <v>1.1246</v>
      </c>
    </row>
    <row r="158" spans="8:20" x14ac:dyDescent="0.75">
      <c r="H158" s="3"/>
      <c r="I158" s="35">
        <v>43560</v>
      </c>
      <c r="J158" s="45">
        <v>5.0271569999999999</v>
      </c>
      <c r="K158" s="35">
        <v>43560</v>
      </c>
      <c r="L158" s="41">
        <v>290.50246199999998</v>
      </c>
      <c r="M158" s="35">
        <v>43560</v>
      </c>
      <c r="N158" s="42">
        <v>25.216774000000001</v>
      </c>
      <c r="O158" s="35">
        <v>43560</v>
      </c>
      <c r="P158" s="44">
        <v>49.188259000000002</v>
      </c>
      <c r="Q158" s="35">
        <v>43560</v>
      </c>
      <c r="R158" s="43">
        <v>109.625818</v>
      </c>
      <c r="S158" s="35">
        <v>43560</v>
      </c>
      <c r="T158" s="48">
        <v>1.1233</v>
      </c>
    </row>
    <row r="159" spans="8:20" x14ac:dyDescent="0.75">
      <c r="H159" s="3"/>
      <c r="I159" s="35">
        <v>43559</v>
      </c>
      <c r="J159" s="45">
        <v>5.0253370000000004</v>
      </c>
      <c r="K159" s="35">
        <v>43559</v>
      </c>
      <c r="L159" s="41">
        <v>289.160437</v>
      </c>
      <c r="M159" s="35">
        <v>43559</v>
      </c>
      <c r="N159" s="42">
        <v>25.212857</v>
      </c>
      <c r="O159" s="35">
        <v>43559</v>
      </c>
      <c r="P159" s="44">
        <v>49.155344999999997</v>
      </c>
      <c r="Q159" s="35">
        <v>43559</v>
      </c>
      <c r="R159" s="43">
        <v>109.547003</v>
      </c>
      <c r="S159" s="35">
        <v>43559</v>
      </c>
      <c r="T159" s="48">
        <v>1.1218999999999999</v>
      </c>
    </row>
    <row r="160" spans="8:20" x14ac:dyDescent="0.75">
      <c r="H160" s="3"/>
      <c r="I160" s="35">
        <v>43558</v>
      </c>
      <c r="J160" s="45">
        <v>5.0342440000000002</v>
      </c>
      <c r="K160" s="35">
        <v>43558</v>
      </c>
      <c r="L160" s="41">
        <v>288.49575099999998</v>
      </c>
      <c r="M160" s="35">
        <v>43558</v>
      </c>
      <c r="N160" s="42">
        <v>25.319368999999998</v>
      </c>
      <c r="O160" s="35">
        <v>43558</v>
      </c>
      <c r="P160" s="44">
        <v>49.152687999999998</v>
      </c>
      <c r="Q160" s="35">
        <v>43558</v>
      </c>
      <c r="R160" s="43">
        <v>109.488304</v>
      </c>
      <c r="S160" s="35">
        <v>43558</v>
      </c>
      <c r="T160" s="49">
        <v>1.1243000000000001</v>
      </c>
    </row>
    <row r="161" spans="8:20" x14ac:dyDescent="0.75">
      <c r="H161" s="3"/>
      <c r="I161" s="35">
        <v>43557</v>
      </c>
      <c r="J161" s="45">
        <v>5.0301840000000002</v>
      </c>
      <c r="K161" s="35">
        <v>43557</v>
      </c>
      <c r="L161" s="41">
        <v>287.87715500000002</v>
      </c>
      <c r="M161" s="35">
        <v>43557</v>
      </c>
      <c r="N161" s="42">
        <v>25.104248999999999</v>
      </c>
      <c r="O161" s="35">
        <v>43557</v>
      </c>
      <c r="P161" s="44">
        <v>49.172538000000003</v>
      </c>
      <c r="Q161" s="35">
        <v>43557</v>
      </c>
      <c r="R161" s="43">
        <v>109.52249399999999</v>
      </c>
      <c r="S161" s="35">
        <v>43557</v>
      </c>
      <c r="T161" s="48">
        <v>1.1200000000000001</v>
      </c>
    </row>
    <row r="162" spans="8:20" x14ac:dyDescent="0.75">
      <c r="H162" s="3"/>
      <c r="I162" s="35">
        <v>43556</v>
      </c>
      <c r="J162" s="45">
        <v>5.0445339999999996</v>
      </c>
      <c r="K162" s="35">
        <v>43556</v>
      </c>
      <c r="L162" s="41">
        <v>287.86300199999999</v>
      </c>
      <c r="M162" s="35">
        <v>43556</v>
      </c>
      <c r="N162" s="42">
        <v>25.073416999999999</v>
      </c>
      <c r="O162" s="35">
        <v>43556</v>
      </c>
      <c r="P162" s="44">
        <v>49.088054</v>
      </c>
      <c r="Q162" s="35">
        <v>43556</v>
      </c>
      <c r="R162" s="43">
        <v>109.528328</v>
      </c>
      <c r="S162" s="35">
        <v>43556</v>
      </c>
      <c r="T162" s="48">
        <v>1.1235999999999999</v>
      </c>
    </row>
    <row r="163" spans="8:20" x14ac:dyDescent="0.75">
      <c r="H163" s="3"/>
      <c r="I163" s="35">
        <v>43553</v>
      </c>
      <c r="J163" s="45">
        <v>5.0445339999999996</v>
      </c>
      <c r="K163" s="35">
        <v>43553</v>
      </c>
      <c r="L163" s="41">
        <v>284.569838</v>
      </c>
      <c r="M163" s="35">
        <v>43553</v>
      </c>
      <c r="N163" s="42">
        <v>24.953603999999999</v>
      </c>
      <c r="O163" s="35">
        <v>43553</v>
      </c>
      <c r="P163" s="44">
        <v>49.265554000000002</v>
      </c>
      <c r="Q163" s="35">
        <v>43553</v>
      </c>
      <c r="R163" s="43">
        <v>109.82619</v>
      </c>
      <c r="S163" s="35">
        <v>43553</v>
      </c>
      <c r="T163" s="48">
        <v>1.1234999999999999</v>
      </c>
    </row>
    <row r="164" spans="8:20" x14ac:dyDescent="0.75">
      <c r="H164" s="3"/>
      <c r="I164" s="35">
        <v>43552</v>
      </c>
      <c r="J164" s="45">
        <v>5.0488299999999997</v>
      </c>
      <c r="K164" s="35">
        <v>43552</v>
      </c>
      <c r="L164" s="41">
        <v>282.654629</v>
      </c>
      <c r="M164" s="35">
        <v>43552</v>
      </c>
      <c r="N164" s="42">
        <v>24.888466999999999</v>
      </c>
      <c r="O164" s="35">
        <v>43552</v>
      </c>
      <c r="P164" s="44">
        <v>49.152147999999997</v>
      </c>
      <c r="Q164" s="35">
        <v>43552</v>
      </c>
      <c r="R164" s="43">
        <v>109.46205500000001</v>
      </c>
      <c r="S164" s="35">
        <v>43552</v>
      </c>
      <c r="T164" s="48">
        <v>1.1217999999999999</v>
      </c>
    </row>
    <row r="165" spans="8:20" x14ac:dyDescent="0.75">
      <c r="H165" s="3"/>
      <c r="I165" s="35">
        <v>43551</v>
      </c>
      <c r="J165" s="45">
        <v>5.0505000000000004</v>
      </c>
      <c r="K165" s="35">
        <v>43551</v>
      </c>
      <c r="L165" s="41">
        <v>281.600256</v>
      </c>
      <c r="M165" s="35">
        <v>43551</v>
      </c>
      <c r="N165" s="42">
        <v>24.926725000000001</v>
      </c>
      <c r="O165" s="35">
        <v>43551</v>
      </c>
      <c r="P165" s="44">
        <v>49.937601999999998</v>
      </c>
      <c r="Q165" s="35">
        <v>43551</v>
      </c>
      <c r="R165" s="43">
        <v>109.52385599999999</v>
      </c>
      <c r="S165" s="35">
        <v>43551</v>
      </c>
      <c r="T165" s="49">
        <v>1.1261000000000001</v>
      </c>
    </row>
    <row r="166" spans="8:20" x14ac:dyDescent="0.75">
      <c r="H166" s="3"/>
      <c r="I166" s="35">
        <v>43550</v>
      </c>
      <c r="J166" s="45">
        <v>5.0402620000000002</v>
      </c>
      <c r="K166" s="35">
        <v>43550</v>
      </c>
      <c r="L166" s="41">
        <v>282.91145799999998</v>
      </c>
      <c r="M166" s="35">
        <v>43550</v>
      </c>
      <c r="N166" s="42">
        <v>24.994643</v>
      </c>
      <c r="O166" s="35">
        <v>43550</v>
      </c>
      <c r="P166" s="44">
        <v>50.134376000000003</v>
      </c>
      <c r="Q166" s="35">
        <v>43550</v>
      </c>
      <c r="R166" s="43">
        <v>109.66367099999999</v>
      </c>
      <c r="S166" s="35">
        <v>43550</v>
      </c>
      <c r="T166" s="52">
        <v>1.1291</v>
      </c>
    </row>
    <row r="167" spans="8:20" x14ac:dyDescent="0.75">
      <c r="H167" s="3"/>
      <c r="I167" s="35">
        <v>43549</v>
      </c>
      <c r="J167" s="45">
        <v>5.0416249999999998</v>
      </c>
      <c r="K167" s="35">
        <v>43549</v>
      </c>
      <c r="L167" s="41">
        <v>280.89555899999999</v>
      </c>
      <c r="M167" s="35">
        <v>43549</v>
      </c>
      <c r="N167" s="42">
        <v>24.895336</v>
      </c>
      <c r="O167" s="35">
        <v>43549</v>
      </c>
      <c r="P167" s="44">
        <v>50.408994</v>
      </c>
      <c r="Q167" s="35">
        <v>43549</v>
      </c>
      <c r="R167" s="43">
        <v>109.362875</v>
      </c>
      <c r="S167" s="35">
        <v>43549</v>
      </c>
      <c r="T167" s="48">
        <v>1.1325000000000001</v>
      </c>
    </row>
    <row r="168" spans="8:20" x14ac:dyDescent="0.75">
      <c r="H168" s="3"/>
      <c r="I168" s="35">
        <v>43546</v>
      </c>
      <c r="J168" s="45">
        <v>5.0367629999999997</v>
      </c>
      <c r="K168" s="35">
        <v>43546</v>
      </c>
      <c r="L168" s="41">
        <v>281.11147299999999</v>
      </c>
      <c r="M168" s="35">
        <v>43546</v>
      </c>
      <c r="N168" s="42">
        <v>24.917555</v>
      </c>
      <c r="O168" s="35">
        <v>43546</v>
      </c>
      <c r="P168" s="44">
        <v>50.010688000000002</v>
      </c>
      <c r="Q168" s="35">
        <v>43546</v>
      </c>
      <c r="R168" s="43">
        <v>109.418553</v>
      </c>
      <c r="S168" s="35">
        <v>43546</v>
      </c>
      <c r="T168" s="48">
        <v>1.1302000000000001</v>
      </c>
    </row>
    <row r="169" spans="8:20" x14ac:dyDescent="0.75">
      <c r="H169" s="3"/>
      <c r="I169" s="35">
        <v>43545</v>
      </c>
      <c r="J169" s="45">
        <v>5.017277</v>
      </c>
      <c r="K169" s="35">
        <v>43545</v>
      </c>
      <c r="L169" s="41">
        <v>286.524878</v>
      </c>
      <c r="M169" s="35">
        <v>43545</v>
      </c>
      <c r="N169" s="42">
        <v>25.254405999999999</v>
      </c>
      <c r="O169" s="35">
        <v>43545</v>
      </c>
      <c r="P169" s="44">
        <v>49.832425000000001</v>
      </c>
      <c r="Q169" s="35">
        <v>43545</v>
      </c>
      <c r="R169" s="43">
        <v>109.649877</v>
      </c>
      <c r="S169" s="35">
        <v>43545</v>
      </c>
      <c r="T169" s="48">
        <v>1.1387</v>
      </c>
    </row>
    <row r="170" spans="8:20" x14ac:dyDescent="0.75">
      <c r="H170" s="3"/>
      <c r="I170" s="35">
        <v>43544</v>
      </c>
      <c r="J170" s="45">
        <v>5.0089439999999996</v>
      </c>
      <c r="K170" s="35">
        <v>43544</v>
      </c>
      <c r="L170" s="41">
        <v>283.41921300000001</v>
      </c>
      <c r="M170" s="35">
        <v>43544</v>
      </c>
      <c r="N170" s="42">
        <v>25.181757999999999</v>
      </c>
      <c r="O170" s="35">
        <v>43544</v>
      </c>
      <c r="P170" s="44">
        <v>49.715003000000003</v>
      </c>
      <c r="Q170" s="35">
        <v>43544</v>
      </c>
      <c r="R170" s="43">
        <v>109.136062</v>
      </c>
      <c r="S170" s="35">
        <v>43544</v>
      </c>
      <c r="T170" s="48">
        <v>1.1354</v>
      </c>
    </row>
    <row r="171" spans="8:20" x14ac:dyDescent="0.75">
      <c r="H171" s="3"/>
      <c r="I171" s="35">
        <v>43543</v>
      </c>
      <c r="J171" s="45">
        <v>4.9996239999999998</v>
      </c>
      <c r="K171" s="35">
        <v>43543</v>
      </c>
      <c r="L171" s="41">
        <v>285.37677300000001</v>
      </c>
      <c r="M171" s="35">
        <v>43543</v>
      </c>
      <c r="N171" s="42">
        <v>25.325505</v>
      </c>
      <c r="O171" s="35">
        <v>43543</v>
      </c>
      <c r="P171" s="44">
        <v>49.776378999999999</v>
      </c>
      <c r="Q171" s="35">
        <v>43543</v>
      </c>
      <c r="R171" s="43">
        <v>109.09841900000001</v>
      </c>
      <c r="S171" s="35">
        <v>43543</v>
      </c>
      <c r="T171" s="48">
        <v>1.1357999999999999</v>
      </c>
    </row>
    <row r="172" spans="8:20" x14ac:dyDescent="0.75">
      <c r="H172" s="3"/>
      <c r="I172" s="35">
        <v>43542</v>
      </c>
      <c r="J172" s="45">
        <v>5.0005639999999998</v>
      </c>
      <c r="K172" s="35">
        <v>43542</v>
      </c>
      <c r="L172" s="41">
        <v>285.40102000000002</v>
      </c>
      <c r="M172" s="35">
        <v>43542</v>
      </c>
      <c r="N172" s="42">
        <v>25.226372000000001</v>
      </c>
      <c r="O172" s="35">
        <v>43542</v>
      </c>
      <c r="P172" s="44">
        <v>49.600696999999997</v>
      </c>
      <c r="Q172" s="35">
        <v>43542</v>
      </c>
      <c r="R172" s="43">
        <v>108.9432</v>
      </c>
      <c r="S172" s="35">
        <v>43542</v>
      </c>
      <c r="T172" s="48">
        <v>1.1349</v>
      </c>
    </row>
    <row r="173" spans="8:20" x14ac:dyDescent="0.75">
      <c r="H173" s="3"/>
      <c r="I173" s="35">
        <v>43539</v>
      </c>
      <c r="J173" s="45">
        <v>4.9975750000000003</v>
      </c>
      <c r="K173" s="35">
        <v>43539</v>
      </c>
      <c r="L173" s="41">
        <v>284.34619600000002</v>
      </c>
      <c r="M173" s="35">
        <v>43539</v>
      </c>
      <c r="N173" s="42">
        <v>25.143025000000002</v>
      </c>
      <c r="O173" s="35">
        <v>43539</v>
      </c>
      <c r="P173" s="44">
        <v>49.617451000000003</v>
      </c>
      <c r="Q173" s="35">
        <v>43539</v>
      </c>
      <c r="R173" s="43">
        <v>108.69828800000001</v>
      </c>
      <c r="S173" s="35">
        <v>43539</v>
      </c>
      <c r="T173" s="48">
        <v>1.1308</v>
      </c>
    </row>
    <row r="174" spans="8:20" x14ac:dyDescent="0.75">
      <c r="H174" s="3"/>
      <c r="I174" s="35">
        <v>43538</v>
      </c>
      <c r="J174" s="45">
        <v>4.9930099999999999</v>
      </c>
      <c r="K174" s="35">
        <v>43538</v>
      </c>
      <c r="L174" s="41">
        <v>282.923948</v>
      </c>
      <c r="M174" s="35">
        <v>43538</v>
      </c>
      <c r="N174" s="42">
        <v>24.940123</v>
      </c>
      <c r="O174" s="35">
        <v>43538</v>
      </c>
      <c r="P174" s="44">
        <v>49.339379000000001</v>
      </c>
      <c r="Q174" s="35">
        <v>43538</v>
      </c>
      <c r="R174" s="43">
        <v>108.413183</v>
      </c>
      <c r="S174" s="35">
        <v>43538</v>
      </c>
      <c r="T174" s="48">
        <v>1.1294999999999999</v>
      </c>
    </row>
    <row r="175" spans="8:20" x14ac:dyDescent="0.75">
      <c r="H175" s="3"/>
      <c r="I175" s="35">
        <v>43537</v>
      </c>
      <c r="J175" s="45">
        <v>4.994942</v>
      </c>
      <c r="K175" s="35">
        <v>43537</v>
      </c>
      <c r="L175" s="41">
        <v>283.070605</v>
      </c>
      <c r="M175" s="35">
        <v>43537</v>
      </c>
      <c r="N175" s="42">
        <v>24.703503000000001</v>
      </c>
      <c r="O175" s="35">
        <v>43537</v>
      </c>
      <c r="P175" s="44">
        <v>49.889741000000001</v>
      </c>
      <c r="Q175" s="35">
        <v>43537</v>
      </c>
      <c r="R175" s="43">
        <v>108.25134</v>
      </c>
      <c r="S175" s="35">
        <v>43537</v>
      </c>
      <c r="T175" s="48">
        <v>1.1303000000000001</v>
      </c>
    </row>
    <row r="176" spans="8:20" x14ac:dyDescent="0.75">
      <c r="H176" s="3"/>
      <c r="I176" s="35">
        <v>43536</v>
      </c>
      <c r="J176" s="45">
        <v>4.9961779999999996</v>
      </c>
      <c r="K176" s="35">
        <v>43536</v>
      </c>
      <c r="L176" s="41">
        <v>281.09704799999997</v>
      </c>
      <c r="M176" s="35">
        <v>43536</v>
      </c>
      <c r="N176" s="42">
        <v>24.536905000000001</v>
      </c>
      <c r="O176" s="35">
        <v>43536</v>
      </c>
      <c r="P176" s="44">
        <v>49.477373999999998</v>
      </c>
      <c r="Q176" s="35">
        <v>43536</v>
      </c>
      <c r="R176" s="43">
        <v>108.282445</v>
      </c>
      <c r="S176" s="35">
        <v>43536</v>
      </c>
      <c r="T176" s="48">
        <v>1.1274999999999999</v>
      </c>
    </row>
    <row r="177" spans="8:20" x14ac:dyDescent="0.75">
      <c r="H177" s="3"/>
      <c r="I177" s="35">
        <v>43535</v>
      </c>
      <c r="J177" s="45">
        <v>4.9910059999999996</v>
      </c>
      <c r="K177" s="35">
        <v>43535</v>
      </c>
      <c r="L177" s="41">
        <v>280.25629900000001</v>
      </c>
      <c r="M177" s="35">
        <v>43535</v>
      </c>
      <c r="N177" s="42">
        <v>24.396847999999999</v>
      </c>
      <c r="O177" s="35">
        <v>43535</v>
      </c>
      <c r="P177" s="44">
        <v>49.196371999999997</v>
      </c>
      <c r="Q177" s="35">
        <v>43535</v>
      </c>
      <c r="R177" s="43">
        <v>107.95717500000001</v>
      </c>
      <c r="S177" s="35">
        <v>43535</v>
      </c>
      <c r="T177" s="48">
        <v>1.1244000000000001</v>
      </c>
    </row>
    <row r="178" spans="8:20" x14ac:dyDescent="0.75">
      <c r="H178" s="3"/>
      <c r="I178" s="35">
        <v>43532</v>
      </c>
      <c r="J178" s="45">
        <v>4.9921680000000004</v>
      </c>
      <c r="K178" s="35">
        <v>43532</v>
      </c>
      <c r="L178" s="41">
        <v>276.20483200000001</v>
      </c>
      <c r="M178" s="35">
        <v>43532</v>
      </c>
      <c r="N178" s="42">
        <v>24.317360999999998</v>
      </c>
      <c r="O178" s="35">
        <v>43532</v>
      </c>
      <c r="P178" s="44">
        <v>49.485658999999998</v>
      </c>
      <c r="Q178" s="35">
        <v>43532</v>
      </c>
      <c r="R178" s="43">
        <v>107.52700900000001</v>
      </c>
      <c r="S178" s="35">
        <v>43532</v>
      </c>
      <c r="T178" s="48">
        <v>1.1222000000000001</v>
      </c>
    </row>
    <row r="179" spans="8:20" x14ac:dyDescent="0.75">
      <c r="H179" s="3"/>
      <c r="I179" s="35">
        <v>43531</v>
      </c>
      <c r="J179" s="45">
        <v>4.9906269999999999</v>
      </c>
      <c r="K179" s="35">
        <v>43531</v>
      </c>
      <c r="L179" s="41">
        <v>276.76725499999998</v>
      </c>
      <c r="M179" s="35">
        <v>43531</v>
      </c>
      <c r="N179" s="42">
        <v>24.411974000000001</v>
      </c>
      <c r="O179" s="35">
        <v>43531</v>
      </c>
      <c r="P179" s="44">
        <v>48.966017000000001</v>
      </c>
      <c r="Q179" s="35">
        <v>43531</v>
      </c>
      <c r="R179" s="43">
        <v>107.66471199999999</v>
      </c>
      <c r="S179" s="35">
        <v>43531</v>
      </c>
      <c r="T179" s="48">
        <v>1.1271</v>
      </c>
    </row>
    <row r="180" spans="8:20" x14ac:dyDescent="0.75">
      <c r="H180" s="3"/>
      <c r="I180" s="35">
        <v>43530</v>
      </c>
      <c r="J180" s="45">
        <v>4.9763529999999996</v>
      </c>
      <c r="K180" s="35">
        <v>43530</v>
      </c>
      <c r="L180" s="41">
        <v>278.97491600000001</v>
      </c>
      <c r="M180" s="35">
        <v>43530</v>
      </c>
      <c r="N180" s="42">
        <v>24.531763999999999</v>
      </c>
      <c r="O180" s="35">
        <v>43530</v>
      </c>
      <c r="P180" s="44">
        <v>49.016322000000002</v>
      </c>
      <c r="Q180" s="35">
        <v>43530</v>
      </c>
      <c r="R180" s="43">
        <v>107.814306</v>
      </c>
      <c r="S180" s="35">
        <v>43530</v>
      </c>
      <c r="T180" s="48">
        <v>1.1305000000000001</v>
      </c>
    </row>
    <row r="181" spans="8:20" x14ac:dyDescent="0.75">
      <c r="H181" s="3"/>
      <c r="I181" s="35">
        <v>43529</v>
      </c>
      <c r="J181" s="45">
        <v>4.9673850000000002</v>
      </c>
      <c r="K181" s="35">
        <v>43529</v>
      </c>
      <c r="L181" s="41">
        <v>280.794329</v>
      </c>
      <c r="M181" s="35">
        <v>43529</v>
      </c>
      <c r="N181" s="42">
        <v>24.510653999999999</v>
      </c>
      <c r="O181" s="35">
        <v>43529</v>
      </c>
      <c r="P181" s="44">
        <v>48.947130999999999</v>
      </c>
      <c r="Q181" s="35">
        <v>43529</v>
      </c>
      <c r="R181" s="43">
        <v>107.592831</v>
      </c>
      <c r="S181" s="35">
        <v>43529</v>
      </c>
      <c r="T181" s="48">
        <v>1.1329</v>
      </c>
    </row>
    <row r="182" spans="8:20" x14ac:dyDescent="0.75">
      <c r="H182" s="3"/>
      <c r="I182" s="35">
        <v>43528</v>
      </c>
      <c r="J182" s="45">
        <v>4.9669590000000001</v>
      </c>
      <c r="K182" s="35">
        <v>43528</v>
      </c>
      <c r="L182" s="41">
        <v>281.10199799999998</v>
      </c>
      <c r="M182" s="35">
        <v>43528</v>
      </c>
      <c r="N182" s="42">
        <v>24.478728</v>
      </c>
      <c r="O182" s="35">
        <v>43528</v>
      </c>
      <c r="P182" s="44">
        <v>49.016488000000003</v>
      </c>
      <c r="Q182" s="35">
        <v>43528</v>
      </c>
      <c r="R182" s="43">
        <v>107.835544</v>
      </c>
      <c r="S182" s="35">
        <v>43528</v>
      </c>
      <c r="T182" s="48">
        <v>1.1336999999999999</v>
      </c>
    </row>
    <row r="183" spans="8:20" x14ac:dyDescent="0.75">
      <c r="H183" s="3"/>
      <c r="I183" s="35">
        <v>43525</v>
      </c>
      <c r="J183" s="45">
        <v>4.9623340000000002</v>
      </c>
      <c r="K183" s="35">
        <v>43525</v>
      </c>
      <c r="L183" s="41">
        <v>282.19151499999998</v>
      </c>
      <c r="M183" s="35">
        <v>43525</v>
      </c>
      <c r="N183" s="42">
        <v>24.555484</v>
      </c>
      <c r="O183" s="35">
        <v>43525</v>
      </c>
      <c r="P183" s="44">
        <v>49.378878999999998</v>
      </c>
      <c r="Q183" s="35">
        <v>43525</v>
      </c>
      <c r="R183" s="43">
        <v>107.925647</v>
      </c>
      <c r="S183" s="35">
        <v>43525</v>
      </c>
      <c r="T183" s="48">
        <v>1.1383000000000001</v>
      </c>
    </row>
    <row r="184" spans="8:20" x14ac:dyDescent="0.75">
      <c r="H184" s="3"/>
      <c r="I184" s="35">
        <v>43524</v>
      </c>
      <c r="J184" s="45">
        <v>4.9678380000000004</v>
      </c>
      <c r="K184" s="35">
        <v>43524</v>
      </c>
      <c r="L184" s="41">
        <v>280.244437</v>
      </c>
      <c r="M184" s="35">
        <v>43524</v>
      </c>
      <c r="N184" s="42">
        <v>24.489113</v>
      </c>
      <c r="O184" s="35">
        <v>43524</v>
      </c>
      <c r="P184" s="44">
        <v>50.072679999999998</v>
      </c>
      <c r="Q184" s="35">
        <v>43524</v>
      </c>
      <c r="R184" s="43">
        <v>108.67579499999999</v>
      </c>
      <c r="S184" s="53">
        <v>43524</v>
      </c>
      <c r="T184" s="48">
        <v>1.1415999999999999</v>
      </c>
    </row>
    <row r="185" spans="8:20" x14ac:dyDescent="0.75">
      <c r="H185" s="3"/>
      <c r="I185" s="35">
        <v>43523</v>
      </c>
      <c r="J185" s="45">
        <v>4.9703580000000001</v>
      </c>
      <c r="K185" s="35">
        <v>43523</v>
      </c>
      <c r="L185" s="41">
        <v>280.955693</v>
      </c>
      <c r="M185" s="35">
        <v>43523</v>
      </c>
      <c r="N185" s="42">
        <v>24.441504999999999</v>
      </c>
      <c r="O185" s="35">
        <v>43523</v>
      </c>
      <c r="P185" s="44">
        <v>50.284300000000002</v>
      </c>
      <c r="Q185" s="35">
        <v>43523</v>
      </c>
      <c r="R185" s="43">
        <v>108.684878</v>
      </c>
      <c r="S185" s="54">
        <v>43523</v>
      </c>
      <c r="T185" s="49">
        <v>1.1386000000000001</v>
      </c>
    </row>
    <row r="186" spans="8:20" x14ac:dyDescent="0.75">
      <c r="H186" s="3"/>
      <c r="I186" s="35">
        <v>43522</v>
      </c>
      <c r="J186" s="45">
        <v>4.9809830000000002</v>
      </c>
      <c r="K186" s="35">
        <v>43522</v>
      </c>
      <c r="L186" s="41">
        <v>281.06354700000003</v>
      </c>
      <c r="M186" s="35">
        <v>43522</v>
      </c>
      <c r="N186" s="42">
        <v>24.526983999999999</v>
      </c>
      <c r="O186" s="35">
        <v>43522</v>
      </c>
      <c r="P186" s="44">
        <v>50.569133999999998</v>
      </c>
      <c r="Q186" s="35">
        <v>43522</v>
      </c>
      <c r="R186" s="43">
        <v>108.60639399999999</v>
      </c>
      <c r="S186" s="55">
        <v>43522</v>
      </c>
      <c r="T186" s="48">
        <v>1.1361000000000001</v>
      </c>
    </row>
    <row r="187" spans="8:20" x14ac:dyDescent="0.75">
      <c r="H187" s="3"/>
      <c r="I187" s="35">
        <v>43521</v>
      </c>
      <c r="J187" s="45">
        <v>4.9782260000000003</v>
      </c>
      <c r="K187" s="35">
        <v>43521</v>
      </c>
      <c r="L187" s="41">
        <v>281.283885</v>
      </c>
      <c r="M187" s="35">
        <v>43521</v>
      </c>
      <c r="N187" s="42">
        <v>24.445812</v>
      </c>
      <c r="O187" s="35">
        <v>43521</v>
      </c>
      <c r="P187" s="44">
        <v>50.585963999999997</v>
      </c>
      <c r="Q187" s="35">
        <v>43521</v>
      </c>
      <c r="R187" s="43">
        <v>108.48240800000001</v>
      </c>
      <c r="S187" s="56">
        <v>43521</v>
      </c>
      <c r="T187" s="48">
        <v>1.1355</v>
      </c>
    </row>
    <row r="188" spans="8:20" x14ac:dyDescent="0.75">
      <c r="H188" s="3"/>
      <c r="I188" s="35">
        <v>43518</v>
      </c>
      <c r="J188" s="45">
        <v>4.9802270000000002</v>
      </c>
      <c r="K188" s="35">
        <v>43518</v>
      </c>
      <c r="L188" s="41">
        <v>280.89949200000001</v>
      </c>
      <c r="M188" s="35">
        <v>43518</v>
      </c>
      <c r="N188" s="42">
        <v>24.433558999999999</v>
      </c>
      <c r="O188" s="35">
        <v>43518</v>
      </c>
      <c r="P188" s="44">
        <v>50.685099000000001</v>
      </c>
      <c r="Q188" s="35">
        <v>43518</v>
      </c>
      <c r="R188" s="43">
        <v>108.295838</v>
      </c>
      <c r="S188" s="57">
        <v>43518</v>
      </c>
      <c r="T188" s="48">
        <v>1.1325000000000001</v>
      </c>
    </row>
    <row r="189" spans="8:20" x14ac:dyDescent="0.75">
      <c r="H189" s="3"/>
      <c r="I189" s="35">
        <v>43517</v>
      </c>
      <c r="J189" s="45">
        <v>4.9738069999999999</v>
      </c>
      <c r="K189" s="35">
        <v>43517</v>
      </c>
      <c r="L189" s="41">
        <v>279.09913</v>
      </c>
      <c r="M189" s="35">
        <v>43517</v>
      </c>
      <c r="N189" s="42">
        <v>24.412289000000001</v>
      </c>
      <c r="O189" s="35">
        <v>43517</v>
      </c>
      <c r="P189" s="44">
        <v>50.47936</v>
      </c>
      <c r="Q189" s="35">
        <v>43517</v>
      </c>
      <c r="R189" s="43">
        <v>108.009061</v>
      </c>
      <c r="S189" s="57">
        <v>43517</v>
      </c>
      <c r="T189" s="48">
        <v>1.1354</v>
      </c>
    </row>
    <row r="190" spans="8:20" x14ac:dyDescent="0.75">
      <c r="H190" s="3"/>
      <c r="I190" s="35">
        <v>43516</v>
      </c>
      <c r="J190" s="45">
        <v>4.979635</v>
      </c>
      <c r="K190" s="35">
        <v>43516</v>
      </c>
      <c r="L190" s="41">
        <v>280.06338099999999</v>
      </c>
      <c r="M190" s="35">
        <v>43516</v>
      </c>
      <c r="N190" s="42">
        <v>24.385846999999998</v>
      </c>
      <c r="O190" s="35">
        <v>43516</v>
      </c>
      <c r="P190" s="44">
        <v>51.211526999999997</v>
      </c>
      <c r="Q190" s="35">
        <v>43516</v>
      </c>
      <c r="R190" s="43">
        <v>108.015777</v>
      </c>
      <c r="S190" s="57">
        <v>43516</v>
      </c>
      <c r="T190" s="48">
        <v>1.1342000000000001</v>
      </c>
    </row>
    <row r="191" spans="8:20" x14ac:dyDescent="0.75">
      <c r="H191" s="3"/>
      <c r="I191" s="35">
        <v>43515</v>
      </c>
      <c r="J191" s="45">
        <v>4.9800149999999999</v>
      </c>
      <c r="K191" s="35">
        <v>43515</v>
      </c>
      <c r="L191" s="41">
        <v>279.511438</v>
      </c>
      <c r="M191" s="35">
        <v>43515</v>
      </c>
      <c r="N191" s="42">
        <v>24.250097</v>
      </c>
      <c r="O191" s="35">
        <v>43515</v>
      </c>
      <c r="P191" s="44">
        <v>51.128723999999998</v>
      </c>
      <c r="Q191" s="35">
        <v>43515</v>
      </c>
      <c r="R191" s="43">
        <v>107.94462300000001</v>
      </c>
      <c r="S191" s="57">
        <v>43515</v>
      </c>
      <c r="T191" s="48">
        <v>1.1294</v>
      </c>
    </row>
    <row r="192" spans="8:20" x14ac:dyDescent="0.75">
      <c r="H192" s="3"/>
      <c r="I192" s="35">
        <v>43511</v>
      </c>
      <c r="J192" s="45">
        <v>4.9771640000000001</v>
      </c>
      <c r="K192" s="35">
        <v>43511</v>
      </c>
      <c r="L192" s="41">
        <v>279.07442900000001</v>
      </c>
      <c r="M192" s="35">
        <v>43511</v>
      </c>
      <c r="N192" s="42">
        <v>24.06823</v>
      </c>
      <c r="O192" s="35">
        <v>43511</v>
      </c>
      <c r="P192" s="44">
        <v>50.293731999999999</v>
      </c>
      <c r="Q192" s="35">
        <v>43511</v>
      </c>
      <c r="R192" s="43">
        <v>107.681117</v>
      </c>
      <c r="S192" s="57">
        <v>43511</v>
      </c>
      <c r="T192" s="48">
        <v>1.1259999999999999</v>
      </c>
    </row>
    <row r="193" spans="8:20" x14ac:dyDescent="0.75">
      <c r="H193" s="3"/>
      <c r="I193" s="35">
        <v>43510</v>
      </c>
      <c r="J193" s="45">
        <v>4.976648</v>
      </c>
      <c r="K193" s="35">
        <v>43510</v>
      </c>
      <c r="L193" s="41">
        <v>276.04945099999998</v>
      </c>
      <c r="M193" s="35">
        <v>43510</v>
      </c>
      <c r="N193" s="42">
        <v>23.925946</v>
      </c>
      <c r="O193" s="35">
        <v>43510</v>
      </c>
      <c r="P193" s="44">
        <v>49.974924000000001</v>
      </c>
      <c r="Q193" s="35">
        <v>43510</v>
      </c>
      <c r="R193" s="43">
        <v>107.869483</v>
      </c>
      <c r="S193" s="57">
        <v>43510</v>
      </c>
      <c r="T193" s="48">
        <v>1.1268</v>
      </c>
    </row>
    <row r="194" spans="8:20" x14ac:dyDescent="0.75">
      <c r="H194" s="3"/>
      <c r="I194" s="35">
        <v>43509</v>
      </c>
      <c r="J194" s="45">
        <v>4.976915</v>
      </c>
      <c r="K194" s="35">
        <v>43509</v>
      </c>
      <c r="L194" s="41">
        <v>276.68735299999997</v>
      </c>
      <c r="M194" s="35">
        <v>43509</v>
      </c>
      <c r="N194" s="42">
        <v>23.971979000000001</v>
      </c>
      <c r="O194" s="35">
        <v>43509</v>
      </c>
      <c r="P194" s="44">
        <v>49.941172999999999</v>
      </c>
      <c r="Q194" s="35">
        <v>43509</v>
      </c>
      <c r="R194" s="43">
        <v>107.905816</v>
      </c>
      <c r="S194" s="57">
        <v>43509</v>
      </c>
      <c r="T194" s="48">
        <v>1.1305000000000001</v>
      </c>
    </row>
    <row r="195" spans="8:20" x14ac:dyDescent="0.75">
      <c r="H195" s="3"/>
      <c r="I195" s="35">
        <v>43508</v>
      </c>
      <c r="J195" s="45">
        <v>4.9698460000000004</v>
      </c>
      <c r="K195" s="35">
        <v>43508</v>
      </c>
      <c r="L195" s="41">
        <v>275.83222999999998</v>
      </c>
      <c r="M195" s="35">
        <v>43508</v>
      </c>
      <c r="N195" s="42">
        <v>23.889574</v>
      </c>
      <c r="O195" s="35">
        <v>43508</v>
      </c>
      <c r="P195" s="44">
        <v>49.954341999999997</v>
      </c>
      <c r="Q195" s="35">
        <v>43508</v>
      </c>
      <c r="R195" s="43">
        <v>107.593418</v>
      </c>
      <c r="S195" s="57">
        <v>43508</v>
      </c>
      <c r="T195" s="48">
        <v>1.1295999999999999</v>
      </c>
    </row>
    <row r="196" spans="8:20" x14ac:dyDescent="0.75">
      <c r="H196" s="3"/>
      <c r="I196" s="35">
        <v>43507</v>
      </c>
      <c r="J196" s="45">
        <v>4.971438</v>
      </c>
      <c r="K196" s="35">
        <v>43507</v>
      </c>
      <c r="L196" s="41">
        <v>272.30356</v>
      </c>
      <c r="M196" s="35">
        <v>43507</v>
      </c>
      <c r="N196" s="42">
        <v>23.804055000000002</v>
      </c>
      <c r="O196" s="35">
        <v>43507</v>
      </c>
      <c r="P196" s="44">
        <v>49.862730999999997</v>
      </c>
      <c r="Q196" s="35">
        <v>43507</v>
      </c>
      <c r="R196" s="43">
        <v>107.38312000000001</v>
      </c>
      <c r="S196" s="57">
        <v>43507</v>
      </c>
      <c r="T196" s="48">
        <v>1.1309</v>
      </c>
    </row>
    <row r="197" spans="8:20" x14ac:dyDescent="0.75">
      <c r="H197" s="3"/>
      <c r="I197" s="35">
        <v>43504</v>
      </c>
      <c r="J197" s="45">
        <v>4.9758370000000003</v>
      </c>
      <c r="K197" s="35">
        <v>43504</v>
      </c>
      <c r="L197" s="41">
        <v>272.107619</v>
      </c>
      <c r="M197" s="35">
        <v>43504</v>
      </c>
      <c r="N197" s="42">
        <v>23.787918000000001</v>
      </c>
      <c r="O197" s="35">
        <v>43504</v>
      </c>
      <c r="P197" s="44">
        <v>50.106630000000003</v>
      </c>
      <c r="Q197" s="35">
        <v>43504</v>
      </c>
      <c r="R197" s="43">
        <v>107.630155</v>
      </c>
      <c r="S197" s="57">
        <v>43504</v>
      </c>
      <c r="T197" s="48">
        <v>1.1346000000000001</v>
      </c>
    </row>
    <row r="198" spans="8:20" x14ac:dyDescent="0.75">
      <c r="H198" s="3"/>
      <c r="I198" s="35">
        <v>43503</v>
      </c>
      <c r="J198" s="45">
        <v>4.980016</v>
      </c>
      <c r="K198" s="35">
        <v>43503</v>
      </c>
      <c r="L198" s="41">
        <v>271.83296799999999</v>
      </c>
      <c r="M198" s="35">
        <v>43503</v>
      </c>
      <c r="N198" s="42">
        <v>23.921893000000001</v>
      </c>
      <c r="O198" s="35">
        <v>43503</v>
      </c>
      <c r="P198" s="44">
        <v>49.939411999999997</v>
      </c>
      <c r="Q198" s="35">
        <v>43503</v>
      </c>
      <c r="R198" s="43">
        <v>107.86989800000001</v>
      </c>
      <c r="S198" s="57">
        <v>43503</v>
      </c>
      <c r="T198" s="48">
        <v>1.1345000000000001</v>
      </c>
    </row>
    <row r="199" spans="8:20" x14ac:dyDescent="0.75">
      <c r="H199" s="3"/>
      <c r="I199" s="35">
        <v>43502</v>
      </c>
      <c r="J199" s="45">
        <v>4.9753280000000002</v>
      </c>
      <c r="K199" s="35">
        <v>43502</v>
      </c>
      <c r="L199" s="41">
        <v>274.36129399999999</v>
      </c>
      <c r="M199" s="35">
        <v>43502</v>
      </c>
      <c r="N199" s="42">
        <v>24.103244</v>
      </c>
      <c r="O199" s="35">
        <v>43502</v>
      </c>
      <c r="P199" s="44">
        <v>49.904589999999999</v>
      </c>
      <c r="Q199" s="35">
        <v>43502</v>
      </c>
      <c r="R199" s="43">
        <v>108.201486</v>
      </c>
      <c r="S199" s="57">
        <v>43502</v>
      </c>
      <c r="T199" s="48">
        <v>1.1394</v>
      </c>
    </row>
    <row r="200" spans="8:20" x14ac:dyDescent="0.75">
      <c r="H200" s="3"/>
      <c r="I200" s="35">
        <v>43501</v>
      </c>
      <c r="J200" s="45">
        <v>4.9695650000000002</v>
      </c>
      <c r="K200" s="35">
        <v>43501</v>
      </c>
      <c r="L200" s="41">
        <v>274.94568299999997</v>
      </c>
      <c r="M200" s="35">
        <v>43501</v>
      </c>
      <c r="N200" s="42">
        <v>24.202356000000002</v>
      </c>
      <c r="O200" s="35">
        <v>43501</v>
      </c>
      <c r="P200" s="44">
        <v>50.116605</v>
      </c>
      <c r="Q200" s="35">
        <v>43501</v>
      </c>
      <c r="R200" s="43">
        <v>108.26464300000001</v>
      </c>
      <c r="S200" s="57">
        <v>43501</v>
      </c>
      <c r="T200" s="48">
        <v>1.1423000000000001</v>
      </c>
    </row>
    <row r="201" spans="8:20" x14ac:dyDescent="0.75">
      <c r="H201" s="3"/>
      <c r="I201" s="35">
        <v>43500</v>
      </c>
      <c r="J201" s="45">
        <v>4.9684039999999996</v>
      </c>
      <c r="K201" s="35">
        <v>43500</v>
      </c>
      <c r="L201" s="41">
        <v>273.65538600000002</v>
      </c>
      <c r="M201" s="35">
        <v>43500</v>
      </c>
      <c r="N201" s="42">
        <v>23.908346000000002</v>
      </c>
      <c r="O201" s="35">
        <v>43500</v>
      </c>
      <c r="P201" s="44">
        <v>50.088931000000002</v>
      </c>
      <c r="Q201" s="35">
        <v>43500</v>
      </c>
      <c r="R201" s="43">
        <v>107.704324</v>
      </c>
      <c r="S201" s="57">
        <v>43500</v>
      </c>
      <c r="T201" s="48">
        <v>1.1445000000000001</v>
      </c>
    </row>
    <row r="202" spans="8:20" x14ac:dyDescent="0.75">
      <c r="H202" s="3"/>
      <c r="I202" s="35">
        <v>43497</v>
      </c>
      <c r="J202" s="45">
        <v>4.9625890000000004</v>
      </c>
      <c r="K202" s="35">
        <v>43497</v>
      </c>
      <c r="L202" s="41">
        <v>271.81021500000003</v>
      </c>
      <c r="M202" s="35">
        <v>43497</v>
      </c>
      <c r="N202" s="42">
        <v>23.960504</v>
      </c>
      <c r="O202" s="35">
        <v>43497</v>
      </c>
      <c r="P202" s="44">
        <v>50.225091999999997</v>
      </c>
      <c r="Q202" s="35">
        <v>43497</v>
      </c>
      <c r="R202" s="43">
        <v>107.733881</v>
      </c>
      <c r="S202" s="57">
        <v>43497</v>
      </c>
      <c r="T202" s="48">
        <v>1.1471</v>
      </c>
    </row>
    <row r="203" spans="8:20" x14ac:dyDescent="0.75">
      <c r="H203" s="3"/>
      <c r="I203" s="35">
        <v>43496</v>
      </c>
      <c r="J203" s="45">
        <v>4.9679500000000001</v>
      </c>
      <c r="K203" s="35">
        <v>43496</v>
      </c>
      <c r="L203" s="41">
        <v>271.53016300000002</v>
      </c>
      <c r="M203" s="35">
        <v>43496</v>
      </c>
      <c r="N203" s="42">
        <v>23.885387000000001</v>
      </c>
      <c r="O203" s="35">
        <v>43496</v>
      </c>
      <c r="P203" s="44">
        <v>50.325321000000002</v>
      </c>
      <c r="Q203" s="35">
        <v>43496</v>
      </c>
      <c r="R203" s="43">
        <v>108.081442</v>
      </c>
      <c r="S203" s="57">
        <v>43496</v>
      </c>
      <c r="T203" s="48">
        <v>1.1488</v>
      </c>
    </row>
    <row r="204" spans="8:20" x14ac:dyDescent="0.75">
      <c r="H204" s="3"/>
      <c r="I204" s="35">
        <v>43495</v>
      </c>
      <c r="J204" s="45">
        <v>4.9735719999999999</v>
      </c>
      <c r="K204" s="35">
        <v>43495</v>
      </c>
      <c r="L204" s="41">
        <v>269.158278</v>
      </c>
      <c r="M204" s="35">
        <v>43495</v>
      </c>
      <c r="N204" s="42">
        <v>23.767347000000001</v>
      </c>
      <c r="O204" s="35">
        <v>43495</v>
      </c>
      <c r="P204" s="44">
        <v>50.036406999999997</v>
      </c>
      <c r="Q204" s="35">
        <v>43495</v>
      </c>
      <c r="R204" s="43">
        <v>106.904545</v>
      </c>
      <c r="S204" s="57">
        <v>43495</v>
      </c>
      <c r="T204" s="48">
        <v>1.1429</v>
      </c>
    </row>
    <row r="205" spans="8:20" x14ac:dyDescent="0.75">
      <c r="H205" s="3"/>
      <c r="I205" s="35">
        <v>43494</v>
      </c>
      <c r="J205" s="45">
        <v>4.9598820000000003</v>
      </c>
      <c r="K205" s="35">
        <v>43494</v>
      </c>
      <c r="L205" s="41">
        <v>265.00824699999998</v>
      </c>
      <c r="M205" s="35">
        <v>43494</v>
      </c>
      <c r="N205" s="42">
        <v>23.686312000000001</v>
      </c>
      <c r="O205" s="35">
        <v>43494</v>
      </c>
      <c r="P205" s="44">
        <v>49.969881999999998</v>
      </c>
      <c r="Q205" s="35">
        <v>43494</v>
      </c>
      <c r="R205" s="43">
        <v>106.85705400000001</v>
      </c>
      <c r="S205" s="57">
        <v>43494</v>
      </c>
      <c r="T205" s="48">
        <v>1.1422000000000001</v>
      </c>
    </row>
    <row r="206" spans="8:20" x14ac:dyDescent="0.75">
      <c r="H206" s="3"/>
      <c r="I206" s="35">
        <v>43493</v>
      </c>
      <c r="J206" s="45">
        <v>4.9567610000000002</v>
      </c>
      <c r="K206" s="35">
        <v>43493</v>
      </c>
      <c r="L206" s="41">
        <v>265.38946900000002</v>
      </c>
      <c r="M206" s="35">
        <v>43493</v>
      </c>
      <c r="N206" s="42">
        <v>23.512924999999999</v>
      </c>
      <c r="O206" s="35">
        <v>43493</v>
      </c>
      <c r="P206" s="44">
        <v>49.713402000000002</v>
      </c>
      <c r="Q206" s="35">
        <v>43493</v>
      </c>
      <c r="R206" s="43">
        <v>107.06179</v>
      </c>
      <c r="S206" s="57">
        <v>43493</v>
      </c>
      <c r="T206" s="48">
        <v>1.1417999999999999</v>
      </c>
    </row>
    <row r="207" spans="8:20" x14ac:dyDescent="0.75">
      <c r="H207" s="3"/>
      <c r="I207" s="35">
        <v>43490</v>
      </c>
      <c r="J207" s="45">
        <v>4.95207</v>
      </c>
      <c r="K207" s="35">
        <v>43490</v>
      </c>
      <c r="L207" s="41">
        <v>267.48978599999998</v>
      </c>
      <c r="M207" s="35">
        <v>43490</v>
      </c>
      <c r="N207" s="42">
        <v>23.558934000000001</v>
      </c>
      <c r="O207" s="35">
        <v>43490</v>
      </c>
      <c r="P207" s="44">
        <v>49.535701000000003</v>
      </c>
      <c r="Q207" s="35">
        <v>43490</v>
      </c>
      <c r="R207" s="43">
        <v>107.308483</v>
      </c>
      <c r="S207" s="57">
        <v>43490</v>
      </c>
      <c r="T207" s="48">
        <v>1.1346000000000001</v>
      </c>
    </row>
    <row r="208" spans="8:20" x14ac:dyDescent="0.75">
      <c r="H208" s="3"/>
      <c r="I208" s="35">
        <v>43489</v>
      </c>
      <c r="J208" s="45">
        <v>4.9507190000000003</v>
      </c>
      <c r="K208" s="35">
        <v>43489</v>
      </c>
      <c r="L208" s="41">
        <v>265.22892200000001</v>
      </c>
      <c r="M208" s="35">
        <v>43489</v>
      </c>
      <c r="N208" s="42">
        <v>23.572963000000001</v>
      </c>
      <c r="O208" s="35">
        <v>43489</v>
      </c>
      <c r="P208" s="44">
        <v>48.819305999999997</v>
      </c>
      <c r="Q208" s="35">
        <v>43489</v>
      </c>
      <c r="R208" s="43">
        <v>107.265101</v>
      </c>
      <c r="S208" s="57">
        <v>43489</v>
      </c>
      <c r="T208" s="48">
        <v>1.1341000000000001</v>
      </c>
    </row>
    <row r="209" spans="8:20" x14ac:dyDescent="0.75">
      <c r="H209" s="3"/>
      <c r="I209" s="35">
        <v>43488</v>
      </c>
      <c r="J209" s="45">
        <v>4.9540709999999999</v>
      </c>
      <c r="K209" s="35">
        <v>43488</v>
      </c>
      <c r="L209" s="41">
        <v>264.85841699999997</v>
      </c>
      <c r="M209" s="35">
        <v>43488</v>
      </c>
      <c r="N209" s="42">
        <v>23.606010000000001</v>
      </c>
      <c r="O209" s="35">
        <v>43488</v>
      </c>
      <c r="P209" s="44">
        <v>48.966999000000001</v>
      </c>
      <c r="Q209" s="35">
        <v>43488</v>
      </c>
      <c r="R209" s="43">
        <v>106.88050699999999</v>
      </c>
      <c r="S209" s="57">
        <v>43488</v>
      </c>
      <c r="T209" s="48">
        <v>1.1367</v>
      </c>
    </row>
    <row r="210" spans="8:20" x14ac:dyDescent="0.75">
      <c r="H210" s="3"/>
      <c r="I210" s="35">
        <v>43487</v>
      </c>
      <c r="J210" s="45">
        <v>4.9426629999999996</v>
      </c>
      <c r="K210" s="35">
        <v>43487</v>
      </c>
      <c r="L210" s="41">
        <v>264.27563600000002</v>
      </c>
      <c r="M210" s="35">
        <v>43487</v>
      </c>
      <c r="N210" s="42">
        <v>23.509810000000002</v>
      </c>
      <c r="O210" s="35">
        <v>43487</v>
      </c>
      <c r="P210" s="44">
        <v>48.956611000000002</v>
      </c>
      <c r="Q210" s="35">
        <v>43487</v>
      </c>
      <c r="R210" s="43">
        <v>106.269687</v>
      </c>
      <c r="S210" s="57">
        <v>43487</v>
      </c>
      <c r="T210" s="48">
        <v>1.1354</v>
      </c>
    </row>
    <row r="211" spans="8:20" x14ac:dyDescent="0.75">
      <c r="H211" s="3"/>
      <c r="I211" s="35">
        <v>43483</v>
      </c>
      <c r="J211" s="45">
        <v>4.9430719999999999</v>
      </c>
      <c r="K211" s="35">
        <v>43483</v>
      </c>
      <c r="L211" s="41">
        <v>268.060924</v>
      </c>
      <c r="M211" s="35">
        <v>43483</v>
      </c>
      <c r="N211" s="42">
        <v>23.587236000000001</v>
      </c>
      <c r="O211" s="35">
        <v>43483</v>
      </c>
      <c r="P211" s="44">
        <v>48.898862000000001</v>
      </c>
      <c r="Q211" s="35">
        <v>43483</v>
      </c>
      <c r="R211" s="43">
        <v>106.17233899999999</v>
      </c>
      <c r="S211" s="57">
        <v>43483</v>
      </c>
      <c r="T211" s="48">
        <v>1.1402000000000001</v>
      </c>
    </row>
    <row r="212" spans="8:20" x14ac:dyDescent="0.75">
      <c r="H212" s="3"/>
      <c r="I212" s="35">
        <v>43482</v>
      </c>
      <c r="J212" s="45">
        <v>4.9351760000000002</v>
      </c>
      <c r="K212" s="35">
        <v>43482</v>
      </c>
      <c r="L212" s="41">
        <v>264.56675100000001</v>
      </c>
      <c r="M212" s="35">
        <v>43482</v>
      </c>
      <c r="N212" s="42">
        <v>23.336791999999999</v>
      </c>
      <c r="O212" s="35">
        <v>43482</v>
      </c>
      <c r="P212" s="44">
        <v>49.278573999999999</v>
      </c>
      <c r="Q212" s="35">
        <v>43482</v>
      </c>
      <c r="R212" s="43">
        <v>105.634727</v>
      </c>
      <c r="S212" s="57">
        <v>43482</v>
      </c>
      <c r="T212" s="48">
        <v>1.1395999999999999</v>
      </c>
    </row>
    <row r="213" spans="8:20" x14ac:dyDescent="0.75">
      <c r="H213" s="3"/>
      <c r="I213" s="35">
        <v>43481</v>
      </c>
      <c r="J213" s="45">
        <v>4.9340890000000002</v>
      </c>
      <c r="K213" s="35">
        <v>43481</v>
      </c>
      <c r="L213" s="41">
        <v>262.547932</v>
      </c>
      <c r="M213" s="35">
        <v>43481</v>
      </c>
      <c r="N213" s="42">
        <v>23.290438000000002</v>
      </c>
      <c r="O213" s="35">
        <v>43481</v>
      </c>
      <c r="P213" s="44">
        <v>49.329076000000001</v>
      </c>
      <c r="Q213" s="35">
        <v>43481</v>
      </c>
      <c r="R213" s="43">
        <v>105.656527</v>
      </c>
      <c r="S213" s="57">
        <v>43481</v>
      </c>
      <c r="T213" s="48">
        <v>1.1389</v>
      </c>
    </row>
    <row r="214" spans="8:20" x14ac:dyDescent="0.75">
      <c r="H214" s="3"/>
      <c r="I214" s="35">
        <v>43480</v>
      </c>
      <c r="J214" s="45">
        <v>4.9367470000000004</v>
      </c>
      <c r="K214" s="35">
        <v>43480</v>
      </c>
      <c r="L214" s="41">
        <v>261.96023100000002</v>
      </c>
      <c r="M214" s="35">
        <v>43480</v>
      </c>
      <c r="N214" s="42">
        <v>23.302796000000001</v>
      </c>
      <c r="O214" s="35">
        <v>43480</v>
      </c>
      <c r="P214" s="44">
        <v>49.132041999999998</v>
      </c>
      <c r="Q214" s="35">
        <v>43480</v>
      </c>
      <c r="R214" s="43">
        <v>105.41686</v>
      </c>
      <c r="S214" s="57">
        <v>43480</v>
      </c>
      <c r="T214" s="48">
        <v>1.1424000000000001</v>
      </c>
    </row>
    <row r="215" spans="8:20" x14ac:dyDescent="0.75">
      <c r="H215" s="3"/>
      <c r="I215" s="35">
        <v>43479</v>
      </c>
      <c r="J215" s="45">
        <v>4.938536</v>
      </c>
      <c r="K215" s="35">
        <v>43479</v>
      </c>
      <c r="L215" s="41">
        <v>259.17568999999997</v>
      </c>
      <c r="M215" s="35">
        <v>43479</v>
      </c>
      <c r="N215" s="42">
        <v>23.313632999999999</v>
      </c>
      <c r="O215" s="35">
        <v>43479</v>
      </c>
      <c r="P215" s="44">
        <v>49.232753000000002</v>
      </c>
      <c r="Q215" s="35">
        <v>43479</v>
      </c>
      <c r="R215" s="43">
        <v>105.156553</v>
      </c>
      <c r="S215" s="57">
        <v>43479</v>
      </c>
      <c r="T215" s="48">
        <v>1.1467000000000001</v>
      </c>
    </row>
    <row r="216" spans="8:20" x14ac:dyDescent="0.75">
      <c r="H216" s="3"/>
      <c r="I216" s="35">
        <v>43476</v>
      </c>
      <c r="J216" s="45">
        <v>4.9393260000000003</v>
      </c>
      <c r="K216" s="35">
        <v>43476</v>
      </c>
      <c r="L216" s="41">
        <v>260.51766700000002</v>
      </c>
      <c r="M216" s="35">
        <v>43476</v>
      </c>
      <c r="N216" s="42">
        <v>23.469514</v>
      </c>
      <c r="O216" s="35">
        <v>43476</v>
      </c>
      <c r="P216" s="44">
        <v>49.146926999999998</v>
      </c>
      <c r="Q216" s="35">
        <v>43476</v>
      </c>
      <c r="R216" s="43">
        <v>105.13755399999999</v>
      </c>
      <c r="S216" s="57">
        <v>43476</v>
      </c>
      <c r="T216" s="48">
        <v>1.1533</v>
      </c>
    </row>
    <row r="217" spans="8:20" x14ac:dyDescent="0.75">
      <c r="H217" s="3"/>
      <c r="I217" s="35">
        <v>43475</v>
      </c>
      <c r="J217" s="45">
        <v>4.9369839999999998</v>
      </c>
      <c r="K217" s="35">
        <v>43475</v>
      </c>
      <c r="L217" s="41">
        <v>260.55590100000001</v>
      </c>
      <c r="M217" s="35">
        <v>43475</v>
      </c>
      <c r="N217" s="42">
        <v>23.526933</v>
      </c>
      <c r="O217" s="35">
        <v>43475</v>
      </c>
      <c r="P217" s="44">
        <v>49.062220000000003</v>
      </c>
      <c r="Q217" s="35">
        <v>43475</v>
      </c>
      <c r="R217" s="43">
        <v>105.07226</v>
      </c>
      <c r="S217" s="57">
        <v>43475</v>
      </c>
      <c r="T217" s="48">
        <v>1.1535</v>
      </c>
    </row>
    <row r="218" spans="8:20" x14ac:dyDescent="0.75">
      <c r="H218" s="3"/>
      <c r="I218" s="35">
        <v>43474</v>
      </c>
      <c r="J218" s="45">
        <v>4.9370839999999996</v>
      </c>
      <c r="K218" s="35">
        <v>43474</v>
      </c>
      <c r="L218" s="41">
        <v>259.38377100000002</v>
      </c>
      <c r="M218" s="35">
        <v>43474</v>
      </c>
      <c r="N218" s="42">
        <v>23.386354000000001</v>
      </c>
      <c r="O218" s="35">
        <v>43474</v>
      </c>
      <c r="P218" s="44">
        <v>49.259824000000002</v>
      </c>
      <c r="Q218" s="35">
        <v>43474</v>
      </c>
      <c r="R218" s="43">
        <v>105.291124</v>
      </c>
      <c r="S218" s="57">
        <v>43474</v>
      </c>
      <c r="T218" s="48">
        <v>1.1455</v>
      </c>
    </row>
    <row r="219" spans="8:20" x14ac:dyDescent="0.75">
      <c r="H219" s="3"/>
      <c r="I219" s="35">
        <v>43473</v>
      </c>
      <c r="J219" s="45">
        <v>4.9319639999999998</v>
      </c>
      <c r="K219" s="35">
        <v>43473</v>
      </c>
      <c r="L219" s="41">
        <v>258.245632</v>
      </c>
      <c r="M219" s="35">
        <v>43473</v>
      </c>
      <c r="N219" s="42">
        <v>23.203195999999998</v>
      </c>
      <c r="O219" s="35">
        <v>43473</v>
      </c>
      <c r="P219" s="44">
        <v>49.013989000000002</v>
      </c>
      <c r="Q219" s="35">
        <v>43473</v>
      </c>
      <c r="R219" s="43">
        <v>104.801918</v>
      </c>
      <c r="S219" s="57">
        <v>43473</v>
      </c>
      <c r="T219" s="48">
        <v>1.1439999999999999</v>
      </c>
    </row>
    <row r="220" spans="8:20" x14ac:dyDescent="0.75">
      <c r="H220" s="3"/>
      <c r="I220" s="35">
        <v>43472</v>
      </c>
      <c r="J220" s="45">
        <v>4.9316269999999998</v>
      </c>
      <c r="K220" s="35">
        <v>43472</v>
      </c>
      <c r="L220" s="41">
        <v>255.76078200000001</v>
      </c>
      <c r="M220" s="35">
        <v>43472</v>
      </c>
      <c r="N220" s="42">
        <v>23.116467</v>
      </c>
      <c r="O220" s="35">
        <v>43472</v>
      </c>
      <c r="P220" s="44">
        <v>49.156255999999999</v>
      </c>
      <c r="Q220" s="35">
        <v>43472</v>
      </c>
      <c r="R220" s="43">
        <v>104.921938</v>
      </c>
      <c r="S220" s="57">
        <v>43472</v>
      </c>
      <c r="T220" s="48">
        <v>1.1445000000000001</v>
      </c>
    </row>
    <row r="221" spans="8:20" x14ac:dyDescent="0.75">
      <c r="H221" s="3"/>
      <c r="I221" s="35">
        <v>43469</v>
      </c>
      <c r="J221" s="45">
        <v>4.9303900000000001</v>
      </c>
      <c r="K221" s="35">
        <v>43469</v>
      </c>
      <c r="L221" s="41">
        <v>253.98172400000001</v>
      </c>
      <c r="M221" s="35">
        <v>43469</v>
      </c>
      <c r="N221" s="42">
        <v>23.10248</v>
      </c>
      <c r="O221" s="35">
        <v>43469</v>
      </c>
      <c r="P221" s="44">
        <v>49.002090000000003</v>
      </c>
      <c r="Q221" s="35">
        <v>43469</v>
      </c>
      <c r="R221" s="43">
        <v>104.29122099999999</v>
      </c>
      <c r="S221" s="57">
        <v>43469</v>
      </c>
      <c r="T221" s="48">
        <v>1.1403000000000001</v>
      </c>
    </row>
    <row r="222" spans="8:20" x14ac:dyDescent="0.75">
      <c r="H222" s="3"/>
      <c r="I222" s="35">
        <v>43468</v>
      </c>
      <c r="J222" s="45">
        <v>4.9373829999999996</v>
      </c>
      <c r="K222" s="35">
        <v>43468</v>
      </c>
      <c r="L222" s="41">
        <v>245.55284700000001</v>
      </c>
      <c r="M222" s="35">
        <v>43468</v>
      </c>
      <c r="N222" s="42">
        <v>22.655093000000001</v>
      </c>
      <c r="O222" s="35">
        <v>43468</v>
      </c>
      <c r="P222" s="44">
        <v>49.344377999999999</v>
      </c>
      <c r="Q222" s="35">
        <v>43468</v>
      </c>
      <c r="R222" s="43">
        <v>103.692314</v>
      </c>
      <c r="S222" s="57">
        <v>43468</v>
      </c>
      <c r="T222" s="48">
        <v>1.1348</v>
      </c>
    </row>
    <row r="223" spans="8:20" x14ac:dyDescent="0.75">
      <c r="H223" s="3"/>
      <c r="I223" s="35">
        <v>43467</v>
      </c>
      <c r="J223" s="45">
        <v>4.9402590000000002</v>
      </c>
      <c r="K223" s="35">
        <v>43467</v>
      </c>
      <c r="L223" s="41">
        <v>251.71843100000001</v>
      </c>
      <c r="M223" s="35">
        <v>43467</v>
      </c>
      <c r="N223" s="42">
        <v>22.664327</v>
      </c>
      <c r="O223" s="35">
        <v>43467</v>
      </c>
      <c r="P223" s="44">
        <v>48.926718000000001</v>
      </c>
      <c r="Q223" s="35">
        <v>43467</v>
      </c>
      <c r="R223" s="43">
        <v>103.29165</v>
      </c>
      <c r="S223" s="57">
        <v>43467</v>
      </c>
      <c r="T223" s="48">
        <v>1.1396999999999999</v>
      </c>
    </row>
    <row r="224" spans="8:20" x14ac:dyDescent="0.75">
      <c r="H224" s="3"/>
      <c r="I224" s="35">
        <v>43465</v>
      </c>
      <c r="J224" s="45">
        <v>4.953004</v>
      </c>
      <c r="K224" s="35">
        <v>43465</v>
      </c>
      <c r="L224" s="41">
        <v>251.39978199999999</v>
      </c>
      <c r="M224" s="35">
        <v>43465</v>
      </c>
      <c r="N224" s="42">
        <v>22.814339</v>
      </c>
      <c r="O224" s="35">
        <v>43465</v>
      </c>
      <c r="P224" s="44">
        <v>48.832217999999997</v>
      </c>
      <c r="Q224" s="35">
        <v>43465</v>
      </c>
      <c r="R224" s="43">
        <v>103.174871</v>
      </c>
      <c r="S224" s="57">
        <v>43465</v>
      </c>
      <c r="T224" s="49">
        <v>1.145</v>
      </c>
    </row>
    <row r="225" spans="8:20" x14ac:dyDescent="0.75">
      <c r="H225" s="3"/>
      <c r="I225" s="35">
        <v>43462</v>
      </c>
      <c r="J225" s="45">
        <v>4.9412339999999997</v>
      </c>
      <c r="K225" s="35">
        <v>43462</v>
      </c>
      <c r="L225" s="41">
        <v>249.252105</v>
      </c>
      <c r="M225" s="35">
        <v>43462</v>
      </c>
      <c r="N225" s="42">
        <v>22.726896</v>
      </c>
      <c r="O225" s="35">
        <v>43462</v>
      </c>
      <c r="P225" s="44">
        <v>48.855947</v>
      </c>
      <c r="Q225" s="35">
        <v>43462</v>
      </c>
      <c r="R225" s="43">
        <v>103.216621</v>
      </c>
      <c r="S225" s="57">
        <v>43462</v>
      </c>
      <c r="T225" s="48">
        <v>1.1454</v>
      </c>
    </row>
    <row r="226" spans="8:20" x14ac:dyDescent="0.75">
      <c r="H226" s="3"/>
      <c r="I226" s="35">
        <v>43461</v>
      </c>
      <c r="J226" s="45">
        <v>4.9341239999999997</v>
      </c>
      <c r="K226" s="35">
        <v>43461</v>
      </c>
      <c r="L226" s="41">
        <v>249.84351899999999</v>
      </c>
      <c r="M226" s="35">
        <v>43461</v>
      </c>
      <c r="N226" s="42">
        <v>22.293706</v>
      </c>
      <c r="O226" s="35">
        <v>43461</v>
      </c>
      <c r="P226" s="44">
        <v>48.739958000000001</v>
      </c>
      <c r="Q226" s="35">
        <v>43461</v>
      </c>
      <c r="R226" s="43">
        <v>103.140829</v>
      </c>
      <c r="S226" s="57">
        <v>43461</v>
      </c>
      <c r="T226" s="48">
        <v>1.1376999999999999</v>
      </c>
    </row>
    <row r="227" spans="8:20" x14ac:dyDescent="0.75">
      <c r="H227" s="3"/>
      <c r="I227" s="35">
        <v>43460</v>
      </c>
      <c r="J227" s="45">
        <v>4.9296059999999997</v>
      </c>
      <c r="K227" s="35">
        <v>43460</v>
      </c>
      <c r="L227" s="41">
        <v>247.70027400000001</v>
      </c>
      <c r="M227" s="35">
        <v>43460</v>
      </c>
      <c r="N227" s="42">
        <v>22.665068000000002</v>
      </c>
      <c r="O227" s="35">
        <v>43460</v>
      </c>
      <c r="P227" s="44">
        <v>48.436061000000002</v>
      </c>
      <c r="Q227" s="35">
        <v>43460</v>
      </c>
      <c r="R227" s="43">
        <v>103.091379</v>
      </c>
      <c r="S227" s="57">
        <v>43460</v>
      </c>
      <c r="T227" s="48">
        <v>1.1408</v>
      </c>
    </row>
    <row r="228" spans="8:20" x14ac:dyDescent="0.75">
      <c r="H228" s="3"/>
      <c r="I228" s="35">
        <v>43458</v>
      </c>
      <c r="J228" s="45">
        <v>4.9283279999999996</v>
      </c>
      <c r="K228" s="35">
        <v>43458</v>
      </c>
      <c r="L228" s="41">
        <v>235.99185399999999</v>
      </c>
      <c r="M228" s="35">
        <v>43458</v>
      </c>
      <c r="N228" s="42">
        <v>22.693111999999999</v>
      </c>
      <c r="O228" s="35">
        <v>43458</v>
      </c>
      <c r="P228" s="44">
        <v>48.406923999999997</v>
      </c>
      <c r="Q228" s="35">
        <v>43458</v>
      </c>
      <c r="R228" s="43">
        <v>103.182559</v>
      </c>
      <c r="S228" s="57">
        <v>43458</v>
      </c>
      <c r="T228" s="48">
        <v>1.1408</v>
      </c>
    </row>
    <row r="229" spans="8:20" x14ac:dyDescent="0.75">
      <c r="H229" s="3"/>
      <c r="I229" s="35">
        <v>43455</v>
      </c>
      <c r="J229" s="45">
        <v>4.9272919999999996</v>
      </c>
      <c r="K229" s="35">
        <v>43455</v>
      </c>
      <c r="L229" s="41">
        <v>242.55217400000001</v>
      </c>
      <c r="M229" s="35">
        <v>43455</v>
      </c>
      <c r="N229" s="42">
        <v>22.764809</v>
      </c>
      <c r="O229" s="35">
        <v>43455</v>
      </c>
      <c r="P229" s="44">
        <v>47.889678000000004</v>
      </c>
      <c r="Q229" s="35">
        <v>43455</v>
      </c>
      <c r="R229" s="43">
        <v>103.105062</v>
      </c>
      <c r="S229" s="57">
        <v>43455</v>
      </c>
      <c r="T229" s="48">
        <v>1.1414</v>
      </c>
    </row>
    <row r="230" spans="8:20" x14ac:dyDescent="0.75">
      <c r="H230" s="3"/>
      <c r="I230" s="35">
        <v>43454</v>
      </c>
      <c r="J230" s="45">
        <v>4.9222739999999998</v>
      </c>
      <c r="K230" s="35">
        <v>43454</v>
      </c>
      <c r="L230" s="41">
        <v>247.65469899999999</v>
      </c>
      <c r="M230" s="35">
        <v>43454</v>
      </c>
      <c r="N230" s="42">
        <v>22.808150000000001</v>
      </c>
      <c r="O230" s="35">
        <v>43454</v>
      </c>
      <c r="P230" s="44">
        <v>48.226930000000003</v>
      </c>
      <c r="Q230" s="35">
        <v>43454</v>
      </c>
      <c r="R230" s="43">
        <v>103.284949</v>
      </c>
      <c r="S230" s="57">
        <v>43454</v>
      </c>
      <c r="T230" s="48">
        <v>1.1451</v>
      </c>
    </row>
    <row r="231" spans="8:20" x14ac:dyDescent="0.75">
      <c r="H231" s="3"/>
      <c r="I231" s="35">
        <v>43453</v>
      </c>
      <c r="J231" s="45">
        <v>4.9271640000000003</v>
      </c>
      <c r="K231" s="35">
        <v>43453</v>
      </c>
      <c r="L231" s="41">
        <v>251.614555</v>
      </c>
      <c r="M231" s="35">
        <v>43453</v>
      </c>
      <c r="N231" s="42">
        <v>23.030535</v>
      </c>
      <c r="O231" s="35">
        <v>43453</v>
      </c>
      <c r="P231" s="44">
        <v>47.720280000000002</v>
      </c>
      <c r="Q231" s="35">
        <v>43453</v>
      </c>
      <c r="R231" s="43">
        <v>103.354012</v>
      </c>
      <c r="S231" s="57">
        <v>43453</v>
      </c>
      <c r="T231" s="48">
        <v>1.1405000000000001</v>
      </c>
    </row>
    <row r="232" spans="8:20" x14ac:dyDescent="0.75">
      <c r="H232" s="3"/>
      <c r="I232" s="35">
        <v>43452</v>
      </c>
      <c r="J232" s="45">
        <v>4.9283200000000003</v>
      </c>
      <c r="K232" s="35">
        <v>43452</v>
      </c>
      <c r="L232" s="41">
        <v>255.524011</v>
      </c>
      <c r="M232" s="35">
        <v>43452</v>
      </c>
      <c r="N232" s="42">
        <v>22.833065000000001</v>
      </c>
      <c r="O232" s="35">
        <v>43452</v>
      </c>
      <c r="P232" s="44">
        <v>47.684435999999998</v>
      </c>
      <c r="Q232" s="35">
        <v>43452</v>
      </c>
      <c r="R232" s="43">
        <v>103.37304</v>
      </c>
      <c r="S232" s="57">
        <v>43452</v>
      </c>
      <c r="T232" s="48">
        <v>1.1376999999999999</v>
      </c>
    </row>
    <row r="233" spans="8:20" x14ac:dyDescent="0.75">
      <c r="H233" s="3"/>
      <c r="I233" s="35">
        <v>43451</v>
      </c>
      <c r="J233" s="45">
        <v>4.9210229999999999</v>
      </c>
      <c r="K233" s="35">
        <v>43451</v>
      </c>
      <c r="L233" s="41">
        <v>255.49023800000001</v>
      </c>
      <c r="M233" s="35">
        <v>43451</v>
      </c>
      <c r="N233" s="42">
        <v>23.225470000000001</v>
      </c>
      <c r="O233" s="35">
        <v>43451</v>
      </c>
      <c r="P233" s="44">
        <v>47.985773000000002</v>
      </c>
      <c r="Q233" s="35">
        <v>43451</v>
      </c>
      <c r="R233" s="43">
        <v>104.716183</v>
      </c>
      <c r="S233" s="57">
        <v>43451</v>
      </c>
      <c r="T233" s="48">
        <v>1.1341000000000001</v>
      </c>
    </row>
    <row r="234" spans="8:20" x14ac:dyDescent="0.75">
      <c r="H234" s="3"/>
      <c r="I234" s="35">
        <v>43448</v>
      </c>
      <c r="J234" s="45">
        <v>4.9138820000000001</v>
      </c>
      <c r="K234" s="35">
        <v>43448</v>
      </c>
      <c r="L234" s="41">
        <v>262.36776600000002</v>
      </c>
      <c r="M234" s="35">
        <v>43448</v>
      </c>
      <c r="N234" s="42">
        <v>23.366965</v>
      </c>
      <c r="O234" s="35">
        <v>43448</v>
      </c>
      <c r="P234" s="44">
        <v>47.610967000000002</v>
      </c>
      <c r="Q234" s="35">
        <v>43448</v>
      </c>
      <c r="R234" s="43">
        <v>104.62164</v>
      </c>
      <c r="S234" s="57">
        <v>43448</v>
      </c>
      <c r="T234" s="48">
        <v>1.1285000000000001</v>
      </c>
    </row>
    <row r="235" spans="8:20" x14ac:dyDescent="0.75">
      <c r="H235" s="3"/>
      <c r="I235" s="35">
        <v>43447</v>
      </c>
      <c r="J235" s="45">
        <v>4.9112070000000001</v>
      </c>
      <c r="K235" s="35">
        <v>43447</v>
      </c>
      <c r="L235" s="41">
        <v>267.43697300000002</v>
      </c>
      <c r="M235" s="35">
        <v>43447</v>
      </c>
      <c r="N235" s="42">
        <v>23.543713</v>
      </c>
      <c r="O235" s="35">
        <v>43447</v>
      </c>
      <c r="P235" s="44">
        <v>47.829456</v>
      </c>
      <c r="Q235" s="35">
        <v>43447</v>
      </c>
      <c r="R235" s="43">
        <v>104.621314</v>
      </c>
      <c r="S235" s="57">
        <v>43447</v>
      </c>
      <c r="T235" s="48">
        <v>1.1371</v>
      </c>
    </row>
    <row r="236" spans="8:20" x14ac:dyDescent="0.75">
      <c r="H236" s="3"/>
      <c r="I236" s="35">
        <v>43446</v>
      </c>
      <c r="J236" s="45">
        <v>4.9050390000000004</v>
      </c>
      <c r="K236" s="35">
        <v>43446</v>
      </c>
      <c r="L236" s="41">
        <v>267.443152</v>
      </c>
      <c r="M236" s="35">
        <v>43446</v>
      </c>
      <c r="N236" s="42">
        <v>23.619948000000001</v>
      </c>
      <c r="O236" s="35">
        <v>43446</v>
      </c>
      <c r="P236" s="44">
        <v>47.922066000000001</v>
      </c>
      <c r="Q236" s="35">
        <v>43446</v>
      </c>
      <c r="R236" s="43">
        <v>104.26301599999999</v>
      </c>
      <c r="S236" s="57">
        <v>43446</v>
      </c>
      <c r="T236" s="48">
        <v>1.1346000000000001</v>
      </c>
    </row>
    <row r="237" spans="8:20" x14ac:dyDescent="0.75">
      <c r="H237" s="3"/>
      <c r="I237" s="35">
        <v>43445</v>
      </c>
      <c r="J237" s="45">
        <v>4.9043520000000003</v>
      </c>
      <c r="K237" s="35">
        <v>43445</v>
      </c>
      <c r="L237" s="41">
        <v>266.00088899999997</v>
      </c>
      <c r="M237" s="35">
        <v>43445</v>
      </c>
      <c r="N237" s="42">
        <v>23.269507000000001</v>
      </c>
      <c r="O237" s="35">
        <v>43445</v>
      </c>
      <c r="P237" s="44">
        <v>47.813330000000001</v>
      </c>
      <c r="Q237" s="35">
        <v>43445</v>
      </c>
      <c r="R237" s="43">
        <v>103.91954699999999</v>
      </c>
      <c r="S237" s="57">
        <v>43445</v>
      </c>
      <c r="T237" s="48">
        <v>1.1378999999999999</v>
      </c>
    </row>
    <row r="238" spans="8:20" x14ac:dyDescent="0.75">
      <c r="H238" s="3"/>
      <c r="I238" s="35">
        <v>43444</v>
      </c>
      <c r="J238" s="45">
        <v>4.9084370000000002</v>
      </c>
      <c r="K238" s="35">
        <v>43444</v>
      </c>
      <c r="L238" s="41">
        <v>266.08264700000001</v>
      </c>
      <c r="M238" s="35">
        <v>43444</v>
      </c>
      <c r="N238" s="42">
        <v>23.083971999999999</v>
      </c>
      <c r="O238" s="35">
        <v>43444</v>
      </c>
      <c r="P238" s="44">
        <v>47.884627000000002</v>
      </c>
      <c r="Q238" s="35">
        <v>43444</v>
      </c>
      <c r="R238" s="43">
        <v>103.866409</v>
      </c>
      <c r="S238" s="57">
        <v>43444</v>
      </c>
      <c r="T238" s="48">
        <v>1.1425000000000001</v>
      </c>
    </row>
    <row r="239" spans="8:20" x14ac:dyDescent="0.75">
      <c r="H239" s="3"/>
      <c r="I239" s="35">
        <v>43441</v>
      </c>
      <c r="J239" s="45">
        <v>4.9120100000000004</v>
      </c>
      <c r="K239" s="35">
        <v>43441</v>
      </c>
      <c r="L239" s="41">
        <v>265.61238500000002</v>
      </c>
      <c r="M239" s="35">
        <v>43441</v>
      </c>
      <c r="N239" s="42">
        <v>23.454857000000001</v>
      </c>
      <c r="O239" s="35">
        <v>43441</v>
      </c>
      <c r="P239" s="44">
        <v>48.010351</v>
      </c>
      <c r="Q239" s="35">
        <v>43441</v>
      </c>
      <c r="R239" s="43">
        <v>103.953879</v>
      </c>
      <c r="S239" s="57">
        <v>43441</v>
      </c>
      <c r="T239" s="48">
        <v>1.1371</v>
      </c>
    </row>
    <row r="240" spans="8:20" x14ac:dyDescent="0.75">
      <c r="H240" s="3"/>
      <c r="I240" s="35">
        <v>43440</v>
      </c>
      <c r="J240" s="45">
        <v>4.9067030000000003</v>
      </c>
      <c r="K240" s="35">
        <v>43440</v>
      </c>
      <c r="L240" s="41">
        <v>271.90668399999998</v>
      </c>
      <c r="M240" s="35">
        <v>43440</v>
      </c>
      <c r="N240" s="42">
        <v>23.265162</v>
      </c>
      <c r="O240" s="35">
        <v>43440</v>
      </c>
      <c r="P240" s="44">
        <v>47.648363000000003</v>
      </c>
      <c r="Q240" s="35">
        <v>43440</v>
      </c>
      <c r="R240" s="43">
        <v>103.588801</v>
      </c>
      <c r="S240" s="57">
        <v>43440</v>
      </c>
      <c r="T240" s="48">
        <v>1.1351</v>
      </c>
    </row>
    <row r="241" spans="8:20" x14ac:dyDescent="0.75">
      <c r="H241" s="3"/>
      <c r="I241" s="35">
        <v>43438</v>
      </c>
      <c r="J241" s="45">
        <v>4.9049269999999998</v>
      </c>
      <c r="K241" s="35">
        <v>43438</v>
      </c>
      <c r="L241" s="41">
        <v>272.23767700000002</v>
      </c>
      <c r="M241" s="35">
        <v>43438</v>
      </c>
      <c r="N241" s="42">
        <v>23.931943</v>
      </c>
      <c r="O241" s="35">
        <v>43438</v>
      </c>
      <c r="P241" s="44">
        <v>47.738961000000003</v>
      </c>
      <c r="Q241" s="35">
        <v>43438</v>
      </c>
      <c r="R241" s="43">
        <v>103.676997</v>
      </c>
      <c r="S241" s="57">
        <v>43438</v>
      </c>
      <c r="T241" s="48">
        <v>1.1409</v>
      </c>
    </row>
    <row r="242" spans="8:20" x14ac:dyDescent="0.75">
      <c r="H242" s="3"/>
      <c r="I242" s="35">
        <v>43437</v>
      </c>
      <c r="J242" s="45">
        <v>4.8975520000000001</v>
      </c>
      <c r="K242" s="35">
        <v>43437</v>
      </c>
      <c r="L242" s="41">
        <v>281.326233</v>
      </c>
      <c r="M242" s="35">
        <v>43437</v>
      </c>
      <c r="N242" s="42">
        <v>23.921341000000002</v>
      </c>
      <c r="O242" s="35">
        <v>43437</v>
      </c>
      <c r="P242" s="44">
        <v>47.456701000000002</v>
      </c>
      <c r="Q242" s="35">
        <v>43437</v>
      </c>
      <c r="R242" s="43">
        <v>103.782673</v>
      </c>
      <c r="S242" s="57">
        <v>43437</v>
      </c>
      <c r="T242" s="48">
        <v>1.1332</v>
      </c>
    </row>
    <row r="243" spans="8:20" x14ac:dyDescent="0.75">
      <c r="H243" s="3"/>
      <c r="I243" s="35">
        <v>43434</v>
      </c>
      <c r="J243" s="45">
        <v>4.8979239999999997</v>
      </c>
      <c r="K243" s="35">
        <v>43434</v>
      </c>
      <c r="L243" s="41">
        <v>278.28155199999998</v>
      </c>
      <c r="M243" s="35">
        <v>43434</v>
      </c>
      <c r="N243" s="42">
        <v>23.836006000000001</v>
      </c>
      <c r="O243" s="35">
        <v>43434</v>
      </c>
      <c r="P243" s="44">
        <v>46.980220000000003</v>
      </c>
      <c r="Q243" s="35">
        <v>43434</v>
      </c>
      <c r="R243" s="43">
        <v>103.46893799999999</v>
      </c>
      <c r="S243" s="57">
        <v>43434</v>
      </c>
      <c r="T243" s="48">
        <v>1.1358999999999999</v>
      </c>
    </row>
    <row r="244" spans="8:20" x14ac:dyDescent="0.75">
      <c r="H244" s="3"/>
      <c r="I244" s="35">
        <v>43433</v>
      </c>
      <c r="J244" s="45">
        <v>4.8858759999999997</v>
      </c>
      <c r="K244" s="35">
        <v>43433</v>
      </c>
      <c r="L244" s="41">
        <v>275.97838000000002</v>
      </c>
      <c r="M244" s="35">
        <v>43433</v>
      </c>
      <c r="N244" s="42">
        <v>23.972017999999998</v>
      </c>
      <c r="O244" s="35">
        <v>43433</v>
      </c>
      <c r="P244" s="44">
        <v>47.124817999999998</v>
      </c>
      <c r="Q244" s="35">
        <v>43433</v>
      </c>
      <c r="R244" s="43">
        <v>103.305092</v>
      </c>
      <c r="S244" s="57">
        <v>43433</v>
      </c>
      <c r="T244" s="48">
        <v>1.1387</v>
      </c>
    </row>
    <row r="245" spans="8:20" x14ac:dyDescent="0.75">
      <c r="H245" s="3"/>
      <c r="I245" s="35">
        <v>43432</v>
      </c>
      <c r="J245" s="45">
        <v>4.8798810000000001</v>
      </c>
      <c r="K245" s="35">
        <v>43432</v>
      </c>
      <c r="L245" s="41">
        <v>276.51513299999999</v>
      </c>
      <c r="M245" s="35">
        <v>43432</v>
      </c>
      <c r="N245" s="42">
        <v>23.741078999999999</v>
      </c>
      <c r="O245" s="35">
        <v>43432</v>
      </c>
      <c r="P245" s="44">
        <v>47.075817000000001</v>
      </c>
      <c r="Q245" s="35">
        <v>43432</v>
      </c>
      <c r="R245" s="43">
        <v>102.682844</v>
      </c>
      <c r="S245" s="57">
        <v>43432</v>
      </c>
      <c r="T245" s="48">
        <v>1.1284000000000001</v>
      </c>
    </row>
    <row r="246" spans="8:20" x14ac:dyDescent="0.75">
      <c r="H246" s="3"/>
      <c r="I246" s="35">
        <v>43431</v>
      </c>
      <c r="J246" s="45">
        <v>4.8793220000000002</v>
      </c>
      <c r="K246" s="35">
        <v>43431</v>
      </c>
      <c r="L246" s="41">
        <v>270.28973200000001</v>
      </c>
      <c r="M246" s="35">
        <v>43431</v>
      </c>
      <c r="N246" s="42">
        <v>23.796873999999999</v>
      </c>
      <c r="O246" s="35">
        <v>43431</v>
      </c>
      <c r="P246" s="44">
        <v>46.721688999999998</v>
      </c>
      <c r="Q246" s="35">
        <v>43431</v>
      </c>
      <c r="R246" s="43">
        <v>102.329021</v>
      </c>
      <c r="S246" s="57">
        <v>43431</v>
      </c>
      <c r="T246" s="48">
        <v>1.1328</v>
      </c>
    </row>
    <row r="247" spans="8:20" x14ac:dyDescent="0.75">
      <c r="H247" s="3"/>
      <c r="I247" s="35">
        <v>43430</v>
      </c>
      <c r="J247" s="45">
        <v>4.8746919999999996</v>
      </c>
      <c r="K247" s="35">
        <v>43430</v>
      </c>
      <c r="L247" s="41">
        <v>269.40639900000002</v>
      </c>
      <c r="M247" s="35">
        <v>43430</v>
      </c>
      <c r="N247" s="42">
        <v>23.891203000000001</v>
      </c>
      <c r="O247" s="35">
        <v>43430</v>
      </c>
      <c r="P247" s="44">
        <v>47.057535000000001</v>
      </c>
      <c r="Q247" s="35">
        <v>43430</v>
      </c>
      <c r="R247" s="43">
        <v>102.66287</v>
      </c>
      <c r="S247" s="57">
        <v>43430</v>
      </c>
      <c r="T247" s="48">
        <v>1.1363000000000001</v>
      </c>
    </row>
    <row r="248" spans="8:20" x14ac:dyDescent="0.75">
      <c r="H248" s="3"/>
      <c r="I248" s="35">
        <v>43427</v>
      </c>
      <c r="J248" s="45">
        <v>4.874771</v>
      </c>
      <c r="K248" s="35">
        <v>43427</v>
      </c>
      <c r="L248" s="41">
        <v>265.255582</v>
      </c>
      <c r="M248" s="35">
        <v>43427</v>
      </c>
      <c r="N248" s="42">
        <v>23.708047000000001</v>
      </c>
      <c r="O248" s="35">
        <v>43427</v>
      </c>
      <c r="P248" s="44">
        <v>47.075670000000002</v>
      </c>
      <c r="Q248" s="35">
        <v>43427</v>
      </c>
      <c r="R248" s="43">
        <v>102.898179</v>
      </c>
      <c r="S248" s="57">
        <v>43427</v>
      </c>
      <c r="T248" s="48">
        <v>1.1352</v>
      </c>
    </row>
    <row r="249" spans="8:20" x14ac:dyDescent="0.75">
      <c r="H249" s="3"/>
      <c r="I249" s="35">
        <v>43425</v>
      </c>
      <c r="J249" s="45">
        <v>4.8734859999999998</v>
      </c>
      <c r="K249" s="35">
        <v>43425</v>
      </c>
      <c r="L249" s="41">
        <v>266.99388299999998</v>
      </c>
      <c r="M249" s="35">
        <v>43425</v>
      </c>
      <c r="N249" s="42">
        <v>23.793453</v>
      </c>
      <c r="O249" s="35">
        <v>43425</v>
      </c>
      <c r="P249" s="44">
        <v>47.239142000000001</v>
      </c>
      <c r="Q249" s="35">
        <v>43425</v>
      </c>
      <c r="R249" s="43">
        <v>103.00899800000001</v>
      </c>
      <c r="S249" s="57">
        <v>43425</v>
      </c>
      <c r="T249" s="48">
        <v>1.1409</v>
      </c>
    </row>
    <row r="250" spans="8:20" x14ac:dyDescent="0.75">
      <c r="H250" s="3"/>
      <c r="I250" s="35">
        <v>43424</v>
      </c>
      <c r="J250" s="45">
        <v>4.8747069999999999</v>
      </c>
      <c r="K250" s="35">
        <v>43424</v>
      </c>
      <c r="L250" s="41">
        <v>266.16150499999998</v>
      </c>
      <c r="M250" s="35">
        <v>43424</v>
      </c>
      <c r="N250" s="42">
        <v>23.622167000000001</v>
      </c>
      <c r="O250" s="35">
        <v>43424</v>
      </c>
      <c r="P250" s="44">
        <v>47.010672999999997</v>
      </c>
      <c r="Q250" s="35">
        <v>43424</v>
      </c>
      <c r="R250" s="43">
        <v>102.856253</v>
      </c>
      <c r="S250" s="57">
        <v>43424</v>
      </c>
      <c r="T250" s="48">
        <v>1.1420999999999999</v>
      </c>
    </row>
    <row r="251" spans="8:20" x14ac:dyDescent="0.75">
      <c r="H251" s="3"/>
      <c r="I251" s="35">
        <v>43423</v>
      </c>
      <c r="J251" s="45">
        <v>4.8713119999999996</v>
      </c>
      <c r="K251" s="35">
        <v>43423</v>
      </c>
      <c r="L251" s="41">
        <v>271.06509999999997</v>
      </c>
      <c r="M251" s="35">
        <v>43423</v>
      </c>
      <c r="N251" s="42">
        <v>23.872419000000001</v>
      </c>
      <c r="O251" s="35">
        <v>43423</v>
      </c>
      <c r="P251" s="44">
        <v>47.136991000000002</v>
      </c>
      <c r="Q251" s="35">
        <v>43423</v>
      </c>
      <c r="R251" s="43">
        <v>103.638622</v>
      </c>
      <c r="S251" s="57">
        <v>43423</v>
      </c>
      <c r="T251" s="48">
        <v>1.1346000000000001</v>
      </c>
    </row>
    <row r="252" spans="8:20" x14ac:dyDescent="0.75">
      <c r="H252" s="3"/>
      <c r="I252" s="35">
        <v>43420</v>
      </c>
      <c r="J252" s="45">
        <v>4.8695190000000004</v>
      </c>
      <c r="K252" s="35">
        <v>43420</v>
      </c>
      <c r="L252" s="41">
        <v>275.645692</v>
      </c>
      <c r="M252" s="35">
        <v>43420</v>
      </c>
      <c r="N252" s="42">
        <v>23.954470000000001</v>
      </c>
      <c r="O252" s="35">
        <v>43420</v>
      </c>
      <c r="P252" s="44">
        <v>47.038639000000003</v>
      </c>
      <c r="Q252" s="35">
        <v>43420</v>
      </c>
      <c r="R252" s="43">
        <v>103.724774</v>
      </c>
      <c r="S252" s="57">
        <v>43420</v>
      </c>
      <c r="T252" s="48">
        <v>1.1346000000000001</v>
      </c>
    </row>
    <row r="253" spans="8:20" x14ac:dyDescent="0.75">
      <c r="H253" s="3"/>
      <c r="I253" s="35">
        <v>43419</v>
      </c>
      <c r="J253" s="45">
        <v>4.8694899999999999</v>
      </c>
      <c r="K253" s="35">
        <v>43419</v>
      </c>
      <c r="L253" s="41">
        <v>275.01277099999999</v>
      </c>
      <c r="M253" s="35">
        <v>43419</v>
      </c>
      <c r="N253" s="42">
        <v>23.775423</v>
      </c>
      <c r="O253" s="35">
        <v>43419</v>
      </c>
      <c r="P253" s="44">
        <v>46.724836000000003</v>
      </c>
      <c r="Q253" s="35">
        <v>43419</v>
      </c>
      <c r="R253" s="43">
        <v>103.670766</v>
      </c>
      <c r="S253" s="57">
        <v>43419</v>
      </c>
      <c r="T253" s="48">
        <v>1.1305000000000001</v>
      </c>
    </row>
    <row r="254" spans="8:20" x14ac:dyDescent="0.75">
      <c r="H254" s="3"/>
      <c r="I254" s="35">
        <v>43418</v>
      </c>
      <c r="J254" s="45">
        <v>4.8713790000000001</v>
      </c>
      <c r="K254" s="35">
        <v>43418</v>
      </c>
      <c r="L254" s="41">
        <v>272.04084</v>
      </c>
      <c r="M254" s="35">
        <v>43418</v>
      </c>
      <c r="N254" s="42">
        <v>23.984860000000001</v>
      </c>
      <c r="O254" s="35">
        <v>43418</v>
      </c>
      <c r="P254" s="44">
        <v>46.570712999999998</v>
      </c>
      <c r="Q254" s="35">
        <v>43418</v>
      </c>
      <c r="R254" s="43">
        <v>103.848418</v>
      </c>
      <c r="S254" s="57">
        <v>43418</v>
      </c>
      <c r="T254" s="48">
        <v>1.1295999999999999</v>
      </c>
    </row>
    <row r="255" spans="8:20" x14ac:dyDescent="0.75">
      <c r="H255" s="3"/>
      <c r="I255" s="35">
        <v>43417</v>
      </c>
      <c r="J255" s="45">
        <v>4.8713220000000002</v>
      </c>
      <c r="K255" s="35">
        <v>43417</v>
      </c>
      <c r="L255" s="41">
        <v>274.04713400000003</v>
      </c>
      <c r="M255" s="35">
        <v>43417</v>
      </c>
      <c r="N255" s="42">
        <v>23.986689999999999</v>
      </c>
      <c r="O255" s="35">
        <v>43417</v>
      </c>
      <c r="P255" s="44">
        <v>46.220098</v>
      </c>
      <c r="Q255" s="35">
        <v>43417</v>
      </c>
      <c r="R255" s="43">
        <v>103.94286</v>
      </c>
      <c r="S255" s="57">
        <v>43417</v>
      </c>
      <c r="T255" s="48">
        <v>1.1261000000000001</v>
      </c>
    </row>
    <row r="256" spans="8:20" x14ac:dyDescent="0.75">
      <c r="H256" s="3"/>
      <c r="I256" s="35">
        <v>43416</v>
      </c>
      <c r="J256" s="45">
        <v>4.8672589999999998</v>
      </c>
      <c r="K256" s="35">
        <v>43416</v>
      </c>
      <c r="L256" s="41">
        <v>274.44402500000001</v>
      </c>
      <c r="M256" s="35">
        <v>43416</v>
      </c>
      <c r="N256" s="42">
        <v>23.826900999999999</v>
      </c>
      <c r="O256" s="35">
        <v>43416</v>
      </c>
      <c r="P256" s="44">
        <v>46.277155999999998</v>
      </c>
      <c r="Q256" s="35">
        <v>43416</v>
      </c>
      <c r="R256" s="43">
        <v>104.372191</v>
      </c>
      <c r="S256" s="57">
        <v>43416</v>
      </c>
      <c r="T256" s="49">
        <v>1.1265000000000001</v>
      </c>
    </row>
    <row r="257" spans="8:20" x14ac:dyDescent="0.75">
      <c r="H257" s="3"/>
      <c r="I257" s="35">
        <v>43413</v>
      </c>
      <c r="J257" s="45">
        <v>4.8654710000000003</v>
      </c>
      <c r="K257" s="35">
        <v>43413</v>
      </c>
      <c r="L257" s="41">
        <v>279.96004399999998</v>
      </c>
      <c r="M257" s="35">
        <v>43413</v>
      </c>
      <c r="N257" s="42">
        <v>24.155211000000001</v>
      </c>
      <c r="O257" s="35">
        <v>43413</v>
      </c>
      <c r="P257" s="44">
        <v>46.512045999999998</v>
      </c>
      <c r="Q257" s="35">
        <v>43413</v>
      </c>
      <c r="R257" s="43">
        <v>104.32425499999999</v>
      </c>
      <c r="S257" s="57">
        <v>43413</v>
      </c>
      <c r="T257" s="48">
        <v>1.1346000000000001</v>
      </c>
    </row>
    <row r="258" spans="8:20" x14ac:dyDescent="0.75">
      <c r="H258" s="3"/>
      <c r="I258" s="35">
        <v>43412</v>
      </c>
      <c r="J258" s="45">
        <v>4.8648740000000004</v>
      </c>
      <c r="K258" s="35">
        <v>43412</v>
      </c>
      <c r="L258" s="41">
        <v>282.51258799999999</v>
      </c>
      <c r="M258" s="35">
        <v>43412</v>
      </c>
      <c r="N258" s="42">
        <v>24.235263</v>
      </c>
      <c r="O258" s="35">
        <v>43412</v>
      </c>
      <c r="P258" s="44">
        <v>47.100431999999998</v>
      </c>
      <c r="Q258" s="35">
        <v>43412</v>
      </c>
      <c r="R258" s="43">
        <v>104.460565</v>
      </c>
      <c r="S258" s="57">
        <v>43412</v>
      </c>
      <c r="T258" s="48">
        <v>1.1424000000000001</v>
      </c>
    </row>
    <row r="259" spans="8:20" x14ac:dyDescent="0.75">
      <c r="H259" s="3"/>
      <c r="I259" s="35">
        <v>43411</v>
      </c>
      <c r="J259" s="45">
        <v>4.8647910000000003</v>
      </c>
      <c r="K259" s="35">
        <v>43411</v>
      </c>
      <c r="L259" s="41">
        <v>283.07538</v>
      </c>
      <c r="M259" s="35">
        <v>43411</v>
      </c>
      <c r="N259" s="42">
        <v>24.260760999999999</v>
      </c>
      <c r="O259" s="35">
        <v>43411</v>
      </c>
      <c r="P259" s="44">
        <v>47.231760000000001</v>
      </c>
      <c r="Q259" s="35">
        <v>43411</v>
      </c>
      <c r="R259" s="43">
        <v>104.73706900000001</v>
      </c>
      <c r="S259" s="57">
        <v>43411</v>
      </c>
      <c r="T259" s="49">
        <v>1.1487000000000001</v>
      </c>
    </row>
    <row r="260" spans="8:20" x14ac:dyDescent="0.75">
      <c r="H260" s="3"/>
      <c r="I260" s="35">
        <v>43410</v>
      </c>
      <c r="J260" s="45">
        <v>4.8629319999999998</v>
      </c>
      <c r="K260" s="35">
        <v>43410</v>
      </c>
      <c r="L260" s="41">
        <v>277.19276100000002</v>
      </c>
      <c r="M260" s="35">
        <v>43410</v>
      </c>
      <c r="N260" s="42">
        <v>23.913674</v>
      </c>
      <c r="O260" s="35">
        <v>43410</v>
      </c>
      <c r="P260" s="44">
        <v>47.160052</v>
      </c>
      <c r="Q260" s="35">
        <v>43410</v>
      </c>
      <c r="R260" s="43">
        <v>104.569091</v>
      </c>
      <c r="S260" s="57">
        <v>43410</v>
      </c>
      <c r="T260" s="48">
        <v>1.1428</v>
      </c>
    </row>
    <row r="261" spans="8:20" x14ac:dyDescent="0.75">
      <c r="H261" s="3"/>
      <c r="I261" s="35">
        <v>43409</v>
      </c>
      <c r="J261" s="45">
        <v>4.8562469999999998</v>
      </c>
      <c r="K261" s="35">
        <v>43409</v>
      </c>
      <c r="L261" s="41">
        <v>275.44684999999998</v>
      </c>
      <c r="M261" s="35">
        <v>43409</v>
      </c>
      <c r="N261" s="42">
        <v>23.914270999999999</v>
      </c>
      <c r="O261" s="35">
        <v>43409</v>
      </c>
      <c r="P261" s="44">
        <v>47.378802999999998</v>
      </c>
      <c r="Q261" s="35">
        <v>43409</v>
      </c>
      <c r="R261" s="43">
        <v>104.59398400000001</v>
      </c>
      <c r="S261" s="57">
        <v>43409</v>
      </c>
      <c r="T261" s="49">
        <v>1.137</v>
      </c>
    </row>
    <row r="262" spans="8:20" x14ac:dyDescent="0.75">
      <c r="H262" s="3"/>
      <c r="I262" s="35">
        <v>43406</v>
      </c>
      <c r="J262" s="45">
        <v>4.8607009999999997</v>
      </c>
      <c r="K262" s="35">
        <v>43406</v>
      </c>
      <c r="L262" s="41">
        <v>273.90276499999999</v>
      </c>
      <c r="M262" s="35">
        <v>43406</v>
      </c>
      <c r="N262" s="42">
        <v>23.826916000000001</v>
      </c>
      <c r="O262" s="35">
        <v>43406</v>
      </c>
      <c r="P262" s="44">
        <v>47.423797999999998</v>
      </c>
      <c r="Q262" s="35">
        <v>43406</v>
      </c>
      <c r="R262" s="43">
        <v>104.504462</v>
      </c>
      <c r="S262" s="57">
        <v>43406</v>
      </c>
      <c r="T262" s="48">
        <v>1.1416999999999999</v>
      </c>
    </row>
    <row r="263" spans="8:20" x14ac:dyDescent="0.75">
      <c r="H263" s="3"/>
      <c r="I263" s="35">
        <v>43405</v>
      </c>
      <c r="J263" s="45">
        <v>4.8593039999999998</v>
      </c>
      <c r="K263" s="35">
        <v>43405</v>
      </c>
      <c r="L263" s="41">
        <v>275.61909900000001</v>
      </c>
      <c r="M263" s="35">
        <v>43405</v>
      </c>
      <c r="N263" s="42">
        <v>23.878693999999999</v>
      </c>
      <c r="O263" s="35">
        <v>43405</v>
      </c>
      <c r="P263" s="44">
        <v>47.572921999999998</v>
      </c>
      <c r="Q263" s="35">
        <v>43405</v>
      </c>
      <c r="R263" s="43">
        <v>104.35911</v>
      </c>
      <c r="S263" s="57">
        <v>43405</v>
      </c>
      <c r="T263" s="48">
        <v>1.1393</v>
      </c>
    </row>
    <row r="264" spans="8:20" x14ac:dyDescent="0.75">
      <c r="H264" s="3"/>
      <c r="I264" s="35">
        <v>43404</v>
      </c>
      <c r="J264" s="45">
        <v>4.8616460000000004</v>
      </c>
      <c r="K264" s="35">
        <v>43404</v>
      </c>
      <c r="L264" s="41">
        <v>272.73289599999998</v>
      </c>
      <c r="M264" s="35">
        <v>43404</v>
      </c>
      <c r="N264" s="42">
        <v>23.694507999999999</v>
      </c>
      <c r="O264" s="35">
        <v>43404</v>
      </c>
      <c r="P264" s="44">
        <v>46.762515</v>
      </c>
      <c r="Q264" s="35">
        <v>43404</v>
      </c>
      <c r="R264" s="43">
        <v>104.573455</v>
      </c>
      <c r="S264" s="57">
        <v>43404</v>
      </c>
      <c r="T264" s="48">
        <v>1.1317999999999999</v>
      </c>
    </row>
    <row r="265" spans="8:20" x14ac:dyDescent="0.75">
      <c r="H265" s="3"/>
      <c r="I265" s="35">
        <v>43403</v>
      </c>
      <c r="J265" s="45">
        <v>4.8595069999999998</v>
      </c>
      <c r="K265" s="35">
        <v>43403</v>
      </c>
      <c r="L265" s="41">
        <v>269.79656699999998</v>
      </c>
      <c r="M265" s="35">
        <v>43403</v>
      </c>
      <c r="N265" s="42">
        <v>23.426815000000001</v>
      </c>
      <c r="O265" s="35">
        <v>43403</v>
      </c>
      <c r="P265" s="44">
        <v>47.110016000000002</v>
      </c>
      <c r="Q265" s="35">
        <v>43403</v>
      </c>
      <c r="R265" s="43">
        <v>104.719098</v>
      </c>
      <c r="S265" s="57">
        <v>43403</v>
      </c>
      <c r="T265" s="48">
        <v>1.1372</v>
      </c>
    </row>
    <row r="266" spans="8:20" x14ac:dyDescent="0.75">
      <c r="H266" s="3"/>
      <c r="I266" s="35">
        <v>43402</v>
      </c>
      <c r="J266" s="45">
        <v>4.8685140000000002</v>
      </c>
      <c r="K266" s="35">
        <v>43402</v>
      </c>
      <c r="L266" s="41">
        <v>265.61221599999999</v>
      </c>
      <c r="M266" s="35">
        <v>43402</v>
      </c>
      <c r="N266" s="42">
        <v>23.439308</v>
      </c>
      <c r="O266" s="35">
        <v>43402</v>
      </c>
      <c r="P266" s="44">
        <v>47.21754</v>
      </c>
      <c r="Q266" s="35">
        <v>43402</v>
      </c>
      <c r="R266" s="43">
        <v>104.910601</v>
      </c>
      <c r="S266" s="57">
        <v>43402</v>
      </c>
      <c r="T266" s="48">
        <v>1.1380999999999999</v>
      </c>
    </row>
    <row r="267" spans="8:20" x14ac:dyDescent="0.75">
      <c r="H267" s="3"/>
      <c r="I267" s="35">
        <v>43399</v>
      </c>
      <c r="J267" s="45">
        <v>4.8685549999999997</v>
      </c>
      <c r="K267" s="35">
        <v>43399</v>
      </c>
      <c r="L267" s="41">
        <v>267.36427900000001</v>
      </c>
      <c r="M267" s="35">
        <v>43399</v>
      </c>
      <c r="N267" s="42">
        <v>23.257252999999999</v>
      </c>
      <c r="O267" s="35">
        <v>43399</v>
      </c>
      <c r="P267" s="44">
        <v>47.489621999999997</v>
      </c>
      <c r="Q267" s="35">
        <v>43399</v>
      </c>
      <c r="R267" s="43">
        <v>105.097813</v>
      </c>
      <c r="S267" s="57">
        <v>43399</v>
      </c>
      <c r="T267" s="48">
        <v>1.1345000000000001</v>
      </c>
    </row>
    <row r="268" spans="8:20" x14ac:dyDescent="0.75">
      <c r="H268" s="3"/>
      <c r="I268" s="35">
        <v>43398</v>
      </c>
      <c r="J268" s="45">
        <v>4.8755579999999998</v>
      </c>
      <c r="K268" s="35">
        <v>43398</v>
      </c>
      <c r="L268" s="41">
        <v>272.07340399999998</v>
      </c>
      <c r="M268" s="35">
        <v>43398</v>
      </c>
      <c r="N268" s="42">
        <v>23.440943000000001</v>
      </c>
      <c r="O268" s="35">
        <v>43398</v>
      </c>
      <c r="P268" s="44">
        <v>47.367877</v>
      </c>
      <c r="Q268" s="35">
        <v>43398</v>
      </c>
      <c r="R268" s="43">
        <v>105.040964</v>
      </c>
      <c r="S268" s="57">
        <v>43398</v>
      </c>
      <c r="T268" s="48">
        <v>1.1415999999999999</v>
      </c>
    </row>
    <row r="269" spans="8:20" x14ac:dyDescent="0.75">
      <c r="H269" s="3"/>
      <c r="I269" s="35">
        <v>43397</v>
      </c>
      <c r="J269" s="45">
        <v>4.8817159999999999</v>
      </c>
      <c r="K269" s="35">
        <v>43397</v>
      </c>
      <c r="L269" s="41">
        <v>267.10388799999998</v>
      </c>
      <c r="M269" s="35">
        <v>43397</v>
      </c>
      <c r="N269" s="42">
        <v>23.449933999999999</v>
      </c>
      <c r="O269" s="35">
        <v>43397</v>
      </c>
      <c r="P269" s="44">
        <v>47.337781</v>
      </c>
      <c r="Q269" s="35">
        <v>43397</v>
      </c>
      <c r="R269" s="43">
        <v>105.08538900000001</v>
      </c>
      <c r="S269" s="57">
        <v>43397</v>
      </c>
      <c r="T269" s="48">
        <v>1.1389</v>
      </c>
    </row>
    <row r="270" spans="8:20" x14ac:dyDescent="0.75">
      <c r="H270" s="3"/>
      <c r="I270" s="35">
        <v>43396</v>
      </c>
      <c r="J270" s="45">
        <v>4.8835540000000002</v>
      </c>
      <c r="K270" s="35">
        <v>43396</v>
      </c>
      <c r="L270" s="41">
        <v>275.610434</v>
      </c>
      <c r="M270" s="35">
        <v>43396</v>
      </c>
      <c r="N270" s="42">
        <v>23.508817000000001</v>
      </c>
      <c r="O270" s="35">
        <v>43396</v>
      </c>
      <c r="P270" s="44">
        <v>47.482061000000002</v>
      </c>
      <c r="Q270" s="35">
        <v>43396</v>
      </c>
      <c r="R270" s="43">
        <v>105.099441</v>
      </c>
      <c r="S270" s="57">
        <v>43396</v>
      </c>
      <c r="T270" s="48">
        <v>1.1477999999999999</v>
      </c>
    </row>
    <row r="271" spans="8:20" x14ac:dyDescent="0.75">
      <c r="H271" s="3"/>
      <c r="I271" s="35">
        <v>43395</v>
      </c>
      <c r="J271" s="45">
        <v>4.8734760000000001</v>
      </c>
      <c r="K271" s="35">
        <v>43395</v>
      </c>
      <c r="L271" s="41">
        <v>277.12336399999998</v>
      </c>
      <c r="M271" s="35">
        <v>43395</v>
      </c>
      <c r="N271" s="42">
        <v>23.837776000000002</v>
      </c>
      <c r="O271" s="35">
        <v>43395</v>
      </c>
      <c r="P271" s="44">
        <v>47.058866999999999</v>
      </c>
      <c r="Q271" s="35">
        <v>43395</v>
      </c>
      <c r="R271" s="43">
        <v>105.215755</v>
      </c>
      <c r="S271" s="57">
        <v>43395</v>
      </c>
      <c r="T271" s="48">
        <v>1.1494</v>
      </c>
    </row>
    <row r="272" spans="8:20" x14ac:dyDescent="0.75">
      <c r="H272" s="3"/>
      <c r="I272" s="35">
        <v>43392</v>
      </c>
      <c r="J272" s="45">
        <v>4.8716059999999999</v>
      </c>
      <c r="K272" s="35">
        <v>43392</v>
      </c>
      <c r="L272" s="41">
        <v>278.31349799999998</v>
      </c>
      <c r="M272" s="35">
        <v>43392</v>
      </c>
      <c r="N272" s="42">
        <v>23.970455000000001</v>
      </c>
      <c r="O272" s="35">
        <v>43392</v>
      </c>
      <c r="P272" s="44">
        <v>47.202311999999999</v>
      </c>
      <c r="Q272" s="35">
        <v>43392</v>
      </c>
      <c r="R272" s="43">
        <v>105.296277</v>
      </c>
      <c r="S272" s="57">
        <v>43392</v>
      </c>
      <c r="T272" s="48">
        <v>1.147</v>
      </c>
    </row>
    <row r="273" spans="8:20" x14ac:dyDescent="0.75">
      <c r="H273" s="3"/>
      <c r="I273" s="35">
        <v>43391</v>
      </c>
      <c r="J273" s="45">
        <v>4.8659210000000002</v>
      </c>
      <c r="K273" s="35">
        <v>43391</v>
      </c>
      <c r="L273" s="41">
        <v>278.40753899999999</v>
      </c>
      <c r="M273" s="35">
        <v>43391</v>
      </c>
      <c r="N273" s="42">
        <v>23.868658</v>
      </c>
      <c r="O273" s="35">
        <v>43391</v>
      </c>
      <c r="P273" s="44">
        <v>47.238954999999997</v>
      </c>
      <c r="Q273" s="35">
        <v>43391</v>
      </c>
      <c r="R273" s="43">
        <v>105.55713799999999</v>
      </c>
      <c r="S273" s="57">
        <v>43391</v>
      </c>
      <c r="T273" s="48">
        <v>1.1505000000000001</v>
      </c>
    </row>
    <row r="274" spans="8:20" x14ac:dyDescent="0.75">
      <c r="H274" s="3"/>
      <c r="I274" s="35">
        <v>43390</v>
      </c>
      <c r="J274" s="45">
        <v>4.8611870000000001</v>
      </c>
      <c r="K274" s="35">
        <v>43390</v>
      </c>
      <c r="L274" s="41">
        <v>282.44654200000002</v>
      </c>
      <c r="M274" s="35">
        <v>43390</v>
      </c>
      <c r="N274" s="42">
        <v>23.970490000000002</v>
      </c>
      <c r="O274" s="35">
        <v>43390</v>
      </c>
      <c r="P274" s="44">
        <v>47.129913999999999</v>
      </c>
      <c r="Q274" s="35">
        <v>43390</v>
      </c>
      <c r="R274" s="43">
        <v>105.941587</v>
      </c>
      <c r="S274" s="57">
        <v>43390</v>
      </c>
      <c r="T274" s="48">
        <v>1.153</v>
      </c>
    </row>
    <row r="275" spans="8:20" x14ac:dyDescent="0.75">
      <c r="H275" s="3"/>
      <c r="I275" s="35">
        <v>43389</v>
      </c>
      <c r="J275" s="45">
        <v>4.8592000000000004</v>
      </c>
      <c r="K275" s="35">
        <v>43389</v>
      </c>
      <c r="L275" s="41">
        <v>282.50689699999998</v>
      </c>
      <c r="M275" s="35">
        <v>43389</v>
      </c>
      <c r="N275" s="42">
        <v>24.169025999999999</v>
      </c>
      <c r="O275" s="35">
        <v>43389</v>
      </c>
      <c r="P275" s="44">
        <v>47.261209000000001</v>
      </c>
      <c r="Q275" s="35">
        <v>43389</v>
      </c>
      <c r="R275" s="43">
        <v>105.823302</v>
      </c>
      <c r="S275" s="57">
        <v>43389</v>
      </c>
      <c r="T275" s="48">
        <v>1.1587000000000001</v>
      </c>
    </row>
    <row r="276" spans="8:20" x14ac:dyDescent="0.75">
      <c r="H276" s="3"/>
      <c r="I276" s="35">
        <v>43388</v>
      </c>
      <c r="J276" s="45">
        <v>4.8634880000000003</v>
      </c>
      <c r="K276" s="35">
        <v>43388</v>
      </c>
      <c r="L276" s="41">
        <v>276.55279999999999</v>
      </c>
      <c r="M276" s="35">
        <v>43388</v>
      </c>
      <c r="N276" s="42">
        <v>23.760556999999999</v>
      </c>
      <c r="O276" s="35">
        <v>43388</v>
      </c>
      <c r="P276" s="44">
        <v>47.238897000000001</v>
      </c>
      <c r="Q276" s="35">
        <v>43388</v>
      </c>
      <c r="R276" s="43">
        <v>105.61023299999999</v>
      </c>
      <c r="S276" s="57">
        <v>43388</v>
      </c>
      <c r="T276" s="48">
        <v>1.1580999999999999</v>
      </c>
    </row>
    <row r="277" spans="8:20" x14ac:dyDescent="0.75">
      <c r="H277" s="3"/>
      <c r="I277" s="35">
        <v>43385</v>
      </c>
      <c r="J277" s="45">
        <v>4.8655879999999998</v>
      </c>
      <c r="K277" s="35">
        <v>43385</v>
      </c>
      <c r="L277" s="41">
        <v>278.190832</v>
      </c>
      <c r="M277" s="35">
        <v>43385</v>
      </c>
      <c r="N277" s="42">
        <v>23.665849999999999</v>
      </c>
      <c r="O277" s="35">
        <v>43385</v>
      </c>
      <c r="P277" s="44">
        <v>46.926326000000003</v>
      </c>
      <c r="Q277" s="35">
        <v>43385</v>
      </c>
      <c r="R277" s="43">
        <v>105.51098399999999</v>
      </c>
      <c r="S277" s="57">
        <v>43385</v>
      </c>
      <c r="T277" s="48">
        <v>1.1574</v>
      </c>
    </row>
    <row r="278" spans="8:20" x14ac:dyDescent="0.75">
      <c r="H278" s="3"/>
      <c r="I278" s="35">
        <v>43384</v>
      </c>
      <c r="J278" s="45">
        <v>4.8650789999999997</v>
      </c>
      <c r="K278" s="35">
        <v>43384</v>
      </c>
      <c r="L278" s="41">
        <v>274.26782800000001</v>
      </c>
      <c r="M278" s="35">
        <v>43384</v>
      </c>
      <c r="N278" s="42">
        <v>23.706954</v>
      </c>
      <c r="O278" s="35">
        <v>43384</v>
      </c>
      <c r="P278" s="44">
        <v>47.123731999999997</v>
      </c>
      <c r="Q278" s="35">
        <v>43384</v>
      </c>
      <c r="R278" s="43">
        <v>105.238013</v>
      </c>
      <c r="S278" s="57">
        <v>43384</v>
      </c>
      <c r="T278" s="48">
        <v>1.1575</v>
      </c>
    </row>
    <row r="279" spans="8:20" x14ac:dyDescent="0.75">
      <c r="H279" s="3"/>
      <c r="I279" s="35">
        <v>43383</v>
      </c>
      <c r="J279" s="45">
        <v>4.8618240000000004</v>
      </c>
      <c r="K279" s="35">
        <v>43383</v>
      </c>
      <c r="L279" s="41">
        <v>280.024317</v>
      </c>
      <c r="M279" s="35">
        <v>43383</v>
      </c>
      <c r="N279" s="42">
        <v>24.088076999999998</v>
      </c>
      <c r="O279" s="35">
        <v>43383</v>
      </c>
      <c r="P279" s="44">
        <v>45.860078999999999</v>
      </c>
      <c r="Q279" s="35">
        <v>43383</v>
      </c>
      <c r="R279" s="43">
        <v>105.340902</v>
      </c>
      <c r="S279" s="57">
        <v>43383</v>
      </c>
      <c r="T279" s="49">
        <v>1.1499999999999999</v>
      </c>
    </row>
    <row r="280" spans="8:20" x14ac:dyDescent="0.75">
      <c r="H280" s="3"/>
      <c r="I280" s="35">
        <v>43382</v>
      </c>
      <c r="J280" s="45">
        <v>4.8646399999999996</v>
      </c>
      <c r="K280" s="35">
        <v>43382</v>
      </c>
      <c r="L280" s="41">
        <v>289.54044199999998</v>
      </c>
      <c r="M280" s="35">
        <v>43382</v>
      </c>
      <c r="N280" s="42">
        <v>24.270274000000001</v>
      </c>
      <c r="O280" s="35">
        <v>43382</v>
      </c>
      <c r="P280" s="44">
        <v>45.783842999999997</v>
      </c>
      <c r="Q280" s="35">
        <v>43382</v>
      </c>
      <c r="R280" s="43">
        <v>105.479609</v>
      </c>
      <c r="S280" s="57">
        <v>43382</v>
      </c>
      <c r="T280" s="48">
        <v>1.1435</v>
      </c>
    </row>
    <row r="281" spans="8:20" x14ac:dyDescent="0.75">
      <c r="H281" s="3"/>
      <c r="I281" s="35">
        <v>43381</v>
      </c>
      <c r="J281" s="45">
        <v>4.8643229999999997</v>
      </c>
      <c r="K281" s="35">
        <v>43381</v>
      </c>
      <c r="L281" s="41">
        <v>289.86713900000001</v>
      </c>
      <c r="M281" s="35">
        <v>43381</v>
      </c>
      <c r="N281" s="42">
        <v>24.235285999999999</v>
      </c>
      <c r="O281" s="35">
        <v>43381</v>
      </c>
      <c r="P281" s="44">
        <v>45.668869999999998</v>
      </c>
      <c r="Q281" s="35">
        <v>43381</v>
      </c>
      <c r="R281" s="43">
        <v>105.641772</v>
      </c>
      <c r="S281" s="57">
        <v>43381</v>
      </c>
      <c r="T281" s="48">
        <v>1.1477999999999999</v>
      </c>
    </row>
    <row r="282" spans="8:20" x14ac:dyDescent="0.75">
      <c r="H282" s="3"/>
      <c r="I282" s="35">
        <v>43378</v>
      </c>
      <c r="J282" s="45">
        <v>4.8530129999999998</v>
      </c>
      <c r="K282" s="35">
        <v>43378</v>
      </c>
      <c r="L282" s="41">
        <v>289.98230100000001</v>
      </c>
      <c r="M282" s="35">
        <v>43378</v>
      </c>
      <c r="N282" s="42">
        <v>24.536487000000001</v>
      </c>
      <c r="O282" s="35">
        <v>43378</v>
      </c>
      <c r="P282" s="44">
        <v>46.293450999999997</v>
      </c>
      <c r="Q282" s="35">
        <v>43378</v>
      </c>
      <c r="R282" s="43">
        <v>105.59392699999999</v>
      </c>
      <c r="S282" s="57">
        <v>43378</v>
      </c>
      <c r="T282" s="48">
        <v>1.1506000000000001</v>
      </c>
    </row>
    <row r="283" spans="8:20" x14ac:dyDescent="0.75">
      <c r="H283" s="3"/>
      <c r="I283" s="35">
        <v>43377</v>
      </c>
      <c r="J283" s="45">
        <v>4.8568860000000003</v>
      </c>
      <c r="K283" s="35">
        <v>43377</v>
      </c>
      <c r="L283" s="41">
        <v>291.590101</v>
      </c>
      <c r="M283" s="35">
        <v>43377</v>
      </c>
      <c r="N283" s="42">
        <v>24.678191999999999</v>
      </c>
      <c r="O283" s="35">
        <v>43377</v>
      </c>
      <c r="P283" s="44">
        <v>46.134492000000002</v>
      </c>
      <c r="Q283" s="35">
        <v>43377</v>
      </c>
      <c r="R283" s="43">
        <v>105.920728</v>
      </c>
      <c r="S283" s="57">
        <v>43377</v>
      </c>
      <c r="T283" s="48">
        <v>1.1501999999999999</v>
      </c>
    </row>
    <row r="284" spans="8:20" x14ac:dyDescent="0.75">
      <c r="H284" s="3"/>
      <c r="I284" s="35">
        <v>43376</v>
      </c>
      <c r="J284" s="45">
        <v>4.8552400000000002</v>
      </c>
      <c r="K284" s="35">
        <v>43376</v>
      </c>
      <c r="L284" s="41">
        <v>293.92309699999998</v>
      </c>
      <c r="M284" s="35">
        <v>43376</v>
      </c>
      <c r="N284" s="42">
        <v>25.074349000000002</v>
      </c>
      <c r="O284" s="35">
        <v>43376</v>
      </c>
      <c r="P284" s="44">
        <v>46.178283</v>
      </c>
      <c r="Q284" s="35">
        <v>43376</v>
      </c>
      <c r="R284" s="43">
        <v>106.901922</v>
      </c>
      <c r="S284" s="57">
        <v>43376</v>
      </c>
      <c r="T284" s="48">
        <v>1.1548</v>
      </c>
    </row>
    <row r="285" spans="8:20" x14ac:dyDescent="0.75">
      <c r="H285" s="3"/>
      <c r="I285" s="35">
        <v>43375</v>
      </c>
      <c r="J285" s="45">
        <v>4.8548020000000003</v>
      </c>
      <c r="K285" s="35">
        <v>43375</v>
      </c>
      <c r="L285" s="41">
        <v>293.71402</v>
      </c>
      <c r="M285" s="35">
        <v>43375</v>
      </c>
      <c r="N285" s="42">
        <v>25.047653</v>
      </c>
      <c r="O285" s="35">
        <v>43375</v>
      </c>
      <c r="P285" s="44">
        <v>46.324086999999999</v>
      </c>
      <c r="Q285" s="35">
        <v>43375</v>
      </c>
      <c r="R285" s="43">
        <v>106.972297</v>
      </c>
      <c r="S285" s="57">
        <v>43375</v>
      </c>
      <c r="T285" s="48">
        <v>1.1543000000000001</v>
      </c>
    </row>
    <row r="286" spans="8:20" x14ac:dyDescent="0.75">
      <c r="H286" s="3"/>
      <c r="I286" s="35">
        <v>43374</v>
      </c>
      <c r="J286" s="45">
        <v>4.8634639999999996</v>
      </c>
      <c r="K286" s="35">
        <v>43374</v>
      </c>
      <c r="L286" s="41">
        <v>293.82056599999999</v>
      </c>
      <c r="M286" s="35">
        <v>43374</v>
      </c>
      <c r="N286" s="42">
        <v>25.229876000000001</v>
      </c>
      <c r="O286" s="35">
        <v>43374</v>
      </c>
      <c r="P286" s="44">
        <v>45.753348000000003</v>
      </c>
      <c r="Q286" s="35">
        <v>43374</v>
      </c>
      <c r="R286" s="43">
        <v>107.047988</v>
      </c>
      <c r="S286" s="57">
        <v>43374</v>
      </c>
      <c r="T286" s="48">
        <v>1.1606000000000001</v>
      </c>
    </row>
    <row r="287" spans="8:20" x14ac:dyDescent="0.75">
      <c r="H287" s="3"/>
      <c r="I287" s="35">
        <v>43371</v>
      </c>
      <c r="J287" s="45">
        <v>4.8766170000000004</v>
      </c>
      <c r="K287" s="35">
        <v>43371</v>
      </c>
      <c r="L287" s="41">
        <v>292.75289500000002</v>
      </c>
      <c r="M287" s="35">
        <v>43371</v>
      </c>
      <c r="N287" s="42">
        <v>25.267707000000001</v>
      </c>
      <c r="O287" s="35">
        <v>43371</v>
      </c>
      <c r="P287" s="44">
        <v>45.904918000000002</v>
      </c>
      <c r="Q287" s="35">
        <v>43371</v>
      </c>
      <c r="R287" s="43">
        <v>107.646299</v>
      </c>
      <c r="S287" s="57">
        <v>43371</v>
      </c>
      <c r="T287" s="58">
        <v>1.1576</v>
      </c>
    </row>
    <row r="288" spans="8:20" x14ac:dyDescent="0.75">
      <c r="H288" s="3"/>
      <c r="I288" s="35">
        <v>43370</v>
      </c>
      <c r="J288" s="45">
        <v>4.8899020000000002</v>
      </c>
      <c r="K288" s="35">
        <v>43370</v>
      </c>
      <c r="L288" s="41">
        <v>292.74192900000003</v>
      </c>
      <c r="M288" s="35">
        <v>43370</v>
      </c>
      <c r="N288" s="42">
        <v>25.451699999999999</v>
      </c>
      <c r="O288" s="35">
        <v>43370</v>
      </c>
      <c r="P288" s="44">
        <v>45.582120000000003</v>
      </c>
      <c r="Q288" s="35">
        <v>43370</v>
      </c>
      <c r="R288" s="43">
        <v>107.700078</v>
      </c>
      <c r="S288" s="57">
        <v>43370</v>
      </c>
      <c r="T288" s="58">
        <v>1.1707000000000001</v>
      </c>
    </row>
    <row r="289" spans="8:20" x14ac:dyDescent="0.75">
      <c r="H289" s="3"/>
      <c r="I289" s="35">
        <v>43369</v>
      </c>
      <c r="J289" s="45">
        <v>4.8857989999999996</v>
      </c>
      <c r="K289" s="35">
        <v>43369</v>
      </c>
      <c r="L289" s="41">
        <v>291.881326</v>
      </c>
      <c r="M289" s="35">
        <v>43369</v>
      </c>
      <c r="N289" s="42">
        <v>25.460075</v>
      </c>
      <c r="O289" s="35">
        <v>43369</v>
      </c>
      <c r="P289" s="44">
        <v>46.006993999999999</v>
      </c>
      <c r="Q289" s="35">
        <v>43369</v>
      </c>
      <c r="R289" s="43">
        <v>107.172782</v>
      </c>
      <c r="S289" s="57">
        <v>43369</v>
      </c>
      <c r="T289" s="58">
        <v>1.1737</v>
      </c>
    </row>
    <row r="290" spans="8:20" x14ac:dyDescent="0.75">
      <c r="H290" s="3"/>
      <c r="I290" s="35">
        <v>43368</v>
      </c>
      <c r="J290" s="45">
        <v>4.8911470000000001</v>
      </c>
      <c r="K290" s="35">
        <v>43368</v>
      </c>
      <c r="L290" s="41">
        <v>294.12771400000003</v>
      </c>
      <c r="M290" s="35">
        <v>43368</v>
      </c>
      <c r="N290" s="42">
        <v>25.429735000000001</v>
      </c>
      <c r="O290" s="35">
        <v>43368</v>
      </c>
      <c r="P290" s="44">
        <v>46.246831</v>
      </c>
      <c r="Q290" s="35">
        <v>43368</v>
      </c>
      <c r="R290" s="43">
        <v>106.873122</v>
      </c>
      <c r="S290" s="57">
        <v>43368</v>
      </c>
      <c r="T290" s="58">
        <v>1.1777</v>
      </c>
    </row>
    <row r="291" spans="8:20" x14ac:dyDescent="0.75">
      <c r="H291" s="3"/>
      <c r="I291" s="35">
        <v>43367</v>
      </c>
      <c r="J291" s="45">
        <v>4.8911470000000001</v>
      </c>
      <c r="K291" s="35">
        <v>43367</v>
      </c>
      <c r="L291" s="41">
        <v>294.49115599999999</v>
      </c>
      <c r="M291" s="35">
        <v>43367</v>
      </c>
      <c r="N291" s="42">
        <v>25.325664</v>
      </c>
      <c r="O291" s="35">
        <v>43367</v>
      </c>
      <c r="P291" s="44">
        <v>46.196334</v>
      </c>
      <c r="Q291" s="35">
        <v>43367</v>
      </c>
      <c r="R291" s="43">
        <v>106.870051</v>
      </c>
      <c r="S291" s="57">
        <v>43367</v>
      </c>
      <c r="T291" s="58">
        <v>1.1773</v>
      </c>
    </row>
    <row r="292" spans="8:20" x14ac:dyDescent="0.75">
      <c r="H292" s="3"/>
      <c r="I292" s="35">
        <v>43364</v>
      </c>
      <c r="J292" s="45">
        <v>4.8918410000000003</v>
      </c>
      <c r="K292" s="35">
        <v>43364</v>
      </c>
      <c r="L292" s="41">
        <v>295.52962000000002</v>
      </c>
      <c r="M292" s="35">
        <v>43364</v>
      </c>
      <c r="N292" s="42">
        <v>25.381723000000001</v>
      </c>
      <c r="O292" s="35">
        <v>43364</v>
      </c>
      <c r="P292" s="44">
        <v>46.102392000000002</v>
      </c>
      <c r="Q292" s="35">
        <v>43364</v>
      </c>
      <c r="R292" s="43">
        <v>106.792276</v>
      </c>
      <c r="S292" s="57">
        <v>43364</v>
      </c>
      <c r="T292" s="58">
        <v>1.1758999999999999</v>
      </c>
    </row>
    <row r="293" spans="8:20" x14ac:dyDescent="0.75">
      <c r="H293" s="3"/>
      <c r="I293" s="35">
        <v>43363</v>
      </c>
      <c r="J293" s="45">
        <v>4.8896569999999997</v>
      </c>
      <c r="K293" s="35">
        <v>43363</v>
      </c>
      <c r="L293" s="41">
        <v>295.63451800000001</v>
      </c>
      <c r="M293" s="35">
        <v>43363</v>
      </c>
      <c r="N293" s="42">
        <v>25.254203</v>
      </c>
      <c r="O293" s="35">
        <v>43363</v>
      </c>
      <c r="P293" s="44">
        <v>46.466543999999999</v>
      </c>
      <c r="Q293" s="35">
        <v>43363</v>
      </c>
      <c r="R293" s="43">
        <v>106.481403</v>
      </c>
      <c r="S293" s="57">
        <v>43363</v>
      </c>
      <c r="T293" s="58">
        <v>1.1769000000000001</v>
      </c>
    </row>
    <row r="294" spans="8:20" x14ac:dyDescent="0.75">
      <c r="H294" s="3"/>
      <c r="I294" s="35">
        <v>43362</v>
      </c>
      <c r="J294" s="45">
        <v>4.8822799999999997</v>
      </c>
      <c r="K294" s="35">
        <v>43362</v>
      </c>
      <c r="L294" s="41">
        <v>293.32116600000001</v>
      </c>
      <c r="M294" s="35">
        <v>43362</v>
      </c>
      <c r="N294" s="42">
        <v>24.989830999999999</v>
      </c>
      <c r="O294" s="35">
        <v>43362</v>
      </c>
      <c r="P294" s="44">
        <v>46.341203</v>
      </c>
      <c r="Q294" s="35">
        <v>43362</v>
      </c>
      <c r="R294" s="43">
        <v>105.980026</v>
      </c>
      <c r="S294" s="57">
        <v>43362</v>
      </c>
      <c r="T294" s="58">
        <v>1.1667000000000001</v>
      </c>
    </row>
    <row r="295" spans="8:20" x14ac:dyDescent="0.75">
      <c r="H295" s="3"/>
      <c r="I295" s="35">
        <v>43361</v>
      </c>
      <c r="J295" s="45">
        <v>4.8876549999999996</v>
      </c>
      <c r="K295" s="35">
        <v>43361</v>
      </c>
      <c r="L295" s="41">
        <v>292.95405599999998</v>
      </c>
      <c r="M295" s="35">
        <v>43361</v>
      </c>
      <c r="N295" s="42">
        <v>25.138508000000002</v>
      </c>
      <c r="O295" s="35">
        <v>43361</v>
      </c>
      <c r="P295" s="44">
        <v>46.144114000000002</v>
      </c>
      <c r="Q295" s="35">
        <v>43361</v>
      </c>
      <c r="R295" s="43">
        <v>105.869114</v>
      </c>
      <c r="S295" s="57">
        <v>43361</v>
      </c>
      <c r="T295" s="58">
        <v>1.1697</v>
      </c>
    </row>
    <row r="296" spans="8:20" x14ac:dyDescent="0.75">
      <c r="H296" s="3"/>
      <c r="I296" s="35">
        <v>43360</v>
      </c>
      <c r="J296" s="45">
        <v>4.8938980000000001</v>
      </c>
      <c r="K296" s="35">
        <v>43360</v>
      </c>
      <c r="L296" s="41">
        <v>291.378559</v>
      </c>
      <c r="M296" s="35">
        <v>43360</v>
      </c>
      <c r="N296" s="42">
        <v>25.109617</v>
      </c>
      <c r="O296" s="35">
        <v>43360</v>
      </c>
      <c r="P296" s="44">
        <v>46.236268000000003</v>
      </c>
      <c r="Q296" s="35">
        <v>43360</v>
      </c>
      <c r="R296" s="43">
        <v>106.00994799999999</v>
      </c>
      <c r="S296" s="57">
        <v>43360</v>
      </c>
      <c r="T296" s="58">
        <v>1.1671</v>
      </c>
    </row>
    <row r="297" spans="8:20" x14ac:dyDescent="0.75">
      <c r="H297" s="3"/>
      <c r="I297" s="35">
        <v>43357</v>
      </c>
      <c r="J297" s="45">
        <v>4.890809</v>
      </c>
      <c r="K297" s="35">
        <v>43357</v>
      </c>
      <c r="L297" s="41">
        <v>293.006306</v>
      </c>
      <c r="M297" s="35">
        <v>43357</v>
      </c>
      <c r="N297" s="42">
        <v>25.031589</v>
      </c>
      <c r="O297" s="35">
        <v>43357</v>
      </c>
      <c r="P297" s="44">
        <v>46.053122000000002</v>
      </c>
      <c r="Q297" s="35">
        <v>43357</v>
      </c>
      <c r="R297" s="43">
        <v>106.212045</v>
      </c>
      <c r="S297" s="57">
        <v>43357</v>
      </c>
      <c r="T297" s="58">
        <v>1.1689000000000001</v>
      </c>
    </row>
    <row r="298" spans="8:20" x14ac:dyDescent="0.75">
      <c r="H298" s="3"/>
      <c r="I298" s="35">
        <v>43356</v>
      </c>
      <c r="J298" s="45">
        <v>4.8884400000000001</v>
      </c>
      <c r="K298" s="35">
        <v>43356</v>
      </c>
      <c r="L298" s="41">
        <v>292.88239800000002</v>
      </c>
      <c r="M298" s="35">
        <v>43356</v>
      </c>
      <c r="N298" s="42">
        <v>25.019974000000001</v>
      </c>
      <c r="O298" s="35">
        <v>43356</v>
      </c>
      <c r="P298" s="44">
        <v>46.314236999999999</v>
      </c>
      <c r="Q298" s="35">
        <v>43356</v>
      </c>
      <c r="R298" s="43">
        <v>105.981953</v>
      </c>
      <c r="S298" s="57">
        <v>43356</v>
      </c>
      <c r="T298" s="58">
        <v>1.1619999999999999</v>
      </c>
    </row>
    <row r="299" spans="8:20" x14ac:dyDescent="0.75">
      <c r="H299" s="3"/>
      <c r="I299" s="35">
        <v>43355</v>
      </c>
      <c r="J299" s="45">
        <v>4.8956460000000002</v>
      </c>
      <c r="K299" s="35">
        <v>43355</v>
      </c>
      <c r="L299" s="41">
        <v>291.266278</v>
      </c>
      <c r="M299" s="35">
        <v>43355</v>
      </c>
      <c r="N299" s="42">
        <v>24.986049999999999</v>
      </c>
      <c r="O299" s="35">
        <v>43355</v>
      </c>
      <c r="P299" s="44">
        <v>46.429215999999997</v>
      </c>
      <c r="Q299" s="35">
        <v>43355</v>
      </c>
      <c r="R299" s="43">
        <v>105.301446</v>
      </c>
      <c r="S299" s="57">
        <v>43355</v>
      </c>
      <c r="T299" s="58">
        <v>1.1585000000000001</v>
      </c>
    </row>
    <row r="300" spans="8:20" x14ac:dyDescent="0.75">
      <c r="H300" s="3"/>
      <c r="I300" s="35">
        <v>43354</v>
      </c>
      <c r="J300" s="45">
        <v>4.902628</v>
      </c>
      <c r="K300" s="35">
        <v>43354</v>
      </c>
      <c r="L300" s="41">
        <v>291.16112600000002</v>
      </c>
      <c r="M300" s="35">
        <v>43354</v>
      </c>
      <c r="N300" s="42">
        <v>24.809062999999998</v>
      </c>
      <c r="O300" s="35">
        <v>43354</v>
      </c>
      <c r="P300" s="44">
        <v>46.098878999999997</v>
      </c>
      <c r="Q300" s="35">
        <v>43354</v>
      </c>
      <c r="R300" s="43">
        <v>104.902625</v>
      </c>
      <c r="S300" s="57">
        <v>43354</v>
      </c>
      <c r="T300" s="58">
        <v>1.1574</v>
      </c>
    </row>
    <row r="301" spans="8:20" x14ac:dyDescent="0.75">
      <c r="H301" s="3"/>
      <c r="I301" s="35">
        <v>43353</v>
      </c>
      <c r="J301" s="45">
        <v>4.9033709999999999</v>
      </c>
      <c r="K301" s="35">
        <v>43353</v>
      </c>
      <c r="L301" s="41">
        <v>290.057481</v>
      </c>
      <c r="M301" s="35">
        <v>43353</v>
      </c>
      <c r="N301" s="42">
        <v>24.845372000000001</v>
      </c>
      <c r="O301" s="35">
        <v>43353</v>
      </c>
      <c r="P301" s="44">
        <v>46.008248000000002</v>
      </c>
      <c r="Q301" s="35">
        <v>43353</v>
      </c>
      <c r="R301" s="43">
        <v>105.151718</v>
      </c>
      <c r="S301" s="57">
        <v>43353</v>
      </c>
      <c r="T301" s="58">
        <v>1.1571</v>
      </c>
    </row>
    <row r="302" spans="8:20" x14ac:dyDescent="0.75">
      <c r="H302" s="3"/>
      <c r="I302" s="35">
        <v>43350</v>
      </c>
      <c r="J302" s="45">
        <v>4.9083410000000001</v>
      </c>
      <c r="K302" s="35">
        <v>43350</v>
      </c>
      <c r="L302" s="41">
        <v>289.50936999999999</v>
      </c>
      <c r="M302" s="35">
        <v>43350</v>
      </c>
      <c r="N302" s="42">
        <v>24.705031000000002</v>
      </c>
      <c r="O302" s="35">
        <v>43350</v>
      </c>
      <c r="P302" s="44">
        <v>46.020665999999999</v>
      </c>
      <c r="Q302" s="35">
        <v>43350</v>
      </c>
      <c r="R302" s="43">
        <v>105.434214</v>
      </c>
      <c r="S302" s="57">
        <v>43350</v>
      </c>
      <c r="T302" s="58">
        <v>1.1615</v>
      </c>
    </row>
    <row r="303" spans="8:20" x14ac:dyDescent="0.75">
      <c r="H303" s="3"/>
      <c r="I303" s="35">
        <v>43349</v>
      </c>
      <c r="J303" s="45">
        <v>4.9082379999999999</v>
      </c>
      <c r="K303" s="35">
        <v>43349</v>
      </c>
      <c r="L303" s="41">
        <v>290.12688100000003</v>
      </c>
      <c r="M303" s="35">
        <v>43349</v>
      </c>
      <c r="N303" s="42">
        <v>24.7195</v>
      </c>
      <c r="O303" s="35">
        <v>43349</v>
      </c>
      <c r="P303" s="44">
        <v>46.179709000000003</v>
      </c>
      <c r="Q303" s="35">
        <v>43349</v>
      </c>
      <c r="R303" s="43">
        <v>105.52784699999999</v>
      </c>
      <c r="S303" s="57">
        <v>43349</v>
      </c>
      <c r="T303" s="58">
        <v>1.1634</v>
      </c>
    </row>
    <row r="304" spans="8:20" x14ac:dyDescent="0.75">
      <c r="H304" s="3"/>
      <c r="I304" s="35">
        <v>43348</v>
      </c>
      <c r="J304" s="45">
        <v>4.9049750000000003</v>
      </c>
      <c r="K304" s="35">
        <v>43348</v>
      </c>
      <c r="L304" s="41">
        <v>291.104399</v>
      </c>
      <c r="M304" s="35">
        <v>43348</v>
      </c>
      <c r="N304" s="42">
        <v>24.783450999999999</v>
      </c>
      <c r="O304" s="35">
        <v>43348</v>
      </c>
      <c r="P304" s="44">
        <v>46.060527</v>
      </c>
      <c r="Q304" s="35">
        <v>43348</v>
      </c>
      <c r="R304" s="43">
        <v>105.057069</v>
      </c>
      <c r="S304" s="57">
        <v>43348</v>
      </c>
      <c r="T304" s="58">
        <v>1.1581999999999999</v>
      </c>
    </row>
    <row r="305" spans="8:20" x14ac:dyDescent="0.75">
      <c r="H305" s="3"/>
      <c r="I305" s="35">
        <v>43347</v>
      </c>
      <c r="J305" s="45">
        <v>4.9114389999999997</v>
      </c>
      <c r="K305" s="35">
        <v>43347</v>
      </c>
      <c r="L305" s="41">
        <v>291.921694</v>
      </c>
      <c r="M305" s="35">
        <v>43347</v>
      </c>
      <c r="N305" s="42">
        <v>24.912495</v>
      </c>
      <c r="O305" s="35">
        <v>43347</v>
      </c>
      <c r="P305" s="44">
        <v>45.966109000000003</v>
      </c>
      <c r="Q305" s="35">
        <v>43347</v>
      </c>
      <c r="R305" s="43">
        <v>105.00585599999999</v>
      </c>
      <c r="S305" s="57">
        <v>43347</v>
      </c>
      <c r="T305" s="58">
        <v>1.1561999999999999</v>
      </c>
    </row>
    <row r="306" spans="8:20" x14ac:dyDescent="0.75">
      <c r="H306" s="3"/>
      <c r="I306" s="35">
        <v>43343</v>
      </c>
      <c r="J306" s="45">
        <v>4.9105790000000002</v>
      </c>
      <c r="K306" s="35">
        <v>43343</v>
      </c>
      <c r="L306" s="41">
        <v>292.37885699999998</v>
      </c>
      <c r="M306" s="35">
        <v>43343</v>
      </c>
      <c r="N306" s="42">
        <v>25.215475999999999</v>
      </c>
      <c r="O306" s="35">
        <v>43343</v>
      </c>
      <c r="P306" s="44">
        <v>46.228760000000001</v>
      </c>
      <c r="Q306" s="35">
        <v>43343</v>
      </c>
      <c r="R306" s="43">
        <v>106.210875</v>
      </c>
      <c r="S306" s="57">
        <v>43343</v>
      </c>
      <c r="T306" s="58">
        <v>1.1651</v>
      </c>
    </row>
    <row r="307" spans="8:20" x14ac:dyDescent="0.75">
      <c r="H307" s="3"/>
      <c r="I307" s="35">
        <v>43342</v>
      </c>
      <c r="J307" s="45">
        <v>4.9203510000000001</v>
      </c>
      <c r="K307" s="35">
        <v>43342</v>
      </c>
      <c r="L307" s="41">
        <v>292.31023599999997</v>
      </c>
      <c r="M307" s="35">
        <v>43342</v>
      </c>
      <c r="N307" s="42">
        <v>25.390262</v>
      </c>
      <c r="O307" s="35">
        <v>43342</v>
      </c>
      <c r="P307" s="44">
        <v>46.186622999999997</v>
      </c>
      <c r="Q307" s="35">
        <v>43342</v>
      </c>
      <c r="R307" s="43">
        <v>106.515615</v>
      </c>
      <c r="S307" s="57">
        <v>43342</v>
      </c>
      <c r="T307" s="58">
        <v>1.1692</v>
      </c>
    </row>
    <row r="308" spans="8:20" x14ac:dyDescent="0.75">
      <c r="H308" s="3"/>
      <c r="I308" s="35">
        <v>43341</v>
      </c>
      <c r="J308" s="45">
        <v>4.9136240000000004</v>
      </c>
      <c r="K308" s="35">
        <v>43341</v>
      </c>
      <c r="L308" s="41">
        <v>293.56294600000001</v>
      </c>
      <c r="M308" s="35">
        <v>43341</v>
      </c>
      <c r="N308" s="42">
        <v>25.500025000000001</v>
      </c>
      <c r="O308" s="35">
        <v>43341</v>
      </c>
      <c r="P308" s="44">
        <v>46.430883999999999</v>
      </c>
      <c r="Q308" s="35">
        <v>43341</v>
      </c>
      <c r="R308" s="43">
        <v>106.848237</v>
      </c>
      <c r="S308" s="57">
        <v>43341</v>
      </c>
      <c r="T308" s="58">
        <v>1.1659999999999999</v>
      </c>
    </row>
    <row r="309" spans="8:20" x14ac:dyDescent="0.75">
      <c r="H309" s="3"/>
      <c r="I309" s="35">
        <v>43340</v>
      </c>
      <c r="J309" s="45">
        <v>4.9152940000000003</v>
      </c>
      <c r="K309" s="35">
        <v>43340</v>
      </c>
      <c r="L309" s="41">
        <v>291.87419199999999</v>
      </c>
      <c r="M309" s="35">
        <v>43340</v>
      </c>
      <c r="N309" s="42">
        <v>25.458428999999999</v>
      </c>
      <c r="O309" s="35">
        <v>43340</v>
      </c>
      <c r="P309" s="44">
        <v>46.464992000000002</v>
      </c>
      <c r="Q309" s="35">
        <v>43340</v>
      </c>
      <c r="R309" s="43">
        <v>107.111183</v>
      </c>
      <c r="S309" s="57">
        <v>43340</v>
      </c>
      <c r="T309" s="58">
        <v>1.171</v>
      </c>
    </row>
    <row r="310" spans="8:20" x14ac:dyDescent="0.75">
      <c r="H310" s="3"/>
      <c r="I310" s="35">
        <v>43339</v>
      </c>
      <c r="J310" s="45">
        <v>4.9217919999999999</v>
      </c>
      <c r="K310" s="35">
        <v>43339</v>
      </c>
      <c r="L310" s="41">
        <v>291.793294</v>
      </c>
      <c r="M310" s="35">
        <v>43339</v>
      </c>
      <c r="N310" s="42">
        <v>25.379049999999999</v>
      </c>
      <c r="O310" s="35">
        <v>43339</v>
      </c>
      <c r="P310" s="44">
        <v>46.587324000000002</v>
      </c>
      <c r="Q310" s="35">
        <v>43339</v>
      </c>
      <c r="R310" s="43">
        <v>107.069244</v>
      </c>
      <c r="S310" s="57">
        <v>43339</v>
      </c>
      <c r="T310" s="58">
        <v>1.1633</v>
      </c>
    </row>
    <row r="311" spans="8:20" x14ac:dyDescent="0.75">
      <c r="H311" s="3"/>
      <c r="I311" s="35">
        <v>43336</v>
      </c>
      <c r="J311" s="45">
        <v>4.9216860000000002</v>
      </c>
      <c r="K311" s="35">
        <v>43336</v>
      </c>
      <c r="L311" s="41">
        <v>289.54042800000002</v>
      </c>
      <c r="M311" s="35">
        <v>43336</v>
      </c>
      <c r="N311" s="42">
        <v>25.206509</v>
      </c>
      <c r="O311" s="35">
        <v>43336</v>
      </c>
      <c r="P311" s="44">
        <v>46.465418999999997</v>
      </c>
      <c r="Q311" s="35">
        <v>43336</v>
      </c>
      <c r="R311" s="43">
        <v>106.968639</v>
      </c>
      <c r="S311" s="57">
        <v>43336</v>
      </c>
      <c r="T311" s="58">
        <v>1.1588000000000001</v>
      </c>
    </row>
    <row r="312" spans="8:20" x14ac:dyDescent="0.75">
      <c r="H312" s="3"/>
      <c r="I312" s="35">
        <v>43335</v>
      </c>
      <c r="J312" s="45">
        <v>4.9197689999999996</v>
      </c>
      <c r="K312" s="35">
        <v>43335</v>
      </c>
      <c r="L312" s="41">
        <v>287.75358399999999</v>
      </c>
      <c r="M312" s="35">
        <v>43335</v>
      </c>
      <c r="N312" s="42">
        <v>25.133414999999999</v>
      </c>
      <c r="O312" s="35">
        <v>43335</v>
      </c>
      <c r="P312" s="44">
        <v>45.720647999999997</v>
      </c>
      <c r="Q312" s="35">
        <v>43335</v>
      </c>
      <c r="R312" s="43">
        <v>107.106844</v>
      </c>
      <c r="S312" s="57">
        <v>43335</v>
      </c>
      <c r="T312" s="58">
        <v>1.1578999999999999</v>
      </c>
    </row>
    <row r="313" spans="8:20" x14ac:dyDescent="0.75">
      <c r="H313" s="3"/>
      <c r="I313" s="35">
        <v>43334</v>
      </c>
      <c r="J313" s="45">
        <v>4.9164000000000003</v>
      </c>
      <c r="K313" s="35">
        <v>43334</v>
      </c>
      <c r="L313" s="41">
        <v>288.223296</v>
      </c>
      <c r="M313" s="35">
        <v>43334</v>
      </c>
      <c r="N313" s="42">
        <v>25.206496000000001</v>
      </c>
      <c r="O313" s="35">
        <v>43334</v>
      </c>
      <c r="P313" s="44">
        <v>46.084850000000003</v>
      </c>
      <c r="Q313" s="35">
        <v>43334</v>
      </c>
      <c r="R313" s="43">
        <v>107.159575</v>
      </c>
      <c r="S313" s="57">
        <v>43334</v>
      </c>
      <c r="T313" s="58">
        <v>1.1616</v>
      </c>
    </row>
    <row r="314" spans="8:20" x14ac:dyDescent="0.75">
      <c r="H314" s="3"/>
      <c r="I314" s="35">
        <v>43333</v>
      </c>
      <c r="J314" s="45">
        <v>4.9182030000000001</v>
      </c>
      <c r="K314" s="35">
        <v>43333</v>
      </c>
      <c r="L314" s="41">
        <v>288.329497</v>
      </c>
      <c r="M314" s="35">
        <v>43333</v>
      </c>
      <c r="N314" s="42">
        <v>25.011668</v>
      </c>
      <c r="O314" s="35">
        <v>43333</v>
      </c>
      <c r="P314" s="44">
        <v>45.968356999999997</v>
      </c>
      <c r="Q314" s="35">
        <v>43333</v>
      </c>
      <c r="R314" s="43">
        <v>106.68405799999999</v>
      </c>
      <c r="S314" s="57">
        <v>43333</v>
      </c>
      <c r="T314" s="58">
        <v>1.1501999999999999</v>
      </c>
    </row>
    <row r="315" spans="8:20" x14ac:dyDescent="0.75">
      <c r="H315" s="3"/>
      <c r="I315" s="35">
        <v>43332</v>
      </c>
      <c r="J315" s="45">
        <v>4.9283710000000003</v>
      </c>
      <c r="K315" s="35">
        <v>43332</v>
      </c>
      <c r="L315" s="41">
        <v>287.72549800000002</v>
      </c>
      <c r="M315" s="35">
        <v>43332</v>
      </c>
      <c r="N315" s="42">
        <v>24.828599000000001</v>
      </c>
      <c r="O315" s="35">
        <v>43332</v>
      </c>
      <c r="P315" s="44">
        <v>45.771769999999997</v>
      </c>
      <c r="Q315" s="35">
        <v>43332</v>
      </c>
      <c r="R315" s="43">
        <v>106.507687</v>
      </c>
      <c r="S315" s="57">
        <v>43332</v>
      </c>
      <c r="T315" s="58">
        <v>1.1419999999999999</v>
      </c>
    </row>
    <row r="316" spans="8:20" x14ac:dyDescent="0.75">
      <c r="H316" s="3"/>
      <c r="I316" s="35">
        <v>43329</v>
      </c>
      <c r="J316" s="45">
        <v>4.9301250000000003</v>
      </c>
      <c r="K316" s="35">
        <v>43329</v>
      </c>
      <c r="L316" s="41">
        <v>287.01917400000002</v>
      </c>
      <c r="M316" s="35">
        <v>43329</v>
      </c>
      <c r="N316" s="42">
        <v>24.645465000000002</v>
      </c>
      <c r="O316" s="35">
        <v>43329</v>
      </c>
      <c r="P316" s="44">
        <v>45.405825999999998</v>
      </c>
      <c r="Q316" s="35">
        <v>43329</v>
      </c>
      <c r="R316" s="43">
        <v>106.430474</v>
      </c>
      <c r="S316" s="57">
        <v>43329</v>
      </c>
      <c r="T316" s="58">
        <v>1.1391</v>
      </c>
    </row>
    <row r="317" spans="8:20" x14ac:dyDescent="0.75">
      <c r="H317" s="3"/>
      <c r="I317" s="35">
        <v>43328</v>
      </c>
      <c r="J317" s="45">
        <v>4.9298950000000001</v>
      </c>
      <c r="K317" s="35">
        <v>43328</v>
      </c>
      <c r="L317" s="41">
        <v>286.04632600000002</v>
      </c>
      <c r="M317" s="35">
        <v>43328</v>
      </c>
      <c r="N317" s="42">
        <v>24.603121999999999</v>
      </c>
      <c r="O317" s="35">
        <v>43328</v>
      </c>
      <c r="P317" s="44">
        <v>45.313136</v>
      </c>
      <c r="Q317" s="35">
        <v>43328</v>
      </c>
      <c r="R317" s="43">
        <v>106.348744</v>
      </c>
      <c r="S317" s="57">
        <v>43328</v>
      </c>
      <c r="T317" s="58">
        <v>1.137</v>
      </c>
    </row>
    <row r="318" spans="8:20" x14ac:dyDescent="0.75">
      <c r="H318" s="3"/>
      <c r="I318" s="35">
        <v>43327</v>
      </c>
      <c r="J318" s="45">
        <v>4.9309209999999997</v>
      </c>
      <c r="K318" s="35">
        <v>43327</v>
      </c>
      <c r="L318" s="41">
        <v>283.714337</v>
      </c>
      <c r="M318" s="35">
        <v>43327</v>
      </c>
      <c r="N318" s="42">
        <v>24.314176</v>
      </c>
      <c r="O318" s="35">
        <v>43327</v>
      </c>
      <c r="P318" s="44">
        <v>45.350047000000004</v>
      </c>
      <c r="Q318" s="35">
        <v>43327</v>
      </c>
      <c r="R318" s="43">
        <v>106.08996999999999</v>
      </c>
      <c r="S318" s="57">
        <v>43327</v>
      </c>
      <c r="T318" s="58">
        <v>1.1321000000000001</v>
      </c>
    </row>
    <row r="319" spans="8:20" x14ac:dyDescent="0.75">
      <c r="H319" s="3"/>
      <c r="I319" s="35">
        <v>43326</v>
      </c>
      <c r="J319" s="45">
        <v>4.9334709999999999</v>
      </c>
      <c r="K319" s="35">
        <v>43326</v>
      </c>
      <c r="L319" s="41">
        <v>285.83426300000002</v>
      </c>
      <c r="M319" s="35">
        <v>43326</v>
      </c>
      <c r="N319" s="42">
        <v>24.668700999999999</v>
      </c>
      <c r="O319" s="35">
        <v>43326</v>
      </c>
      <c r="P319" s="44">
        <v>45.987476999999998</v>
      </c>
      <c r="Q319" s="35">
        <v>43326</v>
      </c>
      <c r="R319" s="43">
        <v>106.162716</v>
      </c>
      <c r="S319" s="57">
        <v>43326</v>
      </c>
      <c r="T319" s="58">
        <v>1.1406000000000001</v>
      </c>
    </row>
    <row r="320" spans="8:20" x14ac:dyDescent="0.75">
      <c r="H320" s="3"/>
      <c r="I320" s="35">
        <v>43325</v>
      </c>
      <c r="J320" s="45">
        <v>4.9256820000000001</v>
      </c>
      <c r="K320" s="35">
        <v>43325</v>
      </c>
      <c r="L320" s="41">
        <v>283.995767</v>
      </c>
      <c r="M320" s="35">
        <v>43325</v>
      </c>
      <c r="N320" s="42">
        <v>24.721496999999999</v>
      </c>
      <c r="O320" s="35">
        <v>43325</v>
      </c>
      <c r="P320" s="44">
        <v>45.924339000000003</v>
      </c>
      <c r="Q320" s="35">
        <v>43325</v>
      </c>
      <c r="R320" s="43">
        <v>105.388448</v>
      </c>
      <c r="S320" s="57">
        <v>43325</v>
      </c>
      <c r="T320" s="58">
        <v>1.1403000000000001</v>
      </c>
    </row>
    <row r="321" spans="8:20" x14ac:dyDescent="0.75">
      <c r="H321" s="3"/>
      <c r="I321" s="35">
        <v>43322</v>
      </c>
      <c r="J321" s="45">
        <v>4.9249219999999996</v>
      </c>
      <c r="K321" s="35">
        <v>43322</v>
      </c>
      <c r="L321" s="41">
        <v>285.13425000000001</v>
      </c>
      <c r="M321" s="35">
        <v>43322</v>
      </c>
      <c r="N321" s="42">
        <v>24.750264999999999</v>
      </c>
      <c r="O321" s="35">
        <v>43322</v>
      </c>
      <c r="P321" s="44">
        <v>46.657328999999997</v>
      </c>
      <c r="Q321" s="35">
        <v>43322</v>
      </c>
      <c r="R321" s="43">
        <v>106.436255</v>
      </c>
      <c r="S321" s="57">
        <v>43322</v>
      </c>
      <c r="T321" s="58">
        <v>1.1456</v>
      </c>
    </row>
    <row r="322" spans="8:20" x14ac:dyDescent="0.75">
      <c r="H322" s="3"/>
      <c r="I322" s="35">
        <v>43321</v>
      </c>
      <c r="J322" s="45">
        <v>4.9273990000000003</v>
      </c>
      <c r="K322" s="35">
        <v>43321</v>
      </c>
      <c r="L322" s="41">
        <v>287.089697</v>
      </c>
      <c r="M322" s="35">
        <v>43321</v>
      </c>
      <c r="N322" s="42">
        <v>25.195428</v>
      </c>
      <c r="O322" s="35">
        <v>43321</v>
      </c>
      <c r="P322" s="44">
        <v>46.690503</v>
      </c>
      <c r="Q322" s="35">
        <v>43321</v>
      </c>
      <c r="R322" s="43">
        <v>107.32338</v>
      </c>
      <c r="S322" s="57">
        <v>43321</v>
      </c>
      <c r="T322" s="58">
        <v>1.1593</v>
      </c>
    </row>
    <row r="323" spans="8:20" x14ac:dyDescent="0.75">
      <c r="H323" s="3"/>
      <c r="I323" s="35">
        <v>43320</v>
      </c>
      <c r="J323" s="45">
        <v>4.9212069999999999</v>
      </c>
      <c r="K323" s="35">
        <v>43320</v>
      </c>
      <c r="L323" s="41">
        <v>287.429754</v>
      </c>
      <c r="M323" s="35">
        <v>43320</v>
      </c>
      <c r="N323" s="42">
        <v>25.173901999999998</v>
      </c>
      <c r="O323" s="35">
        <v>43320</v>
      </c>
      <c r="P323" s="44">
        <v>46.730369000000003</v>
      </c>
      <c r="Q323" s="35">
        <v>43320</v>
      </c>
      <c r="R323" s="43">
        <v>107.59447299999999</v>
      </c>
      <c r="S323" s="57">
        <v>43320</v>
      </c>
      <c r="T323" s="58">
        <v>1.1589</v>
      </c>
    </row>
    <row r="324" spans="8:20" x14ac:dyDescent="0.75">
      <c r="H324" s="3"/>
      <c r="I324" s="35">
        <v>43319</v>
      </c>
      <c r="J324" s="45">
        <v>4.9233079999999996</v>
      </c>
      <c r="K324" s="35">
        <v>43319</v>
      </c>
      <c r="L324" s="41">
        <v>287.49799200000001</v>
      </c>
      <c r="M324" s="35">
        <v>43319</v>
      </c>
      <c r="N324" s="42">
        <v>25.251819000000001</v>
      </c>
      <c r="O324" s="35">
        <v>43319</v>
      </c>
      <c r="P324" s="44">
        <v>46.621414000000001</v>
      </c>
      <c r="Q324" s="35">
        <v>43319</v>
      </c>
      <c r="R324" s="43">
        <v>107.836094</v>
      </c>
      <c r="S324" s="57">
        <v>43319</v>
      </c>
      <c r="T324" s="58">
        <v>1.1601999999999999</v>
      </c>
    </row>
    <row r="325" spans="8:20" x14ac:dyDescent="0.75">
      <c r="H325" s="3"/>
      <c r="I325" s="35">
        <v>43318</v>
      </c>
      <c r="J325" s="45">
        <v>4.9285740000000002</v>
      </c>
      <c r="K325" s="35">
        <v>43318</v>
      </c>
      <c r="L325" s="41">
        <v>286.684888</v>
      </c>
      <c r="M325" s="35">
        <v>43318</v>
      </c>
      <c r="N325" s="42">
        <v>25.166975999999998</v>
      </c>
      <c r="O325" s="35">
        <v>43318</v>
      </c>
      <c r="P325" s="44">
        <v>46.583086000000002</v>
      </c>
      <c r="Q325" s="35">
        <v>43318</v>
      </c>
      <c r="R325" s="43">
        <v>107.992285</v>
      </c>
      <c r="S325" s="57">
        <v>43318</v>
      </c>
      <c r="T325" s="58">
        <v>1.1543000000000001</v>
      </c>
    </row>
    <row r="326" spans="8:20" x14ac:dyDescent="0.75">
      <c r="H326" s="3"/>
      <c r="I326" s="35">
        <v>43315</v>
      </c>
      <c r="J326" s="45">
        <v>4.9172539999999998</v>
      </c>
      <c r="K326" s="35">
        <v>43315</v>
      </c>
      <c r="L326" s="41">
        <v>285.64805799999999</v>
      </c>
      <c r="M326" s="35">
        <v>43315</v>
      </c>
      <c r="N326" s="42">
        <v>25.267388</v>
      </c>
      <c r="O326" s="35">
        <v>43315</v>
      </c>
      <c r="P326" s="44">
        <v>46.796743999999997</v>
      </c>
      <c r="Q326" s="35">
        <v>43315</v>
      </c>
      <c r="R326" s="43">
        <v>108.077748</v>
      </c>
      <c r="S326" s="57">
        <v>43315</v>
      </c>
      <c r="T326" s="58">
        <v>1.1588000000000001</v>
      </c>
    </row>
    <row r="327" spans="8:20" x14ac:dyDescent="0.75">
      <c r="H327" s="3"/>
      <c r="I327" s="35">
        <v>43314</v>
      </c>
      <c r="J327" s="45">
        <v>4.9124100000000004</v>
      </c>
      <c r="K327" s="35">
        <v>43314</v>
      </c>
      <c r="L327" s="41">
        <v>284.289962</v>
      </c>
      <c r="M327" s="35">
        <v>43314</v>
      </c>
      <c r="N327" s="42">
        <v>25.177879000000001</v>
      </c>
      <c r="O327" s="35">
        <v>43314</v>
      </c>
      <c r="P327" s="44">
        <v>46.655721</v>
      </c>
      <c r="Q327" s="35">
        <v>43314</v>
      </c>
      <c r="R327" s="43">
        <v>107.818147</v>
      </c>
      <c r="S327" s="57">
        <v>43314</v>
      </c>
      <c r="T327" s="58">
        <v>1.1617</v>
      </c>
    </row>
    <row r="328" spans="8:20" x14ac:dyDescent="0.75">
      <c r="H328" s="3"/>
      <c r="I328" s="35">
        <v>43313</v>
      </c>
      <c r="J328" s="45">
        <v>4.9120600000000003</v>
      </c>
      <c r="K328" s="35">
        <v>43313</v>
      </c>
      <c r="L328" s="41">
        <v>282.86718300000001</v>
      </c>
      <c r="M328" s="35">
        <v>43313</v>
      </c>
      <c r="N328" s="42">
        <v>25.356397999999999</v>
      </c>
      <c r="O328" s="35">
        <v>43313</v>
      </c>
      <c r="P328" s="44">
        <v>46.938948000000003</v>
      </c>
      <c r="Q328" s="35">
        <v>43313</v>
      </c>
      <c r="R328" s="43">
        <v>108.04289</v>
      </c>
      <c r="S328" s="57">
        <v>43313</v>
      </c>
      <c r="T328" s="58">
        <v>1.1696</v>
      </c>
    </row>
    <row r="329" spans="8:20" x14ac:dyDescent="0.75">
      <c r="H329" s="3"/>
      <c r="I329" s="35">
        <v>43312</v>
      </c>
      <c r="J329" s="45">
        <v>4.9179750000000002</v>
      </c>
      <c r="K329" s="35">
        <v>43312</v>
      </c>
      <c r="L329" s="41">
        <v>283.16248400000001</v>
      </c>
      <c r="M329" s="35">
        <v>43312</v>
      </c>
      <c r="N329" s="42">
        <v>25.439259</v>
      </c>
      <c r="O329" s="35">
        <v>43312</v>
      </c>
      <c r="P329" s="44">
        <v>47.178578000000002</v>
      </c>
      <c r="Q329" s="35">
        <v>43312</v>
      </c>
      <c r="R329" s="43">
        <v>108.94668799999999</v>
      </c>
      <c r="S329" s="57">
        <v>43312</v>
      </c>
      <c r="T329" s="58">
        <v>1.1736</v>
      </c>
    </row>
    <row r="330" spans="8:20" x14ac:dyDescent="0.75">
      <c r="H330" s="3"/>
      <c r="I330" s="35">
        <v>43311</v>
      </c>
      <c r="J330" s="45">
        <v>4.9131049999999998</v>
      </c>
      <c r="K330" s="35">
        <v>43311</v>
      </c>
      <c r="L330" s="41">
        <v>281.77613500000001</v>
      </c>
      <c r="M330" s="35">
        <v>43311</v>
      </c>
      <c r="N330" s="42">
        <v>25.469570000000001</v>
      </c>
      <c r="O330" s="35">
        <v>43311</v>
      </c>
      <c r="P330" s="44">
        <v>47.097954999999999</v>
      </c>
      <c r="Q330" s="35">
        <v>43311</v>
      </c>
      <c r="R330" s="43">
        <v>108.97094</v>
      </c>
      <c r="S330" s="57">
        <v>43311</v>
      </c>
      <c r="T330" s="58">
        <v>1.1684000000000001</v>
      </c>
    </row>
    <row r="331" spans="8:20" x14ac:dyDescent="0.75">
      <c r="H331" s="3"/>
      <c r="I331" s="35">
        <v>43308</v>
      </c>
      <c r="J331" s="45">
        <v>4.9061310000000002</v>
      </c>
      <c r="K331" s="35">
        <v>43308</v>
      </c>
      <c r="L331" s="41">
        <v>283.384569</v>
      </c>
      <c r="M331" s="35">
        <v>43308</v>
      </c>
      <c r="N331" s="42">
        <v>25.416523999999999</v>
      </c>
      <c r="O331" s="35">
        <v>43308</v>
      </c>
      <c r="P331" s="44">
        <v>47.144011999999996</v>
      </c>
      <c r="Q331" s="35">
        <v>43308</v>
      </c>
      <c r="R331" s="43">
        <v>109.14546199999999</v>
      </c>
      <c r="S331" s="57">
        <v>43308</v>
      </c>
      <c r="T331" s="58">
        <v>1.1625000000000001</v>
      </c>
    </row>
    <row r="332" spans="8:20" x14ac:dyDescent="0.75">
      <c r="H332" s="3"/>
      <c r="I332" s="35">
        <v>43307</v>
      </c>
      <c r="J332" s="45">
        <v>4.9045870000000003</v>
      </c>
      <c r="K332" s="35">
        <v>43307</v>
      </c>
      <c r="L332" s="41">
        <v>285.25810200000001</v>
      </c>
      <c r="M332" s="35">
        <v>43307</v>
      </c>
      <c r="N332" s="42">
        <v>25.328334000000002</v>
      </c>
      <c r="O332" s="35">
        <v>43307</v>
      </c>
      <c r="P332" s="44">
        <v>47.218418</v>
      </c>
      <c r="Q332" s="35">
        <v>43307</v>
      </c>
      <c r="R332" s="43">
        <v>109.05937</v>
      </c>
      <c r="S332" s="57">
        <v>43307</v>
      </c>
      <c r="T332" s="58">
        <v>1.1716</v>
      </c>
    </row>
    <row r="333" spans="8:20" x14ac:dyDescent="0.75">
      <c r="H333" s="3"/>
      <c r="I333" s="35">
        <v>43306</v>
      </c>
      <c r="J333" s="45">
        <v>4.9172659999999997</v>
      </c>
      <c r="K333" s="35">
        <v>43306</v>
      </c>
      <c r="L333" s="41">
        <v>286.12433499999997</v>
      </c>
      <c r="M333" s="35">
        <v>43306</v>
      </c>
      <c r="N333" s="42">
        <v>25.177085000000002</v>
      </c>
      <c r="O333" s="35">
        <v>43306</v>
      </c>
      <c r="P333" s="44">
        <v>47.480190999999998</v>
      </c>
      <c r="Q333" s="35">
        <v>43306</v>
      </c>
      <c r="R333" s="43">
        <v>108.584422</v>
      </c>
      <c r="S333" s="57">
        <v>43306</v>
      </c>
      <c r="T333" s="58">
        <v>1.169</v>
      </c>
    </row>
    <row r="334" spans="8:20" x14ac:dyDescent="0.75">
      <c r="H334" s="3"/>
      <c r="I334" s="35">
        <v>43305</v>
      </c>
      <c r="J334" s="45">
        <v>4.9099820000000003</v>
      </c>
      <c r="K334" s="35">
        <v>43305</v>
      </c>
      <c r="L334" s="41">
        <v>283.54297100000002</v>
      </c>
      <c r="M334" s="35">
        <v>43305</v>
      </c>
      <c r="N334" s="42">
        <v>25.236974</v>
      </c>
      <c r="O334" s="35">
        <v>43305</v>
      </c>
      <c r="P334" s="44">
        <v>47.227600000000002</v>
      </c>
      <c r="Q334" s="35">
        <v>43305</v>
      </c>
      <c r="R334" s="43">
        <v>108.229243</v>
      </c>
      <c r="S334" s="57">
        <v>43305</v>
      </c>
      <c r="T334" s="58">
        <v>1.1706000000000001</v>
      </c>
    </row>
    <row r="335" spans="8:20" x14ac:dyDescent="0.75">
      <c r="H335" s="3"/>
      <c r="I335" s="35">
        <v>43304</v>
      </c>
      <c r="J335" s="45">
        <v>4.917573</v>
      </c>
      <c r="K335" s="35">
        <v>43304</v>
      </c>
      <c r="L335" s="41">
        <v>282.18048099999999</v>
      </c>
      <c r="M335" s="35">
        <v>43304</v>
      </c>
      <c r="N335" s="42">
        <v>25.205127999999998</v>
      </c>
      <c r="O335" s="35">
        <v>43304</v>
      </c>
      <c r="P335" s="44">
        <v>47.229115</v>
      </c>
      <c r="Q335" s="35">
        <v>43304</v>
      </c>
      <c r="R335" s="43">
        <v>108.221586</v>
      </c>
      <c r="S335" s="57">
        <v>43304</v>
      </c>
      <c r="T335" s="58">
        <v>1.1716</v>
      </c>
    </row>
    <row r="336" spans="8:20" x14ac:dyDescent="0.75">
      <c r="H336" s="3"/>
      <c r="I336" s="35">
        <v>43301</v>
      </c>
      <c r="J336" s="45">
        <v>4.9175639999999996</v>
      </c>
      <c r="K336" s="35">
        <v>43301</v>
      </c>
      <c r="L336" s="41">
        <v>281.66254199999997</v>
      </c>
      <c r="M336" s="35">
        <v>43301</v>
      </c>
      <c r="N336" s="42">
        <v>25.251781000000001</v>
      </c>
      <c r="O336" s="35">
        <v>43301</v>
      </c>
      <c r="P336" s="44">
        <v>47.440877999999998</v>
      </c>
      <c r="Q336" s="35">
        <v>43301</v>
      </c>
      <c r="R336" s="43">
        <v>108.398267</v>
      </c>
      <c r="S336" s="57">
        <v>43301</v>
      </c>
      <c r="T336" s="58">
        <v>1.167</v>
      </c>
    </row>
    <row r="337" spans="8:20" x14ac:dyDescent="0.75">
      <c r="H337" s="3"/>
      <c r="I337" s="35">
        <v>43300</v>
      </c>
      <c r="J337" s="45">
        <v>4.922974</v>
      </c>
      <c r="K337" s="35">
        <v>43300</v>
      </c>
      <c r="L337" s="41">
        <v>281.91893399999998</v>
      </c>
      <c r="M337" s="35">
        <v>43300</v>
      </c>
      <c r="N337" s="42">
        <v>25.005223000000001</v>
      </c>
      <c r="O337" s="35">
        <v>43300</v>
      </c>
      <c r="P337" s="44">
        <v>47.155631</v>
      </c>
      <c r="Q337" s="35">
        <v>43300</v>
      </c>
      <c r="R337" s="43">
        <v>108.361659</v>
      </c>
      <c r="S337" s="57">
        <v>43300</v>
      </c>
      <c r="T337" s="58">
        <v>1.1588000000000001</v>
      </c>
    </row>
    <row r="338" spans="8:20" x14ac:dyDescent="0.75">
      <c r="H338" s="3"/>
      <c r="I338" s="35">
        <v>43299</v>
      </c>
      <c r="J338" s="45">
        <v>4.9191039999999999</v>
      </c>
      <c r="K338" s="35">
        <v>43299</v>
      </c>
      <c r="L338" s="41">
        <v>283.00815</v>
      </c>
      <c r="M338" s="35">
        <v>43299</v>
      </c>
      <c r="N338" s="42">
        <v>25.122474</v>
      </c>
      <c r="O338" s="35">
        <v>43299</v>
      </c>
      <c r="P338" s="44">
        <v>47.305337000000002</v>
      </c>
      <c r="Q338" s="35">
        <v>43299</v>
      </c>
      <c r="R338" s="43">
        <v>108.44726300000001</v>
      </c>
      <c r="S338" s="57">
        <v>43299</v>
      </c>
      <c r="T338" s="58">
        <v>1.1611</v>
      </c>
    </row>
    <row r="339" spans="8:20" x14ac:dyDescent="0.75">
      <c r="H339" s="3"/>
      <c r="I339" s="35">
        <v>43298</v>
      </c>
      <c r="J339" s="45">
        <v>4.9173169999999997</v>
      </c>
      <c r="K339" s="35">
        <v>43298</v>
      </c>
      <c r="L339" s="41">
        <v>282.39889799999997</v>
      </c>
      <c r="M339" s="35">
        <v>43298</v>
      </c>
      <c r="N339" s="42">
        <v>25.181529000000001</v>
      </c>
      <c r="O339" s="35">
        <v>43298</v>
      </c>
      <c r="P339" s="44">
        <v>47.289250000000003</v>
      </c>
      <c r="Q339" s="35">
        <v>43298</v>
      </c>
      <c r="R339" s="43">
        <v>108.333641</v>
      </c>
      <c r="S339" s="57">
        <v>43298</v>
      </c>
      <c r="T339" s="58">
        <v>1.1707000000000001</v>
      </c>
    </row>
    <row r="340" spans="8:20" x14ac:dyDescent="0.75">
      <c r="H340" s="3"/>
      <c r="I340" s="35">
        <v>43297</v>
      </c>
      <c r="J340" s="45">
        <v>4.9317880000000001</v>
      </c>
      <c r="K340" s="35">
        <v>43297</v>
      </c>
      <c r="L340" s="41">
        <v>281.27627699999999</v>
      </c>
      <c r="M340" s="35">
        <v>43297</v>
      </c>
      <c r="N340" s="42">
        <v>25.175946</v>
      </c>
      <c r="O340" s="35">
        <v>43297</v>
      </c>
      <c r="P340" s="44">
        <v>47.780853</v>
      </c>
      <c r="Q340" s="35">
        <v>43297</v>
      </c>
      <c r="R340" s="43">
        <v>108.51821099999999</v>
      </c>
      <c r="S340" s="57">
        <v>43297</v>
      </c>
      <c r="T340" s="58">
        <v>1.1719999999999999</v>
      </c>
    </row>
    <row r="341" spans="8:20" x14ac:dyDescent="0.75">
      <c r="H341" s="3"/>
      <c r="I341" s="35">
        <v>43294</v>
      </c>
      <c r="J341" s="45">
        <v>4.9418179999999996</v>
      </c>
      <c r="K341" s="35">
        <v>43294</v>
      </c>
      <c r="L341" s="41">
        <v>281.55396500000001</v>
      </c>
      <c r="M341" s="35">
        <v>43294</v>
      </c>
      <c r="N341" s="42">
        <v>25.185480999999999</v>
      </c>
      <c r="O341" s="35">
        <v>43294</v>
      </c>
      <c r="P341" s="44">
        <v>47.806717999999996</v>
      </c>
      <c r="Q341" s="35">
        <v>43294</v>
      </c>
      <c r="R341" s="43">
        <v>108.676154</v>
      </c>
      <c r="S341" s="57">
        <v>43294</v>
      </c>
      <c r="T341" s="58">
        <v>1.1642999999999999</v>
      </c>
    </row>
    <row r="342" spans="8:20" x14ac:dyDescent="0.75">
      <c r="H342" s="3"/>
      <c r="I342" s="35">
        <v>43293</v>
      </c>
      <c r="J342" s="45">
        <v>4.9370620000000001</v>
      </c>
      <c r="K342" s="35">
        <v>43293</v>
      </c>
      <c r="L342" s="41">
        <v>281.24914799999999</v>
      </c>
      <c r="M342" s="35">
        <v>43293</v>
      </c>
      <c r="N342" s="42">
        <v>25.275898000000002</v>
      </c>
      <c r="O342" s="35">
        <v>43293</v>
      </c>
      <c r="P342" s="44">
        <v>48.009193000000003</v>
      </c>
      <c r="Q342" s="35">
        <v>43293</v>
      </c>
      <c r="R342" s="43">
        <v>108.17213</v>
      </c>
      <c r="S342" s="57">
        <v>43293</v>
      </c>
      <c r="T342" s="58">
        <v>1.1657999999999999</v>
      </c>
    </row>
    <row r="343" spans="8:20" x14ac:dyDescent="0.75">
      <c r="H343" s="3"/>
      <c r="I343" s="35">
        <v>43292</v>
      </c>
      <c r="J343" s="45">
        <v>4.9378979999999997</v>
      </c>
      <c r="K343" s="35">
        <v>43292</v>
      </c>
      <c r="L343" s="41">
        <v>278.78230400000001</v>
      </c>
      <c r="M343" s="35">
        <v>43292</v>
      </c>
      <c r="N343" s="42">
        <v>25.131453</v>
      </c>
      <c r="O343" s="35">
        <v>43292</v>
      </c>
      <c r="P343" s="44">
        <v>47.895397000000003</v>
      </c>
      <c r="Q343" s="35">
        <v>43292</v>
      </c>
      <c r="R343" s="43">
        <v>108.041338</v>
      </c>
      <c r="S343" s="57">
        <v>43292</v>
      </c>
      <c r="T343" s="58">
        <v>1.1735</v>
      </c>
    </row>
    <row r="344" spans="8:20" x14ac:dyDescent="0.75">
      <c r="H344" s="3"/>
      <c r="I344" s="35">
        <v>43291</v>
      </c>
      <c r="J344" s="45">
        <v>4.9348349999999996</v>
      </c>
      <c r="K344" s="35">
        <v>43291</v>
      </c>
      <c r="L344" s="41">
        <v>280.77505200000002</v>
      </c>
      <c r="M344" s="35">
        <v>43291</v>
      </c>
      <c r="N344" s="42">
        <v>25.311343000000001</v>
      </c>
      <c r="O344" s="35">
        <v>43291</v>
      </c>
      <c r="P344" s="44">
        <v>48.34704</v>
      </c>
      <c r="Q344" s="35">
        <v>43291</v>
      </c>
      <c r="R344" s="43">
        <v>108.233861</v>
      </c>
      <c r="S344" s="57">
        <v>43291</v>
      </c>
      <c r="T344" s="58">
        <v>1.1713</v>
      </c>
    </row>
    <row r="345" spans="8:20" x14ac:dyDescent="0.75">
      <c r="H345" s="3"/>
      <c r="I345" s="35">
        <v>43290</v>
      </c>
      <c r="J345" s="45">
        <v>4.9408310000000002</v>
      </c>
      <c r="K345" s="35">
        <v>43290</v>
      </c>
      <c r="L345" s="41">
        <v>279.79791499999999</v>
      </c>
      <c r="M345" s="35">
        <v>43290</v>
      </c>
      <c r="N345" s="42">
        <v>25.270835999999999</v>
      </c>
      <c r="O345" s="35">
        <v>43290</v>
      </c>
      <c r="P345" s="44">
        <v>48.48648</v>
      </c>
      <c r="Q345" s="35">
        <v>43290</v>
      </c>
      <c r="R345" s="43">
        <v>108.22748</v>
      </c>
      <c r="S345" s="57">
        <v>43290</v>
      </c>
      <c r="T345" s="58">
        <v>1.1789000000000001</v>
      </c>
    </row>
    <row r="346" spans="8:20" x14ac:dyDescent="0.75">
      <c r="H346" s="3"/>
      <c r="I346" s="35">
        <v>43287</v>
      </c>
      <c r="J346" s="45">
        <v>4.9353730000000002</v>
      </c>
      <c r="K346" s="35">
        <v>43287</v>
      </c>
      <c r="L346" s="41">
        <v>277.27198700000002</v>
      </c>
      <c r="M346" s="35">
        <v>43287</v>
      </c>
      <c r="N346" s="42">
        <v>25.185593000000001</v>
      </c>
      <c r="O346" s="35">
        <v>43287</v>
      </c>
      <c r="P346" s="44">
        <v>48.341757999999999</v>
      </c>
      <c r="Q346" s="35">
        <v>43287</v>
      </c>
      <c r="R346" s="43">
        <v>107.613034</v>
      </c>
      <c r="S346" s="57">
        <v>43287</v>
      </c>
      <c r="T346" s="58">
        <v>1.1724000000000001</v>
      </c>
    </row>
    <row r="347" spans="8:20" x14ac:dyDescent="0.75">
      <c r="H347" s="3"/>
      <c r="I347" s="35">
        <v>43286</v>
      </c>
      <c r="J347" s="45">
        <v>4.9340159999999997</v>
      </c>
      <c r="K347" s="35">
        <v>43286</v>
      </c>
      <c r="L347" s="41">
        <v>274.9205</v>
      </c>
      <c r="M347" s="35">
        <v>43286</v>
      </c>
      <c r="N347" s="42">
        <v>24.969359000000001</v>
      </c>
      <c r="O347" s="35">
        <v>43286</v>
      </c>
      <c r="P347" s="44">
        <v>48.445638000000002</v>
      </c>
      <c r="Q347" s="35">
        <v>43286</v>
      </c>
      <c r="R347" s="43">
        <v>107.002905</v>
      </c>
      <c r="S347" s="57">
        <v>43286</v>
      </c>
      <c r="T347" s="58">
        <v>1.1709000000000001</v>
      </c>
    </row>
    <row r="348" spans="8:20" x14ac:dyDescent="0.75">
      <c r="H348" s="3"/>
      <c r="I348" s="35">
        <v>43284</v>
      </c>
      <c r="J348" s="45">
        <v>4.9309229999999999</v>
      </c>
      <c r="K348" s="35">
        <v>43284</v>
      </c>
      <c r="L348" s="41">
        <v>272.50503300000003</v>
      </c>
      <c r="M348" s="35">
        <v>43284</v>
      </c>
      <c r="N348" s="42">
        <v>24.769072000000001</v>
      </c>
      <c r="O348" s="35">
        <v>43284</v>
      </c>
      <c r="P348" s="44">
        <v>48.249488999999997</v>
      </c>
      <c r="Q348" s="35">
        <v>43284</v>
      </c>
      <c r="R348" s="43">
        <v>106.435225</v>
      </c>
      <c r="S348" s="57">
        <v>43284</v>
      </c>
      <c r="T348" s="58">
        <v>1.1665000000000001</v>
      </c>
    </row>
    <row r="349" spans="8:20" x14ac:dyDescent="0.75">
      <c r="H349" s="3"/>
      <c r="I349" s="35">
        <v>43283</v>
      </c>
      <c r="J349" s="45">
        <v>4.9327959999999997</v>
      </c>
      <c r="K349" s="35">
        <v>43283</v>
      </c>
      <c r="L349" s="41">
        <v>273.860297</v>
      </c>
      <c r="M349" s="35">
        <v>43283</v>
      </c>
      <c r="N349" s="42">
        <v>24.459733</v>
      </c>
      <c r="O349" s="35">
        <v>43283</v>
      </c>
      <c r="P349" s="44">
        <v>47.802798000000003</v>
      </c>
      <c r="Q349" s="35">
        <v>43283</v>
      </c>
      <c r="R349" s="43">
        <v>105.924903</v>
      </c>
      <c r="S349" s="57">
        <v>43283</v>
      </c>
      <c r="T349" s="58">
        <v>1.1638999999999999</v>
      </c>
    </row>
    <row r="350" spans="8:20" x14ac:dyDescent="0.75">
      <c r="H350" s="3"/>
      <c r="I350" s="35">
        <v>43280</v>
      </c>
      <c r="J350" s="45">
        <v>4.93513</v>
      </c>
      <c r="K350" s="35">
        <v>43280</v>
      </c>
      <c r="L350" s="41">
        <v>273.011034</v>
      </c>
      <c r="M350" s="35">
        <v>43280</v>
      </c>
      <c r="N350" s="42">
        <v>24.737290000000002</v>
      </c>
      <c r="O350" s="35">
        <v>43280</v>
      </c>
      <c r="P350" s="44">
        <v>48.284004000000003</v>
      </c>
      <c r="Q350" s="35">
        <v>43280</v>
      </c>
      <c r="R350" s="43">
        <v>106.470327</v>
      </c>
      <c r="S350" s="57">
        <v>43280</v>
      </c>
      <c r="T350" s="58">
        <v>1.1657999999999999</v>
      </c>
    </row>
    <row r="351" spans="8:20" x14ac:dyDescent="0.75">
      <c r="H351" s="3"/>
      <c r="I351" s="35">
        <v>43279</v>
      </c>
      <c r="J351" s="45">
        <v>4.9324709999999996</v>
      </c>
      <c r="K351" s="35">
        <v>43279</v>
      </c>
      <c r="L351" s="41">
        <v>272.786652</v>
      </c>
      <c r="M351" s="35">
        <v>43279</v>
      </c>
      <c r="N351" s="42">
        <v>24.390958000000001</v>
      </c>
      <c r="O351" s="35">
        <v>43279</v>
      </c>
      <c r="P351" s="44">
        <v>48.132381000000002</v>
      </c>
      <c r="Q351" s="35">
        <v>43279</v>
      </c>
      <c r="R351" s="43">
        <v>106.40940000000001</v>
      </c>
      <c r="S351" s="57">
        <v>43279</v>
      </c>
      <c r="T351" s="58">
        <v>1.1583000000000001</v>
      </c>
    </row>
    <row r="352" spans="8:20" x14ac:dyDescent="0.75">
      <c r="H352" s="3"/>
      <c r="I352" s="35">
        <v>43278</v>
      </c>
      <c r="J352" s="45">
        <v>4.9308339999999999</v>
      </c>
      <c r="K352" s="35">
        <v>43278</v>
      </c>
      <c r="L352" s="41">
        <v>271.075875</v>
      </c>
      <c r="M352" s="35">
        <v>43278</v>
      </c>
      <c r="N352" s="42">
        <v>24.546441999999999</v>
      </c>
      <c r="O352" s="35">
        <v>43278</v>
      </c>
      <c r="P352" s="44">
        <v>48.306497999999998</v>
      </c>
      <c r="Q352" s="35">
        <v>43278</v>
      </c>
      <c r="R352" s="43">
        <v>106.49256800000001</v>
      </c>
      <c r="S352" s="57">
        <v>43278</v>
      </c>
      <c r="T352" s="58">
        <v>1.1616</v>
      </c>
    </row>
    <row r="353" spans="8:20" x14ac:dyDescent="0.75">
      <c r="H353" s="3"/>
      <c r="I353" s="35">
        <v>43277</v>
      </c>
      <c r="J353" s="45">
        <v>4.9313840000000004</v>
      </c>
      <c r="K353" s="35">
        <v>43277</v>
      </c>
      <c r="L353" s="41">
        <v>273.42927100000003</v>
      </c>
      <c r="M353" s="35">
        <v>43277</v>
      </c>
      <c r="N353" s="42">
        <v>24.530573</v>
      </c>
      <c r="O353" s="35">
        <v>43277</v>
      </c>
      <c r="P353" s="44">
        <v>48.482086000000002</v>
      </c>
      <c r="Q353" s="35">
        <v>43277</v>
      </c>
      <c r="R353" s="43">
        <v>106.518905</v>
      </c>
      <c r="S353" s="57">
        <v>43277</v>
      </c>
      <c r="T353" s="58">
        <v>1.1672</v>
      </c>
    </row>
    <row r="354" spans="8:20" x14ac:dyDescent="0.75">
      <c r="H354" s="3"/>
      <c r="I354" s="35">
        <v>43276</v>
      </c>
      <c r="J354" s="45">
        <v>4.9271409999999998</v>
      </c>
      <c r="K354" s="35">
        <v>43276</v>
      </c>
      <c r="L354" s="41">
        <v>274.10652299999998</v>
      </c>
      <c r="M354" s="35">
        <v>43276</v>
      </c>
      <c r="N354" s="42">
        <v>24.549292999999999</v>
      </c>
      <c r="O354" s="35">
        <v>43276</v>
      </c>
      <c r="P354" s="44">
        <v>48.810451</v>
      </c>
      <c r="Q354" s="35">
        <v>43276</v>
      </c>
      <c r="R354" s="43">
        <v>106.722971</v>
      </c>
      <c r="S354" s="57">
        <v>43276</v>
      </c>
      <c r="T354" s="58">
        <v>1.17</v>
      </c>
    </row>
    <row r="355" spans="8:20" x14ac:dyDescent="0.75">
      <c r="H355" s="3"/>
      <c r="I355" s="35">
        <v>43273</v>
      </c>
      <c r="J355" s="45">
        <v>4.9275460000000004</v>
      </c>
      <c r="K355" s="35">
        <v>43273</v>
      </c>
      <c r="L355" s="41">
        <v>277.91942899999998</v>
      </c>
      <c r="M355" s="35">
        <v>43273</v>
      </c>
      <c r="N355" s="42">
        <v>24.810469000000001</v>
      </c>
      <c r="O355" s="35">
        <v>43273</v>
      </c>
      <c r="P355" s="44">
        <v>48.891978999999999</v>
      </c>
      <c r="Q355" s="35">
        <v>43273</v>
      </c>
      <c r="R355" s="43">
        <v>106.98452899999999</v>
      </c>
      <c r="S355" s="57">
        <v>43273</v>
      </c>
      <c r="T355" s="58">
        <v>1.1648000000000001</v>
      </c>
    </row>
    <row r="356" spans="8:20" x14ac:dyDescent="0.75">
      <c r="H356" s="3"/>
      <c r="I356" s="35">
        <v>43272</v>
      </c>
      <c r="J356" s="45">
        <v>4.9275460000000004</v>
      </c>
      <c r="K356" s="35">
        <v>43272</v>
      </c>
      <c r="L356" s="41">
        <v>277.39489099999997</v>
      </c>
      <c r="M356" s="35">
        <v>43272</v>
      </c>
      <c r="N356" s="42">
        <v>24.524522999999999</v>
      </c>
      <c r="O356" s="35">
        <v>43272</v>
      </c>
      <c r="P356" s="44">
        <v>48.857354000000001</v>
      </c>
      <c r="Q356" s="35">
        <v>43272</v>
      </c>
      <c r="R356" s="43">
        <v>106.383341</v>
      </c>
      <c r="S356" s="57">
        <v>43272</v>
      </c>
      <c r="T356" s="58">
        <v>1.1537999999999999</v>
      </c>
    </row>
    <row r="357" spans="8:20" x14ac:dyDescent="0.75">
      <c r="H357" s="3"/>
      <c r="I357" s="35">
        <v>43271</v>
      </c>
      <c r="J357" s="45">
        <v>4.9245400000000004</v>
      </c>
      <c r="K357" s="35">
        <v>43271</v>
      </c>
      <c r="L357" s="41">
        <v>279.1397</v>
      </c>
      <c r="M357" s="35">
        <v>43271</v>
      </c>
      <c r="N357" s="42">
        <v>24.606857000000002</v>
      </c>
      <c r="O357" s="35">
        <v>43271</v>
      </c>
      <c r="P357" s="44">
        <v>48.999937000000003</v>
      </c>
      <c r="Q357" s="35">
        <v>43271</v>
      </c>
      <c r="R357" s="43">
        <v>106.118295</v>
      </c>
      <c r="S357" s="57">
        <v>43271</v>
      </c>
      <c r="T357" s="58">
        <v>1.1577999999999999</v>
      </c>
    </row>
    <row r="358" spans="8:20" x14ac:dyDescent="0.75">
      <c r="H358" s="3"/>
      <c r="I358" s="35">
        <v>43270</v>
      </c>
      <c r="J358" s="45">
        <v>4.926145</v>
      </c>
      <c r="K358" s="35">
        <v>43270</v>
      </c>
      <c r="L358" s="41">
        <v>278.66256499999997</v>
      </c>
      <c r="M358" s="35">
        <v>43270</v>
      </c>
      <c r="N358" s="42">
        <v>24.500230999999999</v>
      </c>
      <c r="O358" s="35">
        <v>43270</v>
      </c>
      <c r="P358" s="44">
        <v>49.164560000000002</v>
      </c>
      <c r="Q358" s="35">
        <v>43270</v>
      </c>
      <c r="R358" s="43">
        <v>105.44009200000001</v>
      </c>
      <c r="S358" s="57">
        <v>43270</v>
      </c>
      <c r="T358" s="58">
        <v>1.1534</v>
      </c>
    </row>
    <row r="359" spans="8:20" x14ac:dyDescent="0.75">
      <c r="H359" s="3"/>
      <c r="I359" s="35">
        <v>43269</v>
      </c>
      <c r="J359" s="45">
        <v>4.9171399999999998</v>
      </c>
      <c r="K359" s="35">
        <v>43269</v>
      </c>
      <c r="L359" s="41">
        <v>279.77522399999998</v>
      </c>
      <c r="M359" s="35">
        <v>43269</v>
      </c>
      <c r="N359" s="42">
        <v>25.199507000000001</v>
      </c>
      <c r="O359" s="35">
        <v>43269</v>
      </c>
      <c r="P359" s="44">
        <v>49.234721999999998</v>
      </c>
      <c r="Q359" s="35">
        <v>43269</v>
      </c>
      <c r="R359" s="43">
        <v>105.991474</v>
      </c>
      <c r="S359" s="57">
        <v>43269</v>
      </c>
      <c r="T359" s="58">
        <v>1.1613</v>
      </c>
    </row>
    <row r="360" spans="8:20" x14ac:dyDescent="0.75">
      <c r="H360" s="3"/>
      <c r="I360" s="35">
        <v>43266</v>
      </c>
      <c r="J360" s="45">
        <v>4.9190810000000003</v>
      </c>
      <c r="K360" s="35">
        <v>43266</v>
      </c>
      <c r="L360" s="41">
        <v>280.36676799999998</v>
      </c>
      <c r="M360" s="35">
        <v>43266</v>
      </c>
      <c r="N360" s="42">
        <v>25.447921000000001</v>
      </c>
      <c r="O360" s="35">
        <v>43266</v>
      </c>
      <c r="P360" s="44">
        <v>49.211711000000001</v>
      </c>
      <c r="Q360" s="35">
        <v>43266</v>
      </c>
      <c r="R360" s="43">
        <v>106.584418</v>
      </c>
      <c r="S360" s="57">
        <v>43266</v>
      </c>
      <c r="T360" s="58">
        <v>1.1596</v>
      </c>
    </row>
    <row r="361" spans="8:20" x14ac:dyDescent="0.75">
      <c r="H361" s="3"/>
      <c r="I361" s="35">
        <v>43265</v>
      </c>
      <c r="J361" s="45">
        <v>4.9185530000000002</v>
      </c>
      <c r="K361" s="35">
        <v>43265</v>
      </c>
      <c r="L361" s="41">
        <v>280.62423699999999</v>
      </c>
      <c r="M361" s="35">
        <v>43265</v>
      </c>
      <c r="N361" s="42">
        <v>25.619012999999999</v>
      </c>
      <c r="O361" s="35">
        <v>43265</v>
      </c>
      <c r="P361" s="44">
        <v>50.275908000000001</v>
      </c>
      <c r="Q361" s="35">
        <v>43265</v>
      </c>
      <c r="R361" s="43">
        <v>106.75146100000001</v>
      </c>
      <c r="S361" s="57">
        <v>43265</v>
      </c>
      <c r="T361" s="58">
        <v>1.173</v>
      </c>
    </row>
    <row r="362" spans="8:20" x14ac:dyDescent="0.75">
      <c r="H362" s="3"/>
      <c r="I362" s="35">
        <v>43264</v>
      </c>
      <c r="J362" s="45">
        <v>4.9194370000000003</v>
      </c>
      <c r="K362" s="35">
        <v>43264</v>
      </c>
      <c r="L362" s="41">
        <v>279.846655</v>
      </c>
      <c r="M362" s="35">
        <v>43264</v>
      </c>
      <c r="N362" s="42">
        <v>25.637695000000001</v>
      </c>
      <c r="O362" s="35">
        <v>43264</v>
      </c>
      <c r="P362" s="44">
        <v>50.039819999999999</v>
      </c>
      <c r="Q362" s="35">
        <v>43264</v>
      </c>
      <c r="R362" s="43">
        <v>106.55548400000001</v>
      </c>
      <c r="S362" s="57">
        <v>43264</v>
      </c>
      <c r="T362" s="58">
        <v>1.1763999999999999</v>
      </c>
    </row>
    <row r="363" spans="8:20" x14ac:dyDescent="0.75">
      <c r="H363" s="3"/>
      <c r="I363" s="35">
        <v>43263</v>
      </c>
      <c r="J363" s="45">
        <v>4.9193439999999997</v>
      </c>
      <c r="K363" s="35">
        <v>43263</v>
      </c>
      <c r="L363" s="41">
        <v>280.966724</v>
      </c>
      <c r="M363" s="35">
        <v>43263</v>
      </c>
      <c r="N363" s="42">
        <v>25.633405</v>
      </c>
      <c r="O363" s="35">
        <v>43263</v>
      </c>
      <c r="P363" s="44">
        <v>49.944347999999998</v>
      </c>
      <c r="Q363" s="35">
        <v>43263</v>
      </c>
      <c r="R363" s="43">
        <v>106.784075</v>
      </c>
      <c r="S363" s="57">
        <v>43263</v>
      </c>
      <c r="T363" s="58">
        <v>1.1788000000000001</v>
      </c>
    </row>
    <row r="364" spans="8:20" x14ac:dyDescent="0.75">
      <c r="H364" s="3"/>
      <c r="I364" s="35">
        <v>43262</v>
      </c>
      <c r="J364" s="45">
        <v>4.9239940000000004</v>
      </c>
      <c r="K364" s="35">
        <v>43262</v>
      </c>
      <c r="L364" s="41">
        <v>280.46707199999997</v>
      </c>
      <c r="M364" s="35">
        <v>43262</v>
      </c>
      <c r="N364" s="42">
        <v>25.644583000000001</v>
      </c>
      <c r="O364" s="35">
        <v>43262</v>
      </c>
      <c r="P364" s="44">
        <v>50.085777</v>
      </c>
      <c r="Q364" s="35">
        <v>43262</v>
      </c>
      <c r="R364" s="43">
        <v>107.130297</v>
      </c>
      <c r="S364" s="57">
        <v>43262</v>
      </c>
      <c r="T364" s="58">
        <v>1.179</v>
      </c>
    </row>
    <row r="365" spans="8:20" x14ac:dyDescent="0.75">
      <c r="H365" s="3"/>
      <c r="I365" s="35">
        <v>43259</v>
      </c>
      <c r="J365" s="45">
        <v>4.9184729999999997</v>
      </c>
      <c r="K365" s="35">
        <v>43259</v>
      </c>
      <c r="L365" s="41">
        <v>280.166586</v>
      </c>
      <c r="M365" s="35">
        <v>43259</v>
      </c>
      <c r="N365" s="42">
        <v>25.427785</v>
      </c>
      <c r="O365" s="35">
        <v>43259</v>
      </c>
      <c r="P365" s="44">
        <v>50.054673000000001</v>
      </c>
      <c r="Q365" s="35">
        <v>43259</v>
      </c>
      <c r="R365" s="43">
        <v>107.368126</v>
      </c>
      <c r="S365" s="59">
        <v>43259</v>
      </c>
      <c r="T365" s="60">
        <v>1.1754</v>
      </c>
    </row>
    <row r="366" spans="8:20" x14ac:dyDescent="0.75">
      <c r="H366" s="3"/>
      <c r="I366" s="35">
        <v>43258</v>
      </c>
      <c r="J366" s="45">
        <v>4.9191649999999996</v>
      </c>
      <c r="K366" s="35">
        <v>43258</v>
      </c>
      <c r="L366" s="41">
        <v>279.28300999999999</v>
      </c>
      <c r="M366" s="35">
        <v>43258</v>
      </c>
      <c r="N366" s="42">
        <v>25.542904</v>
      </c>
      <c r="O366" s="35">
        <v>43258</v>
      </c>
      <c r="P366" s="44">
        <v>50.042512000000002</v>
      </c>
      <c r="Q366" s="35">
        <v>43258</v>
      </c>
      <c r="R366" s="43">
        <v>107.520613</v>
      </c>
      <c r="S366" s="57">
        <v>43258</v>
      </c>
      <c r="T366" s="52">
        <v>1.1836</v>
      </c>
    </row>
    <row r="367" spans="8:20" x14ac:dyDescent="0.75">
      <c r="H367" s="3"/>
      <c r="I367" s="35">
        <v>43257</v>
      </c>
      <c r="J367" s="45">
        <v>4.9121600000000001</v>
      </c>
      <c r="K367" s="35">
        <v>43257</v>
      </c>
      <c r="L367" s="41">
        <v>279.43237099999999</v>
      </c>
      <c r="M367" s="35">
        <v>43257</v>
      </c>
      <c r="N367" s="42">
        <v>25.502314999999999</v>
      </c>
      <c r="O367" s="35">
        <v>43257</v>
      </c>
      <c r="P367" s="44">
        <v>50</v>
      </c>
      <c r="Q367" s="35">
        <v>43257</v>
      </c>
      <c r="R367" s="43">
        <v>107.60450299999999</v>
      </c>
      <c r="S367" s="35">
        <v>43257</v>
      </c>
      <c r="T367" s="49">
        <v>1.1765000000000001</v>
      </c>
    </row>
  </sheetData>
  <sortState xmlns:xlrd2="http://schemas.microsoft.com/office/spreadsheetml/2017/richdata2" ref="I12:I21">
    <sortCondition descending="1" ref="I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3"/>
  <dimension ref="B1:AA7364"/>
  <sheetViews>
    <sheetView zoomScaleNormal="100" workbookViewId="0">
      <selection activeCell="J11" sqref="J11"/>
    </sheetView>
  </sheetViews>
  <sheetFormatPr defaultColWidth="8.81640625" defaultRowHeight="14.75" x14ac:dyDescent="0.75"/>
  <cols>
    <col min="1" max="1" width="8.81640625" style="1"/>
    <col min="2" max="2" width="11" style="1" customWidth="1"/>
    <col min="3" max="3" width="25.81640625" style="1" customWidth="1"/>
    <col min="4" max="4" width="21.453125" style="1" customWidth="1"/>
    <col min="5" max="8" width="8.81640625" style="1"/>
    <col min="9" max="9" width="15.453125" style="1" bestFit="1" customWidth="1"/>
    <col min="10" max="10" width="15.453125" style="99" bestFit="1" customWidth="1"/>
    <col min="11" max="11" width="15.453125" style="1" bestFit="1" customWidth="1"/>
    <col min="12" max="12" width="15.81640625" style="1" customWidth="1"/>
    <col min="13" max="13" width="13.6328125" style="2" customWidth="1"/>
    <col min="14" max="14" width="10.453125" style="1" customWidth="1"/>
    <col min="15" max="15" width="10.453125" style="2" bestFit="1" customWidth="1"/>
    <col min="16" max="16384" width="8.81640625" style="1"/>
  </cols>
  <sheetData>
    <row r="1" spans="2:27" x14ac:dyDescent="0.75">
      <c r="L1" s="61"/>
      <c r="M1" s="1"/>
    </row>
    <row r="2" spans="2:27" ht="15.5" thickBot="1" x14ac:dyDescent="0.9">
      <c r="L2" s="61"/>
      <c r="M2" s="1"/>
    </row>
    <row r="3" spans="2:27" x14ac:dyDescent="0.75">
      <c r="B3" s="81" t="s">
        <v>30</v>
      </c>
      <c r="C3" s="88" t="s">
        <v>62</v>
      </c>
      <c r="D3" s="89" t="s">
        <v>53</v>
      </c>
      <c r="L3" s="61"/>
      <c r="M3" s="1"/>
    </row>
    <row r="4" spans="2:27" ht="29.5" x14ac:dyDescent="0.75">
      <c r="B4" s="90" t="s">
        <v>31</v>
      </c>
      <c r="C4" s="33" t="s">
        <v>63</v>
      </c>
      <c r="D4" s="91" t="s">
        <v>64</v>
      </c>
      <c r="L4" s="61"/>
      <c r="M4" s="10"/>
      <c r="N4" s="10"/>
      <c r="O4" s="19"/>
    </row>
    <row r="5" spans="2:27" x14ac:dyDescent="0.75">
      <c r="B5" s="92" t="s">
        <v>32</v>
      </c>
      <c r="C5" s="40" t="s">
        <v>33</v>
      </c>
      <c r="D5" s="93" t="s">
        <v>34</v>
      </c>
      <c r="I5" s="63" t="s">
        <v>65</v>
      </c>
      <c r="J5" s="100" t="s">
        <v>65</v>
      </c>
      <c r="K5" s="64" t="s">
        <v>53</v>
      </c>
      <c r="L5" s="64" t="s">
        <v>53</v>
      </c>
      <c r="M5" s="10"/>
      <c r="N5" s="115"/>
      <c r="O5" s="115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2:27" ht="15.5" thickBot="1" x14ac:dyDescent="0.9">
      <c r="B6" s="94" t="s">
        <v>35</v>
      </c>
      <c r="C6" s="95">
        <v>0.4</v>
      </c>
      <c r="D6" s="96">
        <v>0.6</v>
      </c>
      <c r="I6" s="1" t="s">
        <v>0</v>
      </c>
      <c r="J6" s="99" t="s">
        <v>1</v>
      </c>
      <c r="K6" s="1" t="s">
        <v>0</v>
      </c>
      <c r="L6" s="61" t="s">
        <v>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2:27" x14ac:dyDescent="0.75">
      <c r="B7" s="105"/>
      <c r="C7" s="106"/>
      <c r="D7" s="106"/>
      <c r="I7" s="35">
        <v>43770</v>
      </c>
      <c r="J7" s="101">
        <v>268.3895</v>
      </c>
      <c r="K7" s="35">
        <v>43770</v>
      </c>
      <c r="L7" s="67">
        <v>252.703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2:27" x14ac:dyDescent="0.75">
      <c r="B8" s="105"/>
      <c r="C8" s="106"/>
      <c r="D8" s="106"/>
      <c r="I8" s="35">
        <v>43769</v>
      </c>
      <c r="J8" s="101">
        <v>266.21230000000003</v>
      </c>
      <c r="K8" s="35">
        <v>43769</v>
      </c>
      <c r="L8" s="67">
        <v>253.31299999999999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2:27" x14ac:dyDescent="0.75">
      <c r="B9" s="105"/>
      <c r="C9" s="106"/>
      <c r="D9" s="106"/>
      <c r="I9" s="35">
        <v>43768</v>
      </c>
      <c r="J9" s="101">
        <v>266.57499999999999</v>
      </c>
      <c r="K9" s="35">
        <v>43768</v>
      </c>
      <c r="L9" s="67">
        <v>252.351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2:27" x14ac:dyDescent="0.75">
      <c r="B10" s="105"/>
      <c r="C10" s="106"/>
      <c r="D10" s="106"/>
      <c r="I10" s="35">
        <v>43767</v>
      </c>
      <c r="J10" s="101">
        <v>266.11020000000002</v>
      </c>
      <c r="K10" s="35">
        <v>43767</v>
      </c>
      <c r="L10" s="67">
        <v>251.37200000000001</v>
      </c>
      <c r="M10" s="10"/>
      <c r="N10" s="199"/>
      <c r="O10" s="115"/>
      <c r="P10" s="115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2:27" x14ac:dyDescent="0.75">
      <c r="B11" s="105"/>
      <c r="C11" s="106"/>
      <c r="D11" s="106"/>
      <c r="I11" s="35">
        <v>43766</v>
      </c>
      <c r="J11" s="101">
        <v>265.9751</v>
      </c>
      <c r="K11" s="35">
        <v>43766</v>
      </c>
      <c r="L11" s="67">
        <v>251.99700000000001</v>
      </c>
      <c r="M11" s="10"/>
      <c r="N11" s="3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2:27" x14ac:dyDescent="0.75">
      <c r="B12" s="105"/>
      <c r="C12" s="106"/>
      <c r="D12" s="106"/>
      <c r="I12" s="35">
        <v>43763</v>
      </c>
      <c r="J12" s="101">
        <v>264.85160000000002</v>
      </c>
      <c r="K12" s="35">
        <v>43763</v>
      </c>
      <c r="L12" s="67">
        <v>252.786</v>
      </c>
      <c r="M12" s="10"/>
      <c r="N12" s="199"/>
      <c r="O12" s="115"/>
      <c r="P12" s="115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2:27" x14ac:dyDescent="0.75">
      <c r="B13" s="105"/>
      <c r="C13" s="106"/>
      <c r="D13" s="106"/>
      <c r="I13" s="35">
        <v>43762</v>
      </c>
      <c r="J13" s="101">
        <v>264.14620000000002</v>
      </c>
      <c r="K13" s="35">
        <v>43762</v>
      </c>
      <c r="L13" s="67">
        <v>253.39400000000001</v>
      </c>
      <c r="M13" s="10"/>
      <c r="N13" s="3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2:27" x14ac:dyDescent="0.75">
      <c r="B14" s="105"/>
      <c r="C14" s="106"/>
      <c r="D14" s="106"/>
      <c r="I14" s="35">
        <v>43761</v>
      </c>
      <c r="J14" s="101">
        <v>263.1748</v>
      </c>
      <c r="K14" s="35">
        <v>43761</v>
      </c>
      <c r="L14" s="67">
        <v>253.20599999999999</v>
      </c>
      <c r="M14" s="10"/>
      <c r="N14" s="199"/>
      <c r="O14" s="115"/>
      <c r="P14" s="115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2:27" x14ac:dyDescent="0.75">
      <c r="B15" s="105"/>
      <c r="C15" s="106"/>
      <c r="D15" s="106"/>
      <c r="I15" s="35">
        <v>43760</v>
      </c>
      <c r="J15" s="101">
        <v>262.83580000000001</v>
      </c>
      <c r="K15" s="35">
        <v>43760</v>
      </c>
      <c r="L15" s="67">
        <v>252.86600000000001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2:27" x14ac:dyDescent="0.75">
      <c r="B16" s="105"/>
      <c r="C16" s="106"/>
      <c r="D16" s="106"/>
      <c r="I16" s="35">
        <v>43759</v>
      </c>
      <c r="J16" s="101">
        <v>263.19779999999997</v>
      </c>
      <c r="K16" s="35">
        <v>43759</v>
      </c>
      <c r="L16" s="67">
        <v>252.15700000000001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x14ac:dyDescent="0.75">
      <c r="B17" s="105"/>
      <c r="C17" s="106"/>
      <c r="D17" s="106"/>
      <c r="I17" s="35">
        <v>43756</v>
      </c>
      <c r="J17" s="101">
        <v>261.57990000000001</v>
      </c>
      <c r="K17" s="35">
        <v>43756</v>
      </c>
      <c r="L17" s="67">
        <v>252.99199999999999</v>
      </c>
      <c r="M17" s="10"/>
      <c r="N17" s="115"/>
      <c r="O17" s="115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x14ac:dyDescent="0.75">
      <c r="B18" s="105"/>
      <c r="C18" s="106"/>
      <c r="D18" s="106"/>
      <c r="I18" s="35">
        <v>43755</v>
      </c>
      <c r="J18" s="101">
        <v>262.39870000000002</v>
      </c>
      <c r="K18" s="35">
        <v>43755</v>
      </c>
      <c r="L18" s="67">
        <v>253.33099999999999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x14ac:dyDescent="0.75">
      <c r="B19" s="105"/>
      <c r="C19" s="106"/>
      <c r="D19" s="106"/>
      <c r="I19" s="35">
        <v>43754</v>
      </c>
      <c r="J19" s="101">
        <v>261.56509999999997</v>
      </c>
      <c r="K19" s="35">
        <v>43754</v>
      </c>
      <c r="L19" s="67">
        <v>253.11699999999999</v>
      </c>
      <c r="M19" s="10"/>
      <c r="N19" s="115"/>
      <c r="O19" s="115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x14ac:dyDescent="0.75">
      <c r="B20" s="105"/>
      <c r="C20" s="106"/>
      <c r="D20" s="106"/>
      <c r="I20" s="35">
        <v>43753</v>
      </c>
      <c r="J20" s="101">
        <v>261.54680000000002</v>
      </c>
      <c r="K20" s="35">
        <v>43753</v>
      </c>
      <c r="L20" s="67">
        <v>253.34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x14ac:dyDescent="0.75">
      <c r="B21" s="105"/>
      <c r="C21" s="106"/>
      <c r="D21" s="106"/>
      <c r="I21" s="35">
        <v>43752</v>
      </c>
      <c r="J21" s="101">
        <v>259.24689999999998</v>
      </c>
      <c r="K21" s="35">
        <v>43752</v>
      </c>
      <c r="L21" s="67">
        <v>253.946</v>
      </c>
      <c r="M21" s="1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2:27" x14ac:dyDescent="0.75">
      <c r="B22" s="105"/>
      <c r="C22" s="106"/>
      <c r="D22" s="106"/>
      <c r="I22" s="35">
        <v>43749</v>
      </c>
      <c r="J22" s="101">
        <v>259.49599999999998</v>
      </c>
      <c r="K22" s="35">
        <v>43749</v>
      </c>
      <c r="L22" s="67">
        <v>253.60900000000001</v>
      </c>
      <c r="M22" s="1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2:27" x14ac:dyDescent="0.75">
      <c r="B23" s="105"/>
      <c r="C23" s="106"/>
      <c r="D23" s="106"/>
      <c r="I23" s="35">
        <v>43748</v>
      </c>
      <c r="J23" s="101">
        <v>255.96449999999999</v>
      </c>
      <c r="K23" s="35">
        <v>43748</v>
      </c>
      <c r="L23" s="67">
        <v>254.03800000000001</v>
      </c>
      <c r="M23" s="1"/>
      <c r="N23" s="76"/>
      <c r="O23" s="1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2:27" x14ac:dyDescent="0.75">
      <c r="B24" s="105"/>
      <c r="C24" s="106"/>
      <c r="D24" s="106"/>
      <c r="I24" s="35">
        <v>43747</v>
      </c>
      <c r="J24" s="101">
        <v>254.51580000000001</v>
      </c>
      <c r="K24" s="35">
        <v>43747</v>
      </c>
      <c r="L24" s="67">
        <v>255.208</v>
      </c>
      <c r="M24" s="1"/>
      <c r="N24" s="76"/>
      <c r="O24" s="115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2:27" x14ac:dyDescent="0.75">
      <c r="B25" s="105"/>
      <c r="C25" s="106"/>
      <c r="D25" s="106"/>
      <c r="I25" s="35">
        <v>43746</v>
      </c>
      <c r="J25" s="101">
        <v>253.08879999999999</v>
      </c>
      <c r="K25" s="35">
        <v>43746</v>
      </c>
      <c r="L25" s="67">
        <v>255.86</v>
      </c>
      <c r="M25" s="1"/>
      <c r="N25" s="114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2:27" x14ac:dyDescent="0.75">
      <c r="B26" s="105"/>
      <c r="C26" s="106"/>
      <c r="D26" s="106"/>
      <c r="I26" s="35">
        <v>43745</v>
      </c>
      <c r="J26" s="101">
        <v>256.00450000000001</v>
      </c>
      <c r="K26" s="35">
        <v>43745</v>
      </c>
      <c r="L26" s="67">
        <v>255.572</v>
      </c>
      <c r="M26" s="1"/>
      <c r="N26" s="114"/>
      <c r="O26" s="115"/>
      <c r="P26" s="115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2:27" x14ac:dyDescent="0.75">
      <c r="B27" s="65"/>
      <c r="C27" s="66"/>
      <c r="D27" s="66"/>
      <c r="I27" s="35">
        <v>43742</v>
      </c>
      <c r="J27" s="101">
        <v>256.28519999999997</v>
      </c>
      <c r="K27" s="35">
        <v>43742</v>
      </c>
      <c r="L27" s="67">
        <v>255.83099999999999</v>
      </c>
      <c r="M27" s="1"/>
      <c r="N27" s="114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2:27" x14ac:dyDescent="0.75">
      <c r="B28" s="65"/>
      <c r="C28" s="66"/>
      <c r="D28" s="66"/>
      <c r="I28" s="35">
        <v>43741</v>
      </c>
      <c r="J28" s="101">
        <v>253.78640000000001</v>
      </c>
      <c r="K28" s="35">
        <v>43741</v>
      </c>
      <c r="L28" s="67">
        <v>255.88800000000001</v>
      </c>
      <c r="M28" s="1"/>
      <c r="N28" s="114"/>
      <c r="O28" s="115"/>
      <c r="P28" s="115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2:27" x14ac:dyDescent="0.75">
      <c r="B29" s="65"/>
      <c r="C29" s="66"/>
      <c r="D29" s="66"/>
      <c r="I29" s="35">
        <v>43740</v>
      </c>
      <c r="J29" s="101">
        <v>252.61689999999999</v>
      </c>
      <c r="K29" s="35">
        <v>43740</v>
      </c>
      <c r="L29" s="67">
        <v>255.07900000000001</v>
      </c>
      <c r="M29" s="1"/>
      <c r="N29" s="114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2:27" x14ac:dyDescent="0.75">
      <c r="B30" s="65"/>
      <c r="C30" s="66"/>
      <c r="D30" s="66"/>
      <c r="I30" s="35">
        <v>43739</v>
      </c>
      <c r="J30" s="101">
        <v>256.78399999999999</v>
      </c>
      <c r="K30" s="35">
        <v>43739</v>
      </c>
      <c r="L30" s="67">
        <v>255.58699999999999</v>
      </c>
      <c r="M30" s="1"/>
      <c r="N30" s="114"/>
      <c r="O30" s="115"/>
      <c r="P30" s="115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2:27" x14ac:dyDescent="0.75">
      <c r="B31" s="65"/>
      <c r="C31" s="66"/>
      <c r="D31" s="66"/>
      <c r="I31" s="35">
        <v>43738</v>
      </c>
      <c r="J31" s="101">
        <v>259.12049999999999</v>
      </c>
      <c r="K31" s="35">
        <v>43738</v>
      </c>
      <c r="L31" s="67">
        <v>255.905</v>
      </c>
      <c r="M31" s="1"/>
      <c r="N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2:27" x14ac:dyDescent="0.75">
      <c r="B32" s="65"/>
      <c r="C32" s="66"/>
      <c r="D32" s="66"/>
      <c r="I32" s="35">
        <v>43735</v>
      </c>
      <c r="J32" s="101">
        <v>258.6551</v>
      </c>
      <c r="K32" s="35">
        <v>43735</v>
      </c>
      <c r="L32" s="67">
        <v>255.88900000000001</v>
      </c>
      <c r="M32" s="1"/>
      <c r="N32" s="9"/>
      <c r="P32" s="115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2:14" x14ac:dyDescent="0.75">
      <c r="B33" s="65"/>
      <c r="C33" s="66"/>
      <c r="D33" s="66"/>
      <c r="I33" s="35">
        <v>43734</v>
      </c>
      <c r="J33" s="101">
        <v>259.52049999999997</v>
      </c>
      <c r="K33" s="35">
        <v>43734</v>
      </c>
      <c r="L33" s="67">
        <v>256.03199999999998</v>
      </c>
      <c r="M33" s="1"/>
      <c r="N33" s="9"/>
    </row>
    <row r="34" spans="2:14" x14ac:dyDescent="0.75">
      <c r="B34" s="65"/>
      <c r="C34" s="66"/>
      <c r="D34" s="66"/>
      <c r="I34" s="35">
        <v>43733</v>
      </c>
      <c r="J34" s="101">
        <v>259.51010000000002</v>
      </c>
      <c r="K34" s="35">
        <v>43733</v>
      </c>
      <c r="L34" s="67">
        <v>256.01299999999998</v>
      </c>
      <c r="M34" s="1"/>
      <c r="N34" s="9"/>
    </row>
    <row r="35" spans="2:14" x14ac:dyDescent="0.75">
      <c r="B35" s="65"/>
      <c r="C35" s="66"/>
      <c r="D35" s="66"/>
      <c r="I35" s="35">
        <v>43732</v>
      </c>
      <c r="J35" s="101">
        <v>259.41539999999998</v>
      </c>
      <c r="K35" s="35">
        <v>43732</v>
      </c>
      <c r="L35" s="67">
        <v>256.26400000000001</v>
      </c>
      <c r="M35" s="1"/>
      <c r="N35" s="9"/>
    </row>
    <row r="36" spans="2:14" x14ac:dyDescent="0.75">
      <c r="B36" s="65"/>
      <c r="C36" s="66"/>
      <c r="D36" s="66"/>
      <c r="I36" s="35">
        <v>43731</v>
      </c>
      <c r="J36" s="101">
        <v>260.74770000000001</v>
      </c>
      <c r="K36" s="35">
        <v>43731</v>
      </c>
      <c r="L36" s="67">
        <v>255.928</v>
      </c>
      <c r="M36" s="1"/>
      <c r="N36" s="9"/>
    </row>
    <row r="37" spans="2:14" x14ac:dyDescent="0.75">
      <c r="B37" s="65"/>
      <c r="C37" s="66"/>
      <c r="D37" s="66"/>
      <c r="I37" s="35">
        <v>43728</v>
      </c>
      <c r="J37" s="101">
        <v>261.32080000000002</v>
      </c>
      <c r="K37" s="35">
        <v>43728</v>
      </c>
      <c r="L37" s="67">
        <v>254.47200000000001</v>
      </c>
      <c r="M37" s="1"/>
      <c r="N37" s="9"/>
    </row>
    <row r="38" spans="2:14" x14ac:dyDescent="0.75">
      <c r="B38" s="65"/>
      <c r="C38" s="66"/>
      <c r="D38" s="66"/>
      <c r="I38" s="35">
        <v>43727</v>
      </c>
      <c r="J38" s="101">
        <v>261.92529999999999</v>
      </c>
      <c r="K38" s="35">
        <v>43727</v>
      </c>
      <c r="L38" s="67">
        <v>254.35</v>
      </c>
      <c r="M38" s="1"/>
      <c r="N38" s="9"/>
    </row>
    <row r="39" spans="2:14" x14ac:dyDescent="0.75">
      <c r="I39" s="35">
        <v>43726</v>
      </c>
      <c r="J39" s="101">
        <v>261.66809999999998</v>
      </c>
      <c r="K39" s="35">
        <v>43726</v>
      </c>
      <c r="L39" s="67">
        <v>254.494</v>
      </c>
      <c r="M39" s="1"/>
      <c r="N39" s="9"/>
    </row>
    <row r="40" spans="2:14" x14ac:dyDescent="0.75">
      <c r="I40" s="35">
        <v>43725</v>
      </c>
      <c r="J40" s="101">
        <v>261.66629999999998</v>
      </c>
      <c r="K40" s="35">
        <v>43725</v>
      </c>
      <c r="L40" s="67">
        <v>253.613</v>
      </c>
      <c r="M40" s="1"/>
      <c r="N40" s="9"/>
    </row>
    <row r="41" spans="2:14" x14ac:dyDescent="0.75">
      <c r="I41" s="35">
        <v>43724</v>
      </c>
      <c r="J41" s="101">
        <v>261.28319999999997</v>
      </c>
      <c r="K41" s="35">
        <v>43724</v>
      </c>
      <c r="L41" s="67">
        <v>254.01599999999999</v>
      </c>
      <c r="M41" s="1"/>
      <c r="N41" s="9"/>
    </row>
    <row r="42" spans="2:14" x14ac:dyDescent="0.75">
      <c r="I42" s="35">
        <v>43721</v>
      </c>
      <c r="J42" s="101">
        <v>262.30470000000003</v>
      </c>
      <c r="K42" s="35">
        <v>43721</v>
      </c>
      <c r="L42" s="67">
        <v>253.339</v>
      </c>
      <c r="M42" s="1"/>
      <c r="N42" s="9"/>
    </row>
    <row r="43" spans="2:14" x14ac:dyDescent="0.75">
      <c r="I43" s="35">
        <v>43720</v>
      </c>
      <c r="J43" s="101">
        <v>261.72640000000001</v>
      </c>
      <c r="K43" s="35">
        <v>43720</v>
      </c>
      <c r="L43" s="67">
        <v>254.917</v>
      </c>
      <c r="M43" s="1"/>
      <c r="N43" s="9"/>
    </row>
    <row r="44" spans="2:14" x14ac:dyDescent="0.75">
      <c r="I44" s="35">
        <v>43719</v>
      </c>
      <c r="J44" s="101">
        <v>260.76650000000001</v>
      </c>
      <c r="K44" s="35">
        <v>43719</v>
      </c>
      <c r="L44" s="67">
        <v>254.625</v>
      </c>
      <c r="M44" s="1"/>
      <c r="N44" s="9"/>
    </row>
    <row r="45" spans="2:14" x14ac:dyDescent="0.75">
      <c r="I45" s="35">
        <v>43718</v>
      </c>
      <c r="J45" s="101">
        <v>258.91239999999999</v>
      </c>
      <c r="K45" s="35">
        <v>43718</v>
      </c>
      <c r="L45" s="67">
        <v>254.24</v>
      </c>
      <c r="M45" s="1"/>
      <c r="N45" s="9"/>
    </row>
    <row r="46" spans="2:14" x14ac:dyDescent="0.75">
      <c r="I46" s="35">
        <v>43717</v>
      </c>
      <c r="J46" s="101">
        <v>258.86939999999998</v>
      </c>
      <c r="K46" s="35">
        <v>43717</v>
      </c>
      <c r="L46" s="67">
        <v>254.78899999999999</v>
      </c>
      <c r="M46" s="1"/>
      <c r="N46" s="9"/>
    </row>
    <row r="47" spans="2:14" x14ac:dyDescent="0.75">
      <c r="I47" s="35">
        <v>43714</v>
      </c>
      <c r="J47" s="101">
        <v>258.82910000000004</v>
      </c>
      <c r="K47" s="35">
        <v>43714</v>
      </c>
      <c r="L47" s="67">
        <v>256.2</v>
      </c>
      <c r="M47" s="1"/>
      <c r="N47" s="9"/>
    </row>
    <row r="48" spans="2:14" x14ac:dyDescent="0.75">
      <c r="I48" s="35">
        <v>43713</v>
      </c>
      <c r="J48" s="101">
        <v>258.18549999999999</v>
      </c>
      <c r="K48" s="35">
        <v>43713</v>
      </c>
      <c r="L48" s="67">
        <v>255.24600000000001</v>
      </c>
      <c r="M48" s="1"/>
      <c r="N48" s="9"/>
    </row>
    <row r="49" spans="9:14" x14ac:dyDescent="0.75">
      <c r="I49" s="35">
        <v>43712</v>
      </c>
      <c r="J49" s="101">
        <v>255.18760000000003</v>
      </c>
      <c r="K49" s="35">
        <v>43712</v>
      </c>
      <c r="L49" s="67">
        <v>257.06700000000001</v>
      </c>
      <c r="M49" s="1"/>
      <c r="N49" s="9"/>
    </row>
    <row r="50" spans="9:14" x14ac:dyDescent="0.75">
      <c r="I50" s="35">
        <v>43711</v>
      </c>
      <c r="J50" s="101">
        <v>252.2551</v>
      </c>
      <c r="K50" s="35">
        <v>43711</v>
      </c>
      <c r="L50" s="67">
        <v>257.71199999999999</v>
      </c>
      <c r="M50" s="1"/>
      <c r="N50" s="9"/>
    </row>
    <row r="51" spans="9:14" x14ac:dyDescent="0.75">
      <c r="I51" s="35">
        <v>43707</v>
      </c>
      <c r="J51" s="101">
        <v>253.78049999999999</v>
      </c>
      <c r="K51" s="35">
        <v>43707</v>
      </c>
      <c r="L51" s="67">
        <v>257.197</v>
      </c>
      <c r="M51" s="1"/>
      <c r="N51" s="9"/>
    </row>
    <row r="52" spans="9:14" x14ac:dyDescent="0.75">
      <c r="I52" s="35">
        <v>43706</v>
      </c>
      <c r="J52" s="101">
        <v>252.76320000000001</v>
      </c>
      <c r="K52" s="35">
        <v>43706</v>
      </c>
      <c r="L52" s="67">
        <v>257.35599999999999</v>
      </c>
      <c r="M52" s="1"/>
      <c r="N52" s="9"/>
    </row>
    <row r="53" spans="9:14" x14ac:dyDescent="0.75">
      <c r="I53" s="35">
        <v>43705</v>
      </c>
      <c r="J53" s="101">
        <v>250.36920000000001</v>
      </c>
      <c r="K53" s="35">
        <v>43705</v>
      </c>
      <c r="L53" s="67">
        <v>257.64600000000002</v>
      </c>
      <c r="M53" s="1"/>
      <c r="N53" s="9"/>
    </row>
    <row r="54" spans="9:14" x14ac:dyDescent="0.75">
      <c r="I54" s="35">
        <v>43704</v>
      </c>
      <c r="J54" s="101">
        <v>249.59319999999997</v>
      </c>
      <c r="K54" s="35">
        <v>43704</v>
      </c>
      <c r="L54" s="67">
        <v>256.673</v>
      </c>
      <c r="M54" s="1"/>
      <c r="N54" s="9"/>
    </row>
    <row r="55" spans="9:14" x14ac:dyDescent="0.75">
      <c r="I55" s="35">
        <v>43703</v>
      </c>
      <c r="J55" s="101">
        <v>249.51309999999998</v>
      </c>
      <c r="K55" s="35">
        <v>43703</v>
      </c>
      <c r="L55" s="67">
        <v>255.53100000000001</v>
      </c>
      <c r="M55" s="1"/>
      <c r="N55" s="9"/>
    </row>
    <row r="56" spans="9:14" x14ac:dyDescent="0.75">
      <c r="I56" s="35">
        <v>43700</v>
      </c>
      <c r="J56" s="101">
        <v>248.75410000000002</v>
      </c>
      <c r="K56" s="35">
        <v>43700</v>
      </c>
      <c r="L56" s="67">
        <v>255.41800000000001</v>
      </c>
      <c r="M56" s="1"/>
      <c r="N56" s="9"/>
    </row>
    <row r="57" spans="9:14" x14ac:dyDescent="0.75">
      <c r="I57" s="35">
        <v>43699</v>
      </c>
      <c r="J57" s="101">
        <v>252.70500000000001</v>
      </c>
      <c r="K57" s="35">
        <v>43699</v>
      </c>
      <c r="L57" s="67">
        <v>255.053</v>
      </c>
      <c r="M57" s="1"/>
      <c r="N57" s="9"/>
    </row>
    <row r="58" spans="9:14" x14ac:dyDescent="0.75">
      <c r="I58" s="35">
        <v>43698</v>
      </c>
      <c r="J58" s="101">
        <v>253.30610000000001</v>
      </c>
      <c r="K58" s="35">
        <v>43698</v>
      </c>
      <c r="L58" s="67">
        <v>255.75800000000001</v>
      </c>
      <c r="M58" s="1"/>
      <c r="N58" s="9"/>
    </row>
    <row r="59" spans="9:14" x14ac:dyDescent="0.75">
      <c r="I59" s="35">
        <v>43697</v>
      </c>
      <c r="J59" s="101">
        <v>251.53090000000003</v>
      </c>
      <c r="K59" s="35">
        <v>43697</v>
      </c>
      <c r="L59" s="67">
        <v>255.97300000000001</v>
      </c>
      <c r="M59" s="1"/>
      <c r="N59" s="9"/>
    </row>
    <row r="60" spans="9:14" x14ac:dyDescent="0.75">
      <c r="I60" s="35">
        <v>43696</v>
      </c>
      <c r="J60" s="101">
        <v>252.73939999999999</v>
      </c>
      <c r="K60" s="35">
        <v>43696</v>
      </c>
      <c r="L60" s="67">
        <v>255.16200000000001</v>
      </c>
      <c r="M60" s="1"/>
      <c r="N60" s="9"/>
    </row>
    <row r="61" spans="9:14" x14ac:dyDescent="0.75">
      <c r="I61" s="35">
        <v>43693</v>
      </c>
      <c r="J61" s="101">
        <v>250.0564</v>
      </c>
      <c r="K61" s="35">
        <v>43693</v>
      </c>
      <c r="L61" s="67">
        <v>256.10899999999998</v>
      </c>
      <c r="M61" s="1"/>
      <c r="N61" s="9"/>
    </row>
    <row r="62" spans="9:14" x14ac:dyDescent="0.75">
      <c r="I62" s="35">
        <v>43692</v>
      </c>
      <c r="J62" s="101">
        <v>247.1328</v>
      </c>
      <c r="K62" s="35">
        <v>43692</v>
      </c>
      <c r="L62" s="67">
        <v>256.81900000000002</v>
      </c>
      <c r="M62" s="1"/>
      <c r="N62" s="9"/>
    </row>
    <row r="63" spans="9:14" x14ac:dyDescent="0.75">
      <c r="I63" s="35">
        <v>43691</v>
      </c>
      <c r="J63" s="101">
        <v>247.45250000000001</v>
      </c>
      <c r="K63" s="35">
        <v>43691</v>
      </c>
      <c r="L63" s="67">
        <v>255.11</v>
      </c>
      <c r="M63" s="1"/>
      <c r="N63" s="9"/>
    </row>
    <row r="64" spans="9:14" x14ac:dyDescent="0.75">
      <c r="I64" s="35">
        <v>43690</v>
      </c>
      <c r="J64" s="101">
        <v>252.60329999999999</v>
      </c>
      <c r="K64" s="35">
        <v>43690</v>
      </c>
      <c r="L64" s="67">
        <v>254.03399999999999</v>
      </c>
      <c r="M64" s="1"/>
      <c r="N64" s="9"/>
    </row>
    <row r="65" spans="9:14" x14ac:dyDescent="0.75">
      <c r="I65" s="35">
        <v>43689</v>
      </c>
      <c r="J65" s="101">
        <v>250.97910000000002</v>
      </c>
      <c r="K65" s="35">
        <v>43689</v>
      </c>
      <c r="L65" s="67">
        <v>253.30699999999999</v>
      </c>
      <c r="M65" s="1"/>
      <c r="N65" s="9"/>
    </row>
    <row r="66" spans="9:14" x14ac:dyDescent="0.75">
      <c r="I66" s="35">
        <v>43686</v>
      </c>
      <c r="J66" s="101">
        <v>253.0127</v>
      </c>
      <c r="K66" s="35">
        <v>43686</v>
      </c>
      <c r="L66" s="67">
        <v>252.78100000000001</v>
      </c>
      <c r="M66" s="1"/>
      <c r="N66" s="9"/>
    </row>
    <row r="67" spans="9:14" x14ac:dyDescent="0.75">
      <c r="I67" s="35">
        <v>43685</v>
      </c>
      <c r="J67" s="101">
        <v>254.29810000000003</v>
      </c>
      <c r="K67" s="35">
        <v>43685</v>
      </c>
      <c r="L67" s="67">
        <v>253.68199999999999</v>
      </c>
      <c r="M67" s="1"/>
      <c r="N67" s="9"/>
    </row>
    <row r="68" spans="9:14" x14ac:dyDescent="0.75">
      <c r="I68" s="35">
        <v>43684</v>
      </c>
      <c r="J68" s="101">
        <v>250.40659999999997</v>
      </c>
      <c r="K68" s="35">
        <v>43684</v>
      </c>
      <c r="L68" s="67">
        <v>254.755</v>
      </c>
      <c r="M68" s="1"/>
      <c r="N68" s="9"/>
    </row>
    <row r="69" spans="9:14" x14ac:dyDescent="0.75">
      <c r="I69" s="35">
        <v>43683</v>
      </c>
      <c r="J69" s="101">
        <v>249.89349999999999</v>
      </c>
      <c r="K69" s="35">
        <v>43683</v>
      </c>
      <c r="L69" s="67">
        <v>253.386</v>
      </c>
      <c r="M69" s="1"/>
      <c r="N69" s="9"/>
    </row>
    <row r="70" spans="9:14" x14ac:dyDescent="0.75">
      <c r="I70" s="35">
        <v>43682</v>
      </c>
      <c r="J70" s="101">
        <v>248.64569999999998</v>
      </c>
      <c r="K70" s="35">
        <v>43682</v>
      </c>
      <c r="L70" s="67">
        <v>252.93299999999999</v>
      </c>
      <c r="M70" s="1"/>
      <c r="N70" s="9"/>
    </row>
    <row r="71" spans="9:14" x14ac:dyDescent="0.75">
      <c r="I71" s="35">
        <v>43679</v>
      </c>
      <c r="J71" s="101">
        <v>255.06049999999999</v>
      </c>
      <c r="K71" s="35">
        <v>43679</v>
      </c>
      <c r="L71" s="67">
        <v>252.64500000000001</v>
      </c>
      <c r="M71" s="1"/>
      <c r="N71" s="9"/>
    </row>
    <row r="72" spans="9:14" x14ac:dyDescent="0.75">
      <c r="I72" s="35">
        <v>43678</v>
      </c>
      <c r="J72" s="101">
        <v>258.08969999999999</v>
      </c>
      <c r="K72" s="35">
        <v>43678</v>
      </c>
      <c r="L72" s="67">
        <v>252.08699999999999</v>
      </c>
      <c r="M72" s="1"/>
      <c r="N72" s="9"/>
    </row>
    <row r="73" spans="9:14" x14ac:dyDescent="0.75">
      <c r="I73" s="35">
        <v>43677</v>
      </c>
      <c r="J73" s="101">
        <v>259.94709999999998</v>
      </c>
      <c r="K73" s="35">
        <v>43677</v>
      </c>
      <c r="L73" s="67">
        <v>251.70500000000001</v>
      </c>
      <c r="M73" s="1"/>
      <c r="N73" s="9"/>
    </row>
    <row r="74" spans="9:14" x14ac:dyDescent="0.75">
      <c r="I74" s="35">
        <v>43676</v>
      </c>
      <c r="J74" s="101">
        <v>261.77890000000002</v>
      </c>
      <c r="K74" s="35">
        <v>43676</v>
      </c>
      <c r="L74" s="67">
        <v>250.91</v>
      </c>
      <c r="M74" s="1"/>
      <c r="N74" s="9"/>
    </row>
    <row r="75" spans="9:14" x14ac:dyDescent="0.75">
      <c r="I75" s="35">
        <v>43675</v>
      </c>
      <c r="J75" s="101">
        <v>262.79419999999999</v>
      </c>
      <c r="K75" s="35">
        <v>43675</v>
      </c>
      <c r="L75" s="67">
        <v>250.88</v>
      </c>
      <c r="M75" s="1"/>
      <c r="N75" s="9"/>
    </row>
    <row r="76" spans="9:14" x14ac:dyDescent="0.75">
      <c r="I76" s="35">
        <v>43672</v>
      </c>
      <c r="J76" s="101">
        <v>263.21190000000001</v>
      </c>
      <c r="K76" s="35">
        <v>43672</v>
      </c>
      <c r="L76" s="67">
        <v>250.62700000000001</v>
      </c>
      <c r="M76" s="1"/>
      <c r="N76" s="9"/>
    </row>
    <row r="77" spans="9:14" x14ac:dyDescent="0.75">
      <c r="I77" s="35">
        <v>43671</v>
      </c>
      <c r="J77" s="101">
        <v>262.44630000000001</v>
      </c>
      <c r="K77" s="35">
        <v>43671</v>
      </c>
      <c r="L77" s="67">
        <v>250.57599999999999</v>
      </c>
      <c r="M77" s="1"/>
      <c r="N77" s="9"/>
    </row>
    <row r="78" spans="9:14" x14ac:dyDescent="0.75">
      <c r="I78" s="35">
        <v>43670</v>
      </c>
      <c r="J78" s="101">
        <v>263.59319999999997</v>
      </c>
      <c r="K78" s="35">
        <v>43670</v>
      </c>
      <c r="L78" s="67">
        <v>250.85599999999999</v>
      </c>
      <c r="M78" s="1"/>
      <c r="N78" s="9"/>
    </row>
    <row r="79" spans="9:14" x14ac:dyDescent="0.75">
      <c r="I79" s="35">
        <v>43669</v>
      </c>
      <c r="J79" s="101">
        <v>262.72910000000002</v>
      </c>
      <c r="K79" s="35">
        <v>43669</v>
      </c>
      <c r="L79" s="67">
        <v>250.078</v>
      </c>
      <c r="M79" s="1"/>
      <c r="N79" s="9"/>
    </row>
    <row r="80" spans="9:14" x14ac:dyDescent="0.75">
      <c r="I80" s="35">
        <v>43668</v>
      </c>
      <c r="J80" s="101">
        <v>261.42629999999997</v>
      </c>
      <c r="K80" s="35">
        <v>43668</v>
      </c>
      <c r="L80" s="67">
        <v>249.85400000000001</v>
      </c>
      <c r="M80" s="1"/>
      <c r="N80" s="9"/>
    </row>
    <row r="81" spans="9:14" x14ac:dyDescent="0.75">
      <c r="I81" s="35">
        <v>43665</v>
      </c>
      <c r="J81" s="101">
        <v>261.20210000000003</v>
      </c>
      <c r="K81" s="35">
        <v>43665</v>
      </c>
      <c r="L81" s="67">
        <v>249.80600000000001</v>
      </c>
      <c r="M81" s="1"/>
      <c r="N81" s="9"/>
    </row>
    <row r="82" spans="9:14" x14ac:dyDescent="0.75">
      <c r="I82" s="35">
        <v>43664</v>
      </c>
      <c r="J82" s="101">
        <v>261.42330000000004</v>
      </c>
      <c r="K82" s="35">
        <v>43664</v>
      </c>
      <c r="L82" s="67">
        <v>249.822</v>
      </c>
      <c r="M82" s="1"/>
      <c r="N82" s="9"/>
    </row>
    <row r="83" spans="9:14" x14ac:dyDescent="0.75">
      <c r="I83" s="35">
        <v>43663</v>
      </c>
      <c r="J83" s="101">
        <v>261.45510000000002</v>
      </c>
      <c r="K83" s="35">
        <v>43663</v>
      </c>
      <c r="L83" s="67">
        <v>249.41200000000001</v>
      </c>
      <c r="M83" s="1"/>
      <c r="N83" s="9"/>
    </row>
    <row r="84" spans="9:14" x14ac:dyDescent="0.75">
      <c r="I84" s="35">
        <v>43662</v>
      </c>
      <c r="J84" s="101">
        <v>262.65839999999997</v>
      </c>
      <c r="K84" s="35">
        <v>43662</v>
      </c>
      <c r="L84" s="67">
        <v>248.83699999999999</v>
      </c>
      <c r="M84" s="1"/>
      <c r="N84" s="9"/>
    </row>
    <row r="85" spans="9:14" x14ac:dyDescent="0.75">
      <c r="I85" s="35">
        <v>43661</v>
      </c>
      <c r="J85" s="101">
        <v>263.23249999999996</v>
      </c>
      <c r="K85" s="35">
        <v>43661</v>
      </c>
      <c r="L85" s="67">
        <v>248.48699999999999</v>
      </c>
      <c r="M85" s="1"/>
      <c r="N85" s="9"/>
    </row>
    <row r="86" spans="9:14" x14ac:dyDescent="0.75">
      <c r="I86" s="35">
        <v>43658</v>
      </c>
      <c r="J86" s="101">
        <v>262.8519</v>
      </c>
      <c r="K86" s="35">
        <v>43658</v>
      </c>
      <c r="L86" s="67">
        <v>247.566</v>
      </c>
      <c r="M86" s="1"/>
      <c r="N86" s="9"/>
    </row>
    <row r="87" spans="9:14" x14ac:dyDescent="0.75">
      <c r="I87" s="35">
        <v>43657</v>
      </c>
      <c r="J87" s="101">
        <v>262.19600000000003</v>
      </c>
      <c r="K87" s="35">
        <v>43657</v>
      </c>
      <c r="L87" s="67">
        <v>248.113</v>
      </c>
      <c r="M87" s="1"/>
      <c r="N87" s="9"/>
    </row>
    <row r="88" spans="9:14" x14ac:dyDescent="0.75">
      <c r="I88" s="35">
        <v>43656</v>
      </c>
      <c r="J88" s="101">
        <v>261.56560000000002</v>
      </c>
      <c r="K88" s="35">
        <v>43656</v>
      </c>
      <c r="L88" s="67">
        <v>248.76499999999999</v>
      </c>
      <c r="M88" s="1"/>
      <c r="N88" s="9"/>
    </row>
    <row r="89" spans="9:14" x14ac:dyDescent="0.75">
      <c r="I89" s="35">
        <v>43655</v>
      </c>
      <c r="J89" s="101">
        <v>260.58730000000003</v>
      </c>
      <c r="K89" s="35">
        <v>43655</v>
      </c>
      <c r="L89" s="67">
        <v>249.28899999999999</v>
      </c>
      <c r="M89" s="1"/>
      <c r="N89" s="9"/>
    </row>
    <row r="90" spans="9:14" x14ac:dyDescent="0.75">
      <c r="I90" s="35">
        <v>43654</v>
      </c>
      <c r="J90" s="101">
        <v>260.76249999999999</v>
      </c>
      <c r="K90" s="35">
        <v>43654</v>
      </c>
      <c r="L90" s="67">
        <v>249.59700000000001</v>
      </c>
      <c r="M90" s="1"/>
      <c r="N90" s="9"/>
    </row>
    <row r="91" spans="9:14" x14ac:dyDescent="0.75">
      <c r="I91" s="35">
        <v>43651</v>
      </c>
      <c r="J91" s="101">
        <v>262.29290000000003</v>
      </c>
      <c r="K91" s="35">
        <v>43651</v>
      </c>
      <c r="L91" s="67">
        <v>249.62799999999999</v>
      </c>
      <c r="M91" s="1"/>
      <c r="N91" s="9"/>
    </row>
    <row r="92" spans="9:14" x14ac:dyDescent="0.75">
      <c r="I92" s="35">
        <v>43649</v>
      </c>
      <c r="J92" s="101">
        <v>263.0727</v>
      </c>
      <c r="K92" s="35">
        <v>43649</v>
      </c>
      <c r="L92" s="67">
        <v>250.434</v>
      </c>
      <c r="M92" s="1"/>
      <c r="N92" s="9"/>
    </row>
    <row r="93" spans="9:14" x14ac:dyDescent="0.75">
      <c r="I93" s="35">
        <v>43648</v>
      </c>
      <c r="J93" s="101">
        <v>261.6035</v>
      </c>
      <c r="K93" s="35">
        <v>43648</v>
      </c>
      <c r="L93" s="67">
        <v>249.03800000000001</v>
      </c>
      <c r="M93" s="1"/>
      <c r="N93" s="9"/>
    </row>
    <row r="94" spans="9:14" x14ac:dyDescent="0.75">
      <c r="I94" s="35">
        <v>43647</v>
      </c>
      <c r="J94" s="101">
        <v>260.91970000000003</v>
      </c>
      <c r="K94" s="35">
        <v>43647</v>
      </c>
      <c r="L94" s="67">
        <v>248.79499999999999</v>
      </c>
      <c r="M94" s="1"/>
      <c r="N94" s="9"/>
    </row>
    <row r="95" spans="9:14" x14ac:dyDescent="0.75">
      <c r="I95" s="35">
        <v>43644</v>
      </c>
      <c r="J95" s="101">
        <v>259.18760000000003</v>
      </c>
      <c r="K95" s="35">
        <v>43644</v>
      </c>
      <c r="L95" s="67">
        <v>247.851</v>
      </c>
      <c r="M95" s="1"/>
      <c r="N95" s="9"/>
    </row>
    <row r="96" spans="9:14" x14ac:dyDescent="0.75">
      <c r="I96" s="35">
        <v>43643</v>
      </c>
      <c r="J96" s="101">
        <v>257.93029999999999</v>
      </c>
      <c r="K96" s="35">
        <v>43643</v>
      </c>
      <c r="L96" s="67">
        <v>247.636</v>
      </c>
      <c r="M96" s="1"/>
      <c r="N96" s="9"/>
    </row>
    <row r="97" spans="9:14" x14ac:dyDescent="0.75">
      <c r="I97" s="35">
        <v>43642</v>
      </c>
      <c r="J97" s="101">
        <v>256.81970000000001</v>
      </c>
      <c r="K97" s="35">
        <v>43642</v>
      </c>
      <c r="L97" s="67">
        <v>247.55199999999999</v>
      </c>
      <c r="M97" s="1"/>
      <c r="N97" s="9"/>
    </row>
    <row r="98" spans="9:14" x14ac:dyDescent="0.75">
      <c r="I98" s="35">
        <v>43641</v>
      </c>
      <c r="J98" s="101">
        <v>257.27120000000002</v>
      </c>
      <c r="K98" s="35">
        <v>43641</v>
      </c>
      <c r="L98" s="67">
        <v>247.74600000000001</v>
      </c>
      <c r="M98" s="1"/>
      <c r="N98" s="9"/>
    </row>
    <row r="99" spans="9:14" x14ac:dyDescent="0.75">
      <c r="I99" s="35">
        <v>43640</v>
      </c>
      <c r="J99" s="101">
        <v>258.9907</v>
      </c>
      <c r="K99" s="35">
        <v>43640</v>
      </c>
      <c r="L99" s="67">
        <v>247.33600000000001</v>
      </c>
      <c r="M99" s="1"/>
      <c r="N99" s="9"/>
    </row>
    <row r="100" spans="9:14" x14ac:dyDescent="0.75">
      <c r="I100" s="35">
        <v>43637</v>
      </c>
      <c r="J100" s="101">
        <v>258.9588</v>
      </c>
      <c r="K100" s="35">
        <v>43637</v>
      </c>
      <c r="L100" s="67">
        <v>246.89</v>
      </c>
      <c r="M100" s="1"/>
      <c r="N100" s="9"/>
    </row>
    <row r="101" spans="9:14" x14ac:dyDescent="0.75">
      <c r="I101" s="35">
        <v>43636</v>
      </c>
      <c r="J101" s="101">
        <v>259.51300000000003</v>
      </c>
      <c r="K101" s="35">
        <v>43636</v>
      </c>
      <c r="L101" s="67">
        <v>247.59299999999999</v>
      </c>
      <c r="M101" s="1"/>
      <c r="N101" s="9"/>
    </row>
    <row r="102" spans="9:14" x14ac:dyDescent="0.75">
      <c r="I102" s="35">
        <v>43635</v>
      </c>
      <c r="J102" s="101">
        <v>256.75869999999998</v>
      </c>
      <c r="K102" s="35">
        <v>43635</v>
      </c>
      <c r="L102" s="67">
        <v>246.92</v>
      </c>
      <c r="M102" s="1"/>
      <c r="N102" s="9"/>
    </row>
    <row r="103" spans="9:14" x14ac:dyDescent="0.75">
      <c r="I103" s="35">
        <v>43634</v>
      </c>
      <c r="J103" s="101">
        <v>255.2132</v>
      </c>
      <c r="K103" s="35">
        <v>43634</v>
      </c>
      <c r="L103" s="67">
        <v>247.48</v>
      </c>
      <c r="M103" s="1"/>
      <c r="N103" s="9"/>
    </row>
    <row r="104" spans="9:14" x14ac:dyDescent="0.75">
      <c r="I104" s="35">
        <v>43633</v>
      </c>
      <c r="J104" s="101">
        <v>252.71999999999997</v>
      </c>
      <c r="K104" s="35">
        <v>43633</v>
      </c>
      <c r="L104" s="67">
        <v>245.46600000000001</v>
      </c>
      <c r="M104" s="1"/>
      <c r="N104" s="9"/>
    </row>
    <row r="105" spans="9:14" x14ac:dyDescent="0.75">
      <c r="I105" s="35">
        <v>43630</v>
      </c>
      <c r="J105" s="101">
        <v>252.84299999999999</v>
      </c>
      <c r="K105" s="35">
        <v>43630</v>
      </c>
      <c r="L105" s="67">
        <v>245.691</v>
      </c>
      <c r="M105" s="1"/>
      <c r="N105" s="9"/>
    </row>
    <row r="106" spans="9:14" x14ac:dyDescent="0.75">
      <c r="I106" s="35">
        <v>43629</v>
      </c>
      <c r="J106" s="101">
        <v>253.65859999999998</v>
      </c>
      <c r="K106" s="35">
        <v>43629</v>
      </c>
      <c r="L106" s="67">
        <v>245.048</v>
      </c>
      <c r="M106" s="1"/>
      <c r="N106" s="9"/>
    </row>
    <row r="107" spans="9:14" x14ac:dyDescent="0.75">
      <c r="I107" s="35">
        <v>43628</v>
      </c>
      <c r="J107" s="101">
        <v>253.46289999999999</v>
      </c>
      <c r="K107" s="35">
        <v>43628</v>
      </c>
      <c r="L107" s="67">
        <v>244.87100000000001</v>
      </c>
      <c r="M107" s="1"/>
      <c r="N107" s="9"/>
    </row>
    <row r="108" spans="9:14" x14ac:dyDescent="0.75">
      <c r="I108" s="35">
        <v>43627</v>
      </c>
      <c r="J108" s="101">
        <v>254.17779999999999</v>
      </c>
      <c r="K108" s="35">
        <v>43627</v>
      </c>
      <c r="L108" s="67">
        <v>245.02099999999999</v>
      </c>
      <c r="M108" s="1"/>
      <c r="N108" s="9"/>
    </row>
    <row r="109" spans="9:14" x14ac:dyDescent="0.75">
      <c r="I109" s="35">
        <v>43626</v>
      </c>
      <c r="J109" s="101">
        <v>253.41849999999999</v>
      </c>
      <c r="K109" s="35">
        <v>43626</v>
      </c>
      <c r="L109" s="67">
        <v>244.65899999999999</v>
      </c>
      <c r="M109" s="1"/>
      <c r="N109" s="9"/>
    </row>
    <row r="110" spans="9:14" x14ac:dyDescent="0.75">
      <c r="I110" s="35">
        <v>43623</v>
      </c>
      <c r="J110" s="101">
        <v>252.08420000000001</v>
      </c>
      <c r="K110" s="35">
        <v>43623</v>
      </c>
      <c r="L110" s="67">
        <v>245.45099999999999</v>
      </c>
      <c r="M110" s="1"/>
      <c r="N110" s="9"/>
    </row>
    <row r="111" spans="9:14" x14ac:dyDescent="0.75">
      <c r="I111" s="35">
        <v>43622</v>
      </c>
      <c r="J111" s="101">
        <v>249.5592</v>
      </c>
      <c r="K111" s="35">
        <v>43622</v>
      </c>
      <c r="L111" s="67">
        <v>244.46100000000001</v>
      </c>
      <c r="M111" s="1"/>
      <c r="N111" s="9"/>
    </row>
    <row r="112" spans="9:14" x14ac:dyDescent="0.75">
      <c r="I112" s="35">
        <v>43621</v>
      </c>
      <c r="J112" s="101">
        <v>248.69929999999999</v>
      </c>
      <c r="K112" s="35">
        <v>43621</v>
      </c>
      <c r="L112" s="67">
        <v>244.024</v>
      </c>
      <c r="M112" s="1"/>
      <c r="N112" s="9"/>
    </row>
    <row r="113" spans="9:14" x14ac:dyDescent="0.75">
      <c r="I113" s="35">
        <v>43620</v>
      </c>
      <c r="J113" s="101">
        <v>246.79220000000001</v>
      </c>
      <c r="K113" s="35">
        <v>43620</v>
      </c>
      <c r="L113" s="67">
        <v>243.63399999999999</v>
      </c>
      <c r="M113" s="1"/>
      <c r="N113" s="9"/>
    </row>
    <row r="114" spans="9:14" x14ac:dyDescent="0.75">
      <c r="I114" s="35">
        <v>43619</v>
      </c>
      <c r="J114" s="101">
        <v>243.44670000000002</v>
      </c>
      <c r="K114" s="35">
        <v>43619</v>
      </c>
      <c r="L114" s="67">
        <v>243.197</v>
      </c>
      <c r="M114" s="1"/>
      <c r="N114" s="9"/>
    </row>
    <row r="115" spans="9:14" x14ac:dyDescent="0.75">
      <c r="I115" s="35">
        <v>43616</v>
      </c>
      <c r="J115" s="101">
        <v>243.25909999999999</v>
      </c>
      <c r="K115" s="35">
        <v>43616</v>
      </c>
      <c r="L115" s="67">
        <v>242.88200000000001</v>
      </c>
      <c r="M115" s="1"/>
      <c r="N115" s="9"/>
    </row>
    <row r="116" spans="9:14" x14ac:dyDescent="0.75">
      <c r="I116" s="35">
        <v>43615</v>
      </c>
      <c r="J116" s="101">
        <v>245.25960000000001</v>
      </c>
      <c r="K116" s="35">
        <v>43615</v>
      </c>
      <c r="L116" s="67">
        <v>242.405</v>
      </c>
      <c r="M116" s="1"/>
      <c r="N116" s="9"/>
    </row>
    <row r="117" spans="9:14" x14ac:dyDescent="0.75">
      <c r="I117" s="35">
        <v>43614</v>
      </c>
      <c r="J117" s="101">
        <v>244.77640000000002</v>
      </c>
      <c r="K117" s="35">
        <v>43614</v>
      </c>
      <c r="L117" s="67">
        <v>242.51499999999999</v>
      </c>
      <c r="M117" s="1"/>
      <c r="N117" s="9"/>
    </row>
    <row r="118" spans="9:14" x14ac:dyDescent="0.75">
      <c r="I118" s="35">
        <v>43613</v>
      </c>
      <c r="J118" s="101">
        <v>246.90360000000001</v>
      </c>
      <c r="K118" s="35">
        <v>43613</v>
      </c>
      <c r="L118" s="67">
        <v>242.01599999999999</v>
      </c>
      <c r="M118" s="1"/>
      <c r="N118" s="9"/>
    </row>
    <row r="119" spans="9:14" x14ac:dyDescent="0.75">
      <c r="I119" s="35">
        <v>43609</v>
      </c>
      <c r="J119" s="101">
        <v>247.93339999999998</v>
      </c>
      <c r="K119" s="35">
        <v>43609</v>
      </c>
      <c r="L119" s="67">
        <v>241.91</v>
      </c>
      <c r="M119" s="1"/>
      <c r="N119" s="9"/>
    </row>
    <row r="120" spans="9:14" x14ac:dyDescent="0.75">
      <c r="I120" s="35">
        <v>43608</v>
      </c>
      <c r="J120" s="101">
        <v>247.06109999999998</v>
      </c>
      <c r="K120" s="35">
        <v>43608</v>
      </c>
      <c r="L120" s="67">
        <v>241.54499999999999</v>
      </c>
      <c r="M120" s="1"/>
      <c r="N120" s="9"/>
    </row>
    <row r="121" spans="9:14" x14ac:dyDescent="0.75">
      <c r="I121" s="35">
        <v>43607</v>
      </c>
      <c r="J121" s="101">
        <v>249.9357</v>
      </c>
      <c r="K121" s="35">
        <v>43607</v>
      </c>
      <c r="L121" s="67">
        <v>241.30600000000001</v>
      </c>
      <c r="M121" s="1"/>
      <c r="N121" s="9"/>
    </row>
    <row r="122" spans="9:14" x14ac:dyDescent="0.75">
      <c r="I122" s="35">
        <v>43606</v>
      </c>
      <c r="J122" s="101">
        <v>250.5701</v>
      </c>
      <c r="K122" s="35">
        <v>43606</v>
      </c>
      <c r="L122" s="67">
        <v>241.10900000000001</v>
      </c>
      <c r="M122" s="1"/>
      <c r="N122" s="9"/>
    </row>
    <row r="123" spans="9:14" x14ac:dyDescent="0.75">
      <c r="I123" s="35">
        <v>43605</v>
      </c>
      <c r="J123" s="101">
        <v>249.02609999999999</v>
      </c>
      <c r="K123" s="35">
        <v>43605</v>
      </c>
      <c r="L123" s="67">
        <v>241.245</v>
      </c>
      <c r="M123" s="1"/>
      <c r="N123" s="9"/>
    </row>
    <row r="124" spans="9:14" x14ac:dyDescent="0.75">
      <c r="I124" s="35">
        <v>43602</v>
      </c>
      <c r="J124" s="101">
        <v>250.28149999999999</v>
      </c>
      <c r="K124" s="35">
        <v>43602</v>
      </c>
      <c r="L124" s="67">
        <v>241.607</v>
      </c>
      <c r="M124" s="1"/>
      <c r="N124" s="9"/>
    </row>
    <row r="125" spans="9:14" x14ac:dyDescent="0.75">
      <c r="I125" s="35">
        <v>43601</v>
      </c>
      <c r="J125" s="101">
        <v>251.66819999999998</v>
      </c>
      <c r="K125" s="35">
        <v>43601</v>
      </c>
      <c r="L125" s="67">
        <v>241.434</v>
      </c>
      <c r="M125" s="1"/>
      <c r="N125" s="9"/>
    </row>
    <row r="126" spans="9:14" x14ac:dyDescent="0.75">
      <c r="I126" s="35">
        <v>43600</v>
      </c>
      <c r="J126" s="101">
        <v>250.0591</v>
      </c>
      <c r="K126" s="35">
        <v>43600</v>
      </c>
      <c r="L126" s="67">
        <v>241.202</v>
      </c>
      <c r="M126" s="1"/>
      <c r="N126" s="9"/>
    </row>
    <row r="127" spans="9:14" x14ac:dyDescent="0.75">
      <c r="I127" s="35">
        <v>43599</v>
      </c>
      <c r="J127" s="101">
        <v>248.76590000000002</v>
      </c>
      <c r="K127" s="35">
        <v>43599</v>
      </c>
      <c r="L127" s="67">
        <v>240.91</v>
      </c>
      <c r="M127" s="1"/>
      <c r="N127" s="9"/>
    </row>
    <row r="128" spans="9:14" x14ac:dyDescent="0.75">
      <c r="I128" s="35">
        <v>43598</v>
      </c>
      <c r="J128" s="101">
        <v>247.4991</v>
      </c>
      <c r="K128" s="35">
        <v>43598</v>
      </c>
      <c r="L128" s="67">
        <v>240.845</v>
      </c>
      <c r="M128" s="1"/>
      <c r="N128" s="9"/>
    </row>
    <row r="129" spans="9:14" x14ac:dyDescent="0.75">
      <c r="I129" s="35">
        <v>43595</v>
      </c>
      <c r="J129" s="101">
        <v>252.1284</v>
      </c>
      <c r="K129" s="35">
        <v>43595</v>
      </c>
      <c r="L129" s="67">
        <v>240.71700000000001</v>
      </c>
      <c r="M129" s="1"/>
      <c r="N129" s="9"/>
    </row>
    <row r="130" spans="9:14" x14ac:dyDescent="0.75">
      <c r="I130" s="35">
        <v>43594</v>
      </c>
      <c r="J130" s="101">
        <v>251.20949999999999</v>
      </c>
      <c r="K130" s="35">
        <v>43594</v>
      </c>
      <c r="L130" s="67">
        <v>240.786</v>
      </c>
      <c r="M130" s="1"/>
      <c r="N130" s="9"/>
    </row>
    <row r="131" spans="9:14" x14ac:dyDescent="0.75">
      <c r="I131" s="35">
        <v>43593</v>
      </c>
      <c r="J131" s="101">
        <v>253.06709999999998</v>
      </c>
      <c r="K131" s="35">
        <v>43593</v>
      </c>
      <c r="L131" s="67">
        <v>241.113</v>
      </c>
      <c r="M131" s="1"/>
      <c r="N131" s="9"/>
    </row>
    <row r="132" spans="9:14" x14ac:dyDescent="0.75">
      <c r="I132" s="35">
        <v>43592</v>
      </c>
      <c r="J132" s="101">
        <v>253.6018</v>
      </c>
      <c r="K132" s="35">
        <v>43592</v>
      </c>
      <c r="L132" s="67">
        <v>241.10400000000001</v>
      </c>
      <c r="M132" s="1"/>
      <c r="N132" s="9"/>
    </row>
    <row r="133" spans="9:14" x14ac:dyDescent="0.75">
      <c r="I133" s="35">
        <v>43591</v>
      </c>
      <c r="J133" s="101">
        <v>257.00599999999997</v>
      </c>
      <c r="K133" s="35">
        <v>43591</v>
      </c>
      <c r="L133" s="67">
        <v>240.72800000000001</v>
      </c>
      <c r="M133" s="1"/>
      <c r="N133" s="9"/>
    </row>
    <row r="134" spans="9:14" x14ac:dyDescent="0.75">
      <c r="I134" s="35">
        <v>43588</v>
      </c>
      <c r="J134" s="101">
        <v>258.68110000000001</v>
      </c>
      <c r="K134" s="35">
        <v>43588</v>
      </c>
      <c r="L134" s="67">
        <v>240.74</v>
      </c>
      <c r="M134" s="1"/>
      <c r="N134" s="9"/>
    </row>
    <row r="135" spans="9:14" x14ac:dyDescent="0.75">
      <c r="I135" s="35">
        <v>43587</v>
      </c>
      <c r="J135" s="101">
        <v>256.80369999999999</v>
      </c>
      <c r="K135" s="35">
        <v>43587</v>
      </c>
      <c r="L135" s="67">
        <v>240.68199999999999</v>
      </c>
      <c r="M135" s="1"/>
      <c r="N135" s="9"/>
    </row>
    <row r="136" spans="9:14" x14ac:dyDescent="0.75">
      <c r="I136" s="35">
        <v>43586</v>
      </c>
      <c r="J136" s="101">
        <v>257.72860000000003</v>
      </c>
      <c r="K136" s="35">
        <v>43586</v>
      </c>
      <c r="L136" s="67">
        <v>240.60900000000001</v>
      </c>
      <c r="M136" s="1"/>
      <c r="N136" s="9"/>
    </row>
    <row r="137" spans="9:14" x14ac:dyDescent="0.75">
      <c r="I137" s="35">
        <v>43585</v>
      </c>
      <c r="J137" s="101">
        <v>258.59890000000001</v>
      </c>
      <c r="K137" s="35">
        <v>43585</v>
      </c>
      <c r="L137" s="67">
        <v>240.61</v>
      </c>
      <c r="M137" s="1"/>
      <c r="N137" s="9"/>
    </row>
    <row r="138" spans="9:14" x14ac:dyDescent="0.75">
      <c r="I138" s="35">
        <v>43584</v>
      </c>
      <c r="J138" s="101">
        <v>258.35730000000001</v>
      </c>
      <c r="K138" s="35">
        <v>43584</v>
      </c>
      <c r="L138" s="67">
        <v>240.59</v>
      </c>
      <c r="M138" s="1"/>
      <c r="N138" s="9"/>
    </row>
    <row r="139" spans="9:14" x14ac:dyDescent="0.75">
      <c r="I139" s="35">
        <v>43581</v>
      </c>
      <c r="J139" s="101">
        <v>257.99969999999996</v>
      </c>
      <c r="K139" s="35">
        <v>43581</v>
      </c>
      <c r="L139" s="67">
        <v>240.58600000000001</v>
      </c>
      <c r="M139" s="1"/>
      <c r="N139" s="9"/>
    </row>
    <row r="140" spans="9:14" x14ac:dyDescent="0.75">
      <c r="I140" s="35">
        <v>43580</v>
      </c>
      <c r="J140" s="101">
        <v>257.0548</v>
      </c>
      <c r="K140" s="35">
        <v>43580</v>
      </c>
      <c r="L140" s="67">
        <v>240.09899999999999</v>
      </c>
      <c r="M140" s="1"/>
      <c r="N140" s="9"/>
    </row>
    <row r="141" spans="9:14" x14ac:dyDescent="0.75">
      <c r="I141" s="35">
        <v>43579</v>
      </c>
      <c r="J141" s="101">
        <v>257.60109999999997</v>
      </c>
      <c r="K141" s="35">
        <v>43579</v>
      </c>
      <c r="L141" s="67">
        <v>240.36799999999999</v>
      </c>
      <c r="M141" s="1"/>
      <c r="N141" s="9"/>
    </row>
    <row r="142" spans="9:14" x14ac:dyDescent="0.75">
      <c r="I142" s="35">
        <v>43578</v>
      </c>
      <c r="J142" s="101">
        <v>258.32299999999998</v>
      </c>
      <c r="K142" s="35">
        <v>43578</v>
      </c>
      <c r="L142" s="67">
        <v>239.59200000000001</v>
      </c>
      <c r="M142" s="1"/>
      <c r="N142" s="9"/>
    </row>
    <row r="143" spans="9:14" x14ac:dyDescent="0.75">
      <c r="I143" s="35">
        <v>43577</v>
      </c>
      <c r="J143" s="101">
        <v>256.92869999999999</v>
      </c>
      <c r="K143" s="35">
        <v>43577</v>
      </c>
      <c r="L143" s="67">
        <v>240.1</v>
      </c>
      <c r="M143" s="1"/>
      <c r="N143" s="9"/>
    </row>
    <row r="144" spans="9:14" x14ac:dyDescent="0.75">
      <c r="I144" s="35">
        <v>43573</v>
      </c>
      <c r="J144" s="101">
        <v>256.87800000000004</v>
      </c>
      <c r="K144" s="35">
        <v>43573</v>
      </c>
      <c r="L144" s="67">
        <v>240.09899999999999</v>
      </c>
      <c r="M144" s="1"/>
      <c r="N144" s="9"/>
    </row>
    <row r="145" spans="9:14" x14ac:dyDescent="0.75">
      <c r="I145" s="35">
        <v>43572</v>
      </c>
      <c r="J145" s="101">
        <v>257.05110000000002</v>
      </c>
      <c r="K145" s="35">
        <v>43572</v>
      </c>
      <c r="L145" s="67">
        <v>239.346</v>
      </c>
      <c r="M145" s="1"/>
      <c r="N145" s="9"/>
    </row>
    <row r="146" spans="9:14" x14ac:dyDescent="0.75">
      <c r="I146" s="35">
        <v>43571</v>
      </c>
      <c r="J146" s="101">
        <v>257.18259999999998</v>
      </c>
      <c r="K146" s="35">
        <v>43571</v>
      </c>
      <c r="L146" s="67">
        <v>239.54400000000001</v>
      </c>
      <c r="M146" s="1"/>
      <c r="N146" s="9"/>
    </row>
    <row r="147" spans="9:14" x14ac:dyDescent="0.75">
      <c r="I147" s="35">
        <v>43570</v>
      </c>
      <c r="J147" s="101">
        <v>256.7706</v>
      </c>
      <c r="K147" s="35">
        <v>43570</v>
      </c>
      <c r="L147" s="67">
        <v>239.666</v>
      </c>
      <c r="M147" s="1"/>
      <c r="N147" s="9"/>
    </row>
    <row r="148" spans="9:14" x14ac:dyDescent="0.75">
      <c r="I148" s="35">
        <v>43567</v>
      </c>
      <c r="J148" s="101">
        <v>256.62779999999998</v>
      </c>
      <c r="K148" s="35">
        <v>43567</v>
      </c>
      <c r="L148" s="67">
        <v>240.00200000000001</v>
      </c>
      <c r="M148" s="1"/>
      <c r="N148" s="9"/>
    </row>
    <row r="149" spans="9:14" x14ac:dyDescent="0.75">
      <c r="I149" s="35">
        <v>43566</v>
      </c>
      <c r="J149" s="101">
        <v>255.32710000000003</v>
      </c>
      <c r="K149" s="35">
        <v>43566</v>
      </c>
      <c r="L149" s="67">
        <v>240.755</v>
      </c>
      <c r="M149" s="1"/>
      <c r="N149" s="9"/>
    </row>
    <row r="150" spans="9:14" x14ac:dyDescent="0.75">
      <c r="I150" s="35">
        <v>43565</v>
      </c>
      <c r="J150" s="101">
        <v>255.58200000000002</v>
      </c>
      <c r="K150" s="35">
        <v>43565</v>
      </c>
      <c r="L150" s="67">
        <v>240.69800000000001</v>
      </c>
      <c r="M150" s="1"/>
      <c r="N150" s="9"/>
    </row>
    <row r="151" spans="9:14" x14ac:dyDescent="0.75">
      <c r="I151" s="35">
        <v>43564</v>
      </c>
      <c r="J151" s="101">
        <v>254.98359999999997</v>
      </c>
      <c r="K151" s="35">
        <v>43564</v>
      </c>
      <c r="L151" s="67">
        <v>240.28100000000001</v>
      </c>
      <c r="M151" s="1"/>
      <c r="N151" s="9"/>
    </row>
    <row r="152" spans="9:14" x14ac:dyDescent="0.75">
      <c r="I152" s="35">
        <v>43563</v>
      </c>
      <c r="J152" s="101">
        <v>255.82579999999999</v>
      </c>
      <c r="K152" s="35">
        <v>43563</v>
      </c>
      <c r="L152" s="67">
        <v>240.04300000000001</v>
      </c>
      <c r="M152" s="1"/>
      <c r="N152" s="9"/>
    </row>
    <row r="153" spans="9:14" x14ac:dyDescent="0.75">
      <c r="I153" s="35">
        <v>43560</v>
      </c>
      <c r="J153" s="101">
        <v>255.4058</v>
      </c>
      <c r="K153" s="35">
        <v>43560</v>
      </c>
      <c r="L153" s="67">
        <v>240.04</v>
      </c>
      <c r="M153" s="1"/>
      <c r="N153" s="9"/>
    </row>
    <row r="154" spans="9:14" x14ac:dyDescent="0.75">
      <c r="I154" s="35">
        <v>43559</v>
      </c>
      <c r="J154" s="101">
        <v>254.5223</v>
      </c>
      <c r="K154" s="35">
        <v>43559</v>
      </c>
      <c r="L154" s="67">
        <v>239.96799999999999</v>
      </c>
      <c r="M154" s="1"/>
      <c r="N154" s="9"/>
    </row>
    <row r="155" spans="9:14" x14ac:dyDescent="0.75">
      <c r="I155" s="35">
        <v>43558</v>
      </c>
      <c r="J155" s="101">
        <v>254.4716</v>
      </c>
      <c r="K155" s="35">
        <v>43558</v>
      </c>
      <c r="L155" s="67">
        <v>239.577</v>
      </c>
      <c r="M155" s="1"/>
      <c r="N155" s="9"/>
    </row>
    <row r="156" spans="9:14" x14ac:dyDescent="0.75">
      <c r="I156" s="35">
        <v>43557</v>
      </c>
      <c r="J156" s="101">
        <v>253.03980000000001</v>
      </c>
      <c r="K156" s="35">
        <v>43557</v>
      </c>
      <c r="L156" s="67">
        <v>240.119</v>
      </c>
      <c r="M156" s="1"/>
      <c r="N156" s="9"/>
    </row>
    <row r="157" spans="9:14" x14ac:dyDescent="0.75">
      <c r="I157" s="35">
        <v>43556</v>
      </c>
      <c r="J157" s="101">
        <v>253.01129999999998</v>
      </c>
      <c r="K157" s="35">
        <v>43556</v>
      </c>
      <c r="L157" s="67">
        <v>239.851</v>
      </c>
      <c r="M157" s="1"/>
      <c r="N157" s="9"/>
    </row>
    <row r="158" spans="9:14" x14ac:dyDescent="0.75">
      <c r="I158" s="35">
        <v>43553</v>
      </c>
      <c r="J158" s="101">
        <v>250.1524</v>
      </c>
      <c r="K158" s="35">
        <v>43553</v>
      </c>
      <c r="L158" s="67">
        <v>240.464</v>
      </c>
      <c r="M158" s="1"/>
      <c r="N158" s="9"/>
    </row>
    <row r="159" spans="9:14" x14ac:dyDescent="0.75">
      <c r="I159" s="35">
        <v>43552</v>
      </c>
      <c r="J159" s="101">
        <v>248.4409</v>
      </c>
      <c r="K159" s="35">
        <v>43552</v>
      </c>
      <c r="L159" s="67">
        <v>240.65299999999999</v>
      </c>
      <c r="M159" s="1"/>
      <c r="N159" s="9"/>
    </row>
    <row r="160" spans="9:14" x14ac:dyDescent="0.75">
      <c r="I160" s="35">
        <v>43551</v>
      </c>
      <c r="J160" s="101">
        <v>248.23699999999999</v>
      </c>
      <c r="K160" s="35">
        <v>43551</v>
      </c>
      <c r="L160" s="67">
        <v>240.94</v>
      </c>
      <c r="M160" s="1"/>
      <c r="N160" s="9"/>
    </row>
    <row r="161" spans="9:14" x14ac:dyDescent="0.75">
      <c r="I161" s="35">
        <v>43550</v>
      </c>
      <c r="J161" s="101">
        <v>249.12759999999997</v>
      </c>
      <c r="K161" s="35">
        <v>43550</v>
      </c>
      <c r="L161" s="67">
        <v>240.126</v>
      </c>
      <c r="M161" s="1"/>
      <c r="N161" s="9"/>
    </row>
    <row r="162" spans="9:14" x14ac:dyDescent="0.75">
      <c r="I162" s="35">
        <v>43549</v>
      </c>
      <c r="J162" s="101">
        <v>247.42060000000001</v>
      </c>
      <c r="K162" s="35">
        <v>43549</v>
      </c>
      <c r="L162" s="67">
        <v>240.01599999999999</v>
      </c>
      <c r="M162" s="1"/>
      <c r="N162" s="9"/>
    </row>
    <row r="163" spans="9:14" x14ac:dyDescent="0.75">
      <c r="I163" s="35">
        <v>43546</v>
      </c>
      <c r="J163" s="101">
        <v>248.5523</v>
      </c>
      <c r="K163" s="35">
        <v>43546</v>
      </c>
      <c r="L163" s="67">
        <v>240.18799999999999</v>
      </c>
      <c r="M163" s="1"/>
      <c r="N163" s="9"/>
    </row>
    <row r="164" spans="9:14" x14ac:dyDescent="0.75">
      <c r="I164" s="35">
        <v>43545</v>
      </c>
      <c r="J164" s="101">
        <v>252.28159999999997</v>
      </c>
      <c r="K164" s="35">
        <v>43545</v>
      </c>
      <c r="L164" s="67">
        <v>239.43100000000001</v>
      </c>
      <c r="M164" s="1"/>
      <c r="N164" s="9"/>
    </row>
    <row r="165" spans="9:14" x14ac:dyDescent="0.75">
      <c r="I165" s="35">
        <v>43544</v>
      </c>
      <c r="J165" s="101">
        <v>250.5609</v>
      </c>
      <c r="K165" s="35">
        <v>43544</v>
      </c>
      <c r="L165" s="67">
        <v>238.643</v>
      </c>
      <c r="M165" s="1"/>
      <c r="N165" s="9"/>
    </row>
    <row r="166" spans="9:14" x14ac:dyDescent="0.75">
      <c r="I166" s="35">
        <v>43543</v>
      </c>
      <c r="J166" s="101">
        <v>251.50149999999999</v>
      </c>
      <c r="K166" s="35">
        <v>43543</v>
      </c>
      <c r="L166" s="67">
        <v>238.59200000000001</v>
      </c>
      <c r="M166" s="1"/>
      <c r="N166" s="9"/>
    </row>
    <row r="167" spans="9:14" x14ac:dyDescent="0.75">
      <c r="I167" s="35">
        <v>43542</v>
      </c>
      <c r="J167" s="101">
        <v>251.18290000000002</v>
      </c>
      <c r="K167" s="35">
        <v>43542</v>
      </c>
      <c r="L167" s="67">
        <v>238.85499999999999</v>
      </c>
      <c r="M167" s="1"/>
      <c r="N167" s="9"/>
    </row>
    <row r="168" spans="9:14" x14ac:dyDescent="0.75">
      <c r="I168" s="35">
        <v>43539</v>
      </c>
      <c r="J168" s="101">
        <v>249.88409999999999</v>
      </c>
      <c r="K168" s="35">
        <v>43539</v>
      </c>
      <c r="L168" s="67">
        <v>238.44499999999999</v>
      </c>
      <c r="M168" s="1"/>
      <c r="N168" s="9"/>
    </row>
    <row r="169" spans="9:14" x14ac:dyDescent="0.75">
      <c r="I169" s="35">
        <v>43538</v>
      </c>
      <c r="J169" s="101">
        <v>248.32300000000001</v>
      </c>
      <c r="K169" s="35">
        <v>43538</v>
      </c>
      <c r="L169" s="67">
        <v>238.37700000000001</v>
      </c>
      <c r="M169" s="1"/>
      <c r="N169" s="9"/>
    </row>
    <row r="170" spans="9:14" x14ac:dyDescent="0.75">
      <c r="I170" s="35">
        <v>43537</v>
      </c>
      <c r="J170" s="101">
        <v>248.2663</v>
      </c>
      <c r="K170" s="35">
        <v>43537</v>
      </c>
      <c r="L170" s="67">
        <v>238.239</v>
      </c>
      <c r="M170" s="1"/>
      <c r="N170" s="9"/>
    </row>
    <row r="171" spans="9:14" x14ac:dyDescent="0.75">
      <c r="I171" s="35">
        <v>43536</v>
      </c>
      <c r="J171" s="101">
        <v>246.99989999999997</v>
      </c>
      <c r="K171" s="35">
        <v>43536</v>
      </c>
      <c r="L171" s="67">
        <v>238.33</v>
      </c>
      <c r="M171" s="1"/>
      <c r="N171" s="9"/>
    </row>
    <row r="172" spans="9:14" x14ac:dyDescent="0.75">
      <c r="I172" s="35">
        <v>43535</v>
      </c>
      <c r="J172" s="101">
        <v>245.79059999999998</v>
      </c>
      <c r="K172" s="35">
        <v>43535</v>
      </c>
      <c r="L172" s="67">
        <v>238.38399999999999</v>
      </c>
      <c r="M172" s="1"/>
      <c r="N172" s="9"/>
    </row>
    <row r="173" spans="9:14" x14ac:dyDescent="0.75">
      <c r="I173" s="35">
        <v>43532</v>
      </c>
      <c r="J173" s="101">
        <v>243.0215</v>
      </c>
      <c r="K173" s="35">
        <v>43532</v>
      </c>
      <c r="L173" s="67">
        <v>238.53899999999999</v>
      </c>
      <c r="M173" s="1"/>
      <c r="N173" s="9"/>
    </row>
    <row r="174" spans="9:14" x14ac:dyDescent="0.75">
      <c r="I174" s="35">
        <v>43531</v>
      </c>
      <c r="J174" s="101">
        <v>244.45729999999998</v>
      </c>
      <c r="K174" s="35">
        <v>43531</v>
      </c>
      <c r="L174" s="67">
        <v>238.44800000000001</v>
      </c>
      <c r="M174" s="1"/>
      <c r="N174" s="9"/>
    </row>
    <row r="175" spans="9:14" x14ac:dyDescent="0.75">
      <c r="I175" s="35">
        <v>43530</v>
      </c>
      <c r="J175" s="101">
        <v>246.49090000000001</v>
      </c>
      <c r="K175" s="35">
        <v>43530</v>
      </c>
      <c r="L175" s="67">
        <v>237.35599999999999</v>
      </c>
      <c r="M175" s="1"/>
      <c r="N175" s="9"/>
    </row>
    <row r="176" spans="9:14" x14ac:dyDescent="0.75">
      <c r="I176" s="35">
        <v>43529</v>
      </c>
      <c r="J176" s="101">
        <v>247.38119999999998</v>
      </c>
      <c r="K176" s="35">
        <v>43529</v>
      </c>
      <c r="L176" s="67">
        <v>236.72200000000001</v>
      </c>
      <c r="M176" s="1"/>
      <c r="N176" s="9"/>
    </row>
    <row r="177" spans="9:14" x14ac:dyDescent="0.75">
      <c r="I177" s="35">
        <v>43528</v>
      </c>
      <c r="J177" s="101">
        <v>247.6362</v>
      </c>
      <c r="K177" s="35">
        <v>43528</v>
      </c>
      <c r="L177" s="67">
        <v>236.62</v>
      </c>
      <c r="M177" s="1"/>
      <c r="N177" s="9"/>
    </row>
    <row r="178" spans="9:14" x14ac:dyDescent="0.75">
      <c r="I178" s="35">
        <v>43525</v>
      </c>
      <c r="J178" s="101">
        <v>248.17220000000003</v>
      </c>
      <c r="K178" s="35">
        <v>43525</v>
      </c>
      <c r="L178" s="67">
        <v>236.32900000000001</v>
      </c>
      <c r="M178" s="1"/>
      <c r="N178" s="9"/>
    </row>
    <row r="179" spans="9:14" x14ac:dyDescent="0.75">
      <c r="I179" s="35">
        <v>43524</v>
      </c>
      <c r="J179" s="101">
        <v>247.0455</v>
      </c>
      <c r="K179" s="35">
        <v>43524</v>
      </c>
      <c r="L179" s="67">
        <v>236.46899999999999</v>
      </c>
      <c r="M179" s="1"/>
      <c r="N179" s="9"/>
    </row>
    <row r="180" spans="9:14" x14ac:dyDescent="0.75">
      <c r="I180" s="35">
        <v>43523</v>
      </c>
      <c r="J180" s="101">
        <v>247.9239</v>
      </c>
      <c r="K180" s="35">
        <v>43523</v>
      </c>
      <c r="L180" s="67">
        <v>236.59700000000001</v>
      </c>
      <c r="M180" s="1"/>
      <c r="N180" s="9"/>
    </row>
    <row r="181" spans="9:14" x14ac:dyDescent="0.75">
      <c r="I181" s="35">
        <v>43522</v>
      </c>
      <c r="J181" s="101">
        <v>247.9598</v>
      </c>
      <c r="K181" s="35">
        <v>43522</v>
      </c>
      <c r="L181" s="67">
        <v>237.108</v>
      </c>
      <c r="M181" s="1"/>
      <c r="N181" s="9"/>
    </row>
    <row r="182" spans="9:14" x14ac:dyDescent="0.75">
      <c r="I182" s="35">
        <v>43521</v>
      </c>
      <c r="J182" s="101">
        <v>248.03059999999999</v>
      </c>
      <c r="K182" s="35">
        <v>43521</v>
      </c>
      <c r="L182" s="67">
        <v>237.03</v>
      </c>
      <c r="M182" s="1"/>
      <c r="N182" s="9"/>
    </row>
    <row r="183" spans="9:14" x14ac:dyDescent="0.75">
      <c r="I183" s="35">
        <v>43518</v>
      </c>
      <c r="J183" s="101">
        <v>247.26069999999999</v>
      </c>
      <c r="K183" s="35">
        <v>43518</v>
      </c>
      <c r="L183" s="67">
        <v>236.88200000000001</v>
      </c>
      <c r="M183" s="1"/>
      <c r="N183" s="9"/>
    </row>
    <row r="184" spans="9:14" x14ac:dyDescent="0.75">
      <c r="I184" s="35">
        <v>43517</v>
      </c>
      <c r="J184" s="101">
        <v>246.0265</v>
      </c>
      <c r="K184" s="35">
        <v>43517</v>
      </c>
      <c r="L184" s="67">
        <v>236.619</v>
      </c>
      <c r="M184" s="1"/>
      <c r="N184" s="9"/>
    </row>
    <row r="185" spans="9:14" x14ac:dyDescent="0.75">
      <c r="I185" s="35">
        <v>43516</v>
      </c>
      <c r="J185" s="101">
        <v>246.58260000000001</v>
      </c>
      <c r="K185" s="35">
        <v>43516</v>
      </c>
      <c r="L185" s="67">
        <v>236.816</v>
      </c>
      <c r="M185" s="1"/>
      <c r="N185" s="9"/>
    </row>
    <row r="186" spans="9:14" x14ac:dyDescent="0.75">
      <c r="I186" s="35">
        <v>43515</v>
      </c>
      <c r="J186" s="101">
        <v>245.41619999999998</v>
      </c>
      <c r="K186" s="35">
        <v>43515</v>
      </c>
      <c r="L186" s="67">
        <v>236.834</v>
      </c>
      <c r="M186" s="1"/>
      <c r="N186" s="9"/>
    </row>
    <row r="187" spans="9:14" x14ac:dyDescent="0.75">
      <c r="I187" s="35">
        <v>43511</v>
      </c>
      <c r="J187" s="101">
        <v>244.25799999999998</v>
      </c>
      <c r="K187" s="35">
        <v>43511</v>
      </c>
      <c r="L187" s="67">
        <v>236.66300000000001</v>
      </c>
      <c r="M187" s="1"/>
      <c r="N187" s="9"/>
    </row>
    <row r="188" spans="9:14" x14ac:dyDescent="0.75">
      <c r="I188" s="35">
        <v>43510</v>
      </c>
      <c r="J188" s="101">
        <v>242.49639999999999</v>
      </c>
      <c r="K188" s="35">
        <v>43510</v>
      </c>
      <c r="L188" s="67">
        <v>236.733</v>
      </c>
      <c r="M188" s="1"/>
      <c r="N188" s="9"/>
    </row>
    <row r="189" spans="9:14" x14ac:dyDescent="0.75">
      <c r="I189" s="35">
        <v>43509</v>
      </c>
      <c r="J189" s="101">
        <v>243.03710000000001</v>
      </c>
      <c r="K189" s="35">
        <v>43509</v>
      </c>
      <c r="L189" s="67">
        <v>236.482</v>
      </c>
      <c r="M189" s="1"/>
      <c r="N189" s="9"/>
    </row>
    <row r="190" spans="9:14" x14ac:dyDescent="0.75">
      <c r="I190" s="35">
        <v>43508</v>
      </c>
      <c r="J190" s="101">
        <v>242.22179999999997</v>
      </c>
      <c r="K190" s="35">
        <v>43508</v>
      </c>
      <c r="L190" s="67">
        <v>236.25700000000001</v>
      </c>
      <c r="M190" s="1"/>
      <c r="N190" s="9"/>
    </row>
    <row r="191" spans="9:14" x14ac:dyDescent="0.75">
      <c r="I191" s="35">
        <v>43507</v>
      </c>
      <c r="J191" s="101">
        <v>239.56970000000001</v>
      </c>
      <c r="K191" s="35">
        <v>43507</v>
      </c>
      <c r="L191" s="67">
        <v>236.25899999999999</v>
      </c>
      <c r="M191" s="1"/>
      <c r="N191" s="9"/>
    </row>
    <row r="192" spans="9:14" x14ac:dyDescent="0.75">
      <c r="I192" s="35">
        <v>43504</v>
      </c>
      <c r="J192" s="101">
        <v>239.46999999999997</v>
      </c>
      <c r="K192" s="35">
        <v>43504</v>
      </c>
      <c r="L192" s="67">
        <v>236.30699999999999</v>
      </c>
      <c r="M192" s="1"/>
      <c r="N192" s="9"/>
    </row>
    <row r="193" spans="9:14" x14ac:dyDescent="0.75">
      <c r="I193" s="35">
        <v>43503</v>
      </c>
      <c r="J193" s="101">
        <v>240.27109999999999</v>
      </c>
      <c r="K193" s="35">
        <v>43503</v>
      </c>
      <c r="L193" s="67">
        <v>236.27099999999999</v>
      </c>
      <c r="M193" s="1"/>
      <c r="N193" s="9"/>
    </row>
    <row r="194" spans="9:14" x14ac:dyDescent="0.75">
      <c r="I194" s="35">
        <v>43502</v>
      </c>
      <c r="J194" s="101">
        <v>242.5419</v>
      </c>
      <c r="K194" s="35">
        <v>43502</v>
      </c>
      <c r="L194" s="67">
        <v>236.11600000000001</v>
      </c>
      <c r="M194" s="1"/>
      <c r="N194" s="9"/>
    </row>
    <row r="195" spans="9:14" x14ac:dyDescent="0.75">
      <c r="I195" s="35">
        <v>43501</v>
      </c>
      <c r="J195" s="101">
        <v>243.0686</v>
      </c>
      <c r="K195" s="35">
        <v>43501</v>
      </c>
      <c r="L195" s="67">
        <v>236.17099999999999</v>
      </c>
      <c r="M195" s="1"/>
      <c r="N195" s="9"/>
    </row>
    <row r="196" spans="9:14" x14ac:dyDescent="0.75">
      <c r="I196" s="35">
        <v>43500</v>
      </c>
      <c r="J196" s="101">
        <v>241.54180000000002</v>
      </c>
      <c r="K196" s="35">
        <v>43500</v>
      </c>
      <c r="L196" s="67">
        <v>236.21700000000001</v>
      </c>
      <c r="M196" s="1"/>
      <c r="N196" s="9"/>
    </row>
    <row r="197" spans="9:14" x14ac:dyDescent="0.75">
      <c r="I197" s="35">
        <v>43497</v>
      </c>
      <c r="J197" s="101">
        <v>240.7407</v>
      </c>
      <c r="K197" s="35">
        <v>43497</v>
      </c>
      <c r="L197" s="67">
        <v>236.446</v>
      </c>
      <c r="M197" s="1"/>
      <c r="N197" s="9"/>
    </row>
    <row r="198" spans="9:14" x14ac:dyDescent="0.75">
      <c r="I198" s="35">
        <v>43496</v>
      </c>
      <c r="J198" s="101">
        <v>240.60990000000001</v>
      </c>
      <c r="K198" s="35">
        <v>43496</v>
      </c>
      <c r="L198" s="67">
        <v>236.91900000000001</v>
      </c>
      <c r="M198" s="1"/>
      <c r="N198" s="9"/>
    </row>
    <row r="199" spans="9:14" x14ac:dyDescent="0.75">
      <c r="I199" s="35">
        <v>43495</v>
      </c>
      <c r="J199" s="101">
        <v>238.37640000000002</v>
      </c>
      <c r="K199" s="35">
        <v>43495</v>
      </c>
      <c r="L199" s="67">
        <v>236.37700000000001</v>
      </c>
      <c r="M199" s="1"/>
      <c r="N199" s="9"/>
    </row>
    <row r="200" spans="9:14" x14ac:dyDescent="0.75">
      <c r="I200" s="35">
        <v>43494</v>
      </c>
      <c r="J200" s="101">
        <v>235.9391</v>
      </c>
      <c r="K200" s="35">
        <v>43494</v>
      </c>
      <c r="L200" s="67">
        <v>236.25700000000001</v>
      </c>
      <c r="M200" s="1"/>
      <c r="N200" s="9"/>
    </row>
    <row r="201" spans="9:14" x14ac:dyDescent="0.75">
      <c r="I201" s="35">
        <v>43493</v>
      </c>
      <c r="J201" s="101">
        <v>235.84699999999998</v>
      </c>
      <c r="K201" s="35">
        <v>43493</v>
      </c>
      <c r="L201" s="67">
        <v>236.15</v>
      </c>
      <c r="M201" s="1"/>
      <c r="N201" s="9"/>
    </row>
    <row r="202" spans="9:14" x14ac:dyDescent="0.75">
      <c r="I202" s="35">
        <v>43490</v>
      </c>
      <c r="J202" s="101">
        <v>237.28789999999998</v>
      </c>
      <c r="K202" s="35">
        <v>43490</v>
      </c>
      <c r="L202" s="67">
        <v>236.32400000000001</v>
      </c>
      <c r="M202" s="1"/>
      <c r="N202" s="9"/>
    </row>
    <row r="203" spans="9:14" x14ac:dyDescent="0.75">
      <c r="I203" s="35">
        <v>43489</v>
      </c>
      <c r="J203" s="101">
        <v>234.98539999999997</v>
      </c>
      <c r="K203" s="35">
        <v>43489</v>
      </c>
      <c r="L203" s="67">
        <v>236.24</v>
      </c>
      <c r="M203" s="1"/>
      <c r="N203" s="9"/>
    </row>
    <row r="204" spans="9:14" x14ac:dyDescent="0.75">
      <c r="I204" s="35">
        <v>43488</v>
      </c>
      <c r="J204" s="101">
        <v>234.44340000000003</v>
      </c>
      <c r="K204" s="35">
        <v>43488</v>
      </c>
      <c r="L204" s="67">
        <v>235.386</v>
      </c>
      <c r="M204" s="1"/>
      <c r="N204" s="9"/>
    </row>
    <row r="205" spans="9:14" x14ac:dyDescent="0.75">
      <c r="I205" s="35">
        <v>43487</v>
      </c>
      <c r="J205" s="101">
        <v>234.2756</v>
      </c>
      <c r="K205" s="35">
        <v>43487</v>
      </c>
      <c r="L205" s="67">
        <v>235.249</v>
      </c>
      <c r="M205" s="1"/>
      <c r="N205" s="9"/>
    </row>
    <row r="206" spans="9:14" x14ac:dyDescent="0.75">
      <c r="I206" s="35">
        <v>43483</v>
      </c>
      <c r="J206" s="101">
        <v>236.75639999999999</v>
      </c>
      <c r="K206" s="35">
        <v>43483</v>
      </c>
      <c r="L206" s="67">
        <v>235.02500000000001</v>
      </c>
      <c r="M206" s="1"/>
      <c r="N206" s="9"/>
    </row>
    <row r="207" spans="9:14" x14ac:dyDescent="0.75">
      <c r="I207" s="35">
        <v>43482</v>
      </c>
      <c r="J207" s="101">
        <v>233.88159999999999</v>
      </c>
      <c r="K207" s="35">
        <v>43482</v>
      </c>
      <c r="L207" s="67">
        <v>234.982</v>
      </c>
      <c r="M207" s="1"/>
      <c r="N207" s="9"/>
    </row>
    <row r="208" spans="9:14" x14ac:dyDescent="0.75">
      <c r="I208" s="35">
        <v>43481</v>
      </c>
      <c r="J208" s="101">
        <v>232.9272</v>
      </c>
      <c r="K208" s="35">
        <v>43481</v>
      </c>
      <c r="L208" s="67">
        <v>235.06800000000001</v>
      </c>
      <c r="M208" s="1"/>
      <c r="N208" s="9"/>
    </row>
    <row r="209" spans="9:14" x14ac:dyDescent="0.75">
      <c r="I209" s="35">
        <v>43480</v>
      </c>
      <c r="J209" s="101">
        <v>232.50619999999998</v>
      </c>
      <c r="K209" s="35">
        <v>43480</v>
      </c>
      <c r="L209" s="67">
        <v>234.91900000000001</v>
      </c>
      <c r="M209" s="1"/>
      <c r="N209" s="9"/>
    </row>
    <row r="210" spans="9:14" x14ac:dyDescent="0.75">
      <c r="I210" s="35">
        <v>43479</v>
      </c>
      <c r="J210" s="101">
        <v>230.5489</v>
      </c>
      <c r="K210" s="35">
        <v>43479</v>
      </c>
      <c r="L210" s="67">
        <v>234.71799999999999</v>
      </c>
      <c r="M210" s="1"/>
      <c r="N210" s="9"/>
    </row>
    <row r="211" spans="9:14" x14ac:dyDescent="0.75">
      <c r="I211" s="35">
        <v>43476</v>
      </c>
      <c r="J211" s="101">
        <v>231.70639999999997</v>
      </c>
      <c r="K211" s="35">
        <v>43476</v>
      </c>
      <c r="L211" s="67">
        <v>234.405</v>
      </c>
      <c r="M211" s="1"/>
      <c r="N211" s="9"/>
    </row>
    <row r="212" spans="9:14" x14ac:dyDescent="0.75">
      <c r="I212" s="35">
        <v>43475</v>
      </c>
      <c r="J212" s="101">
        <v>231.6942</v>
      </c>
      <c r="K212" s="35">
        <v>43475</v>
      </c>
      <c r="L212" s="67">
        <v>234.15</v>
      </c>
      <c r="M212" s="1"/>
      <c r="N212" s="9"/>
    </row>
    <row r="213" spans="9:14" x14ac:dyDescent="0.75">
      <c r="I213" s="35">
        <v>43474</v>
      </c>
      <c r="J213" s="101">
        <v>230.84879999999998</v>
      </c>
      <c r="K213" s="35">
        <v>43474</v>
      </c>
      <c r="L213" s="67">
        <v>233.88499999999999</v>
      </c>
      <c r="M213" s="1"/>
      <c r="N213" s="9"/>
    </row>
    <row r="214" spans="9:14" x14ac:dyDescent="0.75">
      <c r="I214" s="35">
        <v>43473</v>
      </c>
      <c r="J214" s="101">
        <v>228.71439999999998</v>
      </c>
      <c r="K214" s="35">
        <v>43473</v>
      </c>
      <c r="L214" s="67">
        <v>233.54300000000001</v>
      </c>
      <c r="M214" s="1"/>
      <c r="N214" s="9"/>
    </row>
    <row r="215" spans="9:14" x14ac:dyDescent="0.75">
      <c r="I215" s="35">
        <v>43472</v>
      </c>
      <c r="J215" s="101">
        <v>227.1027</v>
      </c>
      <c r="K215" s="35">
        <v>43472</v>
      </c>
      <c r="L215" s="67">
        <v>233.828</v>
      </c>
      <c r="M215" s="1"/>
      <c r="N215" s="9"/>
    </row>
    <row r="216" spans="9:14" x14ac:dyDescent="0.75">
      <c r="I216" s="35">
        <v>43469</v>
      </c>
      <c r="J216" s="101">
        <v>225.12089999999998</v>
      </c>
      <c r="K216" s="35">
        <v>43469</v>
      </c>
      <c r="L216" s="67">
        <v>234.20099999999999</v>
      </c>
      <c r="M216" s="1"/>
      <c r="N216" s="9"/>
    </row>
    <row r="217" spans="9:14" x14ac:dyDescent="0.75">
      <c r="I217" s="35">
        <v>43468</v>
      </c>
      <c r="J217" s="101">
        <v>219.3768</v>
      </c>
      <c r="K217" s="35">
        <v>43468</v>
      </c>
      <c r="L217" s="67">
        <v>234.76</v>
      </c>
      <c r="M217" s="1"/>
      <c r="N217" s="9"/>
    </row>
    <row r="218" spans="9:14" x14ac:dyDescent="0.75">
      <c r="I218" s="35">
        <v>43467</v>
      </c>
      <c r="J218" s="101">
        <v>222.43879999999999</v>
      </c>
      <c r="K218" s="35">
        <v>43467</v>
      </c>
      <c r="L218" s="67">
        <v>235.21299999999999</v>
      </c>
      <c r="M218" s="1"/>
      <c r="N218" s="9"/>
    </row>
    <row r="219" spans="9:14" x14ac:dyDescent="0.75">
      <c r="I219" s="35">
        <v>43465</v>
      </c>
      <c r="J219" s="101">
        <v>222.99879999999999</v>
      </c>
      <c r="K219" s="35">
        <v>43465</v>
      </c>
      <c r="L219" s="67">
        <v>234.529</v>
      </c>
      <c r="M219" s="1"/>
      <c r="N219" s="9"/>
    </row>
    <row r="220" spans="9:14" x14ac:dyDescent="0.75">
      <c r="I220" s="35">
        <v>43462</v>
      </c>
      <c r="J220" s="101">
        <v>221.53659999999999</v>
      </c>
      <c r="K220" s="35">
        <v>43462</v>
      </c>
      <c r="L220" s="67">
        <v>234.53100000000001</v>
      </c>
      <c r="M220" s="1"/>
      <c r="N220" s="9"/>
    </row>
    <row r="221" spans="9:14" x14ac:dyDescent="0.75">
      <c r="I221" s="35">
        <v>43461</v>
      </c>
      <c r="J221" s="101">
        <v>220.3458</v>
      </c>
      <c r="K221" s="35">
        <v>43461</v>
      </c>
      <c r="L221" s="67">
        <v>234.73599999999999</v>
      </c>
      <c r="M221" s="1"/>
      <c r="N221" s="9"/>
    </row>
    <row r="222" spans="9:14" x14ac:dyDescent="0.75">
      <c r="I222" s="35">
        <v>43460</v>
      </c>
      <c r="J222" s="101">
        <v>219.0025</v>
      </c>
      <c r="K222" s="35">
        <v>43460</v>
      </c>
      <c r="L222" s="67">
        <v>234.31399999999999</v>
      </c>
      <c r="M222" s="1"/>
      <c r="N222" s="9"/>
    </row>
    <row r="223" spans="9:14" x14ac:dyDescent="0.75">
      <c r="I223" s="35">
        <v>43458</v>
      </c>
      <c r="J223" s="101">
        <v>214.06270000000001</v>
      </c>
      <c r="K223" s="35">
        <v>43458</v>
      </c>
      <c r="L223" s="67">
        <v>234.315</v>
      </c>
      <c r="M223" s="1"/>
      <c r="N223" s="9"/>
    </row>
    <row r="224" spans="9:14" x14ac:dyDescent="0.75">
      <c r="I224" s="35">
        <v>43455</v>
      </c>
      <c r="J224" s="101">
        <v>217.51669999999999</v>
      </c>
      <c r="K224" s="35">
        <v>43455</v>
      </c>
      <c r="L224" s="67">
        <v>234.38</v>
      </c>
      <c r="M224" s="1"/>
      <c r="N224" s="9"/>
    </row>
    <row r="225" spans="9:14" x14ac:dyDescent="0.75">
      <c r="I225" s="35">
        <v>43454</v>
      </c>
      <c r="J225" s="101">
        <v>220.48690000000002</v>
      </c>
      <c r="K225" s="35">
        <v>43454</v>
      </c>
      <c r="L225" s="67">
        <v>234.739</v>
      </c>
      <c r="M225" s="1"/>
      <c r="N225" s="9"/>
    </row>
    <row r="226" spans="9:14" x14ac:dyDescent="0.75">
      <c r="I226" s="35">
        <v>43453</v>
      </c>
      <c r="J226" s="101">
        <v>223.81149999999997</v>
      </c>
      <c r="K226" s="35">
        <v>43453</v>
      </c>
      <c r="L226" s="67">
        <v>234.35</v>
      </c>
      <c r="M226" s="1"/>
      <c r="N226" s="9"/>
    </row>
    <row r="227" spans="9:14" x14ac:dyDescent="0.75">
      <c r="I227" s="35">
        <v>43452</v>
      </c>
      <c r="J227" s="101">
        <v>225.28479999999999</v>
      </c>
      <c r="K227" s="35">
        <v>43452</v>
      </c>
      <c r="L227" s="67">
        <v>234.02600000000001</v>
      </c>
      <c r="M227" s="1"/>
      <c r="N227" s="9"/>
    </row>
    <row r="228" spans="9:14" x14ac:dyDescent="0.75">
      <c r="I228" s="35">
        <v>43451</v>
      </c>
      <c r="J228" s="101">
        <v>226.04040000000001</v>
      </c>
      <c r="K228" s="35">
        <v>43451</v>
      </c>
      <c r="L228" s="67">
        <v>233.822</v>
      </c>
      <c r="M228" s="1"/>
      <c r="N228" s="9"/>
    </row>
    <row r="229" spans="9:14" x14ac:dyDescent="0.75">
      <c r="I229" s="35">
        <v>43448</v>
      </c>
      <c r="J229" s="101">
        <v>229.08580000000001</v>
      </c>
      <c r="K229" s="35">
        <v>43448</v>
      </c>
      <c r="L229" s="67">
        <v>233.893</v>
      </c>
      <c r="M229" s="1"/>
      <c r="N229" s="9"/>
    </row>
    <row r="230" spans="9:14" x14ac:dyDescent="0.75">
      <c r="I230" s="35">
        <v>43447</v>
      </c>
      <c r="J230" s="101">
        <v>232.76840000000001</v>
      </c>
      <c r="K230" s="35">
        <v>43447</v>
      </c>
      <c r="L230" s="67">
        <v>233.73400000000001</v>
      </c>
      <c r="M230" s="1"/>
      <c r="N230" s="9"/>
    </row>
    <row r="231" spans="9:14" x14ac:dyDescent="0.75">
      <c r="I231" s="35">
        <v>43446</v>
      </c>
      <c r="J231" s="101">
        <v>232.71940000000001</v>
      </c>
      <c r="K231" s="35">
        <v>43446</v>
      </c>
      <c r="L231" s="67">
        <v>233.703</v>
      </c>
      <c r="M231" s="1"/>
      <c r="N231" s="9"/>
    </row>
    <row r="232" spans="9:14" x14ac:dyDescent="0.75">
      <c r="I232" s="35">
        <v>43445</v>
      </c>
      <c r="J232" s="101">
        <v>230.11819999999997</v>
      </c>
      <c r="K232" s="35">
        <v>43445</v>
      </c>
      <c r="L232" s="67">
        <v>233.56899999999999</v>
      </c>
      <c r="M232" s="1"/>
      <c r="N232" s="9"/>
    </row>
    <row r="233" spans="9:14" x14ac:dyDescent="0.75">
      <c r="I233" s="35">
        <v>43444</v>
      </c>
      <c r="J233" s="101">
        <v>229.86840000000001</v>
      </c>
      <c r="K233" s="35">
        <v>43444</v>
      </c>
      <c r="L233" s="67">
        <v>233.584</v>
      </c>
      <c r="M233" s="1"/>
      <c r="N233" s="9"/>
    </row>
    <row r="234" spans="9:14" x14ac:dyDescent="0.75">
      <c r="I234" s="35">
        <v>43441</v>
      </c>
      <c r="J234" s="101">
        <v>231.66759999999999</v>
      </c>
      <c r="K234" s="35">
        <v>43441</v>
      </c>
      <c r="L234" s="67">
        <v>233.374</v>
      </c>
      <c r="M234" s="1"/>
      <c r="N234" s="9"/>
    </row>
    <row r="235" spans="9:14" x14ac:dyDescent="0.75">
      <c r="I235" s="35">
        <v>43440</v>
      </c>
      <c r="J235" s="101">
        <v>234.25349999999997</v>
      </c>
      <c r="K235" s="35">
        <v>43440</v>
      </c>
      <c r="L235" s="67">
        <v>233.53700000000001</v>
      </c>
      <c r="M235" s="1"/>
      <c r="N235" s="9"/>
    </row>
    <row r="236" spans="9:14" x14ac:dyDescent="0.75">
      <c r="I236" s="35">
        <v>43438</v>
      </c>
      <c r="J236" s="101">
        <v>237.89659999999998</v>
      </c>
      <c r="K236" s="35">
        <v>43438</v>
      </c>
      <c r="L236" s="67">
        <v>233.32300000000001</v>
      </c>
      <c r="M236" s="1"/>
      <c r="N236" s="9"/>
    </row>
    <row r="237" spans="9:14" x14ac:dyDescent="0.75">
      <c r="I237" s="35">
        <v>43437</v>
      </c>
      <c r="J237" s="101">
        <v>243.13850000000002</v>
      </c>
      <c r="K237" s="35">
        <v>43437</v>
      </c>
      <c r="L237" s="67">
        <v>232.99100000000001</v>
      </c>
      <c r="M237" s="1"/>
      <c r="N237" s="9"/>
    </row>
    <row r="238" spans="9:14" x14ac:dyDescent="0.75">
      <c r="I238" s="35">
        <v>43434</v>
      </c>
      <c r="J238" s="101">
        <v>239.8989</v>
      </c>
      <c r="K238" s="35">
        <v>43434</v>
      </c>
      <c r="L238" s="67">
        <v>232.76499999999999</v>
      </c>
      <c r="M238" s="1"/>
      <c r="N238" s="9"/>
    </row>
    <row r="239" spans="9:14" x14ac:dyDescent="0.75">
      <c r="I239" s="35">
        <v>43433</v>
      </c>
      <c r="J239" s="101">
        <v>239.29499999999999</v>
      </c>
      <c r="K239" s="35">
        <v>43433</v>
      </c>
      <c r="L239" s="67">
        <v>232.65799999999999</v>
      </c>
      <c r="M239" s="1"/>
      <c r="N239" s="9"/>
    </row>
    <row r="240" spans="9:14" x14ac:dyDescent="0.75">
      <c r="I240" s="35">
        <v>43432</v>
      </c>
      <c r="J240" s="101">
        <v>238.56239999999997</v>
      </c>
      <c r="K240" s="35">
        <v>43432</v>
      </c>
      <c r="L240" s="67">
        <v>232.10300000000001</v>
      </c>
      <c r="M240" s="1"/>
      <c r="N240" s="9"/>
    </row>
    <row r="241" spans="9:14" x14ac:dyDescent="0.75">
      <c r="I241" s="35">
        <v>43431</v>
      </c>
      <c r="J241" s="101">
        <v>235.14279999999999</v>
      </c>
      <c r="K241" s="35">
        <v>43431</v>
      </c>
      <c r="L241" s="67">
        <v>232.114</v>
      </c>
      <c r="M241" s="1"/>
      <c r="N241" s="9"/>
    </row>
    <row r="242" spans="9:14" x14ac:dyDescent="0.75">
      <c r="I242" s="35">
        <v>43430</v>
      </c>
      <c r="J242" s="101">
        <v>234.94560000000001</v>
      </c>
      <c r="K242" s="35">
        <v>43430</v>
      </c>
      <c r="L242" s="67">
        <v>232.04900000000001</v>
      </c>
      <c r="M242" s="1"/>
      <c r="N242" s="9"/>
    </row>
    <row r="243" spans="9:14" x14ac:dyDescent="0.75">
      <c r="I243" s="35">
        <v>43427</v>
      </c>
      <c r="J243" s="101">
        <v>232.21880000000002</v>
      </c>
      <c r="K243" s="35">
        <v>43427</v>
      </c>
      <c r="L243" s="67">
        <v>231.80600000000001</v>
      </c>
      <c r="M243" s="1"/>
      <c r="N243" s="9"/>
    </row>
    <row r="244" spans="9:14" x14ac:dyDescent="0.75">
      <c r="I244" s="35">
        <v>43425</v>
      </c>
      <c r="J244" s="101">
        <v>233.35560000000001</v>
      </c>
      <c r="K244" s="35">
        <v>43425</v>
      </c>
      <c r="L244" s="67">
        <v>231.214</v>
      </c>
      <c r="M244" s="1"/>
      <c r="N244" s="9"/>
    </row>
    <row r="245" spans="9:14" x14ac:dyDescent="0.75">
      <c r="I245" s="35">
        <v>43424</v>
      </c>
      <c r="J245" s="101">
        <v>232.46210000000002</v>
      </c>
      <c r="K245" s="35">
        <v>43424</v>
      </c>
      <c r="L245" s="67">
        <v>231.04900000000001</v>
      </c>
      <c r="M245" s="1"/>
      <c r="N245" s="9"/>
    </row>
    <row r="246" spans="9:14" x14ac:dyDescent="0.75">
      <c r="I246" s="35">
        <v>43423</v>
      </c>
      <c r="J246" s="101">
        <v>238.53670000000002</v>
      </c>
      <c r="K246" s="35">
        <v>43423</v>
      </c>
      <c r="L246" s="67">
        <v>231.31899999999999</v>
      </c>
      <c r="M246" s="1"/>
      <c r="N246" s="9"/>
    </row>
    <row r="247" spans="9:14" x14ac:dyDescent="0.75">
      <c r="I247" s="35">
        <v>43420</v>
      </c>
      <c r="J247" s="101">
        <v>238.53670000000002</v>
      </c>
      <c r="K247" s="35">
        <v>43420</v>
      </c>
      <c r="L247" s="67">
        <v>231.31899999999999</v>
      </c>
      <c r="M247" s="1"/>
      <c r="N247" s="9"/>
    </row>
    <row r="248" spans="9:14" x14ac:dyDescent="0.75">
      <c r="I248" s="35">
        <v>43419</v>
      </c>
      <c r="J248" s="101">
        <v>237.81229999999999</v>
      </c>
      <c r="K248" s="35">
        <v>43419</v>
      </c>
      <c r="L248" s="67">
        <v>231.5</v>
      </c>
      <c r="M248" s="1"/>
      <c r="N248" s="9"/>
    </row>
    <row r="249" spans="9:14" x14ac:dyDescent="0.75">
      <c r="I249" s="35">
        <v>43418</v>
      </c>
      <c r="J249" s="101">
        <v>236.24769999999998</v>
      </c>
      <c r="K249" s="35">
        <v>43418</v>
      </c>
      <c r="L249" s="67">
        <v>231.24</v>
      </c>
      <c r="M249" s="1"/>
      <c r="N249" s="9"/>
    </row>
    <row r="250" spans="9:14" x14ac:dyDescent="0.75">
      <c r="I250" s="35">
        <v>43417</v>
      </c>
      <c r="J250" s="101">
        <v>237.3475</v>
      </c>
      <c r="K250" s="35">
        <v>43417</v>
      </c>
      <c r="L250" s="67">
        <v>231.458</v>
      </c>
      <c r="M250" s="1"/>
      <c r="N250" s="9"/>
    </row>
    <row r="251" spans="9:14" x14ac:dyDescent="0.75">
      <c r="I251" s="35">
        <v>43416</v>
      </c>
      <c r="J251" s="101">
        <v>237.56019999999998</v>
      </c>
      <c r="K251" s="35">
        <v>43416</v>
      </c>
      <c r="L251" s="67">
        <v>231.613</v>
      </c>
      <c r="M251" s="1"/>
      <c r="N251" s="9"/>
    </row>
    <row r="252" spans="9:14" x14ac:dyDescent="0.75">
      <c r="I252" s="35">
        <v>43413</v>
      </c>
      <c r="J252" s="101">
        <v>241.4051</v>
      </c>
      <c r="K252" s="35">
        <v>43413</v>
      </c>
      <c r="L252" s="67">
        <v>231.636</v>
      </c>
      <c r="M252" s="1"/>
      <c r="N252" s="9"/>
    </row>
    <row r="253" spans="9:14" x14ac:dyDescent="0.75">
      <c r="I253" s="35">
        <v>43412</v>
      </c>
      <c r="J253" s="101">
        <v>243.86920000000001</v>
      </c>
      <c r="K253" s="35">
        <v>43412</v>
      </c>
      <c r="L253" s="67">
        <v>231.298</v>
      </c>
      <c r="M253" s="1"/>
      <c r="N253" s="9"/>
    </row>
    <row r="254" spans="9:14" x14ac:dyDescent="0.75">
      <c r="I254" s="35">
        <v>43411</v>
      </c>
      <c r="J254" s="101">
        <v>244.12040000000002</v>
      </c>
      <c r="K254" s="35">
        <v>43411</v>
      </c>
      <c r="L254" s="67">
        <v>231.523</v>
      </c>
      <c r="M254" s="1"/>
      <c r="N254" s="9"/>
    </row>
    <row r="255" spans="9:14" x14ac:dyDescent="0.75">
      <c r="I255" s="35">
        <v>43410</v>
      </c>
      <c r="J255" s="101">
        <v>240.44430000000003</v>
      </c>
      <c r="K255" s="35">
        <v>43410</v>
      </c>
      <c r="L255" s="67">
        <v>231.54499999999999</v>
      </c>
      <c r="M255" s="1"/>
      <c r="N255" s="9"/>
    </row>
    <row r="256" spans="9:14" x14ac:dyDescent="0.75">
      <c r="I256" s="35">
        <v>43409</v>
      </c>
      <c r="J256" s="101">
        <v>239.39899999999997</v>
      </c>
      <c r="K256" s="35">
        <v>43409</v>
      </c>
      <c r="L256" s="67">
        <v>231.82300000000001</v>
      </c>
      <c r="M256" s="1"/>
      <c r="N256" s="9"/>
    </row>
    <row r="257" spans="9:14" x14ac:dyDescent="0.75">
      <c r="I257" s="35">
        <v>43406</v>
      </c>
      <c r="J257" s="101">
        <v>239.09800000000001</v>
      </c>
      <c r="K257" s="35">
        <v>43406</v>
      </c>
      <c r="L257" s="67">
        <v>231.72300000000001</v>
      </c>
      <c r="M257" s="1"/>
      <c r="N257" s="9"/>
    </row>
    <row r="258" spans="9:14" x14ac:dyDescent="0.75">
      <c r="I258" s="35">
        <v>43405</v>
      </c>
      <c r="J258" s="101">
        <v>238.8467</v>
      </c>
      <c r="K258" s="35">
        <v>43405</v>
      </c>
      <c r="L258" s="67">
        <v>231.803</v>
      </c>
      <c r="M258" s="1"/>
      <c r="N258" s="9"/>
    </row>
    <row r="259" spans="9:14" x14ac:dyDescent="0.75">
      <c r="I259" s="35">
        <v>43404</v>
      </c>
      <c r="J259" s="101">
        <v>236.4409</v>
      </c>
      <c r="K259" s="35">
        <v>43404</v>
      </c>
      <c r="L259" s="67">
        <v>231.86</v>
      </c>
      <c r="M259" s="1"/>
      <c r="N259" s="9"/>
    </row>
    <row r="260" spans="9:14" x14ac:dyDescent="0.75">
      <c r="I260" s="35">
        <v>43403</v>
      </c>
      <c r="J260" s="101">
        <v>233.31950000000001</v>
      </c>
      <c r="K260" s="35">
        <v>43403</v>
      </c>
      <c r="L260" s="67">
        <v>231.745</v>
      </c>
      <c r="M260" s="1"/>
      <c r="N260" s="9"/>
    </row>
    <row r="261" spans="9:14" x14ac:dyDescent="0.75">
      <c r="I261" s="35">
        <v>43402</v>
      </c>
      <c r="J261" s="101">
        <v>231.02770000000001</v>
      </c>
      <c r="K261" s="35">
        <v>43402</v>
      </c>
      <c r="L261" s="67">
        <v>232.11099999999999</v>
      </c>
      <c r="M261" s="1"/>
      <c r="N261" s="9"/>
    </row>
    <row r="262" spans="9:14" x14ac:dyDescent="0.75">
      <c r="I262" s="35">
        <v>43399</v>
      </c>
      <c r="J262" s="101">
        <v>231.79850000000002</v>
      </c>
      <c r="K262" s="35">
        <v>43399</v>
      </c>
      <c r="L262" s="67">
        <v>231.91800000000001</v>
      </c>
      <c r="M262" s="1"/>
      <c r="N262" s="9"/>
    </row>
    <row r="263" spans="9:14" x14ac:dyDescent="0.75">
      <c r="I263" s="35">
        <v>43398</v>
      </c>
      <c r="J263" s="101">
        <v>234.59020000000001</v>
      </c>
      <c r="K263" s="35">
        <v>43398</v>
      </c>
      <c r="L263" s="67">
        <v>231.404</v>
      </c>
      <c r="M263" s="1"/>
      <c r="N263" s="9"/>
    </row>
    <row r="264" spans="9:14" x14ac:dyDescent="0.75">
      <c r="I264" s="35">
        <v>43397</v>
      </c>
      <c r="J264" s="101">
        <v>232.8569</v>
      </c>
      <c r="K264" s="35">
        <v>43397</v>
      </c>
      <c r="L264" s="67">
        <v>231.143</v>
      </c>
      <c r="M264" s="1"/>
      <c r="N264" s="9"/>
    </row>
    <row r="265" spans="9:14" x14ac:dyDescent="0.75">
      <c r="I265" s="35">
        <v>43396</v>
      </c>
      <c r="J265" s="101">
        <v>237.767</v>
      </c>
      <c r="K265" s="35">
        <v>43396</v>
      </c>
      <c r="L265" s="67">
        <v>231.00899999999999</v>
      </c>
      <c r="M265" s="1"/>
      <c r="N265" s="9"/>
    </row>
    <row r="266" spans="9:14" x14ac:dyDescent="0.75">
      <c r="I266" s="35">
        <v>43395</v>
      </c>
      <c r="J266" s="101">
        <v>240.40120000000002</v>
      </c>
      <c r="K266" s="35">
        <v>43395</v>
      </c>
      <c r="L266" s="67">
        <v>230.81200000000001</v>
      </c>
      <c r="M266" s="1"/>
      <c r="N266" s="9"/>
    </row>
    <row r="267" spans="9:14" x14ac:dyDescent="0.75">
      <c r="I267" s="35">
        <v>43392</v>
      </c>
      <c r="J267" s="101">
        <v>241.01759999999999</v>
      </c>
      <c r="K267" s="35">
        <v>43392</v>
      </c>
      <c r="L267" s="67">
        <v>230.53100000000001</v>
      </c>
      <c r="M267" s="1"/>
      <c r="N267" s="9"/>
    </row>
    <row r="268" spans="9:14" x14ac:dyDescent="0.75">
      <c r="I268" s="35">
        <v>43391</v>
      </c>
      <c r="J268" s="101">
        <v>241.22049999999999</v>
      </c>
      <c r="K268" s="35">
        <v>43391</v>
      </c>
      <c r="L268" s="67">
        <v>230.44800000000001</v>
      </c>
      <c r="M268" s="1"/>
      <c r="N268" s="9"/>
    </row>
    <row r="269" spans="9:14" x14ac:dyDescent="0.75">
      <c r="I269" s="35">
        <v>43390</v>
      </c>
      <c r="J269" s="101">
        <v>244.15970000000002</v>
      </c>
      <c r="K269" s="35">
        <v>43390</v>
      </c>
      <c r="L269" s="67">
        <v>230.75299999999999</v>
      </c>
      <c r="M269" s="1"/>
      <c r="N269" s="9"/>
    </row>
    <row r="270" spans="9:14" x14ac:dyDescent="0.75">
      <c r="I270" s="35">
        <v>43389</v>
      </c>
      <c r="J270" s="101">
        <v>244.35790000000003</v>
      </c>
      <c r="K270" s="35">
        <v>43389</v>
      </c>
      <c r="L270" s="67">
        <v>230.64099999999999</v>
      </c>
      <c r="M270" s="1"/>
      <c r="N270" s="9"/>
    </row>
    <row r="271" spans="9:14" x14ac:dyDescent="0.75">
      <c r="I271" s="35">
        <v>43388</v>
      </c>
      <c r="J271" s="101">
        <v>240.24540000000002</v>
      </c>
      <c r="K271" s="35">
        <v>43388</v>
      </c>
      <c r="L271" s="67">
        <v>230.16300000000001</v>
      </c>
      <c r="M271" s="1"/>
      <c r="N271" s="9"/>
    </row>
    <row r="272" spans="9:14" x14ac:dyDescent="0.75">
      <c r="I272" s="35">
        <v>43385</v>
      </c>
      <c r="J272" s="101">
        <v>241.33679999999998</v>
      </c>
      <c r="K272" s="35">
        <v>43385</v>
      </c>
      <c r="L272" s="67">
        <v>230.15600000000001</v>
      </c>
      <c r="M272" s="1"/>
      <c r="N272" s="9"/>
    </row>
    <row r="273" spans="9:14" x14ac:dyDescent="0.75">
      <c r="I273" s="35">
        <v>43384</v>
      </c>
      <c r="J273" s="101">
        <v>238.71370000000002</v>
      </c>
      <c r="K273" s="35">
        <v>43384</v>
      </c>
      <c r="L273" s="67">
        <v>230.06</v>
      </c>
      <c r="M273" s="1"/>
      <c r="N273" s="9"/>
    </row>
    <row r="274" spans="9:14" x14ac:dyDescent="0.75">
      <c r="I274" s="35">
        <v>43383</v>
      </c>
      <c r="J274" s="101">
        <v>244.12469999999999</v>
      </c>
      <c r="K274" s="35">
        <v>43383</v>
      </c>
      <c r="L274" s="67">
        <v>230.035</v>
      </c>
      <c r="M274" s="1"/>
      <c r="N274" s="9"/>
    </row>
    <row r="275" spans="9:14" x14ac:dyDescent="0.75">
      <c r="I275" s="35">
        <v>43382</v>
      </c>
      <c r="J275" s="101">
        <v>249.48499999999999</v>
      </c>
      <c r="K275" s="35">
        <v>43382</v>
      </c>
      <c r="L275" s="67">
        <v>230.124</v>
      </c>
      <c r="M275" s="1"/>
      <c r="N275" s="9"/>
    </row>
    <row r="276" spans="9:14" x14ac:dyDescent="0.75">
      <c r="I276" s="35">
        <v>43381</v>
      </c>
      <c r="J276" s="101">
        <v>250.0247</v>
      </c>
      <c r="K276" s="35">
        <v>43381</v>
      </c>
      <c r="L276" s="67">
        <v>230.05199999999999</v>
      </c>
      <c r="M276" s="1"/>
      <c r="N276" s="9"/>
    </row>
    <row r="277" spans="9:14" x14ac:dyDescent="0.75">
      <c r="I277" s="35">
        <v>43378</v>
      </c>
      <c r="J277" s="101">
        <v>250.97869999999998</v>
      </c>
      <c r="K277" s="35">
        <v>43378</v>
      </c>
      <c r="L277" s="67">
        <v>230.30600000000001</v>
      </c>
      <c r="M277" s="1"/>
      <c r="N277" s="9"/>
    </row>
    <row r="278" spans="9:14" x14ac:dyDescent="0.75">
      <c r="I278" s="35">
        <v>43377</v>
      </c>
      <c r="J278" s="101">
        <v>252.69400000000002</v>
      </c>
      <c r="K278" s="35">
        <v>43377</v>
      </c>
      <c r="L278" s="67">
        <v>230.93299999999999</v>
      </c>
      <c r="M278" s="1"/>
      <c r="N278" s="9"/>
    </row>
    <row r="279" spans="9:14" x14ac:dyDescent="0.75">
      <c r="I279" s="35">
        <v>43376</v>
      </c>
      <c r="J279" s="101">
        <v>255.21799999999999</v>
      </c>
      <c r="K279" s="35">
        <v>43376</v>
      </c>
      <c r="L279" s="67">
        <v>231.44200000000001</v>
      </c>
      <c r="M279" s="1"/>
      <c r="N279" s="9"/>
    </row>
    <row r="280" spans="9:14" x14ac:dyDescent="0.75">
      <c r="I280" s="35">
        <v>43375</v>
      </c>
      <c r="J280" s="101">
        <v>255.16739999999999</v>
      </c>
      <c r="K280" s="35">
        <v>43375</v>
      </c>
      <c r="L280" s="67">
        <v>231.48699999999999</v>
      </c>
      <c r="M280" s="1"/>
      <c r="N280" s="9"/>
    </row>
    <row r="281" spans="9:14" x14ac:dyDescent="0.75">
      <c r="I281" s="35">
        <v>43374</v>
      </c>
      <c r="J281" s="101">
        <v>255.99290000000002</v>
      </c>
      <c r="K281" s="35">
        <v>43374</v>
      </c>
      <c r="L281" s="67">
        <v>231.43</v>
      </c>
      <c r="M281" s="1"/>
      <c r="N281" s="9"/>
    </row>
    <row r="282" spans="9:14" x14ac:dyDescent="0.75">
      <c r="I282" s="35">
        <v>43371</v>
      </c>
      <c r="J282" s="101">
        <v>255.5949</v>
      </c>
      <c r="K282" s="35">
        <v>43371</v>
      </c>
      <c r="L282" s="67">
        <v>231.892</v>
      </c>
      <c r="M282" s="1"/>
      <c r="N282" s="9"/>
    </row>
    <row r="283" spans="9:14" x14ac:dyDescent="0.75">
      <c r="I283" s="35">
        <v>43370</v>
      </c>
      <c r="J283" s="101">
        <v>256.16329999999999</v>
      </c>
      <c r="K283" s="35">
        <v>43370</v>
      </c>
      <c r="L283" s="67">
        <v>232.167</v>
      </c>
      <c r="M283" s="1"/>
      <c r="N283" s="9"/>
    </row>
    <row r="284" spans="9:14" x14ac:dyDescent="0.75">
      <c r="I284" s="35">
        <v>43369</v>
      </c>
      <c r="J284" s="101">
        <v>256.04640000000001</v>
      </c>
      <c r="K284" s="35">
        <v>43369</v>
      </c>
      <c r="L284" s="67">
        <v>232.239</v>
      </c>
      <c r="M284" s="1"/>
      <c r="N284" s="9"/>
    </row>
    <row r="285" spans="9:14" x14ac:dyDescent="0.75">
      <c r="I285" s="35">
        <v>43368</v>
      </c>
      <c r="J285" s="101">
        <v>256.30259999999998</v>
      </c>
      <c r="K285" s="35">
        <v>43368</v>
      </c>
      <c r="L285" s="67">
        <v>231.94800000000001</v>
      </c>
      <c r="M285" s="1"/>
      <c r="N285" s="9"/>
    </row>
    <row r="286" spans="9:14" x14ac:dyDescent="0.75">
      <c r="I286" s="35">
        <v>43367</v>
      </c>
      <c r="J286" s="101">
        <v>256.18</v>
      </c>
      <c r="K286" s="35">
        <v>43367</v>
      </c>
      <c r="L286" s="67">
        <v>232.11500000000001</v>
      </c>
      <c r="M286" s="1"/>
      <c r="N286" s="9"/>
    </row>
    <row r="287" spans="9:14" x14ac:dyDescent="0.75">
      <c r="I287" s="35">
        <v>43364</v>
      </c>
      <c r="J287" s="101">
        <v>257.14409999999998</v>
      </c>
      <c r="K287" s="35">
        <v>43364</v>
      </c>
      <c r="L287" s="67">
        <v>232.852</v>
      </c>
      <c r="M287" s="1"/>
      <c r="N287" s="9"/>
    </row>
    <row r="288" spans="9:14" x14ac:dyDescent="0.75">
      <c r="I288" s="35">
        <v>43363</v>
      </c>
      <c r="J288" s="101">
        <v>256.29840000000002</v>
      </c>
      <c r="K288" s="35">
        <v>43363</v>
      </c>
      <c r="L288" s="67">
        <v>232.518</v>
      </c>
      <c r="M288" s="1"/>
      <c r="N288" s="9"/>
    </row>
    <row r="289" spans="9:14" x14ac:dyDescent="0.75">
      <c r="I289" s="35">
        <v>43362</v>
      </c>
      <c r="J289" s="101">
        <v>254.2663</v>
      </c>
      <c r="K289" s="35">
        <v>43362</v>
      </c>
      <c r="L289" s="67">
        <v>232.50399999999999</v>
      </c>
      <c r="M289" s="1"/>
      <c r="N289" s="9"/>
    </row>
    <row r="290" spans="9:14" x14ac:dyDescent="0.75">
      <c r="I290" s="35">
        <v>43361</v>
      </c>
      <c r="J290" s="101">
        <v>253.38180000000003</v>
      </c>
      <c r="K290" s="35">
        <v>43361</v>
      </c>
      <c r="L290" s="67">
        <v>232.82300000000001</v>
      </c>
      <c r="M290" s="1"/>
      <c r="N290" s="9"/>
    </row>
    <row r="291" spans="9:14" x14ac:dyDescent="0.75">
      <c r="I291" s="35">
        <v>43360</v>
      </c>
      <c r="J291" s="101">
        <v>252.06080000000003</v>
      </c>
      <c r="K291" s="35">
        <v>43360</v>
      </c>
      <c r="L291" s="67">
        <v>232.81800000000001</v>
      </c>
      <c r="M291" s="1"/>
      <c r="N291" s="9"/>
    </row>
    <row r="292" spans="9:14" x14ac:dyDescent="0.75">
      <c r="I292" s="35">
        <v>43357</v>
      </c>
      <c r="J292" s="101">
        <v>253.01179999999999</v>
      </c>
      <c r="K292" s="35">
        <v>43357</v>
      </c>
      <c r="L292" s="67">
        <v>232.57499999999999</v>
      </c>
      <c r="M292" s="1"/>
      <c r="N292" s="9"/>
    </row>
    <row r="293" spans="9:14" x14ac:dyDescent="0.75">
      <c r="I293" s="35">
        <v>43356</v>
      </c>
      <c r="J293" s="101">
        <v>252.29670000000002</v>
      </c>
      <c r="K293" s="35">
        <v>43356</v>
      </c>
      <c r="L293" s="67">
        <v>232.863</v>
      </c>
      <c r="M293" s="1"/>
      <c r="N293" s="9"/>
    </row>
    <row r="294" spans="9:14" x14ac:dyDescent="0.75">
      <c r="I294" s="35">
        <v>43355</v>
      </c>
      <c r="J294" s="101">
        <v>250.86759999999998</v>
      </c>
      <c r="K294" s="35">
        <v>43355</v>
      </c>
      <c r="L294" s="67">
        <v>232.929</v>
      </c>
      <c r="M294" s="1"/>
      <c r="N294" s="9"/>
    </row>
    <row r="295" spans="9:14" x14ac:dyDescent="0.75">
      <c r="I295" s="35">
        <v>43354</v>
      </c>
      <c r="J295" s="101">
        <v>250.30300000000003</v>
      </c>
      <c r="K295" s="35">
        <v>43354</v>
      </c>
      <c r="L295" s="67">
        <v>232.81899999999999</v>
      </c>
      <c r="M295" s="1"/>
      <c r="N295" s="9"/>
    </row>
    <row r="296" spans="9:14" x14ac:dyDescent="0.75">
      <c r="I296" s="35">
        <v>43353</v>
      </c>
      <c r="J296" s="101">
        <v>249.98099999999999</v>
      </c>
      <c r="K296" s="35">
        <v>43353</v>
      </c>
      <c r="L296" s="67">
        <v>233.10900000000001</v>
      </c>
      <c r="M296" s="1"/>
      <c r="N296" s="9"/>
    </row>
    <row r="297" spans="9:14" x14ac:dyDescent="0.75">
      <c r="I297" s="35">
        <v>43350</v>
      </c>
      <c r="J297" s="101">
        <v>249.7681</v>
      </c>
      <c r="K297" s="35">
        <v>43350</v>
      </c>
      <c r="L297" s="67">
        <v>232.905</v>
      </c>
      <c r="M297" s="1"/>
      <c r="N297" s="9"/>
    </row>
    <row r="298" spans="9:14" x14ac:dyDescent="0.75">
      <c r="I298" s="35">
        <v>43349</v>
      </c>
      <c r="J298" s="101">
        <v>250.29760000000002</v>
      </c>
      <c r="K298" s="35">
        <v>43349</v>
      </c>
      <c r="L298" s="67">
        <v>233.13200000000001</v>
      </c>
      <c r="M298" s="1"/>
      <c r="N298" s="9"/>
    </row>
    <row r="299" spans="9:14" x14ac:dyDescent="0.75">
      <c r="I299" s="35">
        <v>43348</v>
      </c>
      <c r="J299" s="101">
        <v>251.23240000000001</v>
      </c>
      <c r="K299" s="35">
        <v>43348</v>
      </c>
      <c r="L299" s="67">
        <v>232.726</v>
      </c>
      <c r="M299" s="1"/>
      <c r="N299" s="9"/>
    </row>
    <row r="300" spans="9:14" x14ac:dyDescent="0.75">
      <c r="I300" s="35">
        <v>43347</v>
      </c>
      <c r="J300" s="101">
        <v>252.76579999999998</v>
      </c>
      <c r="K300" s="35">
        <v>43347</v>
      </c>
      <c r="L300" s="67">
        <v>232.786</v>
      </c>
      <c r="M300" s="1"/>
      <c r="N300" s="9"/>
    </row>
    <row r="301" spans="9:14" x14ac:dyDescent="0.75">
      <c r="I301" s="35">
        <v>43343</v>
      </c>
      <c r="J301" s="101">
        <v>254.4873</v>
      </c>
      <c r="K301" s="35">
        <v>43343</v>
      </c>
      <c r="L301" s="67">
        <v>232.44499999999999</v>
      </c>
      <c r="M301" s="1"/>
      <c r="N301" s="9"/>
    </row>
    <row r="302" spans="9:14" x14ac:dyDescent="0.75">
      <c r="I302" s="35">
        <v>43342</v>
      </c>
      <c r="J302" s="101">
        <v>255.1534</v>
      </c>
      <c r="K302" s="35">
        <v>43342</v>
      </c>
      <c r="L302" s="67">
        <v>232.46700000000001</v>
      </c>
      <c r="M302" s="1"/>
      <c r="N302" s="9"/>
    </row>
    <row r="303" spans="9:14" x14ac:dyDescent="0.75">
      <c r="I303" s="35">
        <v>43341</v>
      </c>
      <c r="J303" s="101">
        <v>256.41880000000003</v>
      </c>
      <c r="K303" s="35">
        <v>43341</v>
      </c>
      <c r="L303" s="67">
        <v>232.184</v>
      </c>
      <c r="M303" s="1"/>
      <c r="N303" s="9"/>
    </row>
    <row r="304" spans="9:14" x14ac:dyDescent="0.75">
      <c r="I304" s="35">
        <v>43340</v>
      </c>
      <c r="J304" s="101">
        <v>255.54589999999999</v>
      </c>
      <c r="K304" s="35">
        <v>43340</v>
      </c>
      <c r="L304" s="67">
        <v>232.34299999999999</v>
      </c>
      <c r="M304" s="1"/>
      <c r="N304" s="9"/>
    </row>
    <row r="305" spans="9:14" x14ac:dyDescent="0.75">
      <c r="I305" s="35">
        <v>43339</v>
      </c>
      <c r="J305" s="101">
        <v>255.23339999999999</v>
      </c>
      <c r="K305" s="35">
        <v>43339</v>
      </c>
      <c r="L305" s="67">
        <v>232.64699999999999</v>
      </c>
      <c r="M305" s="1"/>
      <c r="N305" s="9"/>
    </row>
    <row r="306" spans="9:14" x14ac:dyDescent="0.75">
      <c r="I306" s="35">
        <v>43336</v>
      </c>
      <c r="J306" s="101">
        <v>252.80659999999997</v>
      </c>
      <c r="K306" s="35">
        <v>43336</v>
      </c>
      <c r="L306" s="67">
        <v>232.959</v>
      </c>
      <c r="M306" s="1"/>
      <c r="N306" s="9"/>
    </row>
    <row r="307" spans="9:14" x14ac:dyDescent="0.75">
      <c r="I307" s="35">
        <v>43335</v>
      </c>
      <c r="J307" s="101">
        <v>251.46109999999999</v>
      </c>
      <c r="K307" s="35">
        <v>43335</v>
      </c>
      <c r="L307" s="67">
        <v>233.078</v>
      </c>
      <c r="M307" s="1"/>
      <c r="N307" s="9"/>
    </row>
    <row r="308" spans="9:14" x14ac:dyDescent="0.75">
      <c r="I308" s="35">
        <v>43334</v>
      </c>
      <c r="J308" s="101">
        <v>252.209</v>
      </c>
      <c r="K308" s="35">
        <v>43334</v>
      </c>
      <c r="L308" s="67">
        <v>233.16900000000001</v>
      </c>
      <c r="M308" s="1"/>
      <c r="N308" s="9"/>
    </row>
    <row r="309" spans="9:14" x14ac:dyDescent="0.75">
      <c r="I309" s="35">
        <v>43333</v>
      </c>
      <c r="J309" s="101">
        <v>251.59560000000002</v>
      </c>
      <c r="K309" s="35">
        <v>43333</v>
      </c>
      <c r="L309" s="67">
        <v>233.512</v>
      </c>
      <c r="M309" s="1"/>
      <c r="N309" s="9"/>
    </row>
    <row r="310" spans="9:14" x14ac:dyDescent="0.75">
      <c r="I310" s="35">
        <v>43332</v>
      </c>
      <c r="J310" s="101">
        <v>250.61660000000001</v>
      </c>
      <c r="K310" s="35">
        <v>43332</v>
      </c>
      <c r="L310" s="67">
        <v>233.48</v>
      </c>
      <c r="M310" s="1"/>
      <c r="N310" s="9"/>
    </row>
    <row r="311" spans="9:14" x14ac:dyDescent="0.75">
      <c r="I311" s="35">
        <v>43329</v>
      </c>
      <c r="J311" s="101">
        <v>249.57199999999997</v>
      </c>
      <c r="K311" s="35">
        <v>43329</v>
      </c>
      <c r="L311" s="67">
        <v>233.15799999999999</v>
      </c>
      <c r="M311" s="1"/>
      <c r="N311" s="9"/>
    </row>
    <row r="312" spans="9:14" x14ac:dyDescent="0.75">
      <c r="I312" s="35">
        <v>43328</v>
      </c>
      <c r="J312" s="101">
        <v>248.78960000000001</v>
      </c>
      <c r="K312" s="35">
        <v>43328</v>
      </c>
      <c r="L312" s="67">
        <v>233.114</v>
      </c>
      <c r="M312" s="1"/>
      <c r="N312" s="9"/>
    </row>
    <row r="313" spans="9:14" x14ac:dyDescent="0.75">
      <c r="I313" s="35">
        <v>43327</v>
      </c>
      <c r="J313" s="101">
        <v>247.18279999999999</v>
      </c>
      <c r="K313" s="35">
        <v>43327</v>
      </c>
      <c r="L313" s="67">
        <v>233.08</v>
      </c>
      <c r="M313" s="1"/>
      <c r="N313" s="9"/>
    </row>
    <row r="314" spans="9:14" x14ac:dyDescent="0.75">
      <c r="I314" s="35">
        <v>43326</v>
      </c>
      <c r="J314" s="101">
        <v>249.90140000000002</v>
      </c>
      <c r="K314" s="35">
        <v>43326</v>
      </c>
      <c r="L314" s="67">
        <v>233.149</v>
      </c>
      <c r="M314" s="1"/>
      <c r="N314" s="9"/>
    </row>
    <row r="315" spans="9:14" x14ac:dyDescent="0.75">
      <c r="I315" s="35">
        <v>43325</v>
      </c>
      <c r="J315" s="101">
        <v>248.87449999999998</v>
      </c>
      <c r="K315" s="35">
        <v>43325</v>
      </c>
      <c r="L315" s="67">
        <v>233.095</v>
      </c>
      <c r="M315" s="1"/>
      <c r="N315" s="9"/>
    </row>
    <row r="316" spans="9:14" x14ac:dyDescent="0.75">
      <c r="I316" s="35">
        <v>43322</v>
      </c>
      <c r="J316" s="101">
        <v>250.6661</v>
      </c>
      <c r="K316" s="35">
        <v>43322</v>
      </c>
      <c r="L316" s="67">
        <v>233.52799999999999</v>
      </c>
      <c r="M316" s="1"/>
      <c r="N316" s="9"/>
    </row>
    <row r="317" spans="9:14" x14ac:dyDescent="0.75">
      <c r="I317" s="35">
        <v>43321</v>
      </c>
      <c r="J317" s="101">
        <v>253.54389999999998</v>
      </c>
      <c r="K317" s="35">
        <v>43321</v>
      </c>
      <c r="L317" s="67">
        <v>233.286</v>
      </c>
      <c r="M317" s="1"/>
      <c r="N317" s="9"/>
    </row>
    <row r="318" spans="9:14" x14ac:dyDescent="0.75">
      <c r="I318" s="35">
        <v>43320</v>
      </c>
      <c r="J318" s="101">
        <v>253.72629999999998</v>
      </c>
      <c r="K318" s="35">
        <v>43320</v>
      </c>
      <c r="L318" s="67">
        <v>233.09399999999999</v>
      </c>
      <c r="M318" s="1"/>
      <c r="N318" s="9"/>
    </row>
    <row r="319" spans="9:14" x14ac:dyDescent="0.75">
      <c r="I319" s="35">
        <v>43319</v>
      </c>
      <c r="J319" s="101">
        <v>253.79259999999999</v>
      </c>
      <c r="K319" s="35">
        <v>43319</v>
      </c>
      <c r="L319" s="67">
        <v>233.07599999999999</v>
      </c>
      <c r="M319" s="1"/>
      <c r="N319" s="9"/>
    </row>
    <row r="320" spans="9:14" x14ac:dyDescent="0.75">
      <c r="I320" s="35">
        <v>43318</v>
      </c>
      <c r="J320" s="101">
        <v>252.56790000000001</v>
      </c>
      <c r="K320" s="35">
        <v>43318</v>
      </c>
      <c r="L320" s="67">
        <v>233.20500000000001</v>
      </c>
      <c r="M320" s="1"/>
      <c r="N320" s="9"/>
    </row>
    <row r="321" spans="9:14" x14ac:dyDescent="0.75">
      <c r="I321" s="35">
        <v>43315</v>
      </c>
      <c r="J321" s="101">
        <v>252.41320000000002</v>
      </c>
      <c r="K321" s="35">
        <v>43315</v>
      </c>
      <c r="L321" s="67">
        <v>232.82</v>
      </c>
      <c r="M321" s="1"/>
      <c r="N321" s="9"/>
    </row>
    <row r="322" spans="9:14" x14ac:dyDescent="0.75">
      <c r="I322" s="35">
        <v>43314</v>
      </c>
      <c r="J322" s="101">
        <v>251.42530000000002</v>
      </c>
      <c r="K322" s="35">
        <v>43314</v>
      </c>
      <c r="L322" s="67">
        <v>232.44399999999999</v>
      </c>
      <c r="M322" s="1"/>
      <c r="N322" s="9"/>
    </row>
    <row r="323" spans="9:14" x14ac:dyDescent="0.75">
      <c r="I323" s="35">
        <v>43313</v>
      </c>
      <c r="J323" s="101">
        <v>252.10390000000001</v>
      </c>
      <c r="K323" s="35">
        <v>43313</v>
      </c>
      <c r="L323" s="67">
        <v>232.60400000000001</v>
      </c>
      <c r="M323" s="1"/>
      <c r="N323" s="9"/>
    </row>
    <row r="324" spans="9:14" x14ac:dyDescent="0.75">
      <c r="I324" s="35">
        <v>43312</v>
      </c>
      <c r="J324" s="101">
        <v>252.50349999999997</v>
      </c>
      <c r="K324" s="35">
        <v>43312</v>
      </c>
      <c r="L324" s="67">
        <v>233.227</v>
      </c>
      <c r="M324" s="1"/>
      <c r="N324" s="9"/>
    </row>
    <row r="325" spans="9:14" x14ac:dyDescent="0.75">
      <c r="I325" s="35">
        <v>43311</v>
      </c>
      <c r="J325" s="101">
        <v>252.06219999999999</v>
      </c>
      <c r="K325" s="35">
        <v>43311</v>
      </c>
      <c r="L325" s="67">
        <v>232.93</v>
      </c>
      <c r="M325" s="1"/>
      <c r="N325" s="9"/>
    </row>
    <row r="326" spans="9:14" x14ac:dyDescent="0.75">
      <c r="I326" s="35">
        <v>43308</v>
      </c>
      <c r="J326" s="101">
        <v>252.91900000000001</v>
      </c>
      <c r="K326" s="35">
        <v>43308</v>
      </c>
      <c r="L326" s="67">
        <v>233.559</v>
      </c>
      <c r="M326" s="1"/>
      <c r="N326" s="9"/>
    </row>
    <row r="327" spans="9:14" x14ac:dyDescent="0.75">
      <c r="I327" s="35">
        <v>43307</v>
      </c>
      <c r="J327" s="101">
        <v>253.43649999999997</v>
      </c>
      <c r="K327" s="35">
        <v>43307</v>
      </c>
      <c r="L327" s="67">
        <v>233.727</v>
      </c>
      <c r="M327" s="1"/>
      <c r="N327" s="9"/>
    </row>
    <row r="328" spans="9:14" x14ac:dyDescent="0.75">
      <c r="I328" s="35">
        <v>43306</v>
      </c>
      <c r="J328" s="101">
        <v>253.39479999999998</v>
      </c>
      <c r="K328" s="35">
        <v>43306</v>
      </c>
      <c r="L328" s="67">
        <v>233.88200000000001</v>
      </c>
      <c r="M328" s="1"/>
      <c r="N328" s="9"/>
    </row>
    <row r="329" spans="9:14" x14ac:dyDescent="0.75">
      <c r="I329" s="35">
        <v>43305</v>
      </c>
      <c r="J329" s="101">
        <v>252.05019999999999</v>
      </c>
      <c r="K329" s="35">
        <v>43305</v>
      </c>
      <c r="L329" s="67">
        <v>233.75700000000001</v>
      </c>
      <c r="M329" s="1"/>
      <c r="N329" s="9"/>
    </row>
    <row r="330" spans="9:14" x14ac:dyDescent="0.75">
      <c r="I330" s="35">
        <v>43304</v>
      </c>
      <c r="J330" s="101">
        <v>250.54689999999999</v>
      </c>
      <c r="K330" s="35">
        <v>43304</v>
      </c>
      <c r="L330" s="67">
        <v>233.62700000000001</v>
      </c>
      <c r="M330" s="1"/>
      <c r="N330" s="9"/>
    </row>
    <row r="331" spans="9:14" x14ac:dyDescent="0.75">
      <c r="I331" s="35">
        <v>43301</v>
      </c>
      <c r="J331" s="101">
        <v>250.52530000000002</v>
      </c>
      <c r="K331" s="35">
        <v>43301</v>
      </c>
      <c r="L331" s="67">
        <v>234.06</v>
      </c>
      <c r="M331" s="1"/>
      <c r="N331" s="9"/>
    </row>
    <row r="332" spans="9:14" x14ac:dyDescent="0.75">
      <c r="I332" s="35">
        <v>43300</v>
      </c>
      <c r="J332" s="101">
        <v>249.82109999999997</v>
      </c>
      <c r="K332" s="35">
        <v>43300</v>
      </c>
      <c r="L332" s="67">
        <v>234.678</v>
      </c>
      <c r="M332" s="1"/>
      <c r="N332" s="9"/>
    </row>
    <row r="333" spans="9:14" x14ac:dyDescent="0.75">
      <c r="I333" s="35">
        <v>43299</v>
      </c>
      <c r="J333" s="101">
        <v>250.79119999999998</v>
      </c>
      <c r="K333" s="35">
        <v>43299</v>
      </c>
      <c r="L333" s="67">
        <v>234.59399999999999</v>
      </c>
      <c r="M333" s="1"/>
      <c r="N333" s="9"/>
    </row>
    <row r="334" spans="9:14" x14ac:dyDescent="0.75">
      <c r="I334" s="35">
        <v>43298</v>
      </c>
      <c r="J334" s="101">
        <v>250.41500000000002</v>
      </c>
      <c r="K334" s="35">
        <v>43298</v>
      </c>
      <c r="L334" s="67">
        <v>234.7</v>
      </c>
      <c r="M334" s="1"/>
      <c r="N334" s="9"/>
    </row>
    <row r="335" spans="9:14" x14ac:dyDescent="0.75">
      <c r="I335" s="35">
        <v>43297</v>
      </c>
      <c r="J335" s="101">
        <v>249.8381</v>
      </c>
      <c r="K335" s="35">
        <v>43297</v>
      </c>
      <c r="L335" s="67">
        <v>234.149</v>
      </c>
      <c r="M335" s="1"/>
      <c r="N335" s="9"/>
    </row>
    <row r="336" spans="9:14" x14ac:dyDescent="0.75">
      <c r="I336" s="35">
        <v>43294</v>
      </c>
      <c r="J336" s="101">
        <v>250.16129999999998</v>
      </c>
      <c r="K336" s="35">
        <v>43294</v>
      </c>
      <c r="L336" s="67">
        <v>234.49100000000001</v>
      </c>
      <c r="M336" s="1"/>
      <c r="N336" s="9"/>
    </row>
    <row r="337" spans="9:14" x14ac:dyDescent="0.75">
      <c r="I337" s="35">
        <v>43293</v>
      </c>
      <c r="J337" s="101">
        <v>249.62759999999997</v>
      </c>
      <c r="K337" s="35">
        <v>43293</v>
      </c>
      <c r="L337" s="67">
        <v>234.11500000000001</v>
      </c>
      <c r="M337" s="1"/>
      <c r="N337" s="9"/>
    </row>
    <row r="338" spans="9:14" x14ac:dyDescent="0.75">
      <c r="I338" s="35">
        <v>43292</v>
      </c>
      <c r="J338" s="101">
        <v>248.05500000000001</v>
      </c>
      <c r="K338" s="35">
        <v>43292</v>
      </c>
      <c r="L338" s="67">
        <v>233.91399999999999</v>
      </c>
      <c r="M338" s="1"/>
      <c r="N338" s="9"/>
    </row>
    <row r="339" spans="9:14" x14ac:dyDescent="0.75">
      <c r="I339" s="35">
        <v>43291</v>
      </c>
      <c r="J339" s="101">
        <v>250.28139999999999</v>
      </c>
      <c r="K339" s="35">
        <v>43291</v>
      </c>
      <c r="L339" s="67">
        <v>233.923</v>
      </c>
      <c r="M339" s="1"/>
      <c r="N339" s="9"/>
    </row>
    <row r="340" spans="9:14" x14ac:dyDescent="0.75">
      <c r="I340" s="35">
        <v>43290</v>
      </c>
      <c r="J340" s="101">
        <v>249.76509999999999</v>
      </c>
      <c r="K340" s="35">
        <v>43290</v>
      </c>
      <c r="L340" s="67">
        <v>234.00899999999999</v>
      </c>
      <c r="M340" s="1"/>
      <c r="N340" s="9"/>
    </row>
    <row r="341" spans="9:14" x14ac:dyDescent="0.75">
      <c r="I341" s="35">
        <v>43287</v>
      </c>
      <c r="J341" s="101">
        <v>247.483</v>
      </c>
      <c r="K341" s="35">
        <v>43287</v>
      </c>
      <c r="L341" s="67">
        <v>234.03399999999999</v>
      </c>
      <c r="M341" s="1"/>
      <c r="N341" s="9"/>
    </row>
    <row r="342" spans="9:14" x14ac:dyDescent="0.75">
      <c r="I342" s="35">
        <v>43286</v>
      </c>
      <c r="J342" s="101">
        <v>245.50300000000001</v>
      </c>
      <c r="K342" s="35">
        <v>43286</v>
      </c>
      <c r="L342" s="67">
        <v>234.05799999999999</v>
      </c>
      <c r="M342" s="1"/>
      <c r="N342" s="9"/>
    </row>
    <row r="343" spans="9:14" x14ac:dyDescent="0.75">
      <c r="I343" s="35">
        <v>43284</v>
      </c>
      <c r="J343" s="101">
        <v>244.05810000000002</v>
      </c>
      <c r="K343" s="35">
        <v>43284</v>
      </c>
      <c r="L343" s="67">
        <v>234.3</v>
      </c>
      <c r="M343" s="1"/>
      <c r="N343" s="9"/>
    </row>
    <row r="344" spans="9:14" x14ac:dyDescent="0.75">
      <c r="I344" s="35">
        <v>43283</v>
      </c>
      <c r="J344" s="101">
        <v>244.09879999999998</v>
      </c>
      <c r="K344" s="35">
        <v>43283</v>
      </c>
      <c r="L344" s="67">
        <v>234.19399999999999</v>
      </c>
      <c r="M344" s="1"/>
      <c r="N344" s="9"/>
    </row>
    <row r="345" spans="9:14" x14ac:dyDescent="0.75">
      <c r="I345" s="35">
        <v>43280</v>
      </c>
      <c r="J345" s="101">
        <v>245.11179999999999</v>
      </c>
      <c r="K345" s="35">
        <v>43280</v>
      </c>
      <c r="L345" s="67">
        <v>233.91</v>
      </c>
      <c r="M345" s="1"/>
      <c r="N345" s="9"/>
    </row>
    <row r="346" spans="9:14" x14ac:dyDescent="0.75">
      <c r="I346" s="35">
        <v>43279</v>
      </c>
      <c r="J346" s="101">
        <v>243.48859999999999</v>
      </c>
      <c r="K346" s="35">
        <v>43279</v>
      </c>
      <c r="L346" s="67">
        <v>233.22300000000001</v>
      </c>
      <c r="M346" s="1"/>
      <c r="N346" s="9"/>
    </row>
    <row r="347" spans="9:14" x14ac:dyDescent="0.75">
      <c r="I347" s="35">
        <v>43278</v>
      </c>
      <c r="J347" s="101">
        <v>243.23220000000001</v>
      </c>
      <c r="K347" s="35">
        <v>43278</v>
      </c>
      <c r="L347" s="67">
        <v>232.947</v>
      </c>
      <c r="M347" s="1"/>
      <c r="N347" s="9"/>
    </row>
    <row r="348" spans="9:14" x14ac:dyDescent="0.75">
      <c r="I348" s="35">
        <v>43277</v>
      </c>
      <c r="J348" s="101">
        <v>244.87389999999999</v>
      </c>
      <c r="K348" s="35">
        <v>43277</v>
      </c>
      <c r="L348" s="67">
        <v>232.44900000000001</v>
      </c>
      <c r="M348" s="1"/>
      <c r="N348" s="9"/>
    </row>
    <row r="349" spans="9:14" x14ac:dyDescent="0.75">
      <c r="I349" s="35">
        <v>43276</v>
      </c>
      <c r="J349" s="101">
        <v>244.66260000000003</v>
      </c>
      <c r="K349" s="35">
        <v>43276</v>
      </c>
      <c r="L349" s="67">
        <v>232.87</v>
      </c>
      <c r="M349" s="1"/>
      <c r="N349" s="9"/>
    </row>
    <row r="350" spans="9:14" x14ac:dyDescent="0.75">
      <c r="I350" s="35">
        <v>43273</v>
      </c>
      <c r="J350" s="101">
        <v>248.11100000000002</v>
      </c>
      <c r="K350" s="35">
        <v>43273</v>
      </c>
      <c r="L350" s="67">
        <v>233.13200000000001</v>
      </c>
      <c r="M350" s="1"/>
      <c r="N350" s="9"/>
    </row>
    <row r="351" spans="9:14" x14ac:dyDescent="0.75">
      <c r="I351" s="35">
        <v>43272</v>
      </c>
      <c r="J351" s="101">
        <v>246.96999999999997</v>
      </c>
      <c r="K351" s="35">
        <v>43272</v>
      </c>
      <c r="L351" s="67">
        <v>233.18899999999999</v>
      </c>
      <c r="M351" s="1"/>
      <c r="N351" s="9"/>
    </row>
    <row r="352" spans="9:14" x14ac:dyDescent="0.75">
      <c r="I352" s="35">
        <v>43271</v>
      </c>
      <c r="J352" s="101">
        <v>248.52199999999999</v>
      </c>
      <c r="K352" s="35">
        <v>43271</v>
      </c>
      <c r="L352" s="67">
        <v>233.56700000000001</v>
      </c>
      <c r="M352" s="1"/>
      <c r="N352" s="9"/>
    </row>
    <row r="353" spans="7:14" x14ac:dyDescent="0.75">
      <c r="I353" s="35">
        <v>43270</v>
      </c>
      <c r="J353" s="101">
        <v>247.642</v>
      </c>
      <c r="K353" s="35">
        <v>43270</v>
      </c>
      <c r="L353" s="67">
        <v>233.624</v>
      </c>
      <c r="M353" s="1"/>
      <c r="N353" s="9"/>
    </row>
    <row r="354" spans="7:14" x14ac:dyDescent="0.75">
      <c r="I354" s="35">
        <v>43269</v>
      </c>
      <c r="J354" s="101">
        <v>249.67600000000002</v>
      </c>
      <c r="K354" s="35">
        <v>43269</v>
      </c>
      <c r="L354" s="67">
        <v>233.33600000000001</v>
      </c>
      <c r="M354" s="1"/>
      <c r="N354" s="9"/>
    </row>
    <row r="355" spans="7:14" x14ac:dyDescent="0.75">
      <c r="I355" s="35">
        <v>43266</v>
      </c>
      <c r="J355" s="101">
        <v>250.73699999999999</v>
      </c>
      <c r="K355" s="35">
        <v>43266</v>
      </c>
      <c r="L355" s="67">
        <v>233.14599999999999</v>
      </c>
      <c r="M355" s="1"/>
      <c r="N355" s="9"/>
    </row>
    <row r="356" spans="7:14" x14ac:dyDescent="0.75">
      <c r="I356" s="35">
        <v>43265</v>
      </c>
      <c r="J356" s="101">
        <v>251.858</v>
      </c>
      <c r="K356" s="35">
        <v>43265</v>
      </c>
      <c r="L356" s="67">
        <v>232.39</v>
      </c>
      <c r="M356" s="1"/>
      <c r="N356" s="9"/>
    </row>
    <row r="357" spans="7:14" x14ac:dyDescent="0.75">
      <c r="I357" s="35">
        <v>43264</v>
      </c>
      <c r="J357" s="101">
        <v>251.887</v>
      </c>
      <c r="K357" s="35">
        <v>43264</v>
      </c>
      <c r="L357" s="67">
        <v>231.619</v>
      </c>
      <c r="M357" s="1"/>
      <c r="N357" s="9"/>
    </row>
    <row r="358" spans="7:14" x14ac:dyDescent="0.75">
      <c r="I358" s="35">
        <v>43263</v>
      </c>
      <c r="J358" s="101">
        <v>252.53699999999998</v>
      </c>
      <c r="K358" s="35">
        <v>43263</v>
      </c>
      <c r="L358" s="67">
        <v>231.16800000000001</v>
      </c>
      <c r="M358" s="1"/>
      <c r="N358" s="9"/>
    </row>
    <row r="359" spans="7:14" x14ac:dyDescent="0.75">
      <c r="I359" s="35">
        <v>43262</v>
      </c>
      <c r="J359" s="101">
        <v>252.37899999999999</v>
      </c>
      <c r="K359" s="35">
        <v>43262</v>
      </c>
      <c r="L359" s="67">
        <v>231.179</v>
      </c>
      <c r="M359" s="1"/>
      <c r="N359" s="9"/>
    </row>
    <row r="360" spans="7:14" x14ac:dyDescent="0.75">
      <c r="I360" s="35">
        <v>43259</v>
      </c>
      <c r="J360" s="101">
        <v>251.59099999999998</v>
      </c>
      <c r="K360" s="35">
        <v>43259</v>
      </c>
      <c r="L360" s="67">
        <v>230.77099999999999</v>
      </c>
      <c r="M360" s="1"/>
      <c r="N360" s="9"/>
    </row>
    <row r="361" spans="7:14" x14ac:dyDescent="0.75">
      <c r="I361" s="35">
        <v>43258</v>
      </c>
      <c r="J361" s="101">
        <v>251.94200000000001</v>
      </c>
      <c r="K361" s="35">
        <v>43258</v>
      </c>
      <c r="L361" s="67">
        <v>230.87799999999999</v>
      </c>
      <c r="M361" s="1"/>
    </row>
    <row r="362" spans="7:14" x14ac:dyDescent="0.75">
      <c r="I362" s="35">
        <v>43257</v>
      </c>
      <c r="J362" s="101">
        <v>251.81399999999999</v>
      </c>
      <c r="K362" s="35">
        <v>43257</v>
      </c>
      <c r="L362" s="67">
        <v>231.22499999999999</v>
      </c>
      <c r="M362" s="1"/>
    </row>
    <row r="363" spans="7:14" x14ac:dyDescent="0.75">
      <c r="L363" s="61"/>
      <c r="M363" s="1"/>
      <c r="N363" s="10"/>
    </row>
    <row r="364" spans="7:14" x14ac:dyDescent="0.75">
      <c r="L364" s="61"/>
      <c r="M364" s="1"/>
      <c r="N364" s="10"/>
    </row>
    <row r="365" spans="7:14" x14ac:dyDescent="0.75">
      <c r="G365" s="10"/>
      <c r="H365" s="10"/>
      <c r="I365" s="10"/>
      <c r="J365" s="102"/>
      <c r="K365" s="10"/>
      <c r="L365" s="76"/>
      <c r="M365" s="10"/>
      <c r="N365" s="10"/>
    </row>
    <row r="366" spans="7:14" x14ac:dyDescent="0.75">
      <c r="G366" s="10"/>
      <c r="H366" s="10"/>
      <c r="I366" s="39"/>
      <c r="J366" s="103"/>
      <c r="K366" s="39"/>
      <c r="L366" s="78"/>
      <c r="M366" s="19"/>
      <c r="N366" s="10"/>
    </row>
    <row r="367" spans="7:14" x14ac:dyDescent="0.75">
      <c r="G367" s="10"/>
      <c r="H367" s="10"/>
      <c r="I367" s="39"/>
      <c r="J367" s="103"/>
      <c r="K367" s="39"/>
      <c r="L367" s="10"/>
      <c r="M367" s="19"/>
      <c r="N367" s="10"/>
    </row>
    <row r="368" spans="7:14" x14ac:dyDescent="0.75">
      <c r="G368" s="10"/>
      <c r="H368" s="10"/>
      <c r="I368" s="39"/>
      <c r="J368" s="103"/>
      <c r="K368" s="39"/>
      <c r="L368" s="78"/>
      <c r="M368" s="19"/>
      <c r="N368" s="10"/>
    </row>
    <row r="369" spans="7:14" x14ac:dyDescent="0.75">
      <c r="G369" s="10"/>
      <c r="H369" s="10"/>
      <c r="I369" s="39"/>
      <c r="J369" s="103"/>
      <c r="K369" s="39"/>
      <c r="L369" s="78"/>
      <c r="M369" s="19"/>
      <c r="N369" s="10"/>
    </row>
    <row r="370" spans="7:14" x14ac:dyDescent="0.75">
      <c r="G370" s="10"/>
      <c r="H370" s="10"/>
      <c r="I370" s="39"/>
      <c r="J370" s="103"/>
      <c r="K370" s="39"/>
      <c r="L370" s="78"/>
      <c r="M370" s="19"/>
      <c r="N370" s="10"/>
    </row>
    <row r="371" spans="7:14" x14ac:dyDescent="0.75">
      <c r="G371" s="10"/>
      <c r="H371" s="10"/>
      <c r="I371" s="39"/>
      <c r="J371" s="103"/>
      <c r="K371" s="39"/>
      <c r="L371" s="78"/>
      <c r="M371" s="19"/>
      <c r="N371" s="10"/>
    </row>
    <row r="372" spans="7:14" x14ac:dyDescent="0.75">
      <c r="G372" s="10"/>
      <c r="H372" s="10"/>
      <c r="I372" s="39"/>
      <c r="J372" s="103"/>
      <c r="K372" s="39"/>
      <c r="L372" s="78"/>
      <c r="M372" s="19"/>
      <c r="N372" s="10"/>
    </row>
    <row r="373" spans="7:14" x14ac:dyDescent="0.75">
      <c r="G373" s="10"/>
      <c r="H373" s="10"/>
      <c r="I373" s="39"/>
      <c r="J373" s="103"/>
      <c r="K373" s="39"/>
      <c r="L373" s="78"/>
      <c r="M373" s="19"/>
      <c r="N373" s="10"/>
    </row>
    <row r="374" spans="7:14" x14ac:dyDescent="0.75">
      <c r="G374" s="10"/>
      <c r="H374" s="10"/>
      <c r="I374" s="39"/>
      <c r="J374" s="103"/>
      <c r="K374" s="39"/>
      <c r="L374" s="78"/>
      <c r="M374" s="19"/>
      <c r="N374" s="10"/>
    </row>
    <row r="375" spans="7:14" x14ac:dyDescent="0.75">
      <c r="G375" s="10"/>
      <c r="H375" s="10"/>
      <c r="I375" s="39"/>
      <c r="J375" s="103"/>
      <c r="K375" s="39"/>
      <c r="L375" s="78"/>
      <c r="M375" s="19"/>
      <c r="N375" s="10"/>
    </row>
    <row r="376" spans="7:14" x14ac:dyDescent="0.75">
      <c r="G376" s="10"/>
      <c r="H376" s="10"/>
      <c r="I376" s="39"/>
      <c r="J376" s="103"/>
      <c r="K376" s="39"/>
      <c r="L376" s="78"/>
      <c r="M376" s="19"/>
      <c r="N376" s="10"/>
    </row>
    <row r="377" spans="7:14" x14ac:dyDescent="0.75">
      <c r="G377" s="10"/>
      <c r="H377" s="10"/>
      <c r="I377" s="39"/>
      <c r="J377" s="103"/>
      <c r="K377" s="39"/>
      <c r="L377" s="10"/>
      <c r="M377" s="19"/>
      <c r="N377" s="10"/>
    </row>
    <row r="378" spans="7:14" x14ac:dyDescent="0.75">
      <c r="G378" s="10"/>
      <c r="H378" s="10"/>
      <c r="I378" s="39"/>
      <c r="J378" s="103"/>
      <c r="K378" s="39"/>
      <c r="L378" s="78"/>
      <c r="M378" s="19"/>
      <c r="N378" s="10"/>
    </row>
    <row r="379" spans="7:14" x14ac:dyDescent="0.75">
      <c r="G379" s="10"/>
      <c r="H379" s="10"/>
      <c r="I379" s="39"/>
      <c r="J379" s="103"/>
      <c r="K379" s="39"/>
      <c r="L379" s="78"/>
      <c r="M379" s="19"/>
      <c r="N379" s="10"/>
    </row>
    <row r="380" spans="7:14" x14ac:dyDescent="0.75">
      <c r="G380" s="10"/>
      <c r="H380" s="10"/>
      <c r="I380" s="39"/>
      <c r="J380" s="103"/>
      <c r="K380" s="39"/>
      <c r="L380" s="78"/>
      <c r="M380" s="19"/>
      <c r="N380" s="10"/>
    </row>
    <row r="381" spans="7:14" x14ac:dyDescent="0.75">
      <c r="G381" s="10"/>
      <c r="H381" s="10"/>
      <c r="I381" s="39"/>
      <c r="J381" s="103"/>
      <c r="K381" s="39"/>
      <c r="L381" s="78"/>
      <c r="M381" s="19"/>
      <c r="N381" s="10"/>
    </row>
    <row r="382" spans="7:14" x14ac:dyDescent="0.75">
      <c r="G382" s="10"/>
      <c r="H382" s="10"/>
      <c r="I382" s="39"/>
      <c r="J382" s="103"/>
      <c r="K382" s="39"/>
      <c r="L382" s="78"/>
      <c r="M382" s="19"/>
      <c r="N382" s="10"/>
    </row>
    <row r="383" spans="7:14" x14ac:dyDescent="0.75">
      <c r="G383" s="10"/>
      <c r="H383" s="10"/>
      <c r="I383" s="39"/>
      <c r="J383" s="103"/>
      <c r="K383" s="39"/>
      <c r="L383" s="78"/>
      <c r="M383" s="19"/>
      <c r="N383" s="10"/>
    </row>
    <row r="384" spans="7:14" x14ac:dyDescent="0.75">
      <c r="G384" s="10"/>
      <c r="H384" s="10"/>
      <c r="I384" s="39"/>
      <c r="J384" s="103"/>
      <c r="K384" s="39"/>
      <c r="L384" s="78"/>
      <c r="M384" s="19"/>
      <c r="N384" s="10"/>
    </row>
    <row r="385" spans="7:14" x14ac:dyDescent="0.75">
      <c r="G385" s="10"/>
      <c r="H385" s="10"/>
      <c r="I385" s="39"/>
      <c r="J385" s="103"/>
      <c r="K385" s="39"/>
      <c r="L385" s="78"/>
      <c r="M385" s="19"/>
      <c r="N385" s="10"/>
    </row>
    <row r="386" spans="7:14" x14ac:dyDescent="0.75">
      <c r="G386" s="10"/>
      <c r="H386" s="10"/>
      <c r="I386" s="39"/>
      <c r="J386" s="103"/>
      <c r="K386" s="39"/>
      <c r="L386" s="78"/>
      <c r="M386" s="19"/>
      <c r="N386" s="10"/>
    </row>
    <row r="387" spans="7:14" x14ac:dyDescent="0.75">
      <c r="G387" s="10"/>
      <c r="H387" s="10"/>
      <c r="I387" s="39"/>
      <c r="J387" s="103"/>
      <c r="K387" s="39"/>
      <c r="L387" s="78"/>
      <c r="M387" s="19"/>
      <c r="N387" s="10"/>
    </row>
    <row r="388" spans="7:14" x14ac:dyDescent="0.75">
      <c r="G388" s="10"/>
      <c r="H388" s="10"/>
      <c r="I388" s="39"/>
      <c r="J388" s="103"/>
      <c r="K388" s="39"/>
      <c r="L388" s="78"/>
      <c r="M388" s="19"/>
      <c r="N388" s="10"/>
    </row>
    <row r="389" spans="7:14" x14ac:dyDescent="0.75">
      <c r="G389" s="10"/>
      <c r="H389" s="10"/>
      <c r="I389" s="39"/>
      <c r="J389" s="103"/>
      <c r="K389" s="39"/>
      <c r="L389" s="78"/>
      <c r="M389" s="19"/>
      <c r="N389" s="10"/>
    </row>
    <row r="390" spans="7:14" x14ac:dyDescent="0.75">
      <c r="G390" s="10"/>
      <c r="H390" s="10"/>
      <c r="I390" s="39"/>
      <c r="J390" s="103"/>
      <c r="K390" s="39"/>
      <c r="L390" s="78"/>
      <c r="M390" s="19"/>
      <c r="N390" s="10"/>
    </row>
    <row r="391" spans="7:14" x14ac:dyDescent="0.75">
      <c r="G391" s="10"/>
      <c r="H391" s="10"/>
      <c r="I391" s="39"/>
      <c r="J391" s="103"/>
      <c r="K391" s="39"/>
      <c r="L391" s="78"/>
      <c r="M391" s="19"/>
      <c r="N391" s="10"/>
    </row>
    <row r="392" spans="7:14" x14ac:dyDescent="0.75">
      <c r="G392" s="10"/>
      <c r="H392" s="10"/>
      <c r="I392" s="39"/>
      <c r="J392" s="103"/>
      <c r="K392" s="39"/>
      <c r="L392" s="78"/>
      <c r="M392" s="19"/>
      <c r="N392" s="10"/>
    </row>
    <row r="393" spans="7:14" x14ac:dyDescent="0.75">
      <c r="G393" s="10"/>
      <c r="H393" s="10"/>
      <c r="I393" s="39"/>
      <c r="J393" s="103"/>
      <c r="K393" s="39"/>
      <c r="L393" s="78"/>
      <c r="M393" s="19"/>
      <c r="N393" s="10"/>
    </row>
    <row r="394" spans="7:14" x14ac:dyDescent="0.75">
      <c r="G394" s="10"/>
      <c r="H394" s="10"/>
      <c r="I394" s="39"/>
      <c r="J394" s="103"/>
      <c r="K394" s="39"/>
      <c r="L394" s="78"/>
      <c r="M394" s="19"/>
      <c r="N394" s="10"/>
    </row>
    <row r="395" spans="7:14" x14ac:dyDescent="0.75">
      <c r="G395" s="10"/>
      <c r="H395" s="10"/>
      <c r="I395" s="39"/>
      <c r="J395" s="103"/>
      <c r="K395" s="39"/>
      <c r="L395" s="78"/>
      <c r="M395" s="19"/>
      <c r="N395" s="10"/>
    </row>
    <row r="396" spans="7:14" x14ac:dyDescent="0.75">
      <c r="G396" s="10"/>
      <c r="H396" s="10"/>
      <c r="I396" s="39"/>
      <c r="J396" s="103"/>
      <c r="K396" s="39"/>
      <c r="L396" s="78"/>
      <c r="M396" s="19"/>
      <c r="N396" s="10"/>
    </row>
    <row r="397" spans="7:14" x14ac:dyDescent="0.75">
      <c r="G397" s="10"/>
      <c r="H397" s="10"/>
      <c r="I397" s="39"/>
      <c r="J397" s="103"/>
      <c r="K397" s="39"/>
      <c r="L397" s="78"/>
      <c r="M397" s="19"/>
      <c r="N397" s="10"/>
    </row>
    <row r="398" spans="7:14" x14ac:dyDescent="0.75">
      <c r="G398" s="10"/>
      <c r="H398" s="10"/>
      <c r="I398" s="39"/>
      <c r="J398" s="103"/>
      <c r="K398" s="39"/>
      <c r="L398" s="78"/>
      <c r="M398" s="19"/>
      <c r="N398" s="10"/>
    </row>
    <row r="399" spans="7:14" x14ac:dyDescent="0.75">
      <c r="G399" s="10"/>
      <c r="H399" s="10"/>
      <c r="I399" s="39"/>
      <c r="J399" s="103"/>
      <c r="K399" s="39"/>
      <c r="L399" s="78"/>
      <c r="M399" s="19"/>
      <c r="N399" s="10"/>
    </row>
    <row r="400" spans="7:14" x14ac:dyDescent="0.75">
      <c r="G400" s="10"/>
      <c r="H400" s="10"/>
      <c r="I400" s="39"/>
      <c r="J400" s="103"/>
      <c r="K400" s="39"/>
      <c r="L400" s="78"/>
      <c r="M400" s="19"/>
      <c r="N400" s="10"/>
    </row>
    <row r="401" spans="7:14" x14ac:dyDescent="0.75">
      <c r="G401" s="10"/>
      <c r="H401" s="10"/>
      <c r="I401" s="39"/>
      <c r="J401" s="103"/>
      <c r="K401" s="39"/>
      <c r="L401" s="78"/>
      <c r="M401" s="19"/>
      <c r="N401" s="10"/>
    </row>
    <row r="402" spans="7:14" x14ac:dyDescent="0.75">
      <c r="G402" s="10"/>
      <c r="H402" s="10"/>
      <c r="I402" s="39"/>
      <c r="J402" s="103"/>
      <c r="K402" s="39"/>
      <c r="L402" s="78"/>
      <c r="M402" s="19"/>
      <c r="N402" s="10"/>
    </row>
    <row r="403" spans="7:14" x14ac:dyDescent="0.75">
      <c r="G403" s="10"/>
      <c r="H403" s="10"/>
      <c r="I403" s="39"/>
      <c r="J403" s="103"/>
      <c r="K403" s="39"/>
      <c r="L403" s="78"/>
      <c r="M403" s="19"/>
      <c r="N403" s="10"/>
    </row>
    <row r="404" spans="7:14" x14ac:dyDescent="0.75">
      <c r="G404" s="10"/>
      <c r="H404" s="10"/>
      <c r="I404" s="39"/>
      <c r="J404" s="103"/>
      <c r="K404" s="39"/>
      <c r="L404" s="78"/>
      <c r="M404" s="19"/>
      <c r="N404" s="10"/>
    </row>
    <row r="405" spans="7:14" x14ac:dyDescent="0.75">
      <c r="G405" s="10"/>
      <c r="H405" s="10"/>
      <c r="I405" s="39"/>
      <c r="J405" s="103"/>
      <c r="K405" s="39"/>
      <c r="L405" s="78"/>
      <c r="M405" s="19"/>
      <c r="N405" s="10"/>
    </row>
    <row r="406" spans="7:14" x14ac:dyDescent="0.75">
      <c r="G406" s="10"/>
      <c r="H406" s="10"/>
      <c r="I406" s="39"/>
      <c r="J406" s="103"/>
      <c r="K406" s="39"/>
      <c r="L406" s="78"/>
      <c r="M406" s="19"/>
      <c r="N406" s="10"/>
    </row>
    <row r="407" spans="7:14" x14ac:dyDescent="0.75">
      <c r="G407" s="10"/>
      <c r="H407" s="10"/>
      <c r="I407" s="39"/>
      <c r="J407" s="103"/>
      <c r="K407" s="39"/>
      <c r="L407" s="78"/>
      <c r="M407" s="19"/>
      <c r="N407" s="10"/>
    </row>
    <row r="408" spans="7:14" x14ac:dyDescent="0.75">
      <c r="G408" s="10"/>
      <c r="H408" s="10"/>
      <c r="I408" s="39"/>
      <c r="J408" s="103"/>
      <c r="K408" s="39"/>
      <c r="L408" s="78"/>
      <c r="M408" s="19"/>
      <c r="N408" s="10"/>
    </row>
    <row r="409" spans="7:14" x14ac:dyDescent="0.75">
      <c r="G409" s="10"/>
      <c r="H409" s="10"/>
      <c r="I409" s="39"/>
      <c r="J409" s="103"/>
      <c r="K409" s="39"/>
      <c r="L409" s="78"/>
      <c r="M409" s="19"/>
      <c r="N409" s="10"/>
    </row>
    <row r="410" spans="7:14" x14ac:dyDescent="0.75">
      <c r="G410" s="10"/>
      <c r="H410" s="10"/>
      <c r="I410" s="39"/>
      <c r="J410" s="103"/>
      <c r="K410" s="39"/>
      <c r="L410" s="78"/>
      <c r="M410" s="19"/>
      <c r="N410" s="10"/>
    </row>
    <row r="411" spans="7:14" x14ac:dyDescent="0.75">
      <c r="G411" s="10"/>
      <c r="H411" s="10"/>
      <c r="I411" s="39"/>
      <c r="J411" s="103"/>
      <c r="K411" s="39"/>
      <c r="L411" s="78"/>
      <c r="M411" s="19"/>
      <c r="N411" s="10"/>
    </row>
    <row r="412" spans="7:14" x14ac:dyDescent="0.75">
      <c r="G412" s="10"/>
      <c r="H412" s="10"/>
      <c r="I412" s="39"/>
      <c r="J412" s="103"/>
      <c r="K412" s="39"/>
      <c r="L412" s="78"/>
      <c r="M412" s="19"/>
      <c r="N412" s="10"/>
    </row>
    <row r="413" spans="7:14" x14ac:dyDescent="0.75">
      <c r="G413" s="10"/>
      <c r="H413" s="10"/>
      <c r="I413" s="39"/>
      <c r="J413" s="103"/>
      <c r="K413" s="39"/>
      <c r="L413" s="78"/>
      <c r="M413" s="19"/>
      <c r="N413" s="10"/>
    </row>
    <row r="414" spans="7:14" x14ac:dyDescent="0.75">
      <c r="G414" s="10"/>
      <c r="H414" s="10"/>
      <c r="I414" s="39"/>
      <c r="J414" s="103"/>
      <c r="K414" s="39"/>
      <c r="L414" s="78"/>
      <c r="M414" s="19"/>
      <c r="N414" s="10"/>
    </row>
    <row r="415" spans="7:14" x14ac:dyDescent="0.75">
      <c r="G415" s="10"/>
      <c r="H415" s="10"/>
      <c r="I415" s="39"/>
      <c r="J415" s="103"/>
      <c r="K415" s="39"/>
      <c r="L415" s="78"/>
      <c r="M415" s="19"/>
      <c r="N415" s="10"/>
    </row>
    <row r="416" spans="7:14" x14ac:dyDescent="0.75">
      <c r="G416" s="10"/>
      <c r="H416" s="10"/>
      <c r="I416" s="39"/>
      <c r="J416" s="103"/>
      <c r="K416" s="39"/>
      <c r="L416" s="78"/>
      <c r="M416" s="19"/>
      <c r="N416" s="10"/>
    </row>
    <row r="417" spans="7:14" x14ac:dyDescent="0.75">
      <c r="G417" s="10"/>
      <c r="H417" s="10"/>
      <c r="I417" s="39"/>
      <c r="J417" s="103"/>
      <c r="K417" s="39"/>
      <c r="L417" s="78"/>
      <c r="M417" s="19"/>
      <c r="N417" s="10"/>
    </row>
    <row r="418" spans="7:14" x14ac:dyDescent="0.75">
      <c r="G418" s="10"/>
      <c r="H418" s="10"/>
      <c r="I418" s="39"/>
      <c r="J418" s="103"/>
      <c r="K418" s="39"/>
      <c r="L418" s="78"/>
      <c r="M418" s="19"/>
      <c r="N418" s="10"/>
    </row>
    <row r="419" spans="7:14" x14ac:dyDescent="0.75">
      <c r="G419" s="10"/>
      <c r="H419" s="10"/>
      <c r="I419" s="39"/>
      <c r="J419" s="103"/>
      <c r="K419" s="39"/>
      <c r="L419" s="10"/>
      <c r="M419" s="19"/>
      <c r="N419" s="10"/>
    </row>
    <row r="420" spans="7:14" x14ac:dyDescent="0.75">
      <c r="G420" s="10"/>
      <c r="H420" s="10"/>
      <c r="I420" s="39"/>
      <c r="J420" s="103"/>
      <c r="K420" s="39"/>
      <c r="L420" s="78"/>
      <c r="M420" s="19"/>
      <c r="N420" s="10"/>
    </row>
    <row r="421" spans="7:14" x14ac:dyDescent="0.75">
      <c r="G421" s="10"/>
      <c r="H421" s="10"/>
      <c r="I421" s="39"/>
      <c r="J421" s="103"/>
      <c r="K421" s="39"/>
      <c r="L421" s="78"/>
      <c r="M421" s="19"/>
      <c r="N421" s="10"/>
    </row>
    <row r="422" spans="7:14" x14ac:dyDescent="0.75">
      <c r="G422" s="10"/>
      <c r="H422" s="10"/>
      <c r="I422" s="39"/>
      <c r="J422" s="103"/>
      <c r="K422" s="39"/>
      <c r="L422" s="78"/>
      <c r="M422" s="19"/>
      <c r="N422" s="10"/>
    </row>
    <row r="423" spans="7:14" x14ac:dyDescent="0.75">
      <c r="G423" s="10"/>
      <c r="H423" s="10"/>
      <c r="I423" s="39"/>
      <c r="J423" s="103"/>
      <c r="K423" s="39"/>
      <c r="L423" s="78"/>
      <c r="M423" s="19"/>
      <c r="N423" s="10"/>
    </row>
    <row r="424" spans="7:14" x14ac:dyDescent="0.75">
      <c r="G424" s="10"/>
      <c r="H424" s="10"/>
      <c r="I424" s="39"/>
      <c r="J424" s="103"/>
      <c r="K424" s="39"/>
      <c r="L424" s="10"/>
      <c r="M424" s="19"/>
      <c r="N424" s="10"/>
    </row>
    <row r="425" spans="7:14" x14ac:dyDescent="0.75">
      <c r="G425" s="10"/>
      <c r="H425" s="10"/>
      <c r="I425" s="39"/>
      <c r="J425" s="103"/>
      <c r="K425" s="39"/>
      <c r="L425" s="78"/>
      <c r="M425" s="19"/>
      <c r="N425" s="10"/>
    </row>
    <row r="426" spans="7:14" x14ac:dyDescent="0.75">
      <c r="G426" s="10"/>
      <c r="H426" s="10"/>
      <c r="I426" s="39"/>
      <c r="J426" s="103"/>
      <c r="K426" s="39"/>
      <c r="L426" s="78"/>
      <c r="M426" s="19"/>
      <c r="N426" s="10"/>
    </row>
    <row r="427" spans="7:14" x14ac:dyDescent="0.75">
      <c r="G427" s="10"/>
      <c r="H427" s="10"/>
      <c r="I427" s="39"/>
      <c r="J427" s="103"/>
      <c r="K427" s="39"/>
      <c r="L427" s="78"/>
      <c r="M427" s="19"/>
      <c r="N427" s="10"/>
    </row>
    <row r="428" spans="7:14" x14ac:dyDescent="0.75">
      <c r="G428" s="10"/>
      <c r="H428" s="10"/>
      <c r="I428" s="39"/>
      <c r="J428" s="103"/>
      <c r="K428" s="39"/>
      <c r="L428" s="78"/>
      <c r="M428" s="19"/>
      <c r="N428" s="10"/>
    </row>
    <row r="429" spans="7:14" x14ac:dyDescent="0.75">
      <c r="G429" s="10"/>
      <c r="H429" s="10"/>
      <c r="I429" s="39"/>
      <c r="J429" s="103"/>
      <c r="K429" s="39"/>
      <c r="L429" s="78"/>
      <c r="M429" s="19"/>
      <c r="N429" s="10"/>
    </row>
    <row r="430" spans="7:14" x14ac:dyDescent="0.75">
      <c r="G430" s="10"/>
      <c r="H430" s="10"/>
      <c r="I430" s="39"/>
      <c r="J430" s="103"/>
      <c r="K430" s="39"/>
      <c r="L430" s="78"/>
      <c r="M430" s="19"/>
      <c r="N430" s="10"/>
    </row>
    <row r="431" spans="7:14" x14ac:dyDescent="0.75">
      <c r="G431" s="10"/>
      <c r="H431" s="10"/>
      <c r="I431" s="39"/>
      <c r="J431" s="103"/>
      <c r="K431" s="39"/>
      <c r="L431" s="78"/>
      <c r="M431" s="19"/>
      <c r="N431" s="10"/>
    </row>
    <row r="432" spans="7:14" x14ac:dyDescent="0.75">
      <c r="G432" s="10"/>
      <c r="H432" s="10"/>
      <c r="I432" s="39"/>
      <c r="J432" s="103"/>
      <c r="K432" s="39"/>
      <c r="L432" s="78"/>
      <c r="M432" s="19"/>
      <c r="N432" s="10"/>
    </row>
    <row r="433" spans="7:14" x14ac:dyDescent="0.75">
      <c r="G433" s="10"/>
      <c r="H433" s="10"/>
      <c r="I433" s="39"/>
      <c r="J433" s="103"/>
      <c r="K433" s="39"/>
      <c r="L433" s="78"/>
      <c r="M433" s="19"/>
      <c r="N433" s="10"/>
    </row>
    <row r="434" spans="7:14" x14ac:dyDescent="0.75">
      <c r="G434" s="10"/>
      <c r="H434" s="10"/>
      <c r="I434" s="39"/>
      <c r="J434" s="103"/>
      <c r="K434" s="39"/>
      <c r="L434" s="10"/>
      <c r="M434" s="19"/>
      <c r="N434" s="10"/>
    </row>
    <row r="435" spans="7:14" x14ac:dyDescent="0.75">
      <c r="G435" s="10"/>
      <c r="H435" s="10"/>
      <c r="I435" s="39"/>
      <c r="J435" s="103"/>
      <c r="K435" s="39"/>
      <c r="L435" s="10"/>
      <c r="M435" s="19"/>
      <c r="N435" s="10"/>
    </row>
    <row r="436" spans="7:14" x14ac:dyDescent="0.75">
      <c r="G436" s="10"/>
      <c r="H436" s="10"/>
      <c r="I436" s="39"/>
      <c r="J436" s="103"/>
      <c r="K436" s="39"/>
      <c r="L436" s="10"/>
      <c r="M436" s="19"/>
      <c r="N436" s="10"/>
    </row>
    <row r="437" spans="7:14" x14ac:dyDescent="0.75">
      <c r="G437" s="10"/>
      <c r="H437" s="10"/>
      <c r="I437" s="39"/>
      <c r="J437" s="103"/>
      <c r="K437" s="39"/>
      <c r="L437" s="78"/>
      <c r="M437" s="19"/>
      <c r="N437" s="10"/>
    </row>
    <row r="438" spans="7:14" x14ac:dyDescent="0.75">
      <c r="G438" s="10"/>
      <c r="H438" s="10"/>
      <c r="I438" s="39"/>
      <c r="J438" s="103"/>
      <c r="K438" s="39"/>
      <c r="L438" s="78"/>
      <c r="M438" s="19"/>
      <c r="N438" s="10"/>
    </row>
    <row r="439" spans="7:14" x14ac:dyDescent="0.75">
      <c r="G439" s="10"/>
      <c r="H439" s="10"/>
      <c r="I439" s="39"/>
      <c r="J439" s="103"/>
      <c r="K439" s="39"/>
      <c r="L439" s="78"/>
      <c r="M439" s="19"/>
      <c r="N439" s="10"/>
    </row>
    <row r="440" spans="7:14" x14ac:dyDescent="0.75">
      <c r="G440" s="10"/>
      <c r="H440" s="10"/>
      <c r="I440" s="39"/>
      <c r="J440" s="103"/>
      <c r="K440" s="39"/>
      <c r="L440" s="10"/>
      <c r="M440" s="19"/>
      <c r="N440" s="10"/>
    </row>
    <row r="441" spans="7:14" x14ac:dyDescent="0.75">
      <c r="G441" s="10"/>
      <c r="H441" s="10"/>
      <c r="I441" s="39"/>
      <c r="J441" s="103"/>
      <c r="K441" s="39"/>
      <c r="L441" s="78"/>
      <c r="M441" s="19"/>
      <c r="N441" s="10"/>
    </row>
    <row r="442" spans="7:14" x14ac:dyDescent="0.75">
      <c r="G442" s="10"/>
      <c r="H442" s="10"/>
      <c r="I442" s="39"/>
      <c r="J442" s="103"/>
      <c r="K442" s="39"/>
      <c r="L442" s="78"/>
      <c r="M442" s="19"/>
      <c r="N442" s="10"/>
    </row>
    <row r="443" spans="7:14" x14ac:dyDescent="0.75">
      <c r="G443" s="10"/>
      <c r="H443" s="10"/>
      <c r="I443" s="39"/>
      <c r="J443" s="103"/>
      <c r="K443" s="39"/>
      <c r="L443" s="78"/>
      <c r="M443" s="19"/>
      <c r="N443" s="10"/>
    </row>
    <row r="444" spans="7:14" x14ac:dyDescent="0.75">
      <c r="G444" s="10"/>
      <c r="H444" s="10"/>
      <c r="I444" s="39"/>
      <c r="J444" s="103"/>
      <c r="K444" s="39"/>
      <c r="L444" s="78"/>
      <c r="M444" s="19"/>
      <c r="N444" s="10"/>
    </row>
    <row r="445" spans="7:14" x14ac:dyDescent="0.75">
      <c r="G445" s="10"/>
      <c r="H445" s="10"/>
      <c r="I445" s="39"/>
      <c r="J445" s="103"/>
      <c r="K445" s="39"/>
      <c r="L445" s="78"/>
      <c r="M445" s="19"/>
      <c r="N445" s="10"/>
    </row>
    <row r="446" spans="7:14" x14ac:dyDescent="0.75">
      <c r="G446" s="10"/>
      <c r="H446" s="10"/>
      <c r="I446" s="39"/>
      <c r="J446" s="103"/>
      <c r="K446" s="39"/>
      <c r="L446" s="78"/>
      <c r="M446" s="19"/>
      <c r="N446" s="10"/>
    </row>
    <row r="447" spans="7:14" x14ac:dyDescent="0.75">
      <c r="G447" s="10"/>
      <c r="H447" s="10"/>
      <c r="I447" s="39"/>
      <c r="J447" s="103"/>
      <c r="K447" s="39"/>
      <c r="L447" s="78"/>
      <c r="M447" s="19"/>
      <c r="N447" s="10"/>
    </row>
    <row r="448" spans="7:14" x14ac:dyDescent="0.75">
      <c r="G448" s="10"/>
      <c r="H448" s="10"/>
      <c r="I448" s="39"/>
      <c r="J448" s="103"/>
      <c r="K448" s="39"/>
      <c r="L448" s="10"/>
      <c r="M448" s="19"/>
      <c r="N448" s="10"/>
    </row>
    <row r="449" spans="7:14" x14ac:dyDescent="0.75">
      <c r="G449" s="10"/>
      <c r="H449" s="10"/>
      <c r="I449" s="39"/>
      <c r="J449" s="103"/>
      <c r="K449" s="39"/>
      <c r="L449" s="10"/>
      <c r="M449" s="19"/>
      <c r="N449" s="10"/>
    </row>
    <row r="450" spans="7:14" x14ac:dyDescent="0.75">
      <c r="G450" s="10"/>
      <c r="H450" s="10"/>
      <c r="I450" s="39"/>
      <c r="J450" s="103"/>
      <c r="K450" s="39"/>
      <c r="L450" s="10"/>
      <c r="M450" s="19"/>
      <c r="N450" s="10"/>
    </row>
    <row r="451" spans="7:14" x14ac:dyDescent="0.75">
      <c r="G451" s="10"/>
      <c r="H451" s="10"/>
      <c r="I451" s="39"/>
      <c r="J451" s="103"/>
      <c r="K451" s="39"/>
      <c r="L451" s="78"/>
      <c r="M451" s="19"/>
      <c r="N451" s="10"/>
    </row>
    <row r="452" spans="7:14" x14ac:dyDescent="0.75">
      <c r="G452" s="10"/>
      <c r="H452" s="10"/>
      <c r="I452" s="39"/>
      <c r="J452" s="103"/>
      <c r="K452" s="39"/>
      <c r="L452" s="78"/>
      <c r="M452" s="19"/>
      <c r="N452" s="10"/>
    </row>
    <row r="453" spans="7:14" x14ac:dyDescent="0.75">
      <c r="G453" s="10"/>
      <c r="H453" s="10"/>
      <c r="I453" s="39"/>
      <c r="J453" s="103"/>
      <c r="K453" s="39"/>
      <c r="L453" s="10"/>
      <c r="M453" s="19"/>
      <c r="N453" s="10"/>
    </row>
    <row r="454" spans="7:14" x14ac:dyDescent="0.75">
      <c r="G454" s="10"/>
      <c r="H454" s="10"/>
      <c r="I454" s="39"/>
      <c r="J454" s="103"/>
      <c r="K454" s="39"/>
      <c r="L454" s="78"/>
      <c r="M454" s="19"/>
      <c r="N454" s="10"/>
    </row>
    <row r="455" spans="7:14" x14ac:dyDescent="0.75">
      <c r="G455" s="10"/>
      <c r="H455" s="10"/>
      <c r="I455" s="39"/>
      <c r="J455" s="103"/>
      <c r="K455" s="39"/>
      <c r="L455" s="78"/>
      <c r="M455" s="19"/>
      <c r="N455" s="10"/>
    </row>
    <row r="456" spans="7:14" x14ac:dyDescent="0.75">
      <c r="G456" s="10"/>
      <c r="H456" s="10"/>
      <c r="I456" s="39"/>
      <c r="J456" s="103"/>
      <c r="K456" s="39"/>
      <c r="L456" s="78"/>
      <c r="M456" s="19"/>
      <c r="N456" s="10"/>
    </row>
    <row r="457" spans="7:14" x14ac:dyDescent="0.75">
      <c r="G457" s="10"/>
      <c r="H457" s="10"/>
      <c r="I457" s="39"/>
      <c r="J457" s="103"/>
      <c r="K457" s="39"/>
      <c r="L457" s="78"/>
      <c r="M457" s="19"/>
      <c r="N457" s="10"/>
    </row>
    <row r="458" spans="7:14" x14ac:dyDescent="0.75">
      <c r="G458" s="10"/>
      <c r="H458" s="10"/>
      <c r="I458" s="39"/>
      <c r="J458" s="103"/>
      <c r="K458" s="39"/>
      <c r="L458" s="78"/>
      <c r="M458" s="19"/>
      <c r="N458" s="10"/>
    </row>
    <row r="459" spans="7:14" x14ac:dyDescent="0.75">
      <c r="G459" s="10"/>
      <c r="H459" s="10"/>
      <c r="I459" s="39"/>
      <c r="J459" s="103"/>
      <c r="K459" s="39"/>
      <c r="L459" s="78"/>
      <c r="M459" s="19"/>
      <c r="N459" s="10"/>
    </row>
    <row r="460" spans="7:14" x14ac:dyDescent="0.75">
      <c r="G460" s="10"/>
      <c r="H460" s="10"/>
      <c r="I460" s="39"/>
      <c r="J460" s="103"/>
      <c r="K460" s="39"/>
      <c r="L460" s="78"/>
      <c r="M460" s="19"/>
      <c r="N460" s="10"/>
    </row>
    <row r="461" spans="7:14" x14ac:dyDescent="0.75">
      <c r="G461" s="10"/>
      <c r="H461" s="10"/>
      <c r="I461" s="39"/>
      <c r="J461" s="103"/>
      <c r="K461" s="39"/>
      <c r="L461" s="78"/>
      <c r="M461" s="19"/>
      <c r="N461" s="10"/>
    </row>
    <row r="462" spans="7:14" x14ac:dyDescent="0.75">
      <c r="G462" s="10"/>
      <c r="H462" s="10"/>
      <c r="I462" s="39"/>
      <c r="J462" s="103"/>
      <c r="K462" s="39"/>
      <c r="L462" s="78"/>
      <c r="M462" s="19"/>
      <c r="N462" s="10"/>
    </row>
    <row r="463" spans="7:14" x14ac:dyDescent="0.75">
      <c r="G463" s="10"/>
      <c r="H463" s="10"/>
      <c r="I463" s="39"/>
      <c r="J463" s="103"/>
      <c r="K463" s="39"/>
      <c r="L463" s="78"/>
      <c r="M463" s="19"/>
      <c r="N463" s="10"/>
    </row>
    <row r="464" spans="7:14" x14ac:dyDescent="0.75">
      <c r="G464" s="10"/>
      <c r="H464" s="10"/>
      <c r="I464" s="39"/>
      <c r="J464" s="103"/>
      <c r="K464" s="39"/>
      <c r="L464" s="78"/>
      <c r="M464" s="19"/>
      <c r="N464" s="10"/>
    </row>
    <row r="465" spans="7:14" x14ac:dyDescent="0.75">
      <c r="G465" s="10"/>
      <c r="H465" s="10"/>
      <c r="I465" s="39"/>
      <c r="J465" s="103"/>
      <c r="K465" s="39"/>
      <c r="L465" s="78"/>
      <c r="M465" s="19"/>
      <c r="N465" s="10"/>
    </row>
    <row r="466" spans="7:14" x14ac:dyDescent="0.75">
      <c r="G466" s="10"/>
      <c r="H466" s="10"/>
      <c r="I466" s="39"/>
      <c r="J466" s="103"/>
      <c r="K466" s="39"/>
      <c r="L466" s="78"/>
      <c r="M466" s="19"/>
      <c r="N466" s="10"/>
    </row>
    <row r="467" spans="7:14" x14ac:dyDescent="0.75">
      <c r="G467" s="10"/>
      <c r="H467" s="10"/>
      <c r="I467" s="39"/>
      <c r="J467" s="103"/>
      <c r="K467" s="39"/>
      <c r="L467" s="10"/>
      <c r="M467" s="19"/>
      <c r="N467" s="10"/>
    </row>
    <row r="468" spans="7:14" x14ac:dyDescent="0.75">
      <c r="G468" s="10"/>
      <c r="H468" s="10"/>
      <c r="I468" s="39"/>
      <c r="J468" s="103"/>
      <c r="K468" s="39"/>
      <c r="L468" s="78"/>
      <c r="M468" s="19"/>
      <c r="N468" s="10"/>
    </row>
    <row r="469" spans="7:14" x14ac:dyDescent="0.75">
      <c r="G469" s="10"/>
      <c r="H469" s="10"/>
      <c r="I469" s="39"/>
      <c r="J469" s="103"/>
      <c r="K469" s="39"/>
      <c r="L469" s="10"/>
      <c r="M469" s="19"/>
      <c r="N469" s="10"/>
    </row>
    <row r="470" spans="7:14" x14ac:dyDescent="0.75">
      <c r="G470" s="10"/>
      <c r="H470" s="10"/>
      <c r="I470" s="39"/>
      <c r="J470" s="103"/>
      <c r="K470" s="39"/>
      <c r="L470" s="10"/>
      <c r="M470" s="19"/>
      <c r="N470" s="10"/>
    </row>
    <row r="471" spans="7:14" x14ac:dyDescent="0.75">
      <c r="G471" s="10"/>
      <c r="H471" s="10"/>
      <c r="I471" s="39"/>
      <c r="J471" s="103"/>
      <c r="K471" s="39"/>
      <c r="L471" s="10"/>
      <c r="M471" s="19"/>
      <c r="N471" s="10"/>
    </row>
    <row r="472" spans="7:14" x14ac:dyDescent="0.75">
      <c r="G472" s="10"/>
      <c r="H472" s="10"/>
      <c r="I472" s="39"/>
      <c r="J472" s="103"/>
      <c r="K472" s="39"/>
      <c r="L472" s="78"/>
      <c r="M472" s="19"/>
      <c r="N472" s="10"/>
    </row>
    <row r="473" spans="7:14" x14ac:dyDescent="0.75">
      <c r="G473" s="10"/>
      <c r="H473" s="10"/>
      <c r="I473" s="39"/>
      <c r="J473" s="103"/>
      <c r="K473" s="39"/>
      <c r="L473" s="78"/>
      <c r="M473" s="19"/>
      <c r="N473" s="10"/>
    </row>
    <row r="474" spans="7:14" x14ac:dyDescent="0.75">
      <c r="G474" s="10"/>
      <c r="H474" s="10"/>
      <c r="I474" s="39"/>
      <c r="J474" s="103"/>
      <c r="K474" s="39"/>
      <c r="L474" s="78"/>
      <c r="M474" s="19"/>
      <c r="N474" s="10"/>
    </row>
    <row r="475" spans="7:14" x14ac:dyDescent="0.75">
      <c r="G475" s="10"/>
      <c r="H475" s="10"/>
      <c r="I475" s="39"/>
      <c r="J475" s="103"/>
      <c r="K475" s="39"/>
      <c r="L475" s="10"/>
      <c r="M475" s="19"/>
      <c r="N475" s="10"/>
    </row>
    <row r="476" spans="7:14" x14ac:dyDescent="0.75">
      <c r="G476" s="10"/>
      <c r="H476" s="10"/>
      <c r="I476" s="39"/>
      <c r="J476" s="103"/>
      <c r="K476" s="39"/>
      <c r="L476" s="78"/>
      <c r="M476" s="19"/>
      <c r="N476" s="10"/>
    </row>
    <row r="477" spans="7:14" x14ac:dyDescent="0.75">
      <c r="G477" s="10"/>
      <c r="H477" s="10"/>
      <c r="I477" s="39"/>
      <c r="J477" s="103"/>
      <c r="K477" s="39"/>
      <c r="L477" s="78"/>
      <c r="M477" s="19"/>
      <c r="N477" s="10"/>
    </row>
    <row r="478" spans="7:14" x14ac:dyDescent="0.75">
      <c r="G478" s="10"/>
      <c r="H478" s="10"/>
      <c r="I478" s="39"/>
      <c r="J478" s="103"/>
      <c r="K478" s="39"/>
      <c r="L478" s="78"/>
      <c r="M478" s="19"/>
      <c r="N478" s="10"/>
    </row>
    <row r="479" spans="7:14" x14ac:dyDescent="0.75">
      <c r="G479" s="10"/>
      <c r="H479" s="10"/>
      <c r="I479" s="39"/>
      <c r="J479" s="103"/>
      <c r="K479" s="39"/>
      <c r="L479" s="78"/>
      <c r="M479" s="19"/>
      <c r="N479" s="10"/>
    </row>
    <row r="480" spans="7:14" x14ac:dyDescent="0.75">
      <c r="G480" s="10"/>
      <c r="H480" s="10"/>
      <c r="I480" s="39"/>
      <c r="J480" s="103"/>
      <c r="K480" s="39"/>
      <c r="L480" s="78"/>
      <c r="M480" s="19"/>
      <c r="N480" s="10"/>
    </row>
    <row r="481" spans="7:14" x14ac:dyDescent="0.75">
      <c r="G481" s="10"/>
      <c r="H481" s="10"/>
      <c r="I481" s="39"/>
      <c r="J481" s="103"/>
      <c r="K481" s="39"/>
      <c r="L481" s="78"/>
      <c r="M481" s="19"/>
      <c r="N481" s="10"/>
    </row>
    <row r="482" spans="7:14" x14ac:dyDescent="0.75">
      <c r="G482" s="10"/>
      <c r="H482" s="10"/>
      <c r="I482" s="39"/>
      <c r="J482" s="103"/>
      <c r="K482" s="39"/>
      <c r="L482" s="78"/>
      <c r="M482" s="19"/>
      <c r="N482" s="10"/>
    </row>
    <row r="483" spans="7:14" x14ac:dyDescent="0.75">
      <c r="G483" s="10"/>
      <c r="H483" s="10"/>
      <c r="I483" s="39"/>
      <c r="J483" s="103"/>
      <c r="K483" s="39"/>
      <c r="L483" s="78"/>
      <c r="M483" s="19"/>
      <c r="N483" s="10"/>
    </row>
    <row r="484" spans="7:14" x14ac:dyDescent="0.75">
      <c r="G484" s="10"/>
      <c r="H484" s="10"/>
      <c r="I484" s="39"/>
      <c r="J484" s="103"/>
      <c r="K484" s="39"/>
      <c r="L484" s="78"/>
      <c r="M484" s="19"/>
      <c r="N484" s="10"/>
    </row>
    <row r="485" spans="7:14" x14ac:dyDescent="0.75">
      <c r="G485" s="10"/>
      <c r="H485" s="10"/>
      <c r="I485" s="39"/>
      <c r="J485" s="103"/>
      <c r="K485" s="39"/>
      <c r="L485" s="78"/>
      <c r="M485" s="19"/>
      <c r="N485" s="10"/>
    </row>
    <row r="486" spans="7:14" x14ac:dyDescent="0.75">
      <c r="G486" s="10"/>
      <c r="H486" s="10"/>
      <c r="I486" s="39"/>
      <c r="J486" s="103"/>
      <c r="K486" s="39"/>
      <c r="L486" s="10"/>
      <c r="M486" s="19"/>
      <c r="N486" s="10"/>
    </row>
    <row r="487" spans="7:14" x14ac:dyDescent="0.75">
      <c r="G487" s="10"/>
      <c r="H487" s="10"/>
      <c r="I487" s="39"/>
      <c r="J487" s="103"/>
      <c r="K487" s="39"/>
      <c r="L487" s="78"/>
      <c r="M487" s="19"/>
      <c r="N487" s="10"/>
    </row>
    <row r="488" spans="7:14" x14ac:dyDescent="0.75">
      <c r="G488" s="10"/>
      <c r="H488" s="10"/>
      <c r="I488" s="39"/>
      <c r="J488" s="103"/>
      <c r="K488" s="39"/>
      <c r="L488" s="78"/>
      <c r="M488" s="19"/>
      <c r="N488" s="10"/>
    </row>
    <row r="489" spans="7:14" x14ac:dyDescent="0.75">
      <c r="G489" s="10"/>
      <c r="H489" s="10"/>
      <c r="I489" s="39"/>
      <c r="J489" s="103"/>
      <c r="K489" s="39"/>
      <c r="L489" s="78"/>
      <c r="M489" s="19"/>
      <c r="N489" s="10"/>
    </row>
    <row r="490" spans="7:14" x14ac:dyDescent="0.75">
      <c r="G490" s="10"/>
      <c r="H490" s="10"/>
      <c r="I490" s="39"/>
      <c r="J490" s="103"/>
      <c r="K490" s="39"/>
      <c r="L490" s="78"/>
      <c r="M490" s="19"/>
      <c r="N490" s="10"/>
    </row>
    <row r="491" spans="7:14" x14ac:dyDescent="0.75">
      <c r="G491" s="10"/>
      <c r="H491" s="10"/>
      <c r="I491" s="39"/>
      <c r="J491" s="103"/>
      <c r="K491" s="39"/>
      <c r="L491" s="78"/>
      <c r="M491" s="19"/>
      <c r="N491" s="10"/>
    </row>
    <row r="492" spans="7:14" x14ac:dyDescent="0.75">
      <c r="G492" s="10"/>
      <c r="H492" s="10"/>
      <c r="I492" s="39"/>
      <c r="J492" s="103"/>
      <c r="K492" s="39"/>
      <c r="L492" s="78"/>
      <c r="M492" s="19"/>
      <c r="N492" s="10"/>
    </row>
    <row r="493" spans="7:14" x14ac:dyDescent="0.75">
      <c r="G493" s="10"/>
      <c r="H493" s="10"/>
      <c r="I493" s="39"/>
      <c r="J493" s="103"/>
      <c r="K493" s="39"/>
      <c r="L493" s="78"/>
      <c r="M493" s="19"/>
      <c r="N493" s="10"/>
    </row>
    <row r="494" spans="7:14" x14ac:dyDescent="0.75">
      <c r="G494" s="10"/>
      <c r="H494" s="10"/>
      <c r="I494" s="39"/>
      <c r="J494" s="103"/>
      <c r="K494" s="39"/>
      <c r="L494" s="78"/>
      <c r="M494" s="19"/>
      <c r="N494" s="10"/>
    </row>
    <row r="495" spans="7:14" x14ac:dyDescent="0.75">
      <c r="G495" s="10"/>
      <c r="H495" s="10"/>
      <c r="I495" s="39"/>
      <c r="J495" s="103"/>
      <c r="K495" s="39"/>
      <c r="L495" s="78"/>
      <c r="M495" s="19"/>
      <c r="N495" s="10"/>
    </row>
    <row r="496" spans="7:14" x14ac:dyDescent="0.75">
      <c r="G496" s="10"/>
      <c r="H496" s="10"/>
      <c r="I496" s="39"/>
      <c r="J496" s="103"/>
      <c r="K496" s="39"/>
      <c r="L496" s="78"/>
      <c r="M496" s="19"/>
      <c r="N496" s="10"/>
    </row>
    <row r="497" spans="7:14" x14ac:dyDescent="0.75">
      <c r="G497" s="10"/>
      <c r="H497" s="10"/>
      <c r="I497" s="39"/>
      <c r="J497" s="103"/>
      <c r="K497" s="39"/>
      <c r="L497" s="78"/>
      <c r="M497" s="19"/>
      <c r="N497" s="10"/>
    </row>
    <row r="498" spans="7:14" x14ac:dyDescent="0.75">
      <c r="G498" s="10"/>
      <c r="H498" s="10"/>
      <c r="I498" s="39"/>
      <c r="J498" s="103"/>
      <c r="K498" s="39"/>
      <c r="L498" s="78"/>
      <c r="M498" s="19"/>
      <c r="N498" s="10"/>
    </row>
    <row r="499" spans="7:14" x14ac:dyDescent="0.75">
      <c r="G499" s="10"/>
      <c r="H499" s="10"/>
      <c r="I499" s="39"/>
      <c r="J499" s="103"/>
      <c r="K499" s="39"/>
      <c r="L499" s="78"/>
      <c r="M499" s="19"/>
      <c r="N499" s="10"/>
    </row>
    <row r="500" spans="7:14" x14ac:dyDescent="0.75">
      <c r="G500" s="10"/>
      <c r="H500" s="10"/>
      <c r="I500" s="39"/>
      <c r="J500" s="103"/>
      <c r="K500" s="39"/>
      <c r="L500" s="78"/>
      <c r="M500" s="19"/>
      <c r="N500" s="10"/>
    </row>
    <row r="501" spans="7:14" x14ac:dyDescent="0.75">
      <c r="G501" s="10"/>
      <c r="H501" s="10"/>
      <c r="I501" s="39"/>
      <c r="J501" s="103"/>
      <c r="K501" s="39"/>
      <c r="L501" s="78"/>
      <c r="M501" s="19"/>
      <c r="N501" s="10"/>
    </row>
    <row r="502" spans="7:14" x14ac:dyDescent="0.75">
      <c r="G502" s="10"/>
      <c r="H502" s="10"/>
      <c r="I502" s="39"/>
      <c r="J502" s="103"/>
      <c r="K502" s="39"/>
      <c r="L502" s="78"/>
      <c r="M502" s="19"/>
      <c r="N502" s="10"/>
    </row>
    <row r="503" spans="7:14" x14ac:dyDescent="0.75">
      <c r="G503" s="10"/>
      <c r="H503" s="10"/>
      <c r="I503" s="39"/>
      <c r="J503" s="103"/>
      <c r="K503" s="39"/>
      <c r="L503" s="10"/>
      <c r="M503" s="19"/>
      <c r="N503" s="10"/>
    </row>
    <row r="504" spans="7:14" x14ac:dyDescent="0.75">
      <c r="G504" s="10"/>
      <c r="H504" s="10"/>
      <c r="I504" s="39"/>
      <c r="J504" s="103"/>
      <c r="K504" s="39"/>
      <c r="L504" s="78"/>
      <c r="M504" s="19"/>
      <c r="N504" s="10"/>
    </row>
    <row r="505" spans="7:14" x14ac:dyDescent="0.75">
      <c r="G505" s="10"/>
      <c r="H505" s="10"/>
      <c r="I505" s="39"/>
      <c r="J505" s="103"/>
      <c r="K505" s="39"/>
      <c r="L505" s="78"/>
      <c r="M505" s="19"/>
      <c r="N505" s="10"/>
    </row>
    <row r="506" spans="7:14" x14ac:dyDescent="0.75">
      <c r="G506" s="10"/>
      <c r="H506" s="10"/>
      <c r="I506" s="39"/>
      <c r="J506" s="103"/>
      <c r="K506" s="39"/>
      <c r="L506" s="78"/>
      <c r="M506" s="19"/>
      <c r="N506" s="10"/>
    </row>
    <row r="507" spans="7:14" x14ac:dyDescent="0.75">
      <c r="G507" s="10"/>
      <c r="H507" s="10"/>
      <c r="I507" s="39"/>
      <c r="J507" s="103"/>
      <c r="K507" s="39"/>
      <c r="L507" s="78"/>
      <c r="M507" s="19"/>
      <c r="N507" s="10"/>
    </row>
    <row r="508" spans="7:14" x14ac:dyDescent="0.75">
      <c r="G508" s="10"/>
      <c r="H508" s="10"/>
      <c r="I508" s="39"/>
      <c r="J508" s="103"/>
      <c r="K508" s="39"/>
      <c r="L508" s="78"/>
      <c r="M508" s="19"/>
      <c r="N508" s="10"/>
    </row>
    <row r="509" spans="7:14" x14ac:dyDescent="0.75">
      <c r="G509" s="10"/>
      <c r="H509" s="10"/>
      <c r="I509" s="39"/>
      <c r="J509" s="103"/>
      <c r="K509" s="39"/>
      <c r="L509" s="78"/>
      <c r="M509" s="19"/>
      <c r="N509" s="10"/>
    </row>
    <row r="510" spans="7:14" x14ac:dyDescent="0.75">
      <c r="G510" s="10"/>
      <c r="H510" s="10"/>
      <c r="I510" s="39"/>
      <c r="J510" s="103"/>
      <c r="K510" s="39"/>
      <c r="L510" s="78"/>
      <c r="M510" s="19"/>
      <c r="N510" s="10"/>
    </row>
    <row r="511" spans="7:14" x14ac:dyDescent="0.75">
      <c r="G511" s="10"/>
      <c r="H511" s="10"/>
      <c r="I511" s="39"/>
      <c r="J511" s="103"/>
      <c r="K511" s="39"/>
      <c r="L511" s="78"/>
      <c r="M511" s="19"/>
      <c r="N511" s="10"/>
    </row>
    <row r="512" spans="7:14" x14ac:dyDescent="0.75">
      <c r="G512" s="10"/>
      <c r="H512" s="10"/>
      <c r="I512" s="39"/>
      <c r="J512" s="103"/>
      <c r="K512" s="39"/>
      <c r="L512" s="78"/>
      <c r="M512" s="19"/>
      <c r="N512" s="10"/>
    </row>
    <row r="513" spans="7:14" x14ac:dyDescent="0.75">
      <c r="G513" s="10"/>
      <c r="H513" s="10"/>
      <c r="I513" s="39"/>
      <c r="J513" s="103"/>
      <c r="K513" s="39"/>
      <c r="L513" s="78"/>
      <c r="M513" s="19"/>
      <c r="N513" s="10"/>
    </row>
    <row r="514" spans="7:14" x14ac:dyDescent="0.75">
      <c r="G514" s="10"/>
      <c r="H514" s="10"/>
      <c r="I514" s="39"/>
      <c r="J514" s="103"/>
      <c r="K514" s="39"/>
      <c r="L514" s="10"/>
      <c r="M514" s="19"/>
      <c r="N514" s="10"/>
    </row>
    <row r="515" spans="7:14" x14ac:dyDescent="0.75">
      <c r="G515" s="10"/>
      <c r="H515" s="10"/>
      <c r="I515" s="39"/>
      <c r="J515" s="103"/>
      <c r="K515" s="39"/>
      <c r="L515" s="78"/>
      <c r="M515" s="19"/>
      <c r="N515" s="10"/>
    </row>
    <row r="516" spans="7:14" x14ac:dyDescent="0.75">
      <c r="G516" s="10"/>
      <c r="H516" s="10"/>
      <c r="I516" s="39"/>
      <c r="J516" s="103"/>
      <c r="K516" s="39"/>
      <c r="L516" s="78"/>
      <c r="M516" s="19"/>
      <c r="N516" s="10"/>
    </row>
    <row r="517" spans="7:14" x14ac:dyDescent="0.75">
      <c r="G517" s="10"/>
      <c r="H517" s="10"/>
      <c r="I517" s="39"/>
      <c r="J517" s="103"/>
      <c r="K517" s="39"/>
      <c r="L517" s="78"/>
      <c r="M517" s="19"/>
      <c r="N517" s="10"/>
    </row>
    <row r="518" spans="7:14" x14ac:dyDescent="0.75">
      <c r="G518" s="10"/>
      <c r="H518" s="10"/>
      <c r="I518" s="39"/>
      <c r="J518" s="103"/>
      <c r="K518" s="39"/>
      <c r="L518" s="10"/>
      <c r="M518" s="19"/>
      <c r="N518" s="10"/>
    </row>
    <row r="519" spans="7:14" x14ac:dyDescent="0.75">
      <c r="G519" s="10"/>
      <c r="H519" s="10"/>
      <c r="I519" s="39"/>
      <c r="J519" s="103"/>
      <c r="K519" s="39"/>
      <c r="L519" s="10"/>
      <c r="M519" s="19"/>
      <c r="N519" s="10"/>
    </row>
    <row r="520" spans="7:14" x14ac:dyDescent="0.75">
      <c r="G520" s="10"/>
      <c r="H520" s="10"/>
      <c r="I520" s="39"/>
      <c r="J520" s="103"/>
      <c r="K520" s="39"/>
      <c r="L520" s="10"/>
      <c r="M520" s="19"/>
      <c r="N520" s="10"/>
    </row>
    <row r="521" spans="7:14" x14ac:dyDescent="0.75">
      <c r="G521" s="10"/>
      <c r="H521" s="10"/>
      <c r="I521" s="39"/>
      <c r="J521" s="103"/>
      <c r="K521" s="39"/>
      <c r="L521" s="78"/>
      <c r="M521" s="19"/>
      <c r="N521" s="10"/>
    </row>
    <row r="522" spans="7:14" x14ac:dyDescent="0.75">
      <c r="G522" s="10"/>
      <c r="H522" s="10"/>
      <c r="I522" s="39"/>
      <c r="J522" s="103"/>
      <c r="K522" s="39"/>
      <c r="L522" s="78"/>
      <c r="M522" s="19"/>
      <c r="N522" s="10"/>
    </row>
    <row r="523" spans="7:14" x14ac:dyDescent="0.75">
      <c r="G523" s="10"/>
      <c r="H523" s="10"/>
      <c r="I523" s="39"/>
      <c r="J523" s="103"/>
      <c r="K523" s="39"/>
      <c r="L523" s="78"/>
      <c r="M523" s="19"/>
      <c r="N523" s="10"/>
    </row>
    <row r="524" spans="7:14" x14ac:dyDescent="0.75">
      <c r="G524" s="10"/>
      <c r="H524" s="10"/>
      <c r="I524" s="39"/>
      <c r="J524" s="103"/>
      <c r="K524" s="39"/>
      <c r="L524" s="10"/>
      <c r="M524" s="19"/>
      <c r="N524" s="10"/>
    </row>
    <row r="525" spans="7:14" x14ac:dyDescent="0.75">
      <c r="G525" s="10"/>
      <c r="H525" s="10"/>
      <c r="I525" s="39"/>
      <c r="J525" s="103"/>
      <c r="K525" s="39"/>
      <c r="L525" s="78"/>
      <c r="M525" s="19"/>
      <c r="N525" s="10"/>
    </row>
    <row r="526" spans="7:14" x14ac:dyDescent="0.75">
      <c r="G526" s="10"/>
      <c r="H526" s="10"/>
      <c r="I526" s="39"/>
      <c r="J526" s="103"/>
      <c r="K526" s="39"/>
      <c r="L526" s="78"/>
      <c r="M526" s="19"/>
      <c r="N526" s="10"/>
    </row>
    <row r="527" spans="7:14" x14ac:dyDescent="0.75">
      <c r="G527" s="10"/>
      <c r="H527" s="10"/>
      <c r="I527" s="39"/>
      <c r="J527" s="103"/>
      <c r="K527" s="39"/>
      <c r="L527" s="78"/>
      <c r="M527" s="19"/>
      <c r="N527" s="10"/>
    </row>
    <row r="528" spans="7:14" x14ac:dyDescent="0.75">
      <c r="G528" s="10"/>
      <c r="H528" s="10"/>
      <c r="I528" s="39"/>
      <c r="J528" s="103"/>
      <c r="K528" s="39"/>
      <c r="L528" s="78"/>
      <c r="M528" s="19"/>
      <c r="N528" s="10"/>
    </row>
    <row r="529" spans="7:14" x14ac:dyDescent="0.75">
      <c r="G529" s="10"/>
      <c r="H529" s="10"/>
      <c r="I529" s="39"/>
      <c r="J529" s="103"/>
      <c r="K529" s="39"/>
      <c r="L529" s="10"/>
      <c r="M529" s="19"/>
      <c r="N529" s="10"/>
    </row>
    <row r="530" spans="7:14" x14ac:dyDescent="0.75">
      <c r="G530" s="10"/>
      <c r="H530" s="10"/>
      <c r="I530" s="39"/>
      <c r="J530" s="103"/>
      <c r="K530" s="39"/>
      <c r="L530" s="78"/>
      <c r="M530" s="19"/>
      <c r="N530" s="10"/>
    </row>
    <row r="531" spans="7:14" x14ac:dyDescent="0.75">
      <c r="G531" s="10"/>
      <c r="H531" s="10"/>
      <c r="I531" s="39"/>
      <c r="J531" s="103"/>
      <c r="K531" s="39"/>
      <c r="L531" s="78"/>
      <c r="M531" s="19"/>
      <c r="N531" s="10"/>
    </row>
    <row r="532" spans="7:14" x14ac:dyDescent="0.75">
      <c r="G532" s="10"/>
      <c r="H532" s="10"/>
      <c r="I532" s="39"/>
      <c r="J532" s="103"/>
      <c r="K532" s="39"/>
      <c r="L532" s="78"/>
      <c r="M532" s="19"/>
      <c r="N532" s="10"/>
    </row>
    <row r="533" spans="7:14" x14ac:dyDescent="0.75">
      <c r="G533" s="10"/>
      <c r="H533" s="10"/>
      <c r="I533" s="39"/>
      <c r="J533" s="103"/>
      <c r="K533" s="39"/>
      <c r="L533" s="78"/>
      <c r="M533" s="19"/>
      <c r="N533" s="10"/>
    </row>
    <row r="534" spans="7:14" x14ac:dyDescent="0.75">
      <c r="G534" s="10"/>
      <c r="H534" s="10"/>
      <c r="I534" s="39"/>
      <c r="J534" s="103"/>
      <c r="K534" s="39"/>
      <c r="L534" s="78"/>
      <c r="M534" s="19"/>
      <c r="N534" s="10"/>
    </row>
    <row r="535" spans="7:14" x14ac:dyDescent="0.75">
      <c r="G535" s="10"/>
      <c r="H535" s="10"/>
      <c r="I535" s="39"/>
      <c r="J535" s="103"/>
      <c r="K535" s="39"/>
      <c r="L535" s="78"/>
      <c r="M535" s="19"/>
      <c r="N535" s="10"/>
    </row>
    <row r="536" spans="7:14" x14ac:dyDescent="0.75">
      <c r="G536" s="10"/>
      <c r="H536" s="10"/>
      <c r="I536" s="39"/>
      <c r="J536" s="103"/>
      <c r="K536" s="39"/>
      <c r="L536" s="78"/>
      <c r="M536" s="19"/>
      <c r="N536" s="10"/>
    </row>
    <row r="537" spans="7:14" x14ac:dyDescent="0.75">
      <c r="G537" s="10"/>
      <c r="H537" s="10"/>
      <c r="I537" s="39"/>
      <c r="J537" s="103"/>
      <c r="K537" s="39"/>
      <c r="L537" s="78"/>
      <c r="M537" s="19"/>
      <c r="N537" s="10"/>
    </row>
    <row r="538" spans="7:14" x14ac:dyDescent="0.75">
      <c r="G538" s="10"/>
      <c r="H538" s="10"/>
      <c r="I538" s="39"/>
      <c r="J538" s="103"/>
      <c r="K538" s="39"/>
      <c r="L538" s="10"/>
      <c r="M538" s="19"/>
      <c r="N538" s="10"/>
    </row>
    <row r="539" spans="7:14" x14ac:dyDescent="0.75">
      <c r="G539" s="10"/>
      <c r="H539" s="10"/>
      <c r="I539" s="39"/>
      <c r="J539" s="103"/>
      <c r="K539" s="39"/>
      <c r="L539" s="78"/>
      <c r="M539" s="19"/>
      <c r="N539" s="10"/>
    </row>
    <row r="540" spans="7:14" x14ac:dyDescent="0.75">
      <c r="G540" s="10"/>
      <c r="H540" s="10"/>
      <c r="I540" s="39"/>
      <c r="J540" s="103"/>
      <c r="K540" s="39"/>
      <c r="L540" s="78"/>
      <c r="M540" s="19"/>
      <c r="N540" s="10"/>
    </row>
    <row r="541" spans="7:14" x14ac:dyDescent="0.75">
      <c r="G541" s="10"/>
      <c r="H541" s="10"/>
      <c r="I541" s="39"/>
      <c r="J541" s="103"/>
      <c r="K541" s="39"/>
      <c r="L541" s="78"/>
      <c r="M541" s="19"/>
      <c r="N541" s="10"/>
    </row>
    <row r="542" spans="7:14" x14ac:dyDescent="0.75">
      <c r="G542" s="10"/>
      <c r="H542" s="10"/>
      <c r="I542" s="39"/>
      <c r="J542" s="103"/>
      <c r="K542" s="39"/>
      <c r="L542" s="78"/>
      <c r="M542" s="19"/>
      <c r="N542" s="10"/>
    </row>
    <row r="543" spans="7:14" x14ac:dyDescent="0.75">
      <c r="G543" s="10"/>
      <c r="H543" s="10"/>
      <c r="I543" s="39"/>
      <c r="J543" s="103"/>
      <c r="K543" s="39"/>
      <c r="L543" s="78"/>
      <c r="M543" s="19"/>
      <c r="N543" s="10"/>
    </row>
    <row r="544" spans="7:14" x14ac:dyDescent="0.75">
      <c r="G544" s="10"/>
      <c r="H544" s="10"/>
      <c r="I544" s="39"/>
      <c r="J544" s="103"/>
      <c r="K544" s="39"/>
      <c r="L544" s="78"/>
      <c r="M544" s="19"/>
      <c r="N544" s="10"/>
    </row>
    <row r="545" spans="7:14" x14ac:dyDescent="0.75">
      <c r="G545" s="10"/>
      <c r="H545" s="10"/>
      <c r="I545" s="39"/>
      <c r="J545" s="103"/>
      <c r="K545" s="39"/>
      <c r="L545" s="78"/>
      <c r="M545" s="19"/>
      <c r="N545" s="10"/>
    </row>
    <row r="546" spans="7:14" x14ac:dyDescent="0.75">
      <c r="G546" s="10"/>
      <c r="H546" s="10"/>
      <c r="I546" s="39"/>
      <c r="J546" s="103"/>
      <c r="K546" s="39"/>
      <c r="L546" s="10"/>
      <c r="M546" s="19"/>
      <c r="N546" s="10"/>
    </row>
    <row r="547" spans="7:14" x14ac:dyDescent="0.75">
      <c r="G547" s="10"/>
      <c r="H547" s="10"/>
      <c r="I547" s="39"/>
      <c r="J547" s="103"/>
      <c r="K547" s="39"/>
      <c r="L547" s="10"/>
      <c r="M547" s="19"/>
      <c r="N547" s="10"/>
    </row>
    <row r="548" spans="7:14" x14ac:dyDescent="0.75">
      <c r="G548" s="10"/>
      <c r="H548" s="10"/>
      <c r="I548" s="39"/>
      <c r="J548" s="103"/>
      <c r="K548" s="39"/>
      <c r="L548" s="10"/>
      <c r="M548" s="19"/>
      <c r="N548" s="10"/>
    </row>
    <row r="549" spans="7:14" x14ac:dyDescent="0.75">
      <c r="G549" s="10"/>
      <c r="H549" s="10"/>
      <c r="I549" s="39"/>
      <c r="J549" s="103"/>
      <c r="K549" s="39"/>
      <c r="L549" s="78"/>
      <c r="M549" s="19"/>
      <c r="N549" s="10"/>
    </row>
    <row r="550" spans="7:14" x14ac:dyDescent="0.75">
      <c r="G550" s="10"/>
      <c r="H550" s="10"/>
      <c r="I550" s="39"/>
      <c r="J550" s="103"/>
      <c r="K550" s="39"/>
      <c r="L550" s="78"/>
      <c r="M550" s="19"/>
      <c r="N550" s="10"/>
    </row>
    <row r="551" spans="7:14" x14ac:dyDescent="0.75">
      <c r="G551" s="10"/>
      <c r="H551" s="10"/>
      <c r="I551" s="39"/>
      <c r="J551" s="103"/>
      <c r="K551" s="39"/>
      <c r="L551" s="78"/>
      <c r="M551" s="19"/>
      <c r="N551" s="10"/>
    </row>
    <row r="552" spans="7:14" x14ac:dyDescent="0.75">
      <c r="G552" s="10"/>
      <c r="H552" s="10"/>
      <c r="I552" s="39"/>
      <c r="J552" s="103"/>
      <c r="K552" s="39"/>
      <c r="L552" s="78"/>
      <c r="M552" s="19"/>
      <c r="N552" s="10"/>
    </row>
    <row r="553" spans="7:14" x14ac:dyDescent="0.75">
      <c r="G553" s="10"/>
      <c r="H553" s="10"/>
      <c r="I553" s="39"/>
      <c r="J553" s="103"/>
      <c r="K553" s="39"/>
      <c r="L553" s="78"/>
      <c r="M553" s="19"/>
      <c r="N553" s="10"/>
    </row>
    <row r="554" spans="7:14" x14ac:dyDescent="0.75">
      <c r="G554" s="10"/>
      <c r="H554" s="10"/>
      <c r="I554" s="39"/>
      <c r="J554" s="103"/>
      <c r="K554" s="39"/>
      <c r="L554" s="78"/>
      <c r="M554" s="19"/>
      <c r="N554" s="10"/>
    </row>
    <row r="555" spans="7:14" x14ac:dyDescent="0.75">
      <c r="G555" s="10"/>
      <c r="H555" s="10"/>
      <c r="I555" s="39"/>
      <c r="J555" s="103"/>
      <c r="K555" s="39"/>
      <c r="L555" s="78"/>
      <c r="M555" s="19"/>
      <c r="N555" s="10"/>
    </row>
    <row r="556" spans="7:14" x14ac:dyDescent="0.75">
      <c r="G556" s="10"/>
      <c r="H556" s="10"/>
      <c r="I556" s="39"/>
      <c r="J556" s="103"/>
      <c r="K556" s="39"/>
      <c r="L556" s="78"/>
      <c r="M556" s="19"/>
      <c r="N556" s="10"/>
    </row>
    <row r="557" spans="7:14" x14ac:dyDescent="0.75">
      <c r="G557" s="10"/>
      <c r="H557" s="10"/>
      <c r="I557" s="39"/>
      <c r="J557" s="103"/>
      <c r="K557" s="39"/>
      <c r="L557" s="78"/>
      <c r="M557" s="19"/>
      <c r="N557" s="10"/>
    </row>
    <row r="558" spans="7:14" x14ac:dyDescent="0.75">
      <c r="G558" s="10"/>
      <c r="H558" s="10"/>
      <c r="I558" s="39"/>
      <c r="J558" s="103"/>
      <c r="K558" s="39"/>
      <c r="L558" s="78"/>
      <c r="M558" s="19"/>
      <c r="N558" s="10"/>
    </row>
    <row r="559" spans="7:14" x14ac:dyDescent="0.75">
      <c r="G559" s="10"/>
      <c r="H559" s="10"/>
      <c r="I559" s="39"/>
      <c r="J559" s="103"/>
      <c r="K559" s="39"/>
      <c r="L559" s="78"/>
      <c r="M559" s="19"/>
      <c r="N559" s="10"/>
    </row>
    <row r="560" spans="7:14" x14ac:dyDescent="0.75">
      <c r="G560" s="10"/>
      <c r="H560" s="10"/>
      <c r="I560" s="39"/>
      <c r="J560" s="103"/>
      <c r="K560" s="39"/>
      <c r="L560" s="78"/>
      <c r="M560" s="19"/>
      <c r="N560" s="10"/>
    </row>
    <row r="561" spans="7:14" x14ac:dyDescent="0.75">
      <c r="G561" s="10"/>
      <c r="H561" s="10"/>
      <c r="I561" s="39"/>
      <c r="J561" s="103"/>
      <c r="K561" s="39"/>
      <c r="L561" s="78"/>
      <c r="M561" s="19"/>
      <c r="N561" s="10"/>
    </row>
    <row r="562" spans="7:14" x14ac:dyDescent="0.75">
      <c r="G562" s="10"/>
      <c r="H562" s="10"/>
      <c r="I562" s="39"/>
      <c r="J562" s="103"/>
      <c r="K562" s="39"/>
      <c r="L562" s="78"/>
      <c r="M562" s="19"/>
      <c r="N562" s="10"/>
    </row>
    <row r="563" spans="7:14" x14ac:dyDescent="0.75">
      <c r="G563" s="10"/>
      <c r="H563" s="10"/>
      <c r="I563" s="39"/>
      <c r="J563" s="103"/>
      <c r="K563" s="39"/>
      <c r="L563" s="78"/>
      <c r="M563" s="19"/>
      <c r="N563" s="10"/>
    </row>
    <row r="564" spans="7:14" x14ac:dyDescent="0.75">
      <c r="G564" s="10"/>
      <c r="H564" s="10"/>
      <c r="I564" s="39"/>
      <c r="J564" s="103"/>
      <c r="K564" s="39"/>
      <c r="L564" s="78"/>
      <c r="M564" s="19"/>
      <c r="N564" s="10"/>
    </row>
    <row r="565" spans="7:14" x14ac:dyDescent="0.75">
      <c r="G565" s="10"/>
      <c r="H565" s="10"/>
      <c r="I565" s="39"/>
      <c r="J565" s="103"/>
      <c r="K565" s="39"/>
      <c r="L565" s="78"/>
      <c r="M565" s="19"/>
      <c r="N565" s="10"/>
    </row>
    <row r="566" spans="7:14" x14ac:dyDescent="0.75">
      <c r="G566" s="10"/>
      <c r="H566" s="10"/>
      <c r="I566" s="39"/>
      <c r="J566" s="103"/>
      <c r="K566" s="39"/>
      <c r="L566" s="78"/>
      <c r="M566" s="19"/>
      <c r="N566" s="10"/>
    </row>
    <row r="567" spans="7:14" x14ac:dyDescent="0.75">
      <c r="G567" s="10"/>
      <c r="H567" s="10"/>
      <c r="I567" s="39"/>
      <c r="J567" s="103"/>
      <c r="K567" s="39"/>
      <c r="L567" s="78"/>
      <c r="M567" s="19"/>
      <c r="N567" s="10"/>
    </row>
    <row r="568" spans="7:14" x14ac:dyDescent="0.75">
      <c r="G568" s="10"/>
      <c r="H568" s="10"/>
      <c r="I568" s="39"/>
      <c r="J568" s="103"/>
      <c r="K568" s="39"/>
      <c r="L568" s="78"/>
      <c r="M568" s="19"/>
      <c r="N568" s="10"/>
    </row>
    <row r="569" spans="7:14" x14ac:dyDescent="0.75">
      <c r="G569" s="10"/>
      <c r="H569" s="10"/>
      <c r="I569" s="39"/>
      <c r="J569" s="103"/>
      <c r="K569" s="39"/>
      <c r="L569" s="78"/>
      <c r="M569" s="19"/>
      <c r="N569" s="10"/>
    </row>
    <row r="570" spans="7:14" x14ac:dyDescent="0.75">
      <c r="G570" s="10"/>
      <c r="H570" s="10"/>
      <c r="I570" s="39"/>
      <c r="J570" s="103"/>
      <c r="K570" s="39"/>
      <c r="L570" s="78"/>
      <c r="M570" s="19"/>
      <c r="N570" s="10"/>
    </row>
    <row r="571" spans="7:14" x14ac:dyDescent="0.75">
      <c r="G571" s="10"/>
      <c r="H571" s="10"/>
      <c r="I571" s="39"/>
      <c r="J571" s="103"/>
      <c r="K571" s="39"/>
      <c r="L571" s="78"/>
      <c r="M571" s="19"/>
      <c r="N571" s="10"/>
    </row>
    <row r="572" spans="7:14" x14ac:dyDescent="0.75">
      <c r="G572" s="10"/>
      <c r="H572" s="10"/>
      <c r="I572" s="39"/>
      <c r="J572" s="103"/>
      <c r="K572" s="39"/>
      <c r="L572" s="78"/>
      <c r="M572" s="19"/>
      <c r="N572" s="10"/>
    </row>
    <row r="573" spans="7:14" x14ac:dyDescent="0.75">
      <c r="G573" s="10"/>
      <c r="H573" s="10"/>
      <c r="I573" s="39"/>
      <c r="J573" s="103"/>
      <c r="K573" s="39"/>
      <c r="L573" s="10"/>
      <c r="M573" s="19"/>
      <c r="N573" s="10"/>
    </row>
    <row r="574" spans="7:14" x14ac:dyDescent="0.75">
      <c r="G574" s="10"/>
      <c r="H574" s="10"/>
      <c r="I574" s="39"/>
      <c r="J574" s="103"/>
      <c r="K574" s="39"/>
      <c r="L574" s="78"/>
      <c r="M574" s="19"/>
      <c r="N574" s="10"/>
    </row>
    <row r="575" spans="7:14" x14ac:dyDescent="0.75">
      <c r="G575" s="10"/>
      <c r="H575" s="10"/>
      <c r="I575" s="39"/>
      <c r="J575" s="103"/>
      <c r="K575" s="39"/>
      <c r="L575" s="78"/>
      <c r="M575" s="19"/>
      <c r="N575" s="10"/>
    </row>
    <row r="576" spans="7:14" x14ac:dyDescent="0.75">
      <c r="G576" s="10"/>
      <c r="H576" s="10"/>
      <c r="I576" s="39"/>
      <c r="J576" s="103"/>
      <c r="K576" s="39"/>
      <c r="L576" s="78"/>
      <c r="M576" s="19"/>
      <c r="N576" s="10"/>
    </row>
    <row r="577" spans="7:14" x14ac:dyDescent="0.75">
      <c r="G577" s="10"/>
      <c r="H577" s="10"/>
      <c r="I577" s="39"/>
      <c r="J577" s="103"/>
      <c r="K577" s="39"/>
      <c r="L577" s="78"/>
      <c r="M577" s="19"/>
      <c r="N577" s="10"/>
    </row>
    <row r="578" spans="7:14" x14ac:dyDescent="0.75">
      <c r="G578" s="10"/>
      <c r="H578" s="10"/>
      <c r="I578" s="39"/>
      <c r="J578" s="103"/>
      <c r="K578" s="39"/>
      <c r="L578" s="78"/>
      <c r="M578" s="19"/>
      <c r="N578" s="10"/>
    </row>
    <row r="579" spans="7:14" x14ac:dyDescent="0.75">
      <c r="G579" s="10"/>
      <c r="H579" s="10"/>
      <c r="I579" s="39"/>
      <c r="J579" s="103"/>
      <c r="K579" s="39"/>
      <c r="L579" s="78"/>
      <c r="M579" s="19"/>
      <c r="N579" s="10"/>
    </row>
    <row r="580" spans="7:14" x14ac:dyDescent="0.75">
      <c r="G580" s="10"/>
      <c r="H580" s="10"/>
      <c r="I580" s="39"/>
      <c r="J580" s="103"/>
      <c r="K580" s="39"/>
      <c r="L580" s="78"/>
      <c r="M580" s="19"/>
      <c r="N580" s="10"/>
    </row>
    <row r="581" spans="7:14" x14ac:dyDescent="0.75">
      <c r="G581" s="10"/>
      <c r="H581" s="10"/>
      <c r="I581" s="39"/>
      <c r="J581" s="103"/>
      <c r="K581" s="39"/>
      <c r="L581" s="78"/>
      <c r="M581" s="19"/>
      <c r="N581" s="10"/>
    </row>
    <row r="582" spans="7:14" x14ac:dyDescent="0.75">
      <c r="G582" s="10"/>
      <c r="H582" s="10"/>
      <c r="I582" s="39"/>
      <c r="J582" s="103"/>
      <c r="K582" s="39"/>
      <c r="L582" s="78"/>
      <c r="M582" s="19"/>
      <c r="N582" s="10"/>
    </row>
    <row r="583" spans="7:14" x14ac:dyDescent="0.75">
      <c r="G583" s="10"/>
      <c r="H583" s="10"/>
      <c r="I583" s="39"/>
      <c r="J583" s="103"/>
      <c r="K583" s="39"/>
      <c r="L583" s="78"/>
      <c r="M583" s="19"/>
      <c r="N583" s="10"/>
    </row>
    <row r="584" spans="7:14" x14ac:dyDescent="0.75">
      <c r="G584" s="10"/>
      <c r="H584" s="10"/>
      <c r="I584" s="39"/>
      <c r="J584" s="103"/>
      <c r="K584" s="39"/>
      <c r="L584" s="78"/>
      <c r="M584" s="19"/>
      <c r="N584" s="10"/>
    </row>
    <row r="585" spans="7:14" x14ac:dyDescent="0.75">
      <c r="G585" s="10"/>
      <c r="H585" s="10"/>
      <c r="I585" s="39"/>
      <c r="J585" s="103"/>
      <c r="K585" s="39"/>
      <c r="L585" s="78"/>
      <c r="M585" s="19"/>
      <c r="N585" s="10"/>
    </row>
    <row r="586" spans="7:14" x14ac:dyDescent="0.75">
      <c r="G586" s="10"/>
      <c r="H586" s="10"/>
      <c r="I586" s="39"/>
      <c r="J586" s="103"/>
      <c r="K586" s="39"/>
      <c r="L586" s="78"/>
      <c r="M586" s="19"/>
      <c r="N586" s="10"/>
    </row>
    <row r="587" spans="7:14" x14ac:dyDescent="0.75">
      <c r="G587" s="10"/>
      <c r="H587" s="10"/>
      <c r="I587" s="39"/>
      <c r="J587" s="103"/>
      <c r="K587" s="39"/>
      <c r="L587" s="78"/>
      <c r="M587" s="19"/>
      <c r="N587" s="10"/>
    </row>
    <row r="588" spans="7:14" x14ac:dyDescent="0.75">
      <c r="G588" s="10"/>
      <c r="H588" s="10"/>
      <c r="I588" s="39"/>
      <c r="J588" s="103"/>
      <c r="K588" s="39"/>
      <c r="L588" s="78"/>
      <c r="M588" s="19"/>
      <c r="N588" s="10"/>
    </row>
    <row r="589" spans="7:14" x14ac:dyDescent="0.75">
      <c r="G589" s="10"/>
      <c r="H589" s="10"/>
      <c r="I589" s="39"/>
      <c r="J589" s="103"/>
      <c r="K589" s="39"/>
      <c r="L589" s="78"/>
      <c r="M589" s="19"/>
      <c r="N589" s="10"/>
    </row>
    <row r="590" spans="7:14" x14ac:dyDescent="0.75">
      <c r="G590" s="10"/>
      <c r="H590" s="10"/>
      <c r="I590" s="39"/>
      <c r="J590" s="103"/>
      <c r="K590" s="39"/>
      <c r="L590" s="78"/>
      <c r="M590" s="19"/>
      <c r="N590" s="10"/>
    </row>
    <row r="591" spans="7:14" x14ac:dyDescent="0.75">
      <c r="G591" s="10"/>
      <c r="H591" s="10"/>
      <c r="I591" s="39"/>
      <c r="J591" s="103"/>
      <c r="K591" s="39"/>
      <c r="L591" s="78"/>
      <c r="M591" s="19"/>
      <c r="N591" s="10"/>
    </row>
    <row r="592" spans="7:14" x14ac:dyDescent="0.75">
      <c r="G592" s="10"/>
      <c r="H592" s="10"/>
      <c r="I592" s="39"/>
      <c r="J592" s="103"/>
      <c r="K592" s="39"/>
      <c r="L592" s="78"/>
      <c r="M592" s="19"/>
      <c r="N592" s="10"/>
    </row>
    <row r="593" spans="7:14" x14ac:dyDescent="0.75">
      <c r="G593" s="10"/>
      <c r="H593" s="10"/>
      <c r="I593" s="39"/>
      <c r="J593" s="103"/>
      <c r="K593" s="39"/>
      <c r="L593" s="78"/>
      <c r="M593" s="19"/>
      <c r="N593" s="10"/>
    </row>
    <row r="594" spans="7:14" x14ac:dyDescent="0.75">
      <c r="G594" s="10"/>
      <c r="H594" s="10"/>
      <c r="I594" s="39"/>
      <c r="J594" s="103"/>
      <c r="K594" s="39"/>
      <c r="L594" s="78"/>
      <c r="M594" s="19"/>
      <c r="N594" s="10"/>
    </row>
    <row r="595" spans="7:14" x14ac:dyDescent="0.75">
      <c r="G595" s="10"/>
      <c r="H595" s="10"/>
      <c r="I595" s="39"/>
      <c r="J595" s="103"/>
      <c r="K595" s="39"/>
      <c r="L595" s="10"/>
      <c r="M595" s="19"/>
      <c r="N595" s="10"/>
    </row>
    <row r="596" spans="7:14" x14ac:dyDescent="0.75">
      <c r="G596" s="10"/>
      <c r="H596" s="10"/>
      <c r="I596" s="39"/>
      <c r="J596" s="103"/>
      <c r="K596" s="39"/>
      <c r="L596" s="10"/>
      <c r="M596" s="19"/>
      <c r="N596" s="10"/>
    </row>
    <row r="597" spans="7:14" x14ac:dyDescent="0.75">
      <c r="G597" s="10"/>
      <c r="H597" s="10"/>
      <c r="I597" s="39"/>
      <c r="J597" s="103"/>
      <c r="K597" s="39"/>
      <c r="L597" s="10"/>
      <c r="M597" s="19"/>
      <c r="N597" s="10"/>
    </row>
    <row r="598" spans="7:14" x14ac:dyDescent="0.75">
      <c r="G598" s="10"/>
      <c r="H598" s="10"/>
      <c r="I598" s="39"/>
      <c r="J598" s="103"/>
      <c r="K598" s="39"/>
      <c r="L598" s="78"/>
      <c r="M598" s="19"/>
      <c r="N598" s="10"/>
    </row>
    <row r="599" spans="7:14" x14ac:dyDescent="0.75">
      <c r="G599" s="10"/>
      <c r="H599" s="10"/>
      <c r="I599" s="39"/>
      <c r="J599" s="103"/>
      <c r="K599" s="39"/>
      <c r="L599" s="78"/>
      <c r="M599" s="19"/>
      <c r="N599" s="10"/>
    </row>
    <row r="600" spans="7:14" x14ac:dyDescent="0.75">
      <c r="G600" s="10"/>
      <c r="H600" s="10"/>
      <c r="I600" s="39"/>
      <c r="J600" s="103"/>
      <c r="K600" s="39"/>
      <c r="L600" s="78"/>
      <c r="M600" s="19"/>
      <c r="N600" s="10"/>
    </row>
    <row r="601" spans="7:14" x14ac:dyDescent="0.75">
      <c r="G601" s="10"/>
      <c r="H601" s="10"/>
      <c r="I601" s="39"/>
      <c r="J601" s="103"/>
      <c r="K601" s="39"/>
      <c r="L601" s="78"/>
      <c r="M601" s="19"/>
      <c r="N601" s="10"/>
    </row>
    <row r="602" spans="7:14" x14ac:dyDescent="0.75">
      <c r="G602" s="10"/>
      <c r="H602" s="10"/>
      <c r="I602" s="39"/>
      <c r="J602" s="103"/>
      <c r="K602" s="39"/>
      <c r="L602" s="78"/>
      <c r="M602" s="19"/>
      <c r="N602" s="10"/>
    </row>
    <row r="603" spans="7:14" x14ac:dyDescent="0.75">
      <c r="G603" s="10"/>
      <c r="H603" s="10"/>
      <c r="I603" s="39"/>
      <c r="J603" s="103"/>
      <c r="K603" s="39"/>
      <c r="L603" s="78"/>
      <c r="M603" s="19"/>
      <c r="N603" s="10"/>
    </row>
    <row r="604" spans="7:14" x14ac:dyDescent="0.75">
      <c r="G604" s="10"/>
      <c r="H604" s="10"/>
      <c r="I604" s="39"/>
      <c r="J604" s="103"/>
      <c r="K604" s="39"/>
      <c r="L604" s="78"/>
      <c r="M604" s="19"/>
      <c r="N604" s="10"/>
    </row>
    <row r="605" spans="7:14" x14ac:dyDescent="0.75">
      <c r="G605" s="10"/>
      <c r="H605" s="10"/>
      <c r="I605" s="39"/>
      <c r="J605" s="103"/>
      <c r="K605" s="39"/>
      <c r="L605" s="78"/>
      <c r="M605" s="19"/>
      <c r="N605" s="10"/>
    </row>
    <row r="606" spans="7:14" x14ac:dyDescent="0.75">
      <c r="G606" s="10"/>
      <c r="H606" s="10"/>
      <c r="I606" s="39"/>
      <c r="J606" s="103"/>
      <c r="K606" s="39"/>
      <c r="L606" s="78"/>
      <c r="M606" s="19"/>
      <c r="N606" s="10"/>
    </row>
    <row r="607" spans="7:14" x14ac:dyDescent="0.75">
      <c r="G607" s="10"/>
      <c r="H607" s="10"/>
      <c r="I607" s="39"/>
      <c r="J607" s="103"/>
      <c r="K607" s="39"/>
      <c r="L607" s="78"/>
      <c r="M607" s="19"/>
      <c r="N607" s="10"/>
    </row>
    <row r="608" spans="7:14" x14ac:dyDescent="0.75">
      <c r="G608" s="10"/>
      <c r="H608" s="10"/>
      <c r="I608" s="39"/>
      <c r="J608" s="103"/>
      <c r="K608" s="39"/>
      <c r="L608" s="78"/>
      <c r="M608" s="19"/>
      <c r="N608" s="10"/>
    </row>
    <row r="609" spans="7:14" x14ac:dyDescent="0.75">
      <c r="G609" s="10"/>
      <c r="H609" s="10"/>
      <c r="I609" s="39"/>
      <c r="J609" s="103"/>
      <c r="K609" s="39"/>
      <c r="L609" s="78"/>
      <c r="M609" s="19"/>
      <c r="N609" s="10"/>
    </row>
    <row r="610" spans="7:14" x14ac:dyDescent="0.75">
      <c r="G610" s="10"/>
      <c r="H610" s="10"/>
      <c r="I610" s="39"/>
      <c r="J610" s="103"/>
      <c r="K610" s="39"/>
      <c r="L610" s="78"/>
      <c r="M610" s="19"/>
      <c r="N610" s="10"/>
    </row>
    <row r="611" spans="7:14" x14ac:dyDescent="0.75">
      <c r="G611" s="10"/>
      <c r="H611" s="10"/>
      <c r="I611" s="39"/>
      <c r="J611" s="103"/>
      <c r="K611" s="39"/>
      <c r="L611" s="78"/>
      <c r="M611" s="19"/>
      <c r="N611" s="10"/>
    </row>
    <row r="612" spans="7:14" x14ac:dyDescent="0.75">
      <c r="G612" s="10"/>
      <c r="H612" s="10"/>
      <c r="I612" s="39"/>
      <c r="J612" s="103"/>
      <c r="K612" s="39"/>
      <c r="L612" s="78"/>
      <c r="M612" s="19"/>
      <c r="N612" s="10"/>
    </row>
    <row r="613" spans="7:14" x14ac:dyDescent="0.75">
      <c r="G613" s="10"/>
      <c r="H613" s="10"/>
      <c r="I613" s="39"/>
      <c r="J613" s="103"/>
      <c r="K613" s="39"/>
      <c r="L613" s="78"/>
      <c r="M613" s="19"/>
      <c r="N613" s="10"/>
    </row>
    <row r="614" spans="7:14" x14ac:dyDescent="0.75">
      <c r="G614" s="10"/>
      <c r="H614" s="10"/>
      <c r="I614" s="39"/>
      <c r="J614" s="103"/>
      <c r="K614" s="39"/>
      <c r="L614" s="78"/>
      <c r="M614" s="19"/>
      <c r="N614" s="10"/>
    </row>
    <row r="615" spans="7:14" x14ac:dyDescent="0.75">
      <c r="G615" s="10"/>
      <c r="H615" s="10"/>
      <c r="I615" s="39"/>
      <c r="J615" s="103"/>
      <c r="K615" s="39"/>
      <c r="L615" s="78"/>
      <c r="M615" s="19"/>
      <c r="N615" s="10"/>
    </row>
    <row r="616" spans="7:14" x14ac:dyDescent="0.75">
      <c r="G616" s="10"/>
      <c r="H616" s="10"/>
      <c r="I616" s="39"/>
      <c r="J616" s="103"/>
      <c r="K616" s="39"/>
      <c r="L616" s="10"/>
      <c r="M616" s="19"/>
      <c r="N616" s="10"/>
    </row>
    <row r="617" spans="7:14" x14ac:dyDescent="0.75">
      <c r="G617" s="10"/>
      <c r="H617" s="10"/>
      <c r="I617" s="39"/>
      <c r="J617" s="103"/>
      <c r="K617" s="39"/>
      <c r="L617" s="10"/>
      <c r="M617" s="19"/>
      <c r="N617" s="10"/>
    </row>
    <row r="618" spans="7:14" x14ac:dyDescent="0.75">
      <c r="G618" s="10"/>
      <c r="H618" s="10"/>
      <c r="I618" s="39"/>
      <c r="J618" s="103"/>
      <c r="K618" s="39"/>
      <c r="L618" s="10"/>
      <c r="M618" s="19"/>
      <c r="N618" s="10"/>
    </row>
    <row r="619" spans="7:14" x14ac:dyDescent="0.75">
      <c r="G619" s="10"/>
      <c r="H619" s="10"/>
      <c r="I619" s="39"/>
      <c r="J619" s="103"/>
      <c r="K619" s="39"/>
      <c r="L619" s="10"/>
      <c r="M619" s="19"/>
      <c r="N619" s="10"/>
    </row>
    <row r="620" spans="7:14" x14ac:dyDescent="0.75">
      <c r="G620" s="10"/>
      <c r="H620" s="10"/>
      <c r="I620" s="39"/>
      <c r="J620" s="103"/>
      <c r="K620" s="39"/>
      <c r="L620" s="78"/>
      <c r="M620" s="19"/>
      <c r="N620" s="10"/>
    </row>
    <row r="621" spans="7:14" x14ac:dyDescent="0.75">
      <c r="G621" s="10"/>
      <c r="H621" s="10"/>
      <c r="I621" s="39"/>
      <c r="J621" s="103"/>
      <c r="K621" s="39"/>
      <c r="L621" s="10"/>
      <c r="M621" s="19"/>
      <c r="N621" s="10"/>
    </row>
    <row r="622" spans="7:14" x14ac:dyDescent="0.75">
      <c r="G622" s="10"/>
      <c r="H622" s="10"/>
      <c r="I622" s="39"/>
      <c r="J622" s="103"/>
      <c r="K622" s="39"/>
      <c r="L622" s="78"/>
      <c r="M622" s="19"/>
      <c r="N622" s="10"/>
    </row>
    <row r="623" spans="7:14" x14ac:dyDescent="0.75">
      <c r="G623" s="10"/>
      <c r="H623" s="10"/>
      <c r="I623" s="39"/>
      <c r="J623" s="103"/>
      <c r="K623" s="39"/>
      <c r="L623" s="78"/>
      <c r="M623" s="19"/>
      <c r="N623" s="10"/>
    </row>
    <row r="624" spans="7:14" x14ac:dyDescent="0.75">
      <c r="G624" s="10"/>
      <c r="H624" s="10"/>
      <c r="I624" s="39"/>
      <c r="J624" s="103"/>
      <c r="K624" s="39"/>
      <c r="L624" s="78"/>
      <c r="M624" s="19"/>
      <c r="N624" s="10"/>
    </row>
    <row r="625" spans="7:14" x14ac:dyDescent="0.75">
      <c r="G625" s="10"/>
      <c r="H625" s="10"/>
      <c r="I625" s="39"/>
      <c r="J625" s="103"/>
      <c r="K625" s="39"/>
      <c r="L625" s="78"/>
      <c r="M625" s="19"/>
      <c r="N625" s="10"/>
    </row>
    <row r="626" spans="7:14" x14ac:dyDescent="0.75">
      <c r="G626" s="10"/>
      <c r="H626" s="10"/>
      <c r="I626" s="39"/>
      <c r="J626" s="103"/>
      <c r="K626" s="39"/>
      <c r="L626" s="10"/>
      <c r="M626" s="19"/>
      <c r="N626" s="10"/>
    </row>
    <row r="627" spans="7:14" x14ac:dyDescent="0.75">
      <c r="G627" s="10"/>
      <c r="H627" s="10"/>
      <c r="I627" s="39"/>
      <c r="J627" s="103"/>
      <c r="K627" s="39"/>
      <c r="L627" s="78"/>
      <c r="M627" s="19"/>
      <c r="N627" s="10"/>
    </row>
    <row r="628" spans="7:14" x14ac:dyDescent="0.75">
      <c r="G628" s="10"/>
      <c r="H628" s="10"/>
      <c r="I628" s="39"/>
      <c r="J628" s="103"/>
      <c r="K628" s="39"/>
      <c r="L628" s="10"/>
      <c r="M628" s="19"/>
      <c r="N628" s="10"/>
    </row>
    <row r="629" spans="7:14" x14ac:dyDescent="0.75">
      <c r="G629" s="10"/>
      <c r="H629" s="10"/>
      <c r="I629" s="39"/>
      <c r="J629" s="103"/>
      <c r="K629" s="39"/>
      <c r="L629" s="10"/>
      <c r="M629" s="19"/>
      <c r="N629" s="10"/>
    </row>
    <row r="630" spans="7:14" x14ac:dyDescent="0.75">
      <c r="G630" s="10"/>
      <c r="H630" s="10"/>
      <c r="I630" s="39"/>
      <c r="J630" s="103"/>
      <c r="K630" s="39"/>
      <c r="L630" s="78"/>
      <c r="M630" s="19"/>
      <c r="N630" s="10"/>
    </row>
    <row r="631" spans="7:14" x14ac:dyDescent="0.75">
      <c r="G631" s="10"/>
      <c r="H631" s="10"/>
      <c r="I631" s="39"/>
      <c r="J631" s="103"/>
      <c r="K631" s="39"/>
      <c r="L631" s="78"/>
      <c r="M631" s="19"/>
      <c r="N631" s="10"/>
    </row>
    <row r="632" spans="7:14" x14ac:dyDescent="0.75">
      <c r="G632" s="10"/>
      <c r="H632" s="10"/>
      <c r="I632" s="39"/>
      <c r="J632" s="103"/>
      <c r="K632" s="39"/>
      <c r="L632" s="78"/>
      <c r="M632" s="19"/>
      <c r="N632" s="10"/>
    </row>
    <row r="633" spans="7:14" x14ac:dyDescent="0.75">
      <c r="G633" s="10"/>
      <c r="H633" s="10"/>
      <c r="I633" s="39"/>
      <c r="J633" s="103"/>
      <c r="K633" s="39"/>
      <c r="L633" s="78"/>
      <c r="M633" s="19"/>
      <c r="N633" s="10"/>
    </row>
    <row r="634" spans="7:14" x14ac:dyDescent="0.75">
      <c r="G634" s="10"/>
      <c r="H634" s="10"/>
      <c r="I634" s="39"/>
      <c r="J634" s="103"/>
      <c r="K634" s="39"/>
      <c r="L634" s="78"/>
      <c r="M634" s="19"/>
      <c r="N634" s="10"/>
    </row>
    <row r="635" spans="7:14" x14ac:dyDescent="0.75">
      <c r="G635" s="10"/>
      <c r="H635" s="10"/>
      <c r="I635" s="39"/>
      <c r="J635" s="103"/>
      <c r="K635" s="39"/>
      <c r="L635" s="78"/>
      <c r="M635" s="19"/>
      <c r="N635" s="10"/>
    </row>
    <row r="636" spans="7:14" x14ac:dyDescent="0.75">
      <c r="G636" s="10"/>
      <c r="H636" s="10"/>
      <c r="I636" s="39"/>
      <c r="J636" s="103"/>
      <c r="K636" s="39"/>
      <c r="L636" s="78"/>
      <c r="M636" s="19"/>
      <c r="N636" s="10"/>
    </row>
    <row r="637" spans="7:14" x14ac:dyDescent="0.75">
      <c r="G637" s="10"/>
      <c r="H637" s="10"/>
      <c r="I637" s="39"/>
      <c r="J637" s="103"/>
      <c r="K637" s="39"/>
      <c r="L637" s="78"/>
      <c r="M637" s="19"/>
      <c r="N637" s="10"/>
    </row>
    <row r="638" spans="7:14" x14ac:dyDescent="0.75">
      <c r="G638" s="10"/>
      <c r="H638" s="10"/>
      <c r="I638" s="39"/>
      <c r="J638" s="103"/>
      <c r="K638" s="39"/>
      <c r="L638" s="78"/>
      <c r="M638" s="19"/>
      <c r="N638" s="10"/>
    </row>
    <row r="639" spans="7:14" x14ac:dyDescent="0.75">
      <c r="G639" s="10"/>
      <c r="H639" s="10"/>
      <c r="I639" s="39"/>
      <c r="J639" s="103"/>
      <c r="K639" s="39"/>
      <c r="L639" s="78"/>
      <c r="M639" s="19"/>
      <c r="N639" s="10"/>
    </row>
    <row r="640" spans="7:14" x14ac:dyDescent="0.75">
      <c r="G640" s="10"/>
      <c r="H640" s="10"/>
      <c r="I640" s="39"/>
      <c r="J640" s="103"/>
      <c r="K640" s="39"/>
      <c r="L640" s="78"/>
      <c r="M640" s="19"/>
      <c r="N640" s="10"/>
    </row>
    <row r="641" spans="7:14" x14ac:dyDescent="0.75">
      <c r="G641" s="10"/>
      <c r="H641" s="10"/>
      <c r="I641" s="39"/>
      <c r="J641" s="103"/>
      <c r="K641" s="39"/>
      <c r="L641" s="78"/>
      <c r="M641" s="19"/>
      <c r="N641" s="10"/>
    </row>
    <row r="642" spans="7:14" x14ac:dyDescent="0.75">
      <c r="G642" s="10"/>
      <c r="H642" s="10"/>
      <c r="I642" s="39"/>
      <c r="J642" s="103"/>
      <c r="K642" s="39"/>
      <c r="L642" s="10"/>
      <c r="M642" s="19"/>
      <c r="N642" s="10"/>
    </row>
    <row r="643" spans="7:14" x14ac:dyDescent="0.75">
      <c r="G643" s="10"/>
      <c r="H643" s="10"/>
      <c r="I643" s="39"/>
      <c r="J643" s="103"/>
      <c r="K643" s="39"/>
      <c r="L643" s="78"/>
      <c r="M643" s="19"/>
      <c r="N643" s="10"/>
    </row>
    <row r="644" spans="7:14" x14ac:dyDescent="0.75">
      <c r="G644" s="10"/>
      <c r="H644" s="10"/>
      <c r="I644" s="39"/>
      <c r="J644" s="103"/>
      <c r="K644" s="39"/>
      <c r="L644" s="78"/>
      <c r="M644" s="19"/>
      <c r="N644" s="10"/>
    </row>
    <row r="645" spans="7:14" x14ac:dyDescent="0.75">
      <c r="G645" s="10"/>
      <c r="H645" s="10"/>
      <c r="I645" s="39"/>
      <c r="J645" s="103"/>
      <c r="K645" s="39"/>
      <c r="L645" s="78"/>
      <c r="M645" s="19"/>
      <c r="N645" s="10"/>
    </row>
    <row r="646" spans="7:14" x14ac:dyDescent="0.75">
      <c r="G646" s="10"/>
      <c r="H646" s="10"/>
      <c r="I646" s="39"/>
      <c r="J646" s="103"/>
      <c r="K646" s="39"/>
      <c r="L646" s="78"/>
      <c r="M646" s="19"/>
      <c r="N646" s="10"/>
    </row>
    <row r="647" spans="7:14" x14ac:dyDescent="0.75">
      <c r="G647" s="10"/>
      <c r="H647" s="10"/>
      <c r="I647" s="39"/>
      <c r="J647" s="103"/>
      <c r="K647" s="39"/>
      <c r="L647" s="78"/>
      <c r="M647" s="19"/>
      <c r="N647" s="10"/>
    </row>
    <row r="648" spans="7:14" x14ac:dyDescent="0.75">
      <c r="G648" s="10"/>
      <c r="H648" s="10"/>
      <c r="I648" s="39"/>
      <c r="J648" s="103"/>
      <c r="K648" s="39"/>
      <c r="L648" s="78"/>
      <c r="M648" s="19"/>
      <c r="N648" s="10"/>
    </row>
    <row r="649" spans="7:14" x14ac:dyDescent="0.75">
      <c r="G649" s="10"/>
      <c r="H649" s="10"/>
      <c r="I649" s="39"/>
      <c r="J649" s="103"/>
      <c r="K649" s="39"/>
      <c r="L649" s="78"/>
      <c r="M649" s="19"/>
      <c r="N649" s="10"/>
    </row>
    <row r="650" spans="7:14" x14ac:dyDescent="0.75">
      <c r="G650" s="10"/>
      <c r="H650" s="10"/>
      <c r="I650" s="39"/>
      <c r="J650" s="103"/>
      <c r="K650" s="39"/>
      <c r="L650" s="78"/>
      <c r="M650" s="19"/>
      <c r="N650" s="10"/>
    </row>
    <row r="651" spans="7:14" x14ac:dyDescent="0.75">
      <c r="G651" s="10"/>
      <c r="H651" s="10"/>
      <c r="I651" s="39"/>
      <c r="J651" s="103"/>
      <c r="K651" s="39"/>
      <c r="L651" s="78"/>
      <c r="M651" s="19"/>
      <c r="N651" s="10"/>
    </row>
    <row r="652" spans="7:14" x14ac:dyDescent="0.75">
      <c r="G652" s="10"/>
      <c r="H652" s="10"/>
      <c r="I652" s="39"/>
      <c r="J652" s="103"/>
      <c r="K652" s="39"/>
      <c r="L652" s="78"/>
      <c r="M652" s="19"/>
      <c r="N652" s="10"/>
    </row>
    <row r="653" spans="7:14" x14ac:dyDescent="0.75">
      <c r="G653" s="10"/>
      <c r="H653" s="10"/>
      <c r="I653" s="39"/>
      <c r="J653" s="103"/>
      <c r="K653" s="39"/>
      <c r="L653" s="78"/>
      <c r="M653" s="19"/>
      <c r="N653" s="10"/>
    </row>
    <row r="654" spans="7:14" x14ac:dyDescent="0.75">
      <c r="G654" s="10"/>
      <c r="H654" s="10"/>
      <c r="I654" s="39"/>
      <c r="J654" s="103"/>
      <c r="K654" s="39"/>
      <c r="L654" s="78"/>
      <c r="M654" s="19"/>
      <c r="N654" s="10"/>
    </row>
    <row r="655" spans="7:14" x14ac:dyDescent="0.75">
      <c r="G655" s="10"/>
      <c r="H655" s="10"/>
      <c r="I655" s="39"/>
      <c r="J655" s="103"/>
      <c r="K655" s="39"/>
      <c r="L655" s="78"/>
      <c r="M655" s="19"/>
      <c r="N655" s="10"/>
    </row>
    <row r="656" spans="7:14" x14ac:dyDescent="0.75">
      <c r="G656" s="10"/>
      <c r="H656" s="10"/>
      <c r="I656" s="39"/>
      <c r="J656" s="103"/>
      <c r="K656" s="39"/>
      <c r="L656" s="78"/>
      <c r="M656" s="19"/>
      <c r="N656" s="10"/>
    </row>
    <row r="657" spans="7:14" x14ac:dyDescent="0.75">
      <c r="G657" s="10"/>
      <c r="H657" s="10"/>
      <c r="I657" s="39"/>
      <c r="J657" s="103"/>
      <c r="K657" s="39"/>
      <c r="L657" s="78"/>
      <c r="M657" s="19"/>
      <c r="N657" s="10"/>
    </row>
    <row r="658" spans="7:14" x14ac:dyDescent="0.75">
      <c r="G658" s="10"/>
      <c r="H658" s="10"/>
      <c r="I658" s="39"/>
      <c r="J658" s="103"/>
      <c r="K658" s="39"/>
      <c r="L658" s="78"/>
      <c r="M658" s="19"/>
      <c r="N658" s="10"/>
    </row>
    <row r="659" spans="7:14" x14ac:dyDescent="0.75">
      <c r="G659" s="10"/>
      <c r="H659" s="10"/>
      <c r="I659" s="39"/>
      <c r="J659" s="103"/>
      <c r="K659" s="39"/>
      <c r="L659" s="78"/>
      <c r="M659" s="19"/>
      <c r="N659" s="10"/>
    </row>
    <row r="660" spans="7:14" x14ac:dyDescent="0.75">
      <c r="G660" s="10"/>
      <c r="H660" s="10"/>
      <c r="I660" s="39"/>
      <c r="J660" s="103"/>
      <c r="K660" s="39"/>
      <c r="L660" s="78"/>
      <c r="M660" s="19"/>
      <c r="N660" s="10"/>
    </row>
    <row r="661" spans="7:14" x14ac:dyDescent="0.75">
      <c r="G661" s="10"/>
      <c r="H661" s="10"/>
      <c r="I661" s="39"/>
      <c r="J661" s="103"/>
      <c r="K661" s="39"/>
      <c r="L661" s="78"/>
      <c r="M661" s="19"/>
      <c r="N661" s="10"/>
    </row>
    <row r="662" spans="7:14" x14ac:dyDescent="0.75">
      <c r="G662" s="10"/>
      <c r="H662" s="10"/>
      <c r="I662" s="39"/>
      <c r="J662" s="103"/>
      <c r="K662" s="39"/>
      <c r="L662" s="78"/>
      <c r="M662" s="19"/>
      <c r="N662" s="10"/>
    </row>
    <row r="663" spans="7:14" x14ac:dyDescent="0.75">
      <c r="G663" s="10"/>
      <c r="H663" s="10"/>
      <c r="I663" s="39"/>
      <c r="J663" s="103"/>
      <c r="K663" s="39"/>
      <c r="L663" s="78"/>
      <c r="M663" s="19"/>
      <c r="N663" s="10"/>
    </row>
    <row r="664" spans="7:14" x14ac:dyDescent="0.75">
      <c r="G664" s="10"/>
      <c r="H664" s="10"/>
      <c r="I664" s="39"/>
      <c r="J664" s="103"/>
      <c r="K664" s="39"/>
      <c r="L664" s="78"/>
      <c r="M664" s="19"/>
      <c r="N664" s="10"/>
    </row>
    <row r="665" spans="7:14" x14ac:dyDescent="0.75">
      <c r="G665" s="10"/>
      <c r="H665" s="10"/>
      <c r="I665" s="39"/>
      <c r="J665" s="103"/>
      <c r="K665" s="39"/>
      <c r="L665" s="10"/>
      <c r="M665" s="19"/>
      <c r="N665" s="10"/>
    </row>
    <row r="666" spans="7:14" x14ac:dyDescent="0.75">
      <c r="G666" s="10"/>
      <c r="H666" s="10"/>
      <c r="I666" s="39"/>
      <c r="J666" s="103"/>
      <c r="K666" s="39"/>
      <c r="L666" s="10"/>
      <c r="M666" s="19"/>
      <c r="N666" s="10"/>
    </row>
    <row r="667" spans="7:14" x14ac:dyDescent="0.75">
      <c r="G667" s="10"/>
      <c r="H667" s="10"/>
      <c r="I667" s="39"/>
      <c r="J667" s="103"/>
      <c r="K667" s="39"/>
      <c r="L667" s="10"/>
      <c r="M667" s="19"/>
      <c r="N667" s="10"/>
    </row>
    <row r="668" spans="7:14" x14ac:dyDescent="0.75">
      <c r="G668" s="10"/>
      <c r="H668" s="10"/>
      <c r="I668" s="39"/>
      <c r="J668" s="103"/>
      <c r="K668" s="39"/>
      <c r="L668" s="78"/>
      <c r="M668" s="19"/>
      <c r="N668" s="10"/>
    </row>
    <row r="669" spans="7:14" x14ac:dyDescent="0.75">
      <c r="G669" s="10"/>
      <c r="H669" s="10"/>
      <c r="I669" s="39"/>
      <c r="J669" s="103"/>
      <c r="K669" s="39"/>
      <c r="L669" s="78"/>
      <c r="M669" s="19"/>
      <c r="N669" s="10"/>
    </row>
    <row r="670" spans="7:14" x14ac:dyDescent="0.75">
      <c r="G670" s="10"/>
      <c r="H670" s="10"/>
      <c r="I670" s="39"/>
      <c r="J670" s="103"/>
      <c r="K670" s="39"/>
      <c r="L670" s="78"/>
      <c r="M670" s="19"/>
      <c r="N670" s="10"/>
    </row>
    <row r="671" spans="7:14" x14ac:dyDescent="0.75">
      <c r="G671" s="10"/>
      <c r="H671" s="10"/>
      <c r="I671" s="39"/>
      <c r="J671" s="103"/>
      <c r="K671" s="39"/>
      <c r="L671" s="78"/>
      <c r="M671" s="19"/>
      <c r="N671" s="10"/>
    </row>
    <row r="672" spans="7:14" x14ac:dyDescent="0.75">
      <c r="G672" s="10"/>
      <c r="H672" s="10"/>
      <c r="I672" s="39"/>
      <c r="J672" s="103"/>
      <c r="K672" s="39"/>
      <c r="L672" s="78"/>
      <c r="M672" s="19"/>
      <c r="N672" s="10"/>
    </row>
    <row r="673" spans="7:14" x14ac:dyDescent="0.75">
      <c r="G673" s="10"/>
      <c r="H673" s="10"/>
      <c r="I673" s="39"/>
      <c r="J673" s="103"/>
      <c r="K673" s="39"/>
      <c r="L673" s="78"/>
      <c r="M673" s="19"/>
      <c r="N673" s="10"/>
    </row>
    <row r="674" spans="7:14" x14ac:dyDescent="0.75">
      <c r="G674" s="10"/>
      <c r="H674" s="10"/>
      <c r="I674" s="39"/>
      <c r="J674" s="103"/>
      <c r="K674" s="39"/>
      <c r="L674" s="78"/>
      <c r="M674" s="19"/>
      <c r="N674" s="10"/>
    </row>
    <row r="675" spans="7:14" x14ac:dyDescent="0.75">
      <c r="G675" s="10"/>
      <c r="H675" s="10"/>
      <c r="I675" s="39"/>
      <c r="J675" s="103"/>
      <c r="K675" s="39"/>
      <c r="L675" s="78"/>
      <c r="M675" s="19"/>
      <c r="N675" s="10"/>
    </row>
    <row r="676" spans="7:14" x14ac:dyDescent="0.75">
      <c r="G676" s="10"/>
      <c r="H676" s="10"/>
      <c r="I676" s="39"/>
      <c r="J676" s="103"/>
      <c r="K676" s="39"/>
      <c r="L676" s="78"/>
      <c r="M676" s="19"/>
      <c r="N676" s="10"/>
    </row>
    <row r="677" spans="7:14" x14ac:dyDescent="0.75">
      <c r="G677" s="10"/>
      <c r="H677" s="10"/>
      <c r="I677" s="39"/>
      <c r="J677" s="103"/>
      <c r="K677" s="39"/>
      <c r="L677" s="10"/>
      <c r="M677" s="19"/>
      <c r="N677" s="10"/>
    </row>
    <row r="678" spans="7:14" x14ac:dyDescent="0.75">
      <c r="G678" s="10"/>
      <c r="H678" s="10"/>
      <c r="I678" s="39"/>
      <c r="J678" s="103"/>
      <c r="K678" s="39"/>
      <c r="L678" s="10"/>
      <c r="M678" s="19"/>
      <c r="N678" s="10"/>
    </row>
    <row r="679" spans="7:14" x14ac:dyDescent="0.75">
      <c r="G679" s="10"/>
      <c r="H679" s="10"/>
      <c r="I679" s="39"/>
      <c r="J679" s="103"/>
      <c r="K679" s="39"/>
      <c r="L679" s="78"/>
      <c r="M679" s="19"/>
      <c r="N679" s="10"/>
    </row>
    <row r="680" spans="7:14" x14ac:dyDescent="0.75">
      <c r="G680" s="10"/>
      <c r="H680" s="10"/>
      <c r="I680" s="39"/>
      <c r="J680" s="103"/>
      <c r="K680" s="39"/>
      <c r="L680" s="78"/>
      <c r="M680" s="19"/>
      <c r="N680" s="10"/>
    </row>
    <row r="681" spans="7:14" x14ac:dyDescent="0.75">
      <c r="G681" s="10"/>
      <c r="H681" s="10"/>
      <c r="I681" s="39"/>
      <c r="J681" s="103"/>
      <c r="K681" s="39"/>
      <c r="L681" s="78"/>
      <c r="M681" s="19"/>
      <c r="N681" s="10"/>
    </row>
    <row r="682" spans="7:14" x14ac:dyDescent="0.75">
      <c r="G682" s="10"/>
      <c r="H682" s="10"/>
      <c r="I682" s="39"/>
      <c r="J682" s="103"/>
      <c r="K682" s="39"/>
      <c r="L682" s="78"/>
      <c r="M682" s="19"/>
      <c r="N682" s="10"/>
    </row>
    <row r="683" spans="7:14" x14ac:dyDescent="0.75">
      <c r="G683" s="10"/>
      <c r="H683" s="10"/>
      <c r="I683" s="39"/>
      <c r="J683" s="103"/>
      <c r="K683" s="39"/>
      <c r="L683" s="78"/>
      <c r="M683" s="19"/>
      <c r="N683" s="10"/>
    </row>
    <row r="684" spans="7:14" x14ac:dyDescent="0.75">
      <c r="G684" s="10"/>
      <c r="H684" s="10"/>
      <c r="I684" s="39"/>
      <c r="J684" s="103"/>
      <c r="K684" s="39"/>
      <c r="L684" s="78"/>
      <c r="M684" s="19"/>
      <c r="N684" s="10"/>
    </row>
    <row r="685" spans="7:14" x14ac:dyDescent="0.75">
      <c r="G685" s="10"/>
      <c r="H685" s="10"/>
      <c r="I685" s="39"/>
      <c r="J685" s="103"/>
      <c r="K685" s="39"/>
      <c r="L685" s="78"/>
      <c r="M685" s="19"/>
      <c r="N685" s="10"/>
    </row>
    <row r="686" spans="7:14" x14ac:dyDescent="0.75">
      <c r="G686" s="10"/>
      <c r="H686" s="10"/>
      <c r="I686" s="39"/>
      <c r="J686" s="103"/>
      <c r="K686" s="39"/>
      <c r="L686" s="78"/>
      <c r="M686" s="19"/>
      <c r="N686" s="10"/>
    </row>
    <row r="687" spans="7:14" x14ac:dyDescent="0.75">
      <c r="G687" s="10"/>
      <c r="H687" s="10"/>
      <c r="I687" s="39"/>
      <c r="J687" s="103"/>
      <c r="K687" s="39"/>
      <c r="L687" s="78"/>
      <c r="M687" s="19"/>
      <c r="N687" s="10"/>
    </row>
    <row r="688" spans="7:14" x14ac:dyDescent="0.75">
      <c r="G688" s="10"/>
      <c r="H688" s="10"/>
      <c r="I688" s="39"/>
      <c r="J688" s="103"/>
      <c r="K688" s="39"/>
      <c r="L688" s="78"/>
      <c r="M688" s="19"/>
      <c r="N688" s="10"/>
    </row>
    <row r="689" spans="7:14" x14ac:dyDescent="0.75">
      <c r="G689" s="10"/>
      <c r="H689" s="10"/>
      <c r="I689" s="39"/>
      <c r="J689" s="103"/>
      <c r="K689" s="39"/>
      <c r="L689" s="78"/>
      <c r="M689" s="19"/>
      <c r="N689" s="10"/>
    </row>
    <row r="690" spans="7:14" x14ac:dyDescent="0.75">
      <c r="G690" s="10"/>
      <c r="H690" s="10"/>
      <c r="I690" s="39"/>
      <c r="J690" s="103"/>
      <c r="K690" s="39"/>
      <c r="L690" s="78"/>
      <c r="M690" s="19"/>
      <c r="N690" s="10"/>
    </row>
    <row r="691" spans="7:14" x14ac:dyDescent="0.75">
      <c r="G691" s="10"/>
      <c r="H691" s="10"/>
      <c r="I691" s="39"/>
      <c r="J691" s="103"/>
      <c r="K691" s="39"/>
      <c r="L691" s="78"/>
      <c r="M691" s="19"/>
      <c r="N691" s="10"/>
    </row>
    <row r="692" spans="7:14" x14ac:dyDescent="0.75">
      <c r="G692" s="10"/>
      <c r="H692" s="10"/>
      <c r="I692" s="39"/>
      <c r="J692" s="103"/>
      <c r="K692" s="39"/>
      <c r="L692" s="78"/>
      <c r="M692" s="19"/>
      <c r="N692" s="10"/>
    </row>
    <row r="693" spans="7:14" x14ac:dyDescent="0.75">
      <c r="G693" s="10"/>
      <c r="H693" s="10"/>
      <c r="I693" s="39"/>
      <c r="J693" s="103"/>
      <c r="K693" s="39"/>
      <c r="L693" s="78"/>
      <c r="M693" s="19"/>
      <c r="N693" s="10"/>
    </row>
    <row r="694" spans="7:14" x14ac:dyDescent="0.75">
      <c r="G694" s="10"/>
      <c r="H694" s="10"/>
      <c r="I694" s="39"/>
      <c r="J694" s="103"/>
      <c r="K694" s="39"/>
      <c r="L694" s="78"/>
      <c r="M694" s="19"/>
      <c r="N694" s="10"/>
    </row>
    <row r="695" spans="7:14" x14ac:dyDescent="0.75">
      <c r="G695" s="10"/>
      <c r="H695" s="10"/>
      <c r="I695" s="39"/>
      <c r="J695" s="103"/>
      <c r="K695" s="39"/>
      <c r="L695" s="78"/>
      <c r="M695" s="19"/>
      <c r="N695" s="10"/>
    </row>
    <row r="696" spans="7:14" x14ac:dyDescent="0.75">
      <c r="G696" s="10"/>
      <c r="H696" s="10"/>
      <c r="I696" s="39"/>
      <c r="J696" s="103"/>
      <c r="K696" s="39"/>
      <c r="L696" s="78"/>
      <c r="M696" s="19"/>
      <c r="N696" s="10"/>
    </row>
    <row r="697" spans="7:14" x14ac:dyDescent="0.75">
      <c r="G697" s="10"/>
      <c r="H697" s="10"/>
      <c r="I697" s="39"/>
      <c r="J697" s="103"/>
      <c r="K697" s="39"/>
      <c r="L697" s="78"/>
      <c r="M697" s="19"/>
      <c r="N697" s="10"/>
    </row>
    <row r="698" spans="7:14" x14ac:dyDescent="0.75">
      <c r="G698" s="10"/>
      <c r="H698" s="10"/>
      <c r="I698" s="39"/>
      <c r="J698" s="103"/>
      <c r="K698" s="39"/>
      <c r="L698" s="10"/>
      <c r="M698" s="19"/>
      <c r="N698" s="10"/>
    </row>
    <row r="699" spans="7:14" x14ac:dyDescent="0.75">
      <c r="G699" s="10"/>
      <c r="H699" s="10"/>
      <c r="I699" s="39"/>
      <c r="J699" s="103"/>
      <c r="K699" s="39"/>
      <c r="L699" s="78"/>
      <c r="M699" s="19"/>
      <c r="N699" s="10"/>
    </row>
    <row r="700" spans="7:14" x14ac:dyDescent="0.75">
      <c r="G700" s="10"/>
      <c r="H700" s="10"/>
      <c r="I700" s="39"/>
      <c r="J700" s="103"/>
      <c r="K700" s="39"/>
      <c r="L700" s="78"/>
      <c r="M700" s="19"/>
      <c r="N700" s="10"/>
    </row>
    <row r="701" spans="7:14" x14ac:dyDescent="0.75">
      <c r="G701" s="10"/>
      <c r="H701" s="10"/>
      <c r="I701" s="39"/>
      <c r="J701" s="103"/>
      <c r="K701" s="39"/>
      <c r="L701" s="78"/>
      <c r="M701" s="19"/>
      <c r="N701" s="10"/>
    </row>
    <row r="702" spans="7:14" x14ac:dyDescent="0.75">
      <c r="G702" s="10"/>
      <c r="H702" s="10"/>
      <c r="I702" s="39"/>
      <c r="J702" s="103"/>
      <c r="K702" s="39"/>
      <c r="L702" s="78"/>
      <c r="M702" s="19"/>
      <c r="N702" s="10"/>
    </row>
    <row r="703" spans="7:14" x14ac:dyDescent="0.75">
      <c r="G703" s="10"/>
      <c r="H703" s="10"/>
      <c r="I703" s="39"/>
      <c r="J703" s="103"/>
      <c r="K703" s="39"/>
      <c r="L703" s="78"/>
      <c r="M703" s="19"/>
      <c r="N703" s="10"/>
    </row>
    <row r="704" spans="7:14" x14ac:dyDescent="0.75">
      <c r="G704" s="10"/>
      <c r="H704" s="10"/>
      <c r="I704" s="39"/>
      <c r="J704" s="103"/>
      <c r="K704" s="39"/>
      <c r="L704" s="78"/>
      <c r="M704" s="19"/>
      <c r="N704" s="10"/>
    </row>
    <row r="705" spans="7:14" x14ac:dyDescent="0.75">
      <c r="G705" s="10"/>
      <c r="H705" s="10"/>
      <c r="I705" s="39"/>
      <c r="J705" s="103"/>
      <c r="K705" s="39"/>
      <c r="L705" s="10"/>
      <c r="M705" s="19"/>
      <c r="N705" s="10"/>
    </row>
    <row r="706" spans="7:14" x14ac:dyDescent="0.75">
      <c r="G706" s="10"/>
      <c r="H706" s="10"/>
      <c r="I706" s="39"/>
      <c r="J706" s="103"/>
      <c r="K706" s="39"/>
      <c r="L706" s="78"/>
      <c r="M706" s="19"/>
      <c r="N706" s="10"/>
    </row>
    <row r="707" spans="7:14" x14ac:dyDescent="0.75">
      <c r="G707" s="10"/>
      <c r="H707" s="10"/>
      <c r="I707" s="39"/>
      <c r="J707" s="103"/>
      <c r="K707" s="39"/>
      <c r="L707" s="78"/>
      <c r="M707" s="19"/>
      <c r="N707" s="10"/>
    </row>
    <row r="708" spans="7:14" x14ac:dyDescent="0.75">
      <c r="G708" s="10"/>
      <c r="H708" s="10"/>
      <c r="I708" s="39"/>
      <c r="J708" s="103"/>
      <c r="K708" s="39"/>
      <c r="L708" s="78"/>
      <c r="M708" s="19"/>
      <c r="N708" s="10"/>
    </row>
    <row r="709" spans="7:14" x14ac:dyDescent="0.75">
      <c r="G709" s="10"/>
      <c r="H709" s="10"/>
      <c r="I709" s="39"/>
      <c r="J709" s="103"/>
      <c r="K709" s="39"/>
      <c r="L709" s="78"/>
      <c r="M709" s="19"/>
      <c r="N709" s="10"/>
    </row>
    <row r="710" spans="7:14" x14ac:dyDescent="0.75">
      <c r="G710" s="10"/>
      <c r="H710" s="10"/>
      <c r="I710" s="39"/>
      <c r="J710" s="103"/>
      <c r="K710" s="39"/>
      <c r="L710" s="78"/>
      <c r="M710" s="19"/>
      <c r="N710" s="10"/>
    </row>
    <row r="711" spans="7:14" x14ac:dyDescent="0.75">
      <c r="G711" s="10"/>
      <c r="H711" s="10"/>
      <c r="I711" s="39"/>
      <c r="J711" s="103"/>
      <c r="K711" s="39"/>
      <c r="L711" s="78"/>
      <c r="M711" s="19"/>
      <c r="N711" s="10"/>
    </row>
    <row r="712" spans="7:14" x14ac:dyDescent="0.75">
      <c r="G712" s="10"/>
      <c r="H712" s="10"/>
      <c r="I712" s="39"/>
      <c r="J712" s="103"/>
      <c r="K712" s="39"/>
      <c r="L712" s="78"/>
      <c r="M712" s="19"/>
      <c r="N712" s="10"/>
    </row>
    <row r="713" spans="7:14" x14ac:dyDescent="0.75">
      <c r="G713" s="10"/>
      <c r="H713" s="10"/>
      <c r="I713" s="39"/>
      <c r="J713" s="103"/>
      <c r="K713" s="39"/>
      <c r="L713" s="78"/>
      <c r="M713" s="19"/>
      <c r="N713" s="10"/>
    </row>
    <row r="714" spans="7:14" x14ac:dyDescent="0.75">
      <c r="G714" s="10"/>
      <c r="H714" s="10"/>
      <c r="I714" s="39"/>
      <c r="J714" s="103"/>
      <c r="K714" s="39"/>
      <c r="L714" s="78"/>
      <c r="M714" s="19"/>
      <c r="N714" s="10"/>
    </row>
    <row r="715" spans="7:14" x14ac:dyDescent="0.75">
      <c r="G715" s="10"/>
      <c r="H715" s="10"/>
      <c r="I715" s="39"/>
      <c r="J715" s="103"/>
      <c r="K715" s="39"/>
      <c r="L715" s="78"/>
      <c r="M715" s="19"/>
      <c r="N715" s="10"/>
    </row>
    <row r="716" spans="7:14" x14ac:dyDescent="0.75">
      <c r="G716" s="10"/>
      <c r="H716" s="10"/>
      <c r="I716" s="39"/>
      <c r="J716" s="103"/>
      <c r="K716" s="39"/>
      <c r="L716" s="78"/>
      <c r="M716" s="19"/>
      <c r="N716" s="10"/>
    </row>
    <row r="717" spans="7:14" x14ac:dyDescent="0.75">
      <c r="G717" s="10"/>
      <c r="H717" s="10"/>
      <c r="I717" s="39"/>
      <c r="J717" s="103"/>
      <c r="K717" s="39"/>
      <c r="L717" s="78"/>
      <c r="M717" s="19"/>
      <c r="N717" s="10"/>
    </row>
    <row r="718" spans="7:14" x14ac:dyDescent="0.75">
      <c r="G718" s="10"/>
      <c r="H718" s="10"/>
      <c r="I718" s="39"/>
      <c r="J718" s="103"/>
      <c r="K718" s="39"/>
      <c r="L718" s="78"/>
      <c r="M718" s="19"/>
      <c r="N718" s="10"/>
    </row>
    <row r="719" spans="7:14" x14ac:dyDescent="0.75">
      <c r="G719" s="10"/>
      <c r="H719" s="10"/>
      <c r="I719" s="39"/>
      <c r="J719" s="103"/>
      <c r="K719" s="39"/>
      <c r="L719" s="78"/>
      <c r="M719" s="19"/>
      <c r="N719" s="10"/>
    </row>
    <row r="720" spans="7:14" x14ac:dyDescent="0.75">
      <c r="G720" s="10"/>
      <c r="H720" s="10"/>
      <c r="I720" s="39"/>
      <c r="J720" s="103"/>
      <c r="K720" s="39"/>
      <c r="L720" s="78"/>
      <c r="M720" s="19"/>
      <c r="N720" s="10"/>
    </row>
    <row r="721" spans="7:14" x14ac:dyDescent="0.75">
      <c r="G721" s="10"/>
      <c r="H721" s="10"/>
      <c r="I721" s="39"/>
      <c r="J721" s="103"/>
      <c r="K721" s="39"/>
      <c r="L721" s="78"/>
      <c r="M721" s="19"/>
      <c r="N721" s="10"/>
    </row>
    <row r="722" spans="7:14" x14ac:dyDescent="0.75">
      <c r="G722" s="10"/>
      <c r="H722" s="10"/>
      <c r="I722" s="39"/>
      <c r="J722" s="103"/>
      <c r="K722" s="39"/>
      <c r="L722" s="78"/>
      <c r="M722" s="19"/>
      <c r="N722" s="10"/>
    </row>
    <row r="723" spans="7:14" x14ac:dyDescent="0.75">
      <c r="G723" s="10"/>
      <c r="H723" s="10"/>
      <c r="I723" s="39"/>
      <c r="J723" s="103"/>
      <c r="K723" s="39"/>
      <c r="L723" s="78"/>
      <c r="M723" s="19"/>
      <c r="N723" s="10"/>
    </row>
    <row r="724" spans="7:14" x14ac:dyDescent="0.75">
      <c r="G724" s="10"/>
      <c r="H724" s="10"/>
      <c r="I724" s="39"/>
      <c r="J724" s="103"/>
      <c r="K724" s="39"/>
      <c r="L724" s="78"/>
      <c r="M724" s="19"/>
      <c r="N724" s="10"/>
    </row>
    <row r="725" spans="7:14" x14ac:dyDescent="0.75">
      <c r="G725" s="10"/>
      <c r="H725" s="10"/>
      <c r="I725" s="39"/>
      <c r="J725" s="103"/>
      <c r="K725" s="39"/>
      <c r="L725" s="78"/>
      <c r="M725" s="19"/>
      <c r="N725" s="10"/>
    </row>
    <row r="726" spans="7:14" x14ac:dyDescent="0.75">
      <c r="G726" s="10"/>
      <c r="H726" s="10"/>
      <c r="I726" s="39"/>
      <c r="J726" s="103"/>
      <c r="K726" s="39"/>
      <c r="L726" s="78"/>
      <c r="M726" s="19"/>
      <c r="N726" s="10"/>
    </row>
    <row r="727" spans="7:14" x14ac:dyDescent="0.75">
      <c r="G727" s="10"/>
      <c r="H727" s="10"/>
      <c r="I727" s="39"/>
      <c r="J727" s="103"/>
      <c r="K727" s="39"/>
      <c r="L727" s="78"/>
      <c r="M727" s="19"/>
      <c r="N727" s="10"/>
    </row>
    <row r="728" spans="7:14" x14ac:dyDescent="0.75">
      <c r="G728" s="10"/>
      <c r="H728" s="10"/>
      <c r="I728" s="39"/>
      <c r="J728" s="103"/>
      <c r="K728" s="39"/>
      <c r="L728" s="78"/>
      <c r="M728" s="19"/>
      <c r="N728" s="10"/>
    </row>
    <row r="729" spans="7:14" x14ac:dyDescent="0.75">
      <c r="G729" s="10"/>
      <c r="H729" s="10"/>
      <c r="I729" s="39"/>
      <c r="J729" s="103"/>
      <c r="K729" s="39"/>
      <c r="L729" s="78"/>
      <c r="M729" s="19"/>
      <c r="N729" s="10"/>
    </row>
    <row r="730" spans="7:14" x14ac:dyDescent="0.75">
      <c r="G730" s="10"/>
      <c r="H730" s="10"/>
      <c r="I730" s="39"/>
      <c r="J730" s="103"/>
      <c r="K730" s="39"/>
      <c r="L730" s="78"/>
      <c r="M730" s="19"/>
      <c r="N730" s="10"/>
    </row>
    <row r="731" spans="7:14" x14ac:dyDescent="0.75">
      <c r="G731" s="10"/>
      <c r="H731" s="10"/>
      <c r="I731" s="39"/>
      <c r="J731" s="103"/>
      <c r="K731" s="39"/>
      <c r="L731" s="78"/>
      <c r="M731" s="19"/>
      <c r="N731" s="10"/>
    </row>
    <row r="732" spans="7:14" x14ac:dyDescent="0.75">
      <c r="G732" s="10"/>
      <c r="H732" s="10"/>
      <c r="I732" s="39"/>
      <c r="J732" s="103"/>
      <c r="K732" s="39"/>
      <c r="L732" s="78"/>
      <c r="M732" s="19"/>
      <c r="N732" s="10"/>
    </row>
    <row r="733" spans="7:14" x14ac:dyDescent="0.75">
      <c r="G733" s="10"/>
      <c r="H733" s="10"/>
      <c r="I733" s="39"/>
      <c r="J733" s="103"/>
      <c r="K733" s="39"/>
      <c r="L733" s="78"/>
      <c r="M733" s="19"/>
      <c r="N733" s="10"/>
    </row>
    <row r="734" spans="7:14" x14ac:dyDescent="0.75">
      <c r="G734" s="10"/>
      <c r="H734" s="10"/>
      <c r="I734" s="39"/>
      <c r="J734" s="103"/>
      <c r="K734" s="39"/>
      <c r="L734" s="78"/>
      <c r="M734" s="19"/>
      <c r="N734" s="10"/>
    </row>
    <row r="735" spans="7:14" x14ac:dyDescent="0.75">
      <c r="G735" s="10"/>
      <c r="H735" s="10"/>
      <c r="I735" s="39"/>
      <c r="J735" s="103"/>
      <c r="K735" s="39"/>
      <c r="L735" s="78"/>
      <c r="M735" s="19"/>
      <c r="N735" s="10"/>
    </row>
    <row r="736" spans="7:14" x14ac:dyDescent="0.75">
      <c r="G736" s="10"/>
      <c r="H736" s="10"/>
      <c r="I736" s="39"/>
      <c r="J736" s="103"/>
      <c r="K736" s="39"/>
      <c r="L736" s="78"/>
      <c r="M736" s="19"/>
      <c r="N736" s="10"/>
    </row>
    <row r="737" spans="7:14" x14ac:dyDescent="0.75">
      <c r="G737" s="10"/>
      <c r="H737" s="10"/>
      <c r="I737" s="39"/>
      <c r="J737" s="103"/>
      <c r="K737" s="39"/>
      <c r="L737" s="78"/>
      <c r="M737" s="19"/>
      <c r="N737" s="10"/>
    </row>
    <row r="738" spans="7:14" x14ac:dyDescent="0.75">
      <c r="G738" s="10"/>
      <c r="H738" s="10"/>
      <c r="I738" s="39"/>
      <c r="J738" s="103"/>
      <c r="K738" s="39"/>
      <c r="L738" s="78"/>
      <c r="M738" s="19"/>
      <c r="N738" s="10"/>
    </row>
    <row r="739" spans="7:14" x14ac:dyDescent="0.75">
      <c r="G739" s="10"/>
      <c r="H739" s="10"/>
      <c r="I739" s="39"/>
      <c r="J739" s="103"/>
      <c r="K739" s="39"/>
      <c r="L739" s="78"/>
      <c r="M739" s="19"/>
      <c r="N739" s="10"/>
    </row>
    <row r="740" spans="7:14" x14ac:dyDescent="0.75">
      <c r="G740" s="10"/>
      <c r="H740" s="10"/>
      <c r="I740" s="39"/>
      <c r="J740" s="103"/>
      <c r="K740" s="39"/>
      <c r="L740" s="78"/>
      <c r="M740" s="19"/>
      <c r="N740" s="10"/>
    </row>
    <row r="741" spans="7:14" x14ac:dyDescent="0.75">
      <c r="G741" s="10"/>
      <c r="H741" s="10"/>
      <c r="I741" s="39"/>
      <c r="J741" s="103"/>
      <c r="K741" s="39"/>
      <c r="L741" s="78"/>
      <c r="M741" s="19"/>
      <c r="N741" s="10"/>
    </row>
    <row r="742" spans="7:14" x14ac:dyDescent="0.75">
      <c r="G742" s="10"/>
      <c r="H742" s="10"/>
      <c r="I742" s="39"/>
      <c r="J742" s="103"/>
      <c r="K742" s="39"/>
      <c r="L742" s="78"/>
      <c r="M742" s="19"/>
      <c r="N742" s="10"/>
    </row>
    <row r="743" spans="7:14" x14ac:dyDescent="0.75">
      <c r="G743" s="10"/>
      <c r="H743" s="10"/>
      <c r="I743" s="39"/>
      <c r="J743" s="103"/>
      <c r="K743" s="39"/>
      <c r="L743" s="78"/>
      <c r="M743" s="19"/>
      <c r="N743" s="10"/>
    </row>
    <row r="744" spans="7:14" x14ac:dyDescent="0.75">
      <c r="G744" s="10"/>
      <c r="H744" s="10"/>
      <c r="I744" s="39"/>
      <c r="J744" s="103"/>
      <c r="K744" s="39"/>
      <c r="L744" s="78"/>
      <c r="M744" s="19"/>
      <c r="N744" s="10"/>
    </row>
    <row r="745" spans="7:14" x14ac:dyDescent="0.75">
      <c r="G745" s="10"/>
      <c r="H745" s="10"/>
      <c r="I745" s="39"/>
      <c r="J745" s="103"/>
      <c r="K745" s="39"/>
      <c r="L745" s="10"/>
      <c r="M745" s="19"/>
      <c r="N745" s="10"/>
    </row>
    <row r="746" spans="7:14" x14ac:dyDescent="0.75">
      <c r="G746" s="10"/>
      <c r="H746" s="10"/>
      <c r="I746" s="39"/>
      <c r="J746" s="103"/>
      <c r="K746" s="39"/>
      <c r="L746" s="78"/>
      <c r="M746" s="19"/>
      <c r="N746" s="10"/>
    </row>
    <row r="747" spans="7:14" x14ac:dyDescent="0.75">
      <c r="G747" s="10"/>
      <c r="H747" s="10"/>
      <c r="I747" s="39"/>
      <c r="J747" s="103"/>
      <c r="K747" s="39"/>
      <c r="L747" s="78"/>
      <c r="M747" s="19"/>
      <c r="N747" s="10"/>
    </row>
    <row r="748" spans="7:14" x14ac:dyDescent="0.75">
      <c r="G748" s="10"/>
      <c r="H748" s="10"/>
      <c r="I748" s="39"/>
      <c r="J748" s="103"/>
      <c r="K748" s="39"/>
      <c r="L748" s="78"/>
      <c r="M748" s="19"/>
      <c r="N748" s="10"/>
    </row>
    <row r="749" spans="7:14" x14ac:dyDescent="0.75">
      <c r="G749" s="10"/>
      <c r="H749" s="10"/>
      <c r="I749" s="39"/>
      <c r="J749" s="103"/>
      <c r="K749" s="39"/>
      <c r="L749" s="78"/>
      <c r="M749" s="19"/>
      <c r="N749" s="10"/>
    </row>
    <row r="750" spans="7:14" x14ac:dyDescent="0.75">
      <c r="G750" s="10"/>
      <c r="H750" s="10"/>
      <c r="I750" s="39"/>
      <c r="J750" s="103"/>
      <c r="K750" s="39"/>
      <c r="L750" s="78"/>
      <c r="M750" s="19"/>
      <c r="N750" s="10"/>
    </row>
    <row r="751" spans="7:14" x14ac:dyDescent="0.75">
      <c r="G751" s="10"/>
      <c r="H751" s="10"/>
      <c r="I751" s="39"/>
      <c r="J751" s="103"/>
      <c r="K751" s="39"/>
      <c r="L751" s="78"/>
      <c r="M751" s="19"/>
      <c r="N751" s="10"/>
    </row>
    <row r="752" spans="7:14" x14ac:dyDescent="0.75">
      <c r="G752" s="10"/>
      <c r="H752" s="10"/>
      <c r="I752" s="39"/>
      <c r="J752" s="103"/>
      <c r="K752" s="39"/>
      <c r="L752" s="78"/>
      <c r="M752" s="19"/>
      <c r="N752" s="10"/>
    </row>
    <row r="753" spans="7:14" x14ac:dyDescent="0.75">
      <c r="G753" s="10"/>
      <c r="H753" s="10"/>
      <c r="I753" s="39"/>
      <c r="J753" s="103"/>
      <c r="K753" s="39"/>
      <c r="L753" s="78"/>
      <c r="M753" s="19"/>
      <c r="N753" s="10"/>
    </row>
    <row r="754" spans="7:14" x14ac:dyDescent="0.75">
      <c r="G754" s="10"/>
      <c r="H754" s="10"/>
      <c r="I754" s="39"/>
      <c r="J754" s="103"/>
      <c r="K754" s="39"/>
      <c r="L754" s="10"/>
      <c r="M754" s="19"/>
      <c r="N754" s="10"/>
    </row>
    <row r="755" spans="7:14" x14ac:dyDescent="0.75">
      <c r="G755" s="10"/>
      <c r="H755" s="10"/>
      <c r="I755" s="39"/>
      <c r="J755" s="103"/>
      <c r="K755" s="39"/>
      <c r="L755" s="78"/>
      <c r="M755" s="19"/>
      <c r="N755" s="10"/>
    </row>
    <row r="756" spans="7:14" x14ac:dyDescent="0.75">
      <c r="G756" s="10"/>
      <c r="H756" s="10"/>
      <c r="I756" s="39"/>
      <c r="J756" s="103"/>
      <c r="K756" s="39"/>
      <c r="L756" s="78"/>
      <c r="M756" s="19"/>
      <c r="N756" s="10"/>
    </row>
    <row r="757" spans="7:14" x14ac:dyDescent="0.75">
      <c r="G757" s="10"/>
      <c r="H757" s="10"/>
      <c r="I757" s="39"/>
      <c r="J757" s="103"/>
      <c r="K757" s="39"/>
      <c r="L757" s="78"/>
      <c r="M757" s="19"/>
      <c r="N757" s="10"/>
    </row>
    <row r="758" spans="7:14" x14ac:dyDescent="0.75">
      <c r="G758" s="10"/>
      <c r="H758" s="10"/>
      <c r="I758" s="39"/>
      <c r="J758" s="103"/>
      <c r="K758" s="39"/>
      <c r="L758" s="78"/>
      <c r="M758" s="19"/>
      <c r="N758" s="10"/>
    </row>
    <row r="759" spans="7:14" x14ac:dyDescent="0.75">
      <c r="G759" s="10"/>
      <c r="H759" s="10"/>
      <c r="I759" s="39"/>
      <c r="J759" s="103"/>
      <c r="K759" s="39"/>
      <c r="L759" s="10"/>
      <c r="M759" s="19"/>
      <c r="N759" s="10"/>
    </row>
    <row r="760" spans="7:14" x14ac:dyDescent="0.75">
      <c r="G760" s="10"/>
      <c r="H760" s="10"/>
      <c r="I760" s="39"/>
      <c r="J760" s="103"/>
      <c r="K760" s="39"/>
      <c r="L760" s="78"/>
      <c r="M760" s="19"/>
      <c r="N760" s="10"/>
    </row>
    <row r="761" spans="7:14" x14ac:dyDescent="0.75">
      <c r="G761" s="10"/>
      <c r="H761" s="10"/>
      <c r="I761" s="39"/>
      <c r="J761" s="103"/>
      <c r="K761" s="39"/>
      <c r="L761" s="78"/>
      <c r="M761" s="19"/>
      <c r="N761" s="10"/>
    </row>
    <row r="762" spans="7:14" x14ac:dyDescent="0.75">
      <c r="G762" s="10"/>
      <c r="H762" s="10"/>
      <c r="I762" s="39"/>
      <c r="J762" s="103"/>
      <c r="K762" s="39"/>
      <c r="L762" s="78"/>
      <c r="M762" s="19"/>
      <c r="N762" s="10"/>
    </row>
    <row r="763" spans="7:14" x14ac:dyDescent="0.75">
      <c r="G763" s="10"/>
      <c r="H763" s="10"/>
      <c r="I763" s="39"/>
      <c r="J763" s="103"/>
      <c r="K763" s="39"/>
      <c r="L763" s="10"/>
      <c r="M763" s="19"/>
      <c r="N763" s="10"/>
    </row>
    <row r="764" spans="7:14" x14ac:dyDescent="0.75">
      <c r="G764" s="10"/>
      <c r="H764" s="10"/>
      <c r="I764" s="39"/>
      <c r="J764" s="103"/>
      <c r="K764" s="39"/>
      <c r="L764" s="10"/>
      <c r="M764" s="19"/>
      <c r="N764" s="10"/>
    </row>
    <row r="765" spans="7:14" x14ac:dyDescent="0.75">
      <c r="G765" s="10"/>
      <c r="H765" s="10"/>
      <c r="I765" s="39"/>
      <c r="J765" s="103"/>
      <c r="K765" s="39"/>
      <c r="L765" s="10"/>
      <c r="M765" s="19"/>
      <c r="N765" s="10"/>
    </row>
    <row r="766" spans="7:14" x14ac:dyDescent="0.75">
      <c r="G766" s="10"/>
      <c r="H766" s="10"/>
      <c r="I766" s="39"/>
      <c r="J766" s="103"/>
      <c r="K766" s="39"/>
      <c r="L766" s="78"/>
      <c r="M766" s="19"/>
      <c r="N766" s="10"/>
    </row>
    <row r="767" spans="7:14" x14ac:dyDescent="0.75">
      <c r="G767" s="10"/>
      <c r="H767" s="10"/>
      <c r="I767" s="39"/>
      <c r="J767" s="103"/>
      <c r="K767" s="39"/>
      <c r="L767" s="78"/>
      <c r="M767" s="19"/>
      <c r="N767" s="10"/>
    </row>
    <row r="768" spans="7:14" x14ac:dyDescent="0.75">
      <c r="G768" s="10"/>
      <c r="H768" s="10"/>
      <c r="I768" s="39"/>
      <c r="J768" s="103"/>
      <c r="K768" s="39"/>
      <c r="L768" s="78"/>
      <c r="M768" s="19"/>
      <c r="N768" s="10"/>
    </row>
    <row r="769" spans="7:14" x14ac:dyDescent="0.75">
      <c r="G769" s="10"/>
      <c r="H769" s="10"/>
      <c r="I769" s="39"/>
      <c r="J769" s="103"/>
      <c r="K769" s="39"/>
      <c r="L769" s="78"/>
      <c r="M769" s="19"/>
      <c r="N769" s="10"/>
    </row>
    <row r="770" spans="7:14" x14ac:dyDescent="0.75">
      <c r="G770" s="10"/>
      <c r="H770" s="10"/>
      <c r="I770" s="39"/>
      <c r="J770" s="103"/>
      <c r="K770" s="39"/>
      <c r="L770" s="78"/>
      <c r="M770" s="19"/>
      <c r="N770" s="10"/>
    </row>
    <row r="771" spans="7:14" x14ac:dyDescent="0.75">
      <c r="G771" s="10"/>
      <c r="H771" s="10"/>
      <c r="I771" s="39"/>
      <c r="J771" s="103"/>
      <c r="K771" s="39"/>
      <c r="L771" s="78"/>
      <c r="M771" s="19"/>
      <c r="N771" s="10"/>
    </row>
    <row r="772" spans="7:14" x14ac:dyDescent="0.75">
      <c r="G772" s="10"/>
      <c r="H772" s="10"/>
      <c r="I772" s="39"/>
      <c r="J772" s="103"/>
      <c r="K772" s="39"/>
      <c r="L772" s="78"/>
      <c r="M772" s="19"/>
      <c r="N772" s="10"/>
    </row>
    <row r="773" spans="7:14" x14ac:dyDescent="0.75">
      <c r="G773" s="10"/>
      <c r="H773" s="10"/>
      <c r="I773" s="39"/>
      <c r="J773" s="103"/>
      <c r="K773" s="39"/>
      <c r="L773" s="78"/>
      <c r="M773" s="19"/>
      <c r="N773" s="10"/>
    </row>
    <row r="774" spans="7:14" x14ac:dyDescent="0.75">
      <c r="G774" s="10"/>
      <c r="H774" s="10"/>
      <c r="I774" s="39"/>
      <c r="J774" s="103"/>
      <c r="K774" s="39"/>
      <c r="L774" s="78"/>
      <c r="M774" s="19"/>
      <c r="N774" s="10"/>
    </row>
    <row r="775" spans="7:14" x14ac:dyDescent="0.75">
      <c r="G775" s="10"/>
      <c r="H775" s="10"/>
      <c r="I775" s="39"/>
      <c r="J775" s="103"/>
      <c r="K775" s="39"/>
      <c r="L775" s="78"/>
      <c r="M775" s="19"/>
      <c r="N775" s="10"/>
    </row>
    <row r="776" spans="7:14" x14ac:dyDescent="0.75">
      <c r="G776" s="10"/>
      <c r="H776" s="10"/>
      <c r="I776" s="39"/>
      <c r="J776" s="103"/>
      <c r="K776" s="39"/>
      <c r="L776" s="78"/>
      <c r="M776" s="19"/>
      <c r="N776" s="10"/>
    </row>
    <row r="777" spans="7:14" x14ac:dyDescent="0.75">
      <c r="G777" s="10"/>
      <c r="H777" s="10"/>
      <c r="I777" s="39"/>
      <c r="J777" s="103"/>
      <c r="K777" s="39"/>
      <c r="L777" s="78"/>
      <c r="M777" s="19"/>
      <c r="N777" s="10"/>
    </row>
    <row r="778" spans="7:14" x14ac:dyDescent="0.75">
      <c r="G778" s="10"/>
      <c r="H778" s="10"/>
      <c r="I778" s="39"/>
      <c r="J778" s="103"/>
      <c r="K778" s="39"/>
      <c r="L778" s="78"/>
      <c r="M778" s="19"/>
      <c r="N778" s="10"/>
    </row>
    <row r="779" spans="7:14" x14ac:dyDescent="0.75">
      <c r="G779" s="10"/>
      <c r="H779" s="10"/>
      <c r="I779" s="39"/>
      <c r="J779" s="103"/>
      <c r="K779" s="39"/>
      <c r="L779" s="78"/>
      <c r="M779" s="19"/>
      <c r="N779" s="10"/>
    </row>
    <row r="780" spans="7:14" x14ac:dyDescent="0.75">
      <c r="G780" s="10"/>
      <c r="H780" s="10"/>
      <c r="I780" s="39"/>
      <c r="J780" s="103"/>
      <c r="K780" s="39"/>
      <c r="L780" s="78"/>
      <c r="M780" s="19"/>
      <c r="N780" s="10"/>
    </row>
    <row r="781" spans="7:14" x14ac:dyDescent="0.75">
      <c r="G781" s="10"/>
      <c r="H781" s="10"/>
      <c r="I781" s="39"/>
      <c r="J781" s="103"/>
      <c r="K781" s="39"/>
      <c r="L781" s="78"/>
      <c r="M781" s="19"/>
      <c r="N781" s="10"/>
    </row>
    <row r="782" spans="7:14" x14ac:dyDescent="0.75">
      <c r="G782" s="10"/>
      <c r="H782" s="10"/>
      <c r="I782" s="39"/>
      <c r="J782" s="103"/>
      <c r="K782" s="39"/>
      <c r="L782" s="78"/>
      <c r="M782" s="19"/>
      <c r="N782" s="10"/>
    </row>
    <row r="783" spans="7:14" x14ac:dyDescent="0.75">
      <c r="G783" s="10"/>
      <c r="H783" s="10"/>
      <c r="I783" s="39"/>
      <c r="J783" s="103"/>
      <c r="K783" s="39"/>
      <c r="L783" s="78"/>
      <c r="M783" s="19"/>
      <c r="N783" s="10"/>
    </row>
    <row r="784" spans="7:14" x14ac:dyDescent="0.75">
      <c r="G784" s="10"/>
      <c r="H784" s="10"/>
      <c r="I784" s="39"/>
      <c r="J784" s="103"/>
      <c r="K784" s="39"/>
      <c r="L784" s="78"/>
      <c r="M784" s="19"/>
      <c r="N784" s="10"/>
    </row>
    <row r="785" spans="7:14" x14ac:dyDescent="0.75">
      <c r="G785" s="10"/>
      <c r="H785" s="10"/>
      <c r="I785" s="39"/>
      <c r="J785" s="103"/>
      <c r="K785" s="39"/>
      <c r="L785" s="78"/>
      <c r="M785" s="19"/>
      <c r="N785" s="10"/>
    </row>
    <row r="786" spans="7:14" x14ac:dyDescent="0.75">
      <c r="G786" s="10"/>
      <c r="H786" s="10"/>
      <c r="I786" s="39"/>
      <c r="J786" s="103"/>
      <c r="K786" s="39"/>
      <c r="L786" s="78"/>
      <c r="M786" s="19"/>
      <c r="N786" s="10"/>
    </row>
    <row r="787" spans="7:14" x14ac:dyDescent="0.75">
      <c r="G787" s="10"/>
      <c r="H787" s="10"/>
      <c r="I787" s="39"/>
      <c r="J787" s="103"/>
      <c r="K787" s="39"/>
      <c r="L787" s="78"/>
      <c r="M787" s="19"/>
      <c r="N787" s="10"/>
    </row>
    <row r="788" spans="7:14" x14ac:dyDescent="0.75">
      <c r="G788" s="10"/>
      <c r="H788" s="10"/>
      <c r="I788" s="39"/>
      <c r="J788" s="103"/>
      <c r="K788" s="39"/>
      <c r="L788" s="78"/>
      <c r="M788" s="19"/>
      <c r="N788" s="10"/>
    </row>
    <row r="789" spans="7:14" x14ac:dyDescent="0.75">
      <c r="G789" s="10"/>
      <c r="H789" s="10"/>
      <c r="I789" s="39"/>
      <c r="J789" s="103"/>
      <c r="K789" s="39"/>
      <c r="L789" s="78"/>
      <c r="M789" s="19"/>
      <c r="N789" s="10"/>
    </row>
    <row r="790" spans="7:14" x14ac:dyDescent="0.75">
      <c r="G790" s="10"/>
      <c r="H790" s="10"/>
      <c r="I790" s="39"/>
      <c r="J790" s="103"/>
      <c r="K790" s="39"/>
      <c r="L790" s="78"/>
      <c r="M790" s="19"/>
      <c r="N790" s="10"/>
    </row>
    <row r="791" spans="7:14" x14ac:dyDescent="0.75">
      <c r="G791" s="10"/>
      <c r="H791" s="10"/>
      <c r="I791" s="39"/>
      <c r="J791" s="103"/>
      <c r="K791" s="39"/>
      <c r="L791" s="78"/>
      <c r="M791" s="19"/>
      <c r="N791" s="10"/>
    </row>
    <row r="792" spans="7:14" x14ac:dyDescent="0.75">
      <c r="G792" s="10"/>
      <c r="H792" s="10"/>
      <c r="I792" s="39"/>
      <c r="J792" s="103"/>
      <c r="K792" s="39"/>
      <c r="L792" s="78"/>
      <c r="M792" s="19"/>
      <c r="N792" s="10"/>
    </row>
    <row r="793" spans="7:14" x14ac:dyDescent="0.75">
      <c r="G793" s="10"/>
      <c r="H793" s="10"/>
      <c r="I793" s="39"/>
      <c r="J793" s="103"/>
      <c r="K793" s="39"/>
      <c r="L793" s="78"/>
      <c r="M793" s="19"/>
      <c r="N793" s="10"/>
    </row>
    <row r="794" spans="7:14" x14ac:dyDescent="0.75">
      <c r="G794" s="10"/>
      <c r="H794" s="10"/>
      <c r="I794" s="39"/>
      <c r="J794" s="103"/>
      <c r="K794" s="39"/>
      <c r="L794" s="10"/>
      <c r="M794" s="19"/>
      <c r="N794" s="10"/>
    </row>
    <row r="795" spans="7:14" x14ac:dyDescent="0.75">
      <c r="G795" s="10"/>
      <c r="H795" s="10"/>
      <c r="I795" s="39"/>
      <c r="J795" s="103"/>
      <c r="K795" s="39"/>
      <c r="L795" s="78"/>
      <c r="M795" s="19"/>
      <c r="N795" s="10"/>
    </row>
    <row r="796" spans="7:14" x14ac:dyDescent="0.75">
      <c r="G796" s="10"/>
      <c r="H796" s="10"/>
      <c r="I796" s="39"/>
      <c r="J796" s="103"/>
      <c r="K796" s="39"/>
      <c r="L796" s="78"/>
      <c r="M796" s="19"/>
      <c r="N796" s="10"/>
    </row>
    <row r="797" spans="7:14" x14ac:dyDescent="0.75">
      <c r="G797" s="10"/>
      <c r="H797" s="10"/>
      <c r="I797" s="39"/>
      <c r="J797" s="103"/>
      <c r="K797" s="39"/>
      <c r="L797" s="78"/>
      <c r="M797" s="19"/>
      <c r="N797" s="10"/>
    </row>
    <row r="798" spans="7:14" x14ac:dyDescent="0.75">
      <c r="G798" s="10"/>
      <c r="H798" s="10"/>
      <c r="I798" s="39"/>
      <c r="J798" s="103"/>
      <c r="K798" s="39"/>
      <c r="L798" s="78"/>
      <c r="M798" s="19"/>
      <c r="N798" s="10"/>
    </row>
    <row r="799" spans="7:14" x14ac:dyDescent="0.75">
      <c r="G799" s="10"/>
      <c r="H799" s="10"/>
      <c r="I799" s="39"/>
      <c r="J799" s="103"/>
      <c r="K799" s="39"/>
      <c r="L799" s="78"/>
      <c r="M799" s="19"/>
      <c r="N799" s="10"/>
    </row>
    <row r="800" spans="7:14" x14ac:dyDescent="0.75">
      <c r="G800" s="10"/>
      <c r="H800" s="10"/>
      <c r="I800" s="39"/>
      <c r="J800" s="103"/>
      <c r="K800" s="39"/>
      <c r="L800" s="78"/>
      <c r="M800" s="19"/>
      <c r="N800" s="10"/>
    </row>
    <row r="801" spans="7:14" x14ac:dyDescent="0.75">
      <c r="G801" s="10"/>
      <c r="H801" s="10"/>
      <c r="I801" s="39"/>
      <c r="J801" s="103"/>
      <c r="K801" s="39"/>
      <c r="L801" s="78"/>
      <c r="M801" s="19"/>
      <c r="N801" s="10"/>
    </row>
    <row r="802" spans="7:14" x14ac:dyDescent="0.75">
      <c r="G802" s="10"/>
      <c r="H802" s="10"/>
      <c r="I802" s="39"/>
      <c r="J802" s="103"/>
      <c r="K802" s="39"/>
      <c r="L802" s="78"/>
      <c r="M802" s="19"/>
      <c r="N802" s="10"/>
    </row>
    <row r="803" spans="7:14" x14ac:dyDescent="0.75">
      <c r="G803" s="10"/>
      <c r="H803" s="10"/>
      <c r="I803" s="39"/>
      <c r="J803" s="103"/>
      <c r="K803" s="39"/>
      <c r="L803" s="78"/>
      <c r="M803" s="19"/>
      <c r="N803" s="10"/>
    </row>
    <row r="804" spans="7:14" x14ac:dyDescent="0.75">
      <c r="G804" s="10"/>
      <c r="H804" s="10"/>
      <c r="I804" s="39"/>
      <c r="J804" s="103"/>
      <c r="K804" s="39"/>
      <c r="L804" s="10"/>
      <c r="M804" s="19"/>
      <c r="N804" s="10"/>
    </row>
    <row r="805" spans="7:14" x14ac:dyDescent="0.75">
      <c r="G805" s="10"/>
      <c r="H805" s="10"/>
      <c r="I805" s="39"/>
      <c r="J805" s="103"/>
      <c r="K805" s="39"/>
      <c r="L805" s="78"/>
      <c r="M805" s="19"/>
      <c r="N805" s="10"/>
    </row>
    <row r="806" spans="7:14" x14ac:dyDescent="0.75">
      <c r="G806" s="10"/>
      <c r="H806" s="10"/>
      <c r="I806" s="39"/>
      <c r="J806" s="103"/>
      <c r="K806" s="39"/>
      <c r="L806" s="78"/>
      <c r="M806" s="19"/>
      <c r="N806" s="10"/>
    </row>
    <row r="807" spans="7:14" x14ac:dyDescent="0.75">
      <c r="G807" s="10"/>
      <c r="H807" s="10"/>
      <c r="I807" s="39"/>
      <c r="J807" s="103"/>
      <c r="K807" s="39"/>
      <c r="L807" s="78"/>
      <c r="M807" s="19"/>
      <c r="N807" s="10"/>
    </row>
    <row r="808" spans="7:14" x14ac:dyDescent="0.75">
      <c r="G808" s="10"/>
      <c r="H808" s="10"/>
      <c r="I808" s="39"/>
      <c r="J808" s="103"/>
      <c r="K808" s="39"/>
      <c r="L808" s="78"/>
      <c r="M808" s="19"/>
      <c r="N808" s="10"/>
    </row>
    <row r="809" spans="7:14" x14ac:dyDescent="0.75">
      <c r="G809" s="10"/>
      <c r="H809" s="10"/>
      <c r="I809" s="39"/>
      <c r="J809" s="103"/>
      <c r="K809" s="39"/>
      <c r="L809" s="78"/>
      <c r="M809" s="19"/>
      <c r="N809" s="10"/>
    </row>
    <row r="810" spans="7:14" x14ac:dyDescent="0.75">
      <c r="G810" s="10"/>
      <c r="H810" s="10"/>
      <c r="I810" s="39"/>
      <c r="J810" s="103"/>
      <c r="K810" s="39"/>
      <c r="L810" s="10"/>
      <c r="M810" s="19"/>
      <c r="N810" s="10"/>
    </row>
    <row r="811" spans="7:14" x14ac:dyDescent="0.75">
      <c r="G811" s="10"/>
      <c r="H811" s="10"/>
      <c r="I811" s="39"/>
      <c r="J811" s="103"/>
      <c r="K811" s="39"/>
      <c r="L811" s="10"/>
      <c r="M811" s="19"/>
      <c r="N811" s="10"/>
    </row>
    <row r="812" spans="7:14" x14ac:dyDescent="0.75">
      <c r="G812" s="10"/>
      <c r="H812" s="10"/>
      <c r="I812" s="39"/>
      <c r="J812" s="103"/>
      <c r="K812" s="39"/>
      <c r="L812" s="78"/>
      <c r="M812" s="19"/>
      <c r="N812" s="10"/>
    </row>
    <row r="813" spans="7:14" x14ac:dyDescent="0.75">
      <c r="G813" s="10"/>
      <c r="H813" s="10"/>
      <c r="I813" s="39"/>
      <c r="J813" s="103"/>
      <c r="K813" s="39"/>
      <c r="L813" s="78"/>
      <c r="M813" s="19"/>
      <c r="N813" s="10"/>
    </row>
    <row r="814" spans="7:14" x14ac:dyDescent="0.75">
      <c r="G814" s="10"/>
      <c r="H814" s="10"/>
      <c r="I814" s="39"/>
      <c r="J814" s="103"/>
      <c r="K814" s="39"/>
      <c r="L814" s="78"/>
      <c r="M814" s="19"/>
      <c r="N814" s="10"/>
    </row>
    <row r="815" spans="7:14" x14ac:dyDescent="0.75">
      <c r="G815" s="10"/>
      <c r="H815" s="10"/>
      <c r="I815" s="39"/>
      <c r="J815" s="103"/>
      <c r="K815" s="39"/>
      <c r="L815" s="78"/>
      <c r="M815" s="19"/>
      <c r="N815" s="10"/>
    </row>
    <row r="816" spans="7:14" x14ac:dyDescent="0.75">
      <c r="G816" s="10"/>
      <c r="H816" s="10"/>
      <c r="I816" s="39"/>
      <c r="J816" s="103"/>
      <c r="K816" s="39"/>
      <c r="L816" s="78"/>
      <c r="M816" s="19"/>
      <c r="N816" s="10"/>
    </row>
    <row r="817" spans="7:14" x14ac:dyDescent="0.75">
      <c r="G817" s="10"/>
      <c r="H817" s="10"/>
      <c r="I817" s="39"/>
      <c r="J817" s="103"/>
      <c r="K817" s="39"/>
      <c r="L817" s="78"/>
      <c r="M817" s="19"/>
      <c r="N817" s="10"/>
    </row>
    <row r="818" spans="7:14" x14ac:dyDescent="0.75">
      <c r="G818" s="10"/>
      <c r="H818" s="10"/>
      <c r="I818" s="39"/>
      <c r="J818" s="103"/>
      <c r="K818" s="39"/>
      <c r="L818" s="78"/>
      <c r="M818" s="19"/>
      <c r="N818" s="10"/>
    </row>
    <row r="819" spans="7:14" x14ac:dyDescent="0.75">
      <c r="G819" s="10"/>
      <c r="H819" s="10"/>
      <c r="I819" s="39"/>
      <c r="J819" s="103"/>
      <c r="K819" s="39"/>
      <c r="L819" s="78"/>
      <c r="M819" s="19"/>
      <c r="N819" s="10"/>
    </row>
    <row r="820" spans="7:14" x14ac:dyDescent="0.75">
      <c r="G820" s="10"/>
      <c r="H820" s="10"/>
      <c r="I820" s="39"/>
      <c r="J820" s="103"/>
      <c r="K820" s="39"/>
      <c r="L820" s="78"/>
      <c r="M820" s="19"/>
      <c r="N820" s="10"/>
    </row>
    <row r="821" spans="7:14" x14ac:dyDescent="0.75">
      <c r="G821" s="10"/>
      <c r="H821" s="10"/>
      <c r="I821" s="39"/>
      <c r="J821" s="103"/>
      <c r="K821" s="39"/>
      <c r="L821" s="78"/>
      <c r="M821" s="19"/>
      <c r="N821" s="10"/>
    </row>
    <row r="822" spans="7:14" x14ac:dyDescent="0.75">
      <c r="G822" s="10"/>
      <c r="H822" s="10"/>
      <c r="I822" s="39"/>
      <c r="J822" s="103"/>
      <c r="K822" s="39"/>
      <c r="L822" s="78"/>
      <c r="M822" s="19"/>
      <c r="N822" s="10"/>
    </row>
    <row r="823" spans="7:14" x14ac:dyDescent="0.75">
      <c r="G823" s="10"/>
      <c r="H823" s="10"/>
      <c r="I823" s="39"/>
      <c r="J823" s="103"/>
      <c r="K823" s="39"/>
      <c r="L823" s="78"/>
      <c r="M823" s="19"/>
      <c r="N823" s="10"/>
    </row>
    <row r="824" spans="7:14" x14ac:dyDescent="0.75">
      <c r="G824" s="10"/>
      <c r="H824" s="10"/>
      <c r="I824" s="39"/>
      <c r="J824" s="103"/>
      <c r="K824" s="39"/>
      <c r="L824" s="78"/>
      <c r="M824" s="19"/>
      <c r="N824" s="10"/>
    </row>
    <row r="825" spans="7:14" x14ac:dyDescent="0.75">
      <c r="G825" s="10"/>
      <c r="H825" s="10"/>
      <c r="I825" s="39"/>
      <c r="J825" s="103"/>
      <c r="K825" s="39"/>
      <c r="L825" s="78"/>
      <c r="M825" s="19"/>
      <c r="N825" s="10"/>
    </row>
    <row r="826" spans="7:14" x14ac:dyDescent="0.75">
      <c r="G826" s="10"/>
      <c r="H826" s="10"/>
      <c r="I826" s="39"/>
      <c r="J826" s="103"/>
      <c r="K826" s="39"/>
      <c r="L826" s="78"/>
      <c r="M826" s="19"/>
      <c r="N826" s="10"/>
    </row>
    <row r="827" spans="7:14" x14ac:dyDescent="0.75">
      <c r="G827" s="10"/>
      <c r="H827" s="10"/>
      <c r="I827" s="39"/>
      <c r="J827" s="103"/>
      <c r="K827" s="39"/>
      <c r="L827" s="78"/>
      <c r="M827" s="19"/>
      <c r="N827" s="10"/>
    </row>
    <row r="828" spans="7:14" x14ac:dyDescent="0.75">
      <c r="G828" s="10"/>
      <c r="H828" s="10"/>
      <c r="I828" s="39"/>
      <c r="J828" s="103"/>
      <c r="K828" s="39"/>
      <c r="L828" s="78"/>
      <c r="M828" s="19"/>
      <c r="N828" s="10"/>
    </row>
    <row r="829" spans="7:14" x14ac:dyDescent="0.75">
      <c r="G829" s="10"/>
      <c r="H829" s="10"/>
      <c r="I829" s="39"/>
      <c r="J829" s="103"/>
      <c r="K829" s="39"/>
      <c r="L829" s="78"/>
      <c r="M829" s="19"/>
      <c r="N829" s="10"/>
    </row>
    <row r="830" spans="7:14" x14ac:dyDescent="0.75">
      <c r="G830" s="10"/>
      <c r="H830" s="10"/>
      <c r="I830" s="39"/>
      <c r="J830" s="103"/>
      <c r="K830" s="39"/>
      <c r="L830" s="78"/>
      <c r="M830" s="19"/>
      <c r="N830" s="10"/>
    </row>
    <row r="831" spans="7:14" x14ac:dyDescent="0.75">
      <c r="G831" s="10"/>
      <c r="H831" s="10"/>
      <c r="I831" s="39"/>
      <c r="J831" s="103"/>
      <c r="K831" s="39"/>
      <c r="L831" s="78"/>
      <c r="M831" s="19"/>
      <c r="N831" s="10"/>
    </row>
    <row r="832" spans="7:14" x14ac:dyDescent="0.75">
      <c r="G832" s="10"/>
      <c r="H832" s="10"/>
      <c r="I832" s="39"/>
      <c r="J832" s="103"/>
      <c r="K832" s="39"/>
      <c r="L832" s="78"/>
      <c r="M832" s="19"/>
      <c r="N832" s="10"/>
    </row>
    <row r="833" spans="7:14" x14ac:dyDescent="0.75">
      <c r="G833" s="10"/>
      <c r="H833" s="10"/>
      <c r="I833" s="39"/>
      <c r="J833" s="103"/>
      <c r="K833" s="39"/>
      <c r="L833" s="78"/>
      <c r="M833" s="19"/>
      <c r="N833" s="10"/>
    </row>
    <row r="834" spans="7:14" x14ac:dyDescent="0.75">
      <c r="G834" s="10"/>
      <c r="H834" s="10"/>
      <c r="I834" s="39"/>
      <c r="J834" s="103"/>
      <c r="K834" s="39"/>
      <c r="L834" s="78"/>
      <c r="M834" s="19"/>
      <c r="N834" s="10"/>
    </row>
    <row r="835" spans="7:14" x14ac:dyDescent="0.75">
      <c r="G835" s="10"/>
      <c r="H835" s="10"/>
      <c r="I835" s="39"/>
      <c r="J835" s="103"/>
      <c r="K835" s="39"/>
      <c r="L835" s="78"/>
      <c r="M835" s="19"/>
      <c r="N835" s="10"/>
    </row>
    <row r="836" spans="7:14" x14ac:dyDescent="0.75">
      <c r="G836" s="10"/>
      <c r="H836" s="10"/>
      <c r="I836" s="39"/>
      <c r="J836" s="103"/>
      <c r="K836" s="39"/>
      <c r="L836" s="78"/>
      <c r="M836" s="19"/>
      <c r="N836" s="10"/>
    </row>
    <row r="837" spans="7:14" x14ac:dyDescent="0.75">
      <c r="G837" s="10"/>
      <c r="H837" s="10"/>
      <c r="I837" s="39"/>
      <c r="J837" s="103"/>
      <c r="K837" s="39"/>
      <c r="L837" s="78"/>
      <c r="M837" s="19"/>
      <c r="N837" s="10"/>
    </row>
    <row r="838" spans="7:14" x14ac:dyDescent="0.75">
      <c r="G838" s="10"/>
      <c r="H838" s="10"/>
      <c r="I838" s="39"/>
      <c r="J838" s="103"/>
      <c r="K838" s="39"/>
      <c r="L838" s="10"/>
      <c r="M838" s="19"/>
      <c r="N838" s="10"/>
    </row>
    <row r="839" spans="7:14" x14ac:dyDescent="0.75">
      <c r="G839" s="10"/>
      <c r="H839" s="10"/>
      <c r="I839" s="39"/>
      <c r="J839" s="103"/>
      <c r="K839" s="39"/>
      <c r="L839" s="78"/>
      <c r="M839" s="19"/>
      <c r="N839" s="10"/>
    </row>
    <row r="840" spans="7:14" x14ac:dyDescent="0.75">
      <c r="G840" s="10"/>
      <c r="H840" s="10"/>
      <c r="I840" s="39"/>
      <c r="J840" s="103"/>
      <c r="K840" s="39"/>
      <c r="L840" s="78"/>
      <c r="M840" s="19"/>
      <c r="N840" s="10"/>
    </row>
    <row r="841" spans="7:14" x14ac:dyDescent="0.75">
      <c r="G841" s="10"/>
      <c r="H841" s="10"/>
      <c r="I841" s="39"/>
      <c r="J841" s="103"/>
      <c r="K841" s="39"/>
      <c r="L841" s="78"/>
      <c r="M841" s="19"/>
      <c r="N841" s="10"/>
    </row>
    <row r="842" spans="7:14" x14ac:dyDescent="0.75">
      <c r="G842" s="10"/>
      <c r="H842" s="10"/>
      <c r="I842" s="39"/>
      <c r="J842" s="103"/>
      <c r="K842" s="39"/>
      <c r="L842" s="78"/>
      <c r="M842" s="19"/>
      <c r="N842" s="10"/>
    </row>
    <row r="843" spans="7:14" x14ac:dyDescent="0.75">
      <c r="G843" s="10"/>
      <c r="H843" s="10"/>
      <c r="I843" s="39"/>
      <c r="J843" s="103"/>
      <c r="K843" s="39"/>
      <c r="L843" s="10"/>
      <c r="M843" s="19"/>
      <c r="N843" s="10"/>
    </row>
    <row r="844" spans="7:14" x14ac:dyDescent="0.75">
      <c r="G844" s="10"/>
      <c r="H844" s="10"/>
      <c r="I844" s="39"/>
      <c r="J844" s="103"/>
      <c r="K844" s="39"/>
      <c r="L844" s="78"/>
      <c r="M844" s="19"/>
      <c r="N844" s="10"/>
    </row>
    <row r="845" spans="7:14" x14ac:dyDescent="0.75">
      <c r="G845" s="10"/>
      <c r="H845" s="10"/>
      <c r="I845" s="39"/>
      <c r="J845" s="103"/>
      <c r="K845" s="39"/>
      <c r="L845" s="78"/>
      <c r="M845" s="19"/>
      <c r="N845" s="10"/>
    </row>
    <row r="846" spans="7:14" x14ac:dyDescent="0.75">
      <c r="G846" s="10"/>
      <c r="H846" s="10"/>
      <c r="I846" s="39"/>
      <c r="J846" s="103"/>
      <c r="K846" s="39"/>
      <c r="L846" s="78"/>
      <c r="M846" s="19"/>
      <c r="N846" s="10"/>
    </row>
    <row r="847" spans="7:14" x14ac:dyDescent="0.75">
      <c r="G847" s="10"/>
      <c r="H847" s="10"/>
      <c r="I847" s="39"/>
      <c r="J847" s="103"/>
      <c r="K847" s="39"/>
      <c r="L847" s="78"/>
      <c r="M847" s="19"/>
      <c r="N847" s="10"/>
    </row>
    <row r="848" spans="7:14" x14ac:dyDescent="0.75">
      <c r="G848" s="10"/>
      <c r="H848" s="10"/>
      <c r="I848" s="39"/>
      <c r="J848" s="103"/>
      <c r="K848" s="39"/>
      <c r="L848" s="78"/>
      <c r="M848" s="19"/>
      <c r="N848" s="10"/>
    </row>
    <row r="849" spans="7:14" x14ac:dyDescent="0.75">
      <c r="G849" s="10"/>
      <c r="H849" s="10"/>
      <c r="I849" s="39"/>
      <c r="J849" s="103"/>
      <c r="K849" s="39"/>
      <c r="L849" s="78"/>
      <c r="M849" s="19"/>
      <c r="N849" s="10"/>
    </row>
    <row r="850" spans="7:14" x14ac:dyDescent="0.75">
      <c r="G850" s="10"/>
      <c r="H850" s="10"/>
      <c r="I850" s="39"/>
      <c r="J850" s="103"/>
      <c r="K850" s="39"/>
      <c r="L850" s="78"/>
      <c r="M850" s="19"/>
      <c r="N850" s="10"/>
    </row>
    <row r="851" spans="7:14" x14ac:dyDescent="0.75">
      <c r="G851" s="10"/>
      <c r="H851" s="10"/>
      <c r="I851" s="39"/>
      <c r="J851" s="103"/>
      <c r="K851" s="39"/>
      <c r="L851" s="78"/>
      <c r="M851" s="19"/>
      <c r="N851" s="10"/>
    </row>
    <row r="852" spans="7:14" x14ac:dyDescent="0.75">
      <c r="G852" s="10"/>
      <c r="H852" s="10"/>
      <c r="I852" s="39"/>
      <c r="J852" s="103"/>
      <c r="K852" s="39"/>
      <c r="L852" s="78"/>
      <c r="M852" s="19"/>
      <c r="N852" s="10"/>
    </row>
    <row r="853" spans="7:14" x14ac:dyDescent="0.75">
      <c r="G853" s="10"/>
      <c r="H853" s="10"/>
      <c r="I853" s="39"/>
      <c r="J853" s="103"/>
      <c r="K853" s="39"/>
      <c r="L853" s="78"/>
      <c r="M853" s="19"/>
      <c r="N853" s="10"/>
    </row>
    <row r="854" spans="7:14" x14ac:dyDescent="0.75">
      <c r="G854" s="10"/>
      <c r="H854" s="10"/>
      <c r="I854" s="39"/>
      <c r="J854" s="103"/>
      <c r="K854" s="39"/>
      <c r="L854" s="78"/>
      <c r="M854" s="19"/>
      <c r="N854" s="10"/>
    </row>
    <row r="855" spans="7:14" x14ac:dyDescent="0.75">
      <c r="G855" s="10"/>
      <c r="H855" s="10"/>
      <c r="I855" s="39"/>
      <c r="J855" s="103"/>
      <c r="K855" s="39"/>
      <c r="L855" s="78"/>
      <c r="M855" s="19"/>
      <c r="N855" s="10"/>
    </row>
    <row r="856" spans="7:14" x14ac:dyDescent="0.75">
      <c r="G856" s="10"/>
      <c r="H856" s="10"/>
      <c r="I856" s="39"/>
      <c r="J856" s="103"/>
      <c r="K856" s="39"/>
      <c r="L856" s="78"/>
      <c r="M856" s="19"/>
      <c r="N856" s="10"/>
    </row>
    <row r="857" spans="7:14" x14ac:dyDescent="0.75">
      <c r="G857" s="10"/>
      <c r="H857" s="10"/>
      <c r="I857" s="39"/>
      <c r="J857" s="103"/>
      <c r="K857" s="39"/>
      <c r="L857" s="78"/>
      <c r="M857" s="19"/>
      <c r="N857" s="10"/>
    </row>
    <row r="858" spans="7:14" x14ac:dyDescent="0.75">
      <c r="G858" s="10"/>
      <c r="H858" s="10"/>
      <c r="I858" s="39"/>
      <c r="J858" s="103"/>
      <c r="K858" s="39"/>
      <c r="L858" s="78"/>
      <c r="M858" s="19"/>
      <c r="N858" s="10"/>
    </row>
    <row r="859" spans="7:14" x14ac:dyDescent="0.75">
      <c r="G859" s="10"/>
      <c r="H859" s="10"/>
      <c r="I859" s="39"/>
      <c r="J859" s="103"/>
      <c r="K859" s="39"/>
      <c r="L859" s="78"/>
      <c r="M859" s="19"/>
      <c r="N859" s="10"/>
    </row>
    <row r="860" spans="7:14" x14ac:dyDescent="0.75">
      <c r="G860" s="10"/>
      <c r="H860" s="10"/>
      <c r="I860" s="39"/>
      <c r="J860" s="103"/>
      <c r="K860" s="39"/>
      <c r="L860" s="10"/>
      <c r="M860" s="19"/>
      <c r="N860" s="10"/>
    </row>
    <row r="861" spans="7:14" x14ac:dyDescent="0.75">
      <c r="G861" s="10"/>
      <c r="H861" s="10"/>
      <c r="I861" s="39"/>
      <c r="J861" s="103"/>
      <c r="K861" s="39"/>
      <c r="L861" s="78"/>
      <c r="M861" s="19"/>
      <c r="N861" s="10"/>
    </row>
    <row r="862" spans="7:14" x14ac:dyDescent="0.75">
      <c r="G862" s="10"/>
      <c r="H862" s="10"/>
      <c r="I862" s="39"/>
      <c r="J862" s="103"/>
      <c r="K862" s="39"/>
      <c r="L862" s="78"/>
      <c r="M862" s="19"/>
      <c r="N862" s="10"/>
    </row>
    <row r="863" spans="7:14" x14ac:dyDescent="0.75">
      <c r="G863" s="10"/>
      <c r="H863" s="10"/>
      <c r="I863" s="39"/>
      <c r="J863" s="103"/>
      <c r="K863" s="39"/>
      <c r="L863" s="78"/>
      <c r="M863" s="19"/>
      <c r="N863" s="10"/>
    </row>
    <row r="864" spans="7:14" x14ac:dyDescent="0.75">
      <c r="G864" s="10"/>
      <c r="H864" s="10"/>
      <c r="I864" s="39"/>
      <c r="J864" s="103"/>
      <c r="K864" s="39"/>
      <c r="L864" s="10"/>
      <c r="M864" s="19"/>
      <c r="N864" s="10"/>
    </row>
    <row r="865" spans="7:14" x14ac:dyDescent="0.75">
      <c r="G865" s="10"/>
      <c r="H865" s="10"/>
      <c r="I865" s="39"/>
      <c r="J865" s="103"/>
      <c r="K865" s="39"/>
      <c r="L865" s="78"/>
      <c r="M865" s="19"/>
      <c r="N865" s="10"/>
    </row>
    <row r="866" spans="7:14" x14ac:dyDescent="0.75">
      <c r="G866" s="10"/>
      <c r="H866" s="10"/>
      <c r="I866" s="39"/>
      <c r="J866" s="103"/>
      <c r="K866" s="39"/>
      <c r="L866" s="78"/>
      <c r="M866" s="19"/>
      <c r="N866" s="10"/>
    </row>
    <row r="867" spans="7:14" x14ac:dyDescent="0.75">
      <c r="G867" s="10"/>
      <c r="H867" s="10"/>
      <c r="I867" s="39"/>
      <c r="J867" s="103"/>
      <c r="K867" s="39"/>
      <c r="L867" s="78"/>
      <c r="M867" s="19"/>
      <c r="N867" s="10"/>
    </row>
    <row r="868" spans="7:14" x14ac:dyDescent="0.75">
      <c r="G868" s="10"/>
      <c r="H868" s="10"/>
      <c r="I868" s="39"/>
      <c r="J868" s="103"/>
      <c r="K868" s="39"/>
      <c r="L868" s="78"/>
      <c r="M868" s="19"/>
      <c r="N868" s="10"/>
    </row>
    <row r="869" spans="7:14" x14ac:dyDescent="0.75">
      <c r="G869" s="10"/>
      <c r="H869" s="10"/>
      <c r="I869" s="39"/>
      <c r="J869" s="103"/>
      <c r="K869" s="39"/>
      <c r="L869" s="78"/>
      <c r="M869" s="19"/>
      <c r="N869" s="10"/>
    </row>
    <row r="870" spans="7:14" x14ac:dyDescent="0.75">
      <c r="G870" s="10"/>
      <c r="H870" s="10"/>
      <c r="I870" s="39"/>
      <c r="J870" s="103"/>
      <c r="K870" s="39"/>
      <c r="L870" s="78"/>
      <c r="M870" s="19"/>
      <c r="N870" s="10"/>
    </row>
    <row r="871" spans="7:14" x14ac:dyDescent="0.75">
      <c r="G871" s="10"/>
      <c r="H871" s="10"/>
      <c r="I871" s="39"/>
      <c r="J871" s="103"/>
      <c r="K871" s="39"/>
      <c r="L871" s="78"/>
      <c r="M871" s="19"/>
      <c r="N871" s="10"/>
    </row>
    <row r="872" spans="7:14" x14ac:dyDescent="0.75">
      <c r="G872" s="10"/>
      <c r="H872" s="10"/>
      <c r="I872" s="39"/>
      <c r="J872" s="103"/>
      <c r="K872" s="39"/>
      <c r="L872" s="78"/>
      <c r="M872" s="19"/>
      <c r="N872" s="10"/>
    </row>
    <row r="873" spans="7:14" x14ac:dyDescent="0.75">
      <c r="G873" s="10"/>
      <c r="H873" s="10"/>
      <c r="I873" s="39"/>
      <c r="J873" s="103"/>
      <c r="K873" s="39"/>
      <c r="L873" s="78"/>
      <c r="M873" s="19"/>
      <c r="N873" s="10"/>
    </row>
    <row r="874" spans="7:14" x14ac:dyDescent="0.75">
      <c r="G874" s="10"/>
      <c r="H874" s="10"/>
      <c r="I874" s="39"/>
      <c r="J874" s="103"/>
      <c r="K874" s="39"/>
      <c r="L874" s="78"/>
      <c r="M874" s="19"/>
      <c r="N874" s="10"/>
    </row>
    <row r="875" spans="7:14" x14ac:dyDescent="0.75">
      <c r="G875" s="10"/>
      <c r="H875" s="10"/>
      <c r="I875" s="39"/>
      <c r="J875" s="103"/>
      <c r="K875" s="39"/>
      <c r="L875" s="78"/>
      <c r="M875" s="19"/>
      <c r="N875" s="10"/>
    </row>
    <row r="876" spans="7:14" x14ac:dyDescent="0.75">
      <c r="G876" s="10"/>
      <c r="H876" s="10"/>
      <c r="I876" s="39"/>
      <c r="J876" s="103"/>
      <c r="K876" s="39"/>
      <c r="L876" s="78"/>
      <c r="M876" s="19"/>
      <c r="N876" s="10"/>
    </row>
    <row r="877" spans="7:14" x14ac:dyDescent="0.75">
      <c r="G877" s="10"/>
      <c r="H877" s="10"/>
      <c r="I877" s="39"/>
      <c r="J877" s="103"/>
      <c r="K877" s="39"/>
      <c r="L877" s="78"/>
      <c r="M877" s="19"/>
      <c r="N877" s="10"/>
    </row>
    <row r="878" spans="7:14" x14ac:dyDescent="0.75">
      <c r="G878" s="10"/>
      <c r="H878" s="10"/>
      <c r="I878" s="39"/>
      <c r="J878" s="103"/>
      <c r="K878" s="39"/>
      <c r="L878" s="78"/>
      <c r="M878" s="19"/>
      <c r="N878" s="10"/>
    </row>
    <row r="879" spans="7:14" x14ac:dyDescent="0.75">
      <c r="G879" s="10"/>
      <c r="H879" s="10"/>
      <c r="I879" s="39"/>
      <c r="J879" s="103"/>
      <c r="K879" s="39"/>
      <c r="L879" s="78"/>
      <c r="M879" s="19"/>
      <c r="N879" s="10"/>
    </row>
    <row r="880" spans="7:14" x14ac:dyDescent="0.75">
      <c r="G880" s="10"/>
      <c r="H880" s="10"/>
      <c r="I880" s="39"/>
      <c r="J880" s="103"/>
      <c r="K880" s="39"/>
      <c r="L880" s="78"/>
      <c r="M880" s="19"/>
      <c r="N880" s="10"/>
    </row>
    <row r="881" spans="7:14" x14ac:dyDescent="0.75">
      <c r="G881" s="10"/>
      <c r="H881" s="10"/>
      <c r="I881" s="39"/>
      <c r="J881" s="103"/>
      <c r="K881" s="39"/>
      <c r="L881" s="78"/>
      <c r="M881" s="19"/>
      <c r="N881" s="10"/>
    </row>
    <row r="882" spans="7:14" x14ac:dyDescent="0.75">
      <c r="G882" s="10"/>
      <c r="H882" s="10"/>
      <c r="I882" s="39"/>
      <c r="J882" s="103"/>
      <c r="K882" s="39"/>
      <c r="L882" s="78"/>
      <c r="M882" s="19"/>
      <c r="N882" s="10"/>
    </row>
    <row r="883" spans="7:14" x14ac:dyDescent="0.75">
      <c r="G883" s="10"/>
      <c r="H883" s="10"/>
      <c r="I883" s="39"/>
      <c r="J883" s="103"/>
      <c r="K883" s="39"/>
      <c r="L883" s="78"/>
      <c r="M883" s="19"/>
      <c r="N883" s="10"/>
    </row>
    <row r="884" spans="7:14" x14ac:dyDescent="0.75">
      <c r="G884" s="10"/>
      <c r="H884" s="10"/>
      <c r="I884" s="39"/>
      <c r="J884" s="103"/>
      <c r="K884" s="39"/>
      <c r="L884" s="78"/>
      <c r="M884" s="19"/>
      <c r="N884" s="10"/>
    </row>
    <row r="885" spans="7:14" x14ac:dyDescent="0.75">
      <c r="G885" s="10"/>
      <c r="H885" s="10"/>
      <c r="I885" s="39"/>
      <c r="J885" s="103"/>
      <c r="K885" s="39"/>
      <c r="L885" s="78"/>
      <c r="M885" s="19"/>
      <c r="N885" s="10"/>
    </row>
    <row r="886" spans="7:14" x14ac:dyDescent="0.75">
      <c r="G886" s="10"/>
      <c r="H886" s="10"/>
      <c r="I886" s="39"/>
      <c r="J886" s="103"/>
      <c r="K886" s="39"/>
      <c r="L886" s="78"/>
      <c r="M886" s="19"/>
      <c r="N886" s="10"/>
    </row>
    <row r="887" spans="7:14" x14ac:dyDescent="0.75">
      <c r="G887" s="10"/>
      <c r="H887" s="10"/>
      <c r="I887" s="39"/>
      <c r="J887" s="103"/>
      <c r="K887" s="39"/>
      <c r="L887" s="78"/>
      <c r="M887" s="19"/>
      <c r="N887" s="10"/>
    </row>
    <row r="888" spans="7:14" x14ac:dyDescent="0.75">
      <c r="G888" s="10"/>
      <c r="H888" s="10"/>
      <c r="I888" s="39"/>
      <c r="J888" s="103"/>
      <c r="K888" s="39"/>
      <c r="L888" s="78"/>
      <c r="M888" s="19"/>
      <c r="N888" s="10"/>
    </row>
    <row r="889" spans="7:14" x14ac:dyDescent="0.75">
      <c r="G889" s="10"/>
      <c r="H889" s="10"/>
      <c r="I889" s="39"/>
      <c r="J889" s="103"/>
      <c r="K889" s="39"/>
      <c r="L889" s="78"/>
      <c r="M889" s="19"/>
      <c r="N889" s="10"/>
    </row>
    <row r="890" spans="7:14" x14ac:dyDescent="0.75">
      <c r="G890" s="10"/>
      <c r="H890" s="10"/>
      <c r="I890" s="39"/>
      <c r="J890" s="103"/>
      <c r="K890" s="39"/>
      <c r="L890" s="78"/>
      <c r="M890" s="19"/>
      <c r="N890" s="10"/>
    </row>
    <row r="891" spans="7:14" x14ac:dyDescent="0.75">
      <c r="G891" s="10"/>
      <c r="H891" s="10"/>
      <c r="I891" s="39"/>
      <c r="J891" s="103"/>
      <c r="K891" s="39"/>
      <c r="L891" s="78"/>
      <c r="M891" s="19"/>
      <c r="N891" s="10"/>
    </row>
    <row r="892" spans="7:14" x14ac:dyDescent="0.75">
      <c r="G892" s="10"/>
      <c r="H892" s="10"/>
      <c r="I892" s="39"/>
      <c r="J892" s="103"/>
      <c r="K892" s="39"/>
      <c r="L892" s="78"/>
      <c r="M892" s="19"/>
      <c r="N892" s="10"/>
    </row>
    <row r="893" spans="7:14" x14ac:dyDescent="0.75">
      <c r="G893" s="10"/>
      <c r="H893" s="10"/>
      <c r="I893" s="39"/>
      <c r="J893" s="103"/>
      <c r="K893" s="39"/>
      <c r="L893" s="78"/>
      <c r="M893" s="19"/>
      <c r="N893" s="10"/>
    </row>
    <row r="894" spans="7:14" x14ac:dyDescent="0.75">
      <c r="G894" s="10"/>
      <c r="H894" s="10"/>
      <c r="I894" s="39"/>
      <c r="J894" s="103"/>
      <c r="K894" s="39"/>
      <c r="L894" s="78"/>
      <c r="M894" s="19"/>
      <c r="N894" s="10"/>
    </row>
    <row r="895" spans="7:14" x14ac:dyDescent="0.75">
      <c r="G895" s="10"/>
      <c r="H895" s="10"/>
      <c r="I895" s="39"/>
      <c r="J895" s="103"/>
      <c r="K895" s="39"/>
      <c r="L895" s="78"/>
      <c r="M895" s="19"/>
      <c r="N895" s="10"/>
    </row>
    <row r="896" spans="7:14" x14ac:dyDescent="0.75">
      <c r="G896" s="10"/>
      <c r="H896" s="10"/>
      <c r="I896" s="39"/>
      <c r="J896" s="103"/>
      <c r="K896" s="39"/>
      <c r="L896" s="78"/>
      <c r="M896" s="19"/>
      <c r="N896" s="10"/>
    </row>
    <row r="897" spans="7:14" x14ac:dyDescent="0.75">
      <c r="G897" s="10"/>
      <c r="H897" s="10"/>
      <c r="I897" s="39"/>
      <c r="J897" s="103"/>
      <c r="K897" s="39"/>
      <c r="L897" s="78"/>
      <c r="M897" s="19"/>
      <c r="N897" s="10"/>
    </row>
    <row r="898" spans="7:14" x14ac:dyDescent="0.75">
      <c r="G898" s="10"/>
      <c r="H898" s="10"/>
      <c r="I898" s="39"/>
      <c r="J898" s="103"/>
      <c r="K898" s="39"/>
      <c r="L898" s="78"/>
      <c r="M898" s="19"/>
      <c r="N898" s="10"/>
    </row>
    <row r="899" spans="7:14" x14ac:dyDescent="0.75">
      <c r="G899" s="10"/>
      <c r="H899" s="10"/>
      <c r="I899" s="39"/>
      <c r="J899" s="103"/>
      <c r="K899" s="39"/>
      <c r="L899" s="78"/>
      <c r="M899" s="19"/>
      <c r="N899" s="10"/>
    </row>
    <row r="900" spans="7:14" x14ac:dyDescent="0.75">
      <c r="G900" s="10"/>
      <c r="H900" s="10"/>
      <c r="I900" s="39"/>
      <c r="J900" s="103"/>
      <c r="K900" s="39"/>
      <c r="L900" s="78"/>
      <c r="M900" s="19"/>
      <c r="N900" s="10"/>
    </row>
    <row r="901" spans="7:14" x14ac:dyDescent="0.75">
      <c r="G901" s="10"/>
      <c r="H901" s="10"/>
      <c r="I901" s="39"/>
      <c r="J901" s="103"/>
      <c r="K901" s="39"/>
      <c r="L901" s="78"/>
      <c r="M901" s="19"/>
      <c r="N901" s="10"/>
    </row>
    <row r="902" spans="7:14" x14ac:dyDescent="0.75">
      <c r="G902" s="10"/>
      <c r="H902" s="10"/>
      <c r="I902" s="39"/>
      <c r="J902" s="103"/>
      <c r="K902" s="39"/>
      <c r="L902" s="78"/>
      <c r="M902" s="19"/>
      <c r="N902" s="10"/>
    </row>
    <row r="903" spans="7:14" x14ac:dyDescent="0.75">
      <c r="G903" s="10"/>
      <c r="H903" s="10"/>
      <c r="I903" s="39"/>
      <c r="J903" s="103"/>
      <c r="K903" s="39"/>
      <c r="L903" s="78"/>
      <c r="M903" s="19"/>
      <c r="N903" s="10"/>
    </row>
    <row r="904" spans="7:14" x14ac:dyDescent="0.75">
      <c r="G904" s="10"/>
      <c r="H904" s="10"/>
      <c r="I904" s="39"/>
      <c r="J904" s="103"/>
      <c r="K904" s="39"/>
      <c r="L904" s="78"/>
      <c r="M904" s="19"/>
      <c r="N904" s="10"/>
    </row>
    <row r="905" spans="7:14" x14ac:dyDescent="0.75">
      <c r="G905" s="10"/>
      <c r="H905" s="10"/>
      <c r="I905" s="39"/>
      <c r="J905" s="103"/>
      <c r="K905" s="39"/>
      <c r="L905" s="78"/>
      <c r="M905" s="19"/>
      <c r="N905" s="10"/>
    </row>
    <row r="906" spans="7:14" x14ac:dyDescent="0.75">
      <c r="G906" s="10"/>
      <c r="H906" s="10"/>
      <c r="I906" s="39"/>
      <c r="J906" s="103"/>
      <c r="K906" s="39"/>
      <c r="L906" s="78"/>
      <c r="M906" s="19"/>
      <c r="N906" s="10"/>
    </row>
    <row r="907" spans="7:14" x14ac:dyDescent="0.75">
      <c r="G907" s="10"/>
      <c r="H907" s="10"/>
      <c r="I907" s="39"/>
      <c r="J907" s="103"/>
      <c r="K907" s="39"/>
      <c r="L907" s="78"/>
      <c r="M907" s="19"/>
      <c r="N907" s="10"/>
    </row>
    <row r="908" spans="7:14" x14ac:dyDescent="0.75">
      <c r="G908" s="10"/>
      <c r="H908" s="10"/>
      <c r="I908" s="39"/>
      <c r="J908" s="103"/>
      <c r="K908" s="39"/>
      <c r="L908" s="78"/>
      <c r="M908" s="19"/>
      <c r="N908" s="10"/>
    </row>
    <row r="909" spans="7:14" x14ac:dyDescent="0.75">
      <c r="G909" s="10"/>
      <c r="H909" s="10"/>
      <c r="I909" s="39"/>
      <c r="J909" s="103"/>
      <c r="K909" s="39"/>
      <c r="L909" s="78"/>
      <c r="M909" s="19"/>
      <c r="N909" s="10"/>
    </row>
    <row r="910" spans="7:14" x14ac:dyDescent="0.75">
      <c r="G910" s="10"/>
      <c r="H910" s="10"/>
      <c r="I910" s="39"/>
      <c r="J910" s="103"/>
      <c r="K910" s="39"/>
      <c r="L910" s="78"/>
      <c r="M910" s="19"/>
      <c r="N910" s="10"/>
    </row>
    <row r="911" spans="7:14" x14ac:dyDescent="0.75">
      <c r="G911" s="10"/>
      <c r="H911" s="10"/>
      <c r="I911" s="39"/>
      <c r="J911" s="103"/>
      <c r="K911" s="39"/>
      <c r="L911" s="78"/>
      <c r="M911" s="19"/>
      <c r="N911" s="10"/>
    </row>
    <row r="912" spans="7:14" x14ac:dyDescent="0.75">
      <c r="G912" s="10"/>
      <c r="H912" s="10"/>
      <c r="I912" s="39"/>
      <c r="J912" s="103"/>
      <c r="K912" s="39"/>
      <c r="L912" s="78"/>
      <c r="M912" s="19"/>
      <c r="N912" s="10"/>
    </row>
    <row r="913" spans="7:14" x14ac:dyDescent="0.75">
      <c r="G913" s="10"/>
      <c r="H913" s="10"/>
      <c r="I913" s="39"/>
      <c r="J913" s="103"/>
      <c r="K913" s="39"/>
      <c r="L913" s="78"/>
      <c r="M913" s="19"/>
      <c r="N913" s="10"/>
    </row>
    <row r="914" spans="7:14" x14ac:dyDescent="0.75">
      <c r="G914" s="10"/>
      <c r="H914" s="10"/>
      <c r="I914" s="39"/>
      <c r="J914" s="103"/>
      <c r="K914" s="39"/>
      <c r="L914" s="78"/>
      <c r="M914" s="19"/>
      <c r="N914" s="10"/>
    </row>
    <row r="915" spans="7:14" x14ac:dyDescent="0.75">
      <c r="G915" s="10"/>
      <c r="H915" s="10"/>
      <c r="I915" s="39"/>
      <c r="J915" s="103"/>
      <c r="K915" s="39"/>
      <c r="L915" s="78"/>
      <c r="M915" s="19"/>
      <c r="N915" s="10"/>
    </row>
    <row r="916" spans="7:14" x14ac:dyDescent="0.75">
      <c r="G916" s="10"/>
      <c r="H916" s="10"/>
      <c r="I916" s="39"/>
      <c r="J916" s="103"/>
      <c r="K916" s="39"/>
      <c r="L916" s="78"/>
      <c r="M916" s="19"/>
      <c r="N916" s="10"/>
    </row>
    <row r="917" spans="7:14" x14ac:dyDescent="0.75">
      <c r="G917" s="10"/>
      <c r="H917" s="10"/>
      <c r="I917" s="39"/>
      <c r="J917" s="103"/>
      <c r="K917" s="39"/>
      <c r="L917" s="78"/>
      <c r="M917" s="19"/>
      <c r="N917" s="10"/>
    </row>
    <row r="918" spans="7:14" x14ac:dyDescent="0.75">
      <c r="G918" s="10"/>
      <c r="H918" s="10"/>
      <c r="I918" s="39"/>
      <c r="J918" s="103"/>
      <c r="K918" s="39"/>
      <c r="L918" s="78"/>
      <c r="M918" s="19"/>
      <c r="N918" s="10"/>
    </row>
    <row r="919" spans="7:14" x14ac:dyDescent="0.75">
      <c r="G919" s="10"/>
      <c r="H919" s="10"/>
      <c r="I919" s="39"/>
      <c r="J919" s="103"/>
      <c r="K919" s="39"/>
      <c r="L919" s="78"/>
      <c r="M919" s="19"/>
      <c r="N919" s="10"/>
    </row>
    <row r="920" spans="7:14" x14ac:dyDescent="0.75">
      <c r="G920" s="10"/>
      <c r="H920" s="10"/>
      <c r="I920" s="39"/>
      <c r="J920" s="103"/>
      <c r="K920" s="39"/>
      <c r="L920" s="78"/>
      <c r="M920" s="19"/>
      <c r="N920" s="10"/>
    </row>
    <row r="921" spans="7:14" x14ac:dyDescent="0.75">
      <c r="G921" s="10"/>
      <c r="H921" s="10"/>
      <c r="I921" s="39"/>
      <c r="J921" s="103"/>
      <c r="K921" s="39"/>
      <c r="L921" s="78"/>
      <c r="M921" s="19"/>
      <c r="N921" s="10"/>
    </row>
    <row r="922" spans="7:14" x14ac:dyDescent="0.75">
      <c r="G922" s="10"/>
      <c r="H922" s="10"/>
      <c r="I922" s="39"/>
      <c r="J922" s="103"/>
      <c r="K922" s="39"/>
      <c r="L922" s="78"/>
      <c r="M922" s="19"/>
      <c r="N922" s="10"/>
    </row>
    <row r="923" spans="7:14" x14ac:dyDescent="0.75">
      <c r="G923" s="10"/>
      <c r="H923" s="10"/>
      <c r="I923" s="39"/>
      <c r="J923" s="103"/>
      <c r="K923" s="39"/>
      <c r="L923" s="78"/>
      <c r="M923" s="19"/>
      <c r="N923" s="10"/>
    </row>
    <row r="924" spans="7:14" x14ac:dyDescent="0.75">
      <c r="G924" s="10"/>
      <c r="H924" s="10"/>
      <c r="I924" s="39"/>
      <c r="J924" s="103"/>
      <c r="K924" s="39"/>
      <c r="L924" s="78"/>
      <c r="M924" s="19"/>
      <c r="N924" s="10"/>
    </row>
    <row r="925" spans="7:14" x14ac:dyDescent="0.75">
      <c r="G925" s="10"/>
      <c r="H925" s="10"/>
      <c r="I925" s="39"/>
      <c r="J925" s="103"/>
      <c r="K925" s="39"/>
      <c r="L925" s="78"/>
      <c r="M925" s="19"/>
      <c r="N925" s="10"/>
    </row>
    <row r="926" spans="7:14" x14ac:dyDescent="0.75">
      <c r="G926" s="10"/>
      <c r="H926" s="10"/>
      <c r="I926" s="39"/>
      <c r="J926" s="103"/>
      <c r="K926" s="39"/>
      <c r="L926" s="78"/>
      <c r="M926" s="19"/>
      <c r="N926" s="10"/>
    </row>
    <row r="927" spans="7:14" x14ac:dyDescent="0.75">
      <c r="G927" s="10"/>
      <c r="H927" s="10"/>
      <c r="I927" s="39"/>
      <c r="J927" s="103"/>
      <c r="K927" s="39"/>
      <c r="L927" s="78"/>
      <c r="M927" s="19"/>
      <c r="N927" s="10"/>
    </row>
    <row r="928" spans="7:14" x14ac:dyDescent="0.75">
      <c r="G928" s="10"/>
      <c r="H928" s="10"/>
      <c r="I928" s="39"/>
      <c r="J928" s="103"/>
      <c r="K928" s="39"/>
      <c r="L928" s="78"/>
      <c r="M928" s="19"/>
      <c r="N928" s="10"/>
    </row>
    <row r="929" spans="7:14" x14ac:dyDescent="0.75">
      <c r="G929" s="10"/>
      <c r="H929" s="10"/>
      <c r="I929" s="39"/>
      <c r="J929" s="103"/>
      <c r="K929" s="39"/>
      <c r="L929" s="78"/>
      <c r="M929" s="19"/>
      <c r="N929" s="10"/>
    </row>
    <row r="930" spans="7:14" x14ac:dyDescent="0.75">
      <c r="G930" s="10"/>
      <c r="H930" s="10"/>
      <c r="I930" s="39"/>
      <c r="J930" s="103"/>
      <c r="K930" s="39"/>
      <c r="L930" s="78"/>
      <c r="M930" s="19"/>
      <c r="N930" s="10"/>
    </row>
    <row r="931" spans="7:14" x14ac:dyDescent="0.75">
      <c r="G931" s="10"/>
      <c r="H931" s="10"/>
      <c r="I931" s="39"/>
      <c r="J931" s="103"/>
      <c r="K931" s="39"/>
      <c r="L931" s="78"/>
      <c r="M931" s="19"/>
      <c r="N931" s="10"/>
    </row>
    <row r="932" spans="7:14" x14ac:dyDescent="0.75">
      <c r="G932" s="10"/>
      <c r="H932" s="10"/>
      <c r="I932" s="39"/>
      <c r="J932" s="103"/>
      <c r="K932" s="39"/>
      <c r="L932" s="78"/>
      <c r="M932" s="19"/>
      <c r="N932" s="10"/>
    </row>
    <row r="933" spans="7:14" x14ac:dyDescent="0.75">
      <c r="G933" s="10"/>
      <c r="H933" s="10"/>
      <c r="I933" s="39"/>
      <c r="J933" s="103"/>
      <c r="K933" s="39"/>
      <c r="L933" s="78"/>
      <c r="M933" s="19"/>
      <c r="N933" s="10"/>
    </row>
    <row r="934" spans="7:14" x14ac:dyDescent="0.75">
      <c r="G934" s="10"/>
      <c r="H934" s="10"/>
      <c r="I934" s="39"/>
      <c r="J934" s="103"/>
      <c r="K934" s="39"/>
      <c r="L934" s="78"/>
      <c r="M934" s="19"/>
      <c r="N934" s="10"/>
    </row>
    <row r="935" spans="7:14" x14ac:dyDescent="0.75">
      <c r="G935" s="10"/>
      <c r="H935" s="10"/>
      <c r="I935" s="39"/>
      <c r="J935" s="103"/>
      <c r="K935" s="39"/>
      <c r="L935" s="78"/>
      <c r="M935" s="19"/>
      <c r="N935" s="10"/>
    </row>
    <row r="936" spans="7:14" x14ac:dyDescent="0.75">
      <c r="G936" s="10"/>
      <c r="H936" s="10"/>
      <c r="I936" s="39"/>
      <c r="J936" s="103"/>
      <c r="K936" s="39"/>
      <c r="L936" s="78"/>
      <c r="M936" s="19"/>
      <c r="N936" s="10"/>
    </row>
    <row r="937" spans="7:14" x14ac:dyDescent="0.75">
      <c r="G937" s="10"/>
      <c r="H937" s="10"/>
      <c r="I937" s="39"/>
      <c r="J937" s="103"/>
      <c r="K937" s="39"/>
      <c r="L937" s="78"/>
      <c r="M937" s="19"/>
      <c r="N937" s="10"/>
    </row>
    <row r="938" spans="7:14" x14ac:dyDescent="0.75">
      <c r="G938" s="10"/>
      <c r="H938" s="10"/>
      <c r="I938" s="39"/>
      <c r="J938" s="103"/>
      <c r="K938" s="39"/>
      <c r="L938" s="78"/>
      <c r="M938" s="19"/>
      <c r="N938" s="10"/>
    </row>
    <row r="939" spans="7:14" x14ac:dyDescent="0.75">
      <c r="G939" s="10"/>
      <c r="H939" s="10"/>
      <c r="I939" s="39"/>
      <c r="J939" s="103"/>
      <c r="K939" s="39"/>
      <c r="L939" s="78"/>
      <c r="M939" s="19"/>
      <c r="N939" s="10"/>
    </row>
    <row r="940" spans="7:14" x14ac:dyDescent="0.75">
      <c r="G940" s="10"/>
      <c r="H940" s="10"/>
      <c r="I940" s="39"/>
      <c r="J940" s="103"/>
      <c r="K940" s="39"/>
      <c r="L940" s="78"/>
      <c r="M940" s="19"/>
      <c r="N940" s="10"/>
    </row>
    <row r="941" spans="7:14" x14ac:dyDescent="0.75">
      <c r="G941" s="10"/>
      <c r="H941" s="10"/>
      <c r="I941" s="39"/>
      <c r="J941" s="103"/>
      <c r="K941" s="39"/>
      <c r="L941" s="78"/>
      <c r="M941" s="19"/>
      <c r="N941" s="10"/>
    </row>
    <row r="942" spans="7:14" x14ac:dyDescent="0.75">
      <c r="G942" s="10"/>
      <c r="H942" s="10"/>
      <c r="I942" s="39"/>
      <c r="J942" s="103"/>
      <c r="K942" s="39"/>
      <c r="L942" s="78"/>
      <c r="M942" s="19"/>
      <c r="N942" s="10"/>
    </row>
    <row r="943" spans="7:14" x14ac:dyDescent="0.75">
      <c r="G943" s="10"/>
      <c r="H943" s="10"/>
      <c r="I943" s="39"/>
      <c r="J943" s="103"/>
      <c r="K943" s="39"/>
      <c r="L943" s="78"/>
      <c r="M943" s="19"/>
      <c r="N943" s="10"/>
    </row>
    <row r="944" spans="7:14" x14ac:dyDescent="0.75">
      <c r="G944" s="10"/>
      <c r="H944" s="10"/>
      <c r="I944" s="39"/>
      <c r="J944" s="103"/>
      <c r="K944" s="39"/>
      <c r="L944" s="78"/>
      <c r="M944" s="19"/>
      <c r="N944" s="10"/>
    </row>
    <row r="945" spans="7:14" x14ac:dyDescent="0.75">
      <c r="G945" s="10"/>
      <c r="H945" s="10"/>
      <c r="I945" s="39"/>
      <c r="J945" s="103"/>
      <c r="K945" s="39"/>
      <c r="L945" s="78"/>
      <c r="M945" s="19"/>
      <c r="N945" s="10"/>
    </row>
    <row r="946" spans="7:14" x14ac:dyDescent="0.75">
      <c r="G946" s="10"/>
      <c r="H946" s="10"/>
      <c r="I946" s="39"/>
      <c r="J946" s="103"/>
      <c r="K946" s="39"/>
      <c r="L946" s="78"/>
      <c r="M946" s="19"/>
      <c r="N946" s="10"/>
    </row>
    <row r="947" spans="7:14" x14ac:dyDescent="0.75">
      <c r="G947" s="10"/>
      <c r="H947" s="10"/>
      <c r="I947" s="39"/>
      <c r="J947" s="103"/>
      <c r="K947" s="39"/>
      <c r="L947" s="78"/>
      <c r="M947" s="19"/>
      <c r="N947" s="10"/>
    </row>
    <row r="948" spans="7:14" x14ac:dyDescent="0.75">
      <c r="G948" s="10"/>
      <c r="H948" s="10"/>
      <c r="I948" s="39"/>
      <c r="J948" s="103"/>
      <c r="K948" s="39"/>
      <c r="L948" s="78"/>
      <c r="M948" s="19"/>
      <c r="N948" s="10"/>
    </row>
    <row r="949" spans="7:14" x14ac:dyDescent="0.75">
      <c r="G949" s="10"/>
      <c r="H949" s="10"/>
      <c r="I949" s="39"/>
      <c r="J949" s="103"/>
      <c r="K949" s="39"/>
      <c r="L949" s="10"/>
      <c r="M949" s="19"/>
      <c r="N949" s="10"/>
    </row>
    <row r="950" spans="7:14" x14ac:dyDescent="0.75">
      <c r="G950" s="10"/>
      <c r="H950" s="10"/>
      <c r="I950" s="39"/>
      <c r="J950" s="103"/>
      <c r="K950" s="39"/>
      <c r="L950" s="78"/>
      <c r="M950" s="19"/>
      <c r="N950" s="10"/>
    </row>
    <row r="951" spans="7:14" x14ac:dyDescent="0.75">
      <c r="G951" s="10"/>
      <c r="H951" s="10"/>
      <c r="I951" s="39"/>
      <c r="J951" s="103"/>
      <c r="K951" s="39"/>
      <c r="L951" s="78"/>
      <c r="M951" s="19"/>
      <c r="N951" s="10"/>
    </row>
    <row r="952" spans="7:14" x14ac:dyDescent="0.75">
      <c r="G952" s="10"/>
      <c r="H952" s="10"/>
      <c r="I952" s="39"/>
      <c r="J952" s="103"/>
      <c r="K952" s="39"/>
      <c r="L952" s="78"/>
      <c r="M952" s="19"/>
      <c r="N952" s="10"/>
    </row>
    <row r="953" spans="7:14" x14ac:dyDescent="0.75">
      <c r="G953" s="10"/>
      <c r="H953" s="10"/>
      <c r="I953" s="39"/>
      <c r="J953" s="103"/>
      <c r="K953" s="39"/>
      <c r="L953" s="78"/>
      <c r="M953" s="19"/>
      <c r="N953" s="10"/>
    </row>
    <row r="954" spans="7:14" x14ac:dyDescent="0.75">
      <c r="G954" s="10"/>
      <c r="H954" s="10"/>
      <c r="I954" s="39"/>
      <c r="J954" s="103"/>
      <c r="K954" s="39"/>
      <c r="L954" s="78"/>
      <c r="M954" s="19"/>
      <c r="N954" s="10"/>
    </row>
    <row r="955" spans="7:14" x14ac:dyDescent="0.75">
      <c r="G955" s="10"/>
      <c r="H955" s="10"/>
      <c r="I955" s="39"/>
      <c r="J955" s="103"/>
      <c r="K955" s="39"/>
      <c r="L955" s="78"/>
      <c r="M955" s="19"/>
      <c r="N955" s="10"/>
    </row>
    <row r="956" spans="7:14" x14ac:dyDescent="0.75">
      <c r="G956" s="10"/>
      <c r="H956" s="10"/>
      <c r="I956" s="39"/>
      <c r="J956" s="103"/>
      <c r="K956" s="39"/>
      <c r="L956" s="10"/>
      <c r="M956" s="19"/>
      <c r="N956" s="10"/>
    </row>
    <row r="957" spans="7:14" x14ac:dyDescent="0.75">
      <c r="G957" s="10"/>
      <c r="H957" s="10"/>
      <c r="I957" s="39"/>
      <c r="J957" s="103"/>
      <c r="K957" s="39"/>
      <c r="L957" s="78"/>
      <c r="M957" s="19"/>
      <c r="N957" s="10"/>
    </row>
    <row r="958" spans="7:14" x14ac:dyDescent="0.75">
      <c r="G958" s="10"/>
      <c r="H958" s="10"/>
      <c r="I958" s="39"/>
      <c r="J958" s="103"/>
      <c r="K958" s="39"/>
      <c r="L958" s="78"/>
      <c r="M958" s="19"/>
      <c r="N958" s="10"/>
    </row>
    <row r="959" spans="7:14" x14ac:dyDescent="0.75">
      <c r="G959" s="10"/>
      <c r="H959" s="10"/>
      <c r="I959" s="39"/>
      <c r="J959" s="103"/>
      <c r="K959" s="39"/>
      <c r="L959" s="78"/>
      <c r="M959" s="19"/>
      <c r="N959" s="10"/>
    </row>
    <row r="960" spans="7:14" x14ac:dyDescent="0.75">
      <c r="G960" s="10"/>
      <c r="H960" s="10"/>
      <c r="I960" s="39"/>
      <c r="J960" s="103"/>
      <c r="K960" s="39"/>
      <c r="L960" s="78"/>
      <c r="M960" s="19"/>
      <c r="N960" s="10"/>
    </row>
    <row r="961" spans="7:14" x14ac:dyDescent="0.75">
      <c r="G961" s="10"/>
      <c r="H961" s="10"/>
      <c r="I961" s="39"/>
      <c r="J961" s="103"/>
      <c r="K961" s="39"/>
      <c r="L961" s="78"/>
      <c r="M961" s="19"/>
      <c r="N961" s="10"/>
    </row>
    <row r="962" spans="7:14" x14ac:dyDescent="0.75">
      <c r="G962" s="10"/>
      <c r="H962" s="10"/>
      <c r="I962" s="39"/>
      <c r="J962" s="103"/>
      <c r="K962" s="39"/>
      <c r="L962" s="78"/>
      <c r="M962" s="19"/>
      <c r="N962" s="10"/>
    </row>
    <row r="963" spans="7:14" x14ac:dyDescent="0.75">
      <c r="G963" s="10"/>
      <c r="H963" s="10"/>
      <c r="I963" s="39"/>
      <c r="J963" s="103"/>
      <c r="K963" s="39"/>
      <c r="L963" s="78"/>
      <c r="M963" s="19"/>
      <c r="N963" s="10"/>
    </row>
    <row r="964" spans="7:14" x14ac:dyDescent="0.75">
      <c r="G964" s="10"/>
      <c r="H964" s="10"/>
      <c r="I964" s="39"/>
      <c r="J964" s="103"/>
      <c r="K964" s="39"/>
      <c r="L964" s="78"/>
      <c r="M964" s="19"/>
      <c r="N964" s="10"/>
    </row>
    <row r="965" spans="7:14" x14ac:dyDescent="0.75">
      <c r="G965" s="10"/>
      <c r="H965" s="10"/>
      <c r="I965" s="39"/>
      <c r="J965" s="103"/>
      <c r="K965" s="39"/>
      <c r="L965" s="78"/>
      <c r="M965" s="19"/>
      <c r="N965" s="10"/>
    </row>
    <row r="966" spans="7:14" x14ac:dyDescent="0.75">
      <c r="G966" s="10"/>
      <c r="H966" s="10"/>
      <c r="I966" s="39"/>
      <c r="J966" s="103"/>
      <c r="K966" s="39"/>
      <c r="L966" s="78"/>
      <c r="M966" s="19"/>
      <c r="N966" s="10"/>
    </row>
    <row r="967" spans="7:14" x14ac:dyDescent="0.75">
      <c r="G967" s="10"/>
      <c r="H967" s="10"/>
      <c r="I967" s="39"/>
      <c r="J967" s="103"/>
      <c r="K967" s="39"/>
      <c r="L967" s="78"/>
      <c r="M967" s="19"/>
      <c r="N967" s="10"/>
    </row>
    <row r="968" spans="7:14" x14ac:dyDescent="0.75">
      <c r="G968" s="10"/>
      <c r="H968" s="10"/>
      <c r="I968" s="39"/>
      <c r="J968" s="103"/>
      <c r="K968" s="39"/>
      <c r="L968" s="78"/>
      <c r="M968" s="19"/>
      <c r="N968" s="10"/>
    </row>
    <row r="969" spans="7:14" x14ac:dyDescent="0.75">
      <c r="G969" s="10"/>
      <c r="H969" s="10"/>
      <c r="I969" s="39"/>
      <c r="J969" s="103"/>
      <c r="K969" s="39"/>
      <c r="L969" s="78"/>
      <c r="M969" s="19"/>
      <c r="N969" s="10"/>
    </row>
    <row r="970" spans="7:14" x14ac:dyDescent="0.75">
      <c r="G970" s="10"/>
      <c r="H970" s="10"/>
      <c r="I970" s="39"/>
      <c r="J970" s="103"/>
      <c r="K970" s="39"/>
      <c r="L970" s="78"/>
      <c r="M970" s="19"/>
      <c r="N970" s="10"/>
    </row>
    <row r="971" spans="7:14" x14ac:dyDescent="0.75">
      <c r="G971" s="10"/>
      <c r="H971" s="10"/>
      <c r="I971" s="39"/>
      <c r="J971" s="103"/>
      <c r="K971" s="39"/>
      <c r="L971" s="78"/>
      <c r="M971" s="19"/>
      <c r="N971" s="10"/>
    </row>
    <row r="972" spans="7:14" x14ac:dyDescent="0.75">
      <c r="G972" s="10"/>
      <c r="H972" s="10"/>
      <c r="I972" s="39"/>
      <c r="J972" s="103"/>
      <c r="K972" s="39"/>
      <c r="L972" s="78"/>
      <c r="M972" s="19"/>
      <c r="N972" s="10"/>
    </row>
    <row r="973" spans="7:14" x14ac:dyDescent="0.75">
      <c r="G973" s="10"/>
      <c r="H973" s="10"/>
      <c r="I973" s="39"/>
      <c r="J973" s="103"/>
      <c r="K973" s="39"/>
      <c r="L973" s="78"/>
      <c r="M973" s="19"/>
      <c r="N973" s="10"/>
    </row>
    <row r="974" spans="7:14" x14ac:dyDescent="0.75">
      <c r="G974" s="10"/>
      <c r="H974" s="10"/>
      <c r="I974" s="39"/>
      <c r="J974" s="103"/>
      <c r="K974" s="39"/>
      <c r="L974" s="78"/>
      <c r="M974" s="19"/>
      <c r="N974" s="10"/>
    </row>
    <row r="975" spans="7:14" x14ac:dyDescent="0.75">
      <c r="G975" s="10"/>
      <c r="H975" s="10"/>
      <c r="I975" s="39"/>
      <c r="J975" s="103"/>
      <c r="K975" s="39"/>
      <c r="L975" s="78"/>
      <c r="M975" s="19"/>
      <c r="N975" s="10"/>
    </row>
    <row r="976" spans="7:14" x14ac:dyDescent="0.75">
      <c r="G976" s="10"/>
      <c r="H976" s="10"/>
      <c r="I976" s="39"/>
      <c r="J976" s="103"/>
      <c r="K976" s="39"/>
      <c r="L976" s="78"/>
      <c r="M976" s="19"/>
      <c r="N976" s="10"/>
    </row>
    <row r="977" spans="7:14" x14ac:dyDescent="0.75">
      <c r="G977" s="10"/>
      <c r="H977" s="10"/>
      <c r="I977" s="39"/>
      <c r="J977" s="103"/>
      <c r="K977" s="39"/>
      <c r="L977" s="78"/>
      <c r="M977" s="19"/>
      <c r="N977" s="10"/>
    </row>
    <row r="978" spans="7:14" x14ac:dyDescent="0.75">
      <c r="G978" s="10"/>
      <c r="H978" s="10"/>
      <c r="I978" s="39"/>
      <c r="J978" s="103"/>
      <c r="K978" s="39"/>
      <c r="L978" s="78"/>
      <c r="M978" s="19"/>
      <c r="N978" s="10"/>
    </row>
    <row r="979" spans="7:14" x14ac:dyDescent="0.75">
      <c r="G979" s="10"/>
      <c r="H979" s="10"/>
      <c r="I979" s="39"/>
      <c r="J979" s="103"/>
      <c r="K979" s="39"/>
      <c r="L979" s="78"/>
      <c r="M979" s="19"/>
      <c r="N979" s="10"/>
    </row>
    <row r="980" spans="7:14" x14ac:dyDescent="0.75">
      <c r="G980" s="10"/>
      <c r="H980" s="10"/>
      <c r="I980" s="39"/>
      <c r="J980" s="103"/>
      <c r="K980" s="39"/>
      <c r="L980" s="78"/>
      <c r="M980" s="19"/>
      <c r="N980" s="10"/>
    </row>
    <row r="981" spans="7:14" x14ac:dyDescent="0.75">
      <c r="G981" s="10"/>
      <c r="H981" s="10"/>
      <c r="I981" s="39"/>
      <c r="J981" s="103"/>
      <c r="K981" s="39"/>
      <c r="L981" s="78"/>
      <c r="M981" s="19"/>
      <c r="N981" s="10"/>
    </row>
    <row r="982" spans="7:14" x14ac:dyDescent="0.75">
      <c r="G982" s="10"/>
      <c r="H982" s="10"/>
      <c r="I982" s="39"/>
      <c r="J982" s="103"/>
      <c r="K982" s="39"/>
      <c r="L982" s="78"/>
      <c r="M982" s="19"/>
      <c r="N982" s="10"/>
    </row>
    <row r="983" spans="7:14" x14ac:dyDescent="0.75">
      <c r="G983" s="10"/>
      <c r="H983" s="10"/>
      <c r="I983" s="39"/>
      <c r="J983" s="103"/>
      <c r="K983" s="39"/>
      <c r="L983" s="78"/>
      <c r="M983" s="19"/>
      <c r="N983" s="10"/>
    </row>
    <row r="984" spans="7:14" x14ac:dyDescent="0.75">
      <c r="G984" s="10"/>
      <c r="H984" s="10"/>
      <c r="I984" s="39"/>
      <c r="J984" s="103"/>
      <c r="K984" s="39"/>
      <c r="L984" s="78"/>
      <c r="M984" s="19"/>
      <c r="N984" s="10"/>
    </row>
    <row r="985" spans="7:14" x14ac:dyDescent="0.75">
      <c r="G985" s="10"/>
      <c r="H985" s="10"/>
      <c r="I985" s="39"/>
      <c r="J985" s="103"/>
      <c r="K985" s="39"/>
      <c r="L985" s="78"/>
      <c r="M985" s="19"/>
      <c r="N985" s="10"/>
    </row>
    <row r="986" spans="7:14" x14ac:dyDescent="0.75">
      <c r="G986" s="10"/>
      <c r="H986" s="10"/>
      <c r="I986" s="39"/>
      <c r="J986" s="103"/>
      <c r="K986" s="39"/>
      <c r="L986" s="78"/>
      <c r="M986" s="19"/>
      <c r="N986" s="10"/>
    </row>
    <row r="987" spans="7:14" x14ac:dyDescent="0.75">
      <c r="G987" s="10"/>
      <c r="H987" s="10"/>
      <c r="I987" s="39"/>
      <c r="J987" s="103"/>
      <c r="K987" s="39"/>
      <c r="L987" s="78"/>
      <c r="M987" s="19"/>
      <c r="N987" s="10"/>
    </row>
    <row r="988" spans="7:14" x14ac:dyDescent="0.75">
      <c r="G988" s="10"/>
      <c r="H988" s="10"/>
      <c r="I988" s="39"/>
      <c r="J988" s="103"/>
      <c r="K988" s="39"/>
      <c r="L988" s="78"/>
      <c r="M988" s="19"/>
      <c r="N988" s="10"/>
    </row>
    <row r="989" spans="7:14" x14ac:dyDescent="0.75">
      <c r="G989" s="10"/>
      <c r="H989" s="10"/>
      <c r="I989" s="39"/>
      <c r="J989" s="103"/>
      <c r="K989" s="39"/>
      <c r="L989" s="78"/>
      <c r="M989" s="19"/>
      <c r="N989" s="10"/>
    </row>
    <row r="990" spans="7:14" x14ac:dyDescent="0.75">
      <c r="G990" s="10"/>
      <c r="H990" s="10"/>
      <c r="I990" s="39"/>
      <c r="J990" s="103"/>
      <c r="K990" s="39"/>
      <c r="L990" s="78"/>
      <c r="M990" s="19"/>
      <c r="N990" s="10"/>
    </row>
    <row r="991" spans="7:14" x14ac:dyDescent="0.75">
      <c r="G991" s="10"/>
      <c r="H991" s="10"/>
      <c r="I991" s="39"/>
      <c r="J991" s="103"/>
      <c r="K991" s="39"/>
      <c r="L991" s="78"/>
      <c r="M991" s="19"/>
      <c r="N991" s="10"/>
    </row>
    <row r="992" spans="7:14" x14ac:dyDescent="0.75">
      <c r="G992" s="10"/>
      <c r="H992" s="10"/>
      <c r="I992" s="39"/>
      <c r="J992" s="103"/>
      <c r="K992" s="39"/>
      <c r="L992" s="78"/>
      <c r="M992" s="19"/>
      <c r="N992" s="10"/>
    </row>
    <row r="993" spans="7:14" x14ac:dyDescent="0.75">
      <c r="G993" s="10"/>
      <c r="H993" s="10"/>
      <c r="I993" s="39"/>
      <c r="J993" s="103"/>
      <c r="K993" s="39"/>
      <c r="L993" s="78"/>
      <c r="M993" s="19"/>
      <c r="N993" s="10"/>
    </row>
    <row r="994" spans="7:14" x14ac:dyDescent="0.75">
      <c r="G994" s="10"/>
      <c r="H994" s="10"/>
      <c r="I994" s="39"/>
      <c r="J994" s="103"/>
      <c r="K994" s="39"/>
      <c r="L994" s="78"/>
      <c r="M994" s="19"/>
      <c r="N994" s="10"/>
    </row>
    <row r="995" spans="7:14" x14ac:dyDescent="0.75">
      <c r="G995" s="10"/>
      <c r="H995" s="10"/>
      <c r="I995" s="39"/>
      <c r="J995" s="103"/>
      <c r="K995" s="39"/>
      <c r="L995" s="78"/>
      <c r="M995" s="19"/>
      <c r="N995" s="10"/>
    </row>
    <row r="996" spans="7:14" x14ac:dyDescent="0.75">
      <c r="G996" s="10"/>
      <c r="H996" s="10"/>
      <c r="I996" s="39"/>
      <c r="J996" s="103"/>
      <c r="K996" s="39"/>
      <c r="L996" s="78"/>
      <c r="M996" s="19"/>
      <c r="N996" s="10"/>
    </row>
    <row r="997" spans="7:14" x14ac:dyDescent="0.75">
      <c r="G997" s="10"/>
      <c r="H997" s="10"/>
      <c r="I997" s="39"/>
      <c r="J997" s="103"/>
      <c r="K997" s="39"/>
      <c r="L997" s="78"/>
      <c r="M997" s="19"/>
      <c r="N997" s="10"/>
    </row>
    <row r="998" spans="7:14" x14ac:dyDescent="0.75">
      <c r="G998" s="10"/>
      <c r="H998" s="10"/>
      <c r="I998" s="39"/>
      <c r="J998" s="103"/>
      <c r="K998" s="39"/>
      <c r="L998" s="78"/>
      <c r="M998" s="19"/>
      <c r="N998" s="10"/>
    </row>
    <row r="999" spans="7:14" x14ac:dyDescent="0.75">
      <c r="G999" s="10"/>
      <c r="H999" s="10"/>
      <c r="I999" s="39"/>
      <c r="J999" s="103"/>
      <c r="K999" s="39"/>
      <c r="L999" s="78"/>
      <c r="M999" s="19"/>
      <c r="N999" s="10"/>
    </row>
    <row r="1000" spans="7:14" x14ac:dyDescent="0.75">
      <c r="G1000" s="10"/>
      <c r="H1000" s="10"/>
      <c r="I1000" s="39"/>
      <c r="J1000" s="103"/>
      <c r="K1000" s="39"/>
      <c r="L1000" s="78"/>
      <c r="M1000" s="19"/>
      <c r="N1000" s="10"/>
    </row>
    <row r="1001" spans="7:14" x14ac:dyDescent="0.75">
      <c r="G1001" s="10"/>
      <c r="H1001" s="10"/>
      <c r="I1001" s="39"/>
      <c r="J1001" s="103"/>
      <c r="K1001" s="39"/>
      <c r="L1001" s="78"/>
      <c r="M1001" s="19"/>
      <c r="N1001" s="10"/>
    </row>
    <row r="1002" spans="7:14" x14ac:dyDescent="0.75">
      <c r="G1002" s="10"/>
      <c r="H1002" s="10"/>
      <c r="I1002" s="39"/>
      <c r="J1002" s="103"/>
      <c r="K1002" s="39"/>
      <c r="L1002" s="78"/>
      <c r="M1002" s="19"/>
      <c r="N1002" s="10"/>
    </row>
    <row r="1003" spans="7:14" x14ac:dyDescent="0.75">
      <c r="G1003" s="10"/>
      <c r="H1003" s="10"/>
      <c r="I1003" s="39"/>
      <c r="J1003" s="103"/>
      <c r="K1003" s="39"/>
      <c r="L1003" s="78"/>
      <c r="M1003" s="19"/>
      <c r="N1003" s="10"/>
    </row>
    <row r="1004" spans="7:14" x14ac:dyDescent="0.75">
      <c r="G1004" s="10"/>
      <c r="H1004" s="10"/>
      <c r="I1004" s="39"/>
      <c r="J1004" s="103"/>
      <c r="K1004" s="39"/>
      <c r="L1004" s="78"/>
      <c r="M1004" s="19"/>
      <c r="N1004" s="10"/>
    </row>
    <row r="1005" spans="7:14" x14ac:dyDescent="0.75">
      <c r="G1005" s="10"/>
      <c r="H1005" s="10"/>
      <c r="I1005" s="39"/>
      <c r="J1005" s="103"/>
      <c r="K1005" s="39"/>
      <c r="L1005" s="10"/>
      <c r="M1005" s="19"/>
      <c r="N1005" s="10"/>
    </row>
    <row r="1006" spans="7:14" x14ac:dyDescent="0.75">
      <c r="G1006" s="10"/>
      <c r="H1006" s="10"/>
      <c r="I1006" s="39"/>
      <c r="J1006" s="103"/>
      <c r="K1006" s="39"/>
      <c r="L1006" s="78"/>
      <c r="M1006" s="19"/>
      <c r="N1006" s="10"/>
    </row>
    <row r="1007" spans="7:14" x14ac:dyDescent="0.75">
      <c r="G1007" s="10"/>
      <c r="H1007" s="10"/>
      <c r="I1007" s="39"/>
      <c r="J1007" s="103"/>
      <c r="K1007" s="39"/>
      <c r="L1007" s="78"/>
      <c r="M1007" s="19"/>
      <c r="N1007" s="10"/>
    </row>
    <row r="1008" spans="7:14" x14ac:dyDescent="0.75">
      <c r="G1008" s="10"/>
      <c r="H1008" s="10"/>
      <c r="I1008" s="39"/>
      <c r="J1008" s="103"/>
      <c r="K1008" s="39"/>
      <c r="L1008" s="10"/>
      <c r="M1008" s="19"/>
      <c r="N1008" s="10"/>
    </row>
    <row r="1009" spans="7:14" x14ac:dyDescent="0.75">
      <c r="G1009" s="10"/>
      <c r="H1009" s="10"/>
      <c r="I1009" s="39"/>
      <c r="J1009" s="103"/>
      <c r="K1009" s="39"/>
      <c r="L1009" s="10"/>
      <c r="M1009" s="19"/>
      <c r="N1009" s="10"/>
    </row>
    <row r="1010" spans="7:14" x14ac:dyDescent="0.75">
      <c r="G1010" s="10"/>
      <c r="H1010" s="10"/>
      <c r="I1010" s="39"/>
      <c r="J1010" s="103"/>
      <c r="K1010" s="39"/>
      <c r="L1010" s="10"/>
      <c r="M1010" s="19"/>
      <c r="N1010" s="10"/>
    </row>
    <row r="1011" spans="7:14" x14ac:dyDescent="0.75">
      <c r="G1011" s="10"/>
      <c r="H1011" s="10"/>
      <c r="I1011" s="39"/>
      <c r="J1011" s="103"/>
      <c r="K1011" s="39"/>
      <c r="L1011" s="78"/>
      <c r="M1011" s="19"/>
      <c r="N1011" s="10"/>
    </row>
    <row r="1012" spans="7:14" x14ac:dyDescent="0.75">
      <c r="G1012" s="10"/>
      <c r="H1012" s="10"/>
      <c r="I1012" s="39"/>
      <c r="J1012" s="103"/>
      <c r="K1012" s="39"/>
      <c r="L1012" s="78"/>
      <c r="M1012" s="19"/>
      <c r="N1012" s="10"/>
    </row>
    <row r="1013" spans="7:14" x14ac:dyDescent="0.75">
      <c r="G1013" s="10"/>
      <c r="H1013" s="10"/>
      <c r="I1013" s="39"/>
      <c r="J1013" s="103"/>
      <c r="K1013" s="39"/>
      <c r="L1013" s="78"/>
      <c r="M1013" s="19"/>
      <c r="N1013" s="10"/>
    </row>
    <row r="1014" spans="7:14" x14ac:dyDescent="0.75">
      <c r="G1014" s="10"/>
      <c r="H1014" s="10"/>
      <c r="I1014" s="39"/>
      <c r="J1014" s="103"/>
      <c r="K1014" s="39"/>
      <c r="L1014" s="78"/>
      <c r="M1014" s="19"/>
      <c r="N1014" s="10"/>
    </row>
    <row r="1015" spans="7:14" x14ac:dyDescent="0.75">
      <c r="G1015" s="10"/>
      <c r="H1015" s="10"/>
      <c r="I1015" s="39"/>
      <c r="J1015" s="103"/>
      <c r="K1015" s="39"/>
      <c r="L1015" s="78"/>
      <c r="M1015" s="19"/>
      <c r="N1015" s="10"/>
    </row>
    <row r="1016" spans="7:14" x14ac:dyDescent="0.75">
      <c r="G1016" s="10"/>
      <c r="H1016" s="10"/>
      <c r="I1016" s="39"/>
      <c r="J1016" s="103"/>
      <c r="K1016" s="39"/>
      <c r="L1016" s="78"/>
      <c r="M1016" s="19"/>
      <c r="N1016" s="10"/>
    </row>
    <row r="1017" spans="7:14" x14ac:dyDescent="0.75">
      <c r="G1017" s="10"/>
      <c r="H1017" s="10"/>
      <c r="I1017" s="39"/>
      <c r="J1017" s="103"/>
      <c r="K1017" s="39"/>
      <c r="L1017" s="78"/>
      <c r="M1017" s="19"/>
      <c r="N1017" s="10"/>
    </row>
    <row r="1018" spans="7:14" x14ac:dyDescent="0.75">
      <c r="G1018" s="10"/>
      <c r="H1018" s="10"/>
      <c r="I1018" s="39"/>
      <c r="J1018" s="103"/>
      <c r="K1018" s="39"/>
      <c r="L1018" s="78"/>
      <c r="M1018" s="19"/>
      <c r="N1018" s="10"/>
    </row>
    <row r="1019" spans="7:14" x14ac:dyDescent="0.75">
      <c r="G1019" s="10"/>
      <c r="H1019" s="10"/>
      <c r="I1019" s="39"/>
      <c r="J1019" s="103"/>
      <c r="K1019" s="39"/>
      <c r="L1019" s="78"/>
      <c r="M1019" s="19"/>
      <c r="N1019" s="10"/>
    </row>
    <row r="1020" spans="7:14" x14ac:dyDescent="0.75">
      <c r="G1020" s="10"/>
      <c r="H1020" s="10"/>
      <c r="I1020" s="39"/>
      <c r="J1020" s="103"/>
      <c r="K1020" s="39"/>
      <c r="L1020" s="78"/>
      <c r="M1020" s="19"/>
      <c r="N1020" s="10"/>
    </row>
    <row r="1021" spans="7:14" x14ac:dyDescent="0.75">
      <c r="G1021" s="10"/>
      <c r="H1021" s="10"/>
      <c r="I1021" s="39"/>
      <c r="J1021" s="103"/>
      <c r="K1021" s="39"/>
      <c r="L1021" s="78"/>
      <c r="M1021" s="19"/>
      <c r="N1021" s="10"/>
    </row>
    <row r="1022" spans="7:14" x14ac:dyDescent="0.75">
      <c r="G1022" s="10"/>
      <c r="H1022" s="10"/>
      <c r="I1022" s="39"/>
      <c r="J1022" s="103"/>
      <c r="K1022" s="39"/>
      <c r="L1022" s="78"/>
      <c r="M1022" s="19"/>
      <c r="N1022" s="10"/>
    </row>
    <row r="1023" spans="7:14" x14ac:dyDescent="0.75">
      <c r="G1023" s="10"/>
      <c r="H1023" s="10"/>
      <c r="I1023" s="39"/>
      <c r="J1023" s="103"/>
      <c r="K1023" s="39"/>
      <c r="L1023" s="78"/>
      <c r="M1023" s="19"/>
      <c r="N1023" s="10"/>
    </row>
    <row r="1024" spans="7:14" x14ac:dyDescent="0.75">
      <c r="G1024" s="10"/>
      <c r="H1024" s="10"/>
      <c r="I1024" s="39"/>
      <c r="J1024" s="103"/>
      <c r="K1024" s="39"/>
      <c r="L1024" s="78"/>
      <c r="M1024" s="19"/>
      <c r="N1024" s="10"/>
    </row>
    <row r="1025" spans="7:14" x14ac:dyDescent="0.75">
      <c r="G1025" s="10"/>
      <c r="H1025" s="10"/>
      <c r="I1025" s="39"/>
      <c r="J1025" s="103"/>
      <c r="K1025" s="39"/>
      <c r="L1025" s="78"/>
      <c r="M1025" s="19"/>
      <c r="N1025" s="10"/>
    </row>
    <row r="1026" spans="7:14" x14ac:dyDescent="0.75">
      <c r="G1026" s="10"/>
      <c r="H1026" s="10"/>
      <c r="I1026" s="39"/>
      <c r="J1026" s="103"/>
      <c r="K1026" s="39"/>
      <c r="L1026" s="10"/>
      <c r="M1026" s="19"/>
      <c r="N1026" s="10"/>
    </row>
    <row r="1027" spans="7:14" x14ac:dyDescent="0.75">
      <c r="G1027" s="10"/>
      <c r="H1027" s="10"/>
      <c r="I1027" s="39"/>
      <c r="J1027" s="103"/>
      <c r="K1027" s="39"/>
      <c r="L1027" s="78"/>
      <c r="M1027" s="19"/>
      <c r="N1027" s="10"/>
    </row>
    <row r="1028" spans="7:14" x14ac:dyDescent="0.75">
      <c r="G1028" s="10"/>
      <c r="H1028" s="10"/>
      <c r="I1028" s="39"/>
      <c r="J1028" s="103"/>
      <c r="K1028" s="39"/>
      <c r="L1028" s="78"/>
      <c r="M1028" s="19"/>
      <c r="N1028" s="10"/>
    </row>
    <row r="1029" spans="7:14" x14ac:dyDescent="0.75">
      <c r="G1029" s="10"/>
      <c r="H1029" s="10"/>
      <c r="I1029" s="39"/>
      <c r="J1029" s="103"/>
      <c r="K1029" s="39"/>
      <c r="L1029" s="78"/>
      <c r="M1029" s="19"/>
      <c r="N1029" s="10"/>
    </row>
    <row r="1030" spans="7:14" x14ac:dyDescent="0.75">
      <c r="G1030" s="10"/>
      <c r="H1030" s="10"/>
      <c r="I1030" s="39"/>
      <c r="J1030" s="103"/>
      <c r="K1030" s="39"/>
      <c r="L1030" s="78"/>
      <c r="M1030" s="19"/>
      <c r="N1030" s="10"/>
    </row>
    <row r="1031" spans="7:14" x14ac:dyDescent="0.75">
      <c r="G1031" s="10"/>
      <c r="H1031" s="10"/>
      <c r="I1031" s="39"/>
      <c r="J1031" s="103"/>
      <c r="K1031" s="39"/>
      <c r="L1031" s="78"/>
      <c r="M1031" s="19"/>
      <c r="N1031" s="10"/>
    </row>
    <row r="1032" spans="7:14" x14ac:dyDescent="0.75">
      <c r="G1032" s="10"/>
      <c r="H1032" s="10"/>
      <c r="I1032" s="39"/>
      <c r="J1032" s="103"/>
      <c r="K1032" s="39"/>
      <c r="L1032" s="78"/>
      <c r="M1032" s="19"/>
      <c r="N1032" s="10"/>
    </row>
    <row r="1033" spans="7:14" x14ac:dyDescent="0.75">
      <c r="G1033" s="10"/>
      <c r="H1033" s="10"/>
      <c r="I1033" s="39"/>
      <c r="J1033" s="103"/>
      <c r="K1033" s="39"/>
      <c r="L1033" s="10"/>
      <c r="M1033" s="19"/>
      <c r="N1033" s="10"/>
    </row>
    <row r="1034" spans="7:14" x14ac:dyDescent="0.75">
      <c r="G1034" s="10"/>
      <c r="H1034" s="10"/>
      <c r="I1034" s="39"/>
      <c r="J1034" s="103"/>
      <c r="K1034" s="39"/>
      <c r="L1034" s="78"/>
      <c r="M1034" s="19"/>
      <c r="N1034" s="10"/>
    </row>
    <row r="1035" spans="7:14" x14ac:dyDescent="0.75">
      <c r="G1035" s="10"/>
      <c r="H1035" s="10"/>
      <c r="I1035" s="39"/>
      <c r="J1035" s="103"/>
      <c r="K1035" s="39"/>
      <c r="L1035" s="78"/>
      <c r="M1035" s="19"/>
      <c r="N1035" s="10"/>
    </row>
    <row r="1036" spans="7:14" x14ac:dyDescent="0.75">
      <c r="G1036" s="10"/>
      <c r="H1036" s="10"/>
      <c r="I1036" s="39"/>
      <c r="J1036" s="103"/>
      <c r="K1036" s="39"/>
      <c r="L1036" s="78"/>
      <c r="M1036" s="19"/>
      <c r="N1036" s="10"/>
    </row>
    <row r="1037" spans="7:14" x14ac:dyDescent="0.75">
      <c r="G1037" s="10"/>
      <c r="H1037" s="10"/>
      <c r="I1037" s="39"/>
      <c r="J1037" s="103"/>
      <c r="K1037" s="39"/>
      <c r="L1037" s="78"/>
      <c r="M1037" s="19"/>
      <c r="N1037" s="10"/>
    </row>
    <row r="1038" spans="7:14" x14ac:dyDescent="0.75">
      <c r="G1038" s="10"/>
      <c r="H1038" s="10"/>
      <c r="I1038" s="39"/>
      <c r="J1038" s="103"/>
      <c r="K1038" s="39"/>
      <c r="L1038" s="78"/>
      <c r="M1038" s="19"/>
      <c r="N1038" s="10"/>
    </row>
    <row r="1039" spans="7:14" x14ac:dyDescent="0.75">
      <c r="G1039" s="10"/>
      <c r="H1039" s="10"/>
      <c r="I1039" s="39"/>
      <c r="J1039" s="103"/>
      <c r="K1039" s="39"/>
      <c r="L1039" s="10"/>
      <c r="M1039" s="19"/>
      <c r="N1039" s="10"/>
    </row>
    <row r="1040" spans="7:14" x14ac:dyDescent="0.75">
      <c r="G1040" s="10"/>
      <c r="H1040" s="10"/>
      <c r="I1040" s="39"/>
      <c r="J1040" s="103"/>
      <c r="K1040" s="39"/>
      <c r="L1040" s="78"/>
      <c r="M1040" s="19"/>
      <c r="N1040" s="10"/>
    </row>
    <row r="1041" spans="7:14" x14ac:dyDescent="0.75">
      <c r="G1041" s="10"/>
      <c r="H1041" s="10"/>
      <c r="I1041" s="39"/>
      <c r="J1041" s="103"/>
      <c r="K1041" s="39"/>
      <c r="L1041" s="78"/>
      <c r="M1041" s="19"/>
      <c r="N1041" s="10"/>
    </row>
    <row r="1042" spans="7:14" x14ac:dyDescent="0.75">
      <c r="G1042" s="10"/>
      <c r="H1042" s="10"/>
      <c r="I1042" s="39"/>
      <c r="J1042" s="103"/>
      <c r="K1042" s="39"/>
      <c r="L1042" s="78"/>
      <c r="M1042" s="19"/>
      <c r="N1042" s="10"/>
    </row>
    <row r="1043" spans="7:14" x14ac:dyDescent="0.75">
      <c r="G1043" s="10"/>
      <c r="H1043" s="10"/>
      <c r="I1043" s="39"/>
      <c r="J1043" s="103"/>
      <c r="K1043" s="39"/>
      <c r="L1043" s="78"/>
      <c r="M1043" s="19"/>
      <c r="N1043" s="10"/>
    </row>
    <row r="1044" spans="7:14" x14ac:dyDescent="0.75">
      <c r="G1044" s="10"/>
      <c r="H1044" s="10"/>
      <c r="I1044" s="39"/>
      <c r="J1044" s="103"/>
      <c r="K1044" s="39"/>
      <c r="L1044" s="78"/>
      <c r="M1044" s="19"/>
      <c r="N1044" s="10"/>
    </row>
    <row r="1045" spans="7:14" x14ac:dyDescent="0.75">
      <c r="G1045" s="10"/>
      <c r="H1045" s="10"/>
      <c r="I1045" s="39"/>
      <c r="J1045" s="103"/>
      <c r="K1045" s="39"/>
      <c r="L1045" s="78"/>
      <c r="M1045" s="19"/>
      <c r="N1045" s="10"/>
    </row>
    <row r="1046" spans="7:14" x14ac:dyDescent="0.75">
      <c r="G1046" s="10"/>
      <c r="H1046" s="10"/>
      <c r="I1046" s="39"/>
      <c r="J1046" s="103"/>
      <c r="K1046" s="39"/>
      <c r="L1046" s="10"/>
      <c r="M1046" s="19"/>
      <c r="N1046" s="10"/>
    </row>
    <row r="1047" spans="7:14" x14ac:dyDescent="0.75">
      <c r="G1047" s="10"/>
      <c r="H1047" s="10"/>
      <c r="I1047" s="39"/>
      <c r="J1047" s="103"/>
      <c r="K1047" s="39"/>
      <c r="L1047" s="78"/>
      <c r="M1047" s="19"/>
      <c r="N1047" s="10"/>
    </row>
    <row r="1048" spans="7:14" x14ac:dyDescent="0.75">
      <c r="G1048" s="10"/>
      <c r="H1048" s="10"/>
      <c r="I1048" s="39"/>
      <c r="J1048" s="103"/>
      <c r="K1048" s="39"/>
      <c r="L1048" s="78"/>
      <c r="M1048" s="19"/>
      <c r="N1048" s="10"/>
    </row>
    <row r="1049" spans="7:14" x14ac:dyDescent="0.75">
      <c r="G1049" s="10"/>
      <c r="H1049" s="10"/>
      <c r="I1049" s="39"/>
      <c r="J1049" s="103"/>
      <c r="K1049" s="39"/>
      <c r="L1049" s="78"/>
      <c r="M1049" s="19"/>
      <c r="N1049" s="10"/>
    </row>
    <row r="1050" spans="7:14" x14ac:dyDescent="0.75">
      <c r="G1050" s="10"/>
      <c r="H1050" s="10"/>
      <c r="I1050" s="39"/>
      <c r="J1050" s="103"/>
      <c r="K1050" s="39"/>
      <c r="L1050" s="78"/>
      <c r="M1050" s="19"/>
      <c r="N1050" s="10"/>
    </row>
    <row r="1051" spans="7:14" x14ac:dyDescent="0.75">
      <c r="G1051" s="10"/>
      <c r="H1051" s="10"/>
      <c r="I1051" s="39"/>
      <c r="J1051" s="103"/>
      <c r="K1051" s="39"/>
      <c r="L1051" s="78"/>
      <c r="M1051" s="19"/>
      <c r="N1051" s="10"/>
    </row>
    <row r="1052" spans="7:14" x14ac:dyDescent="0.75">
      <c r="G1052" s="10"/>
      <c r="H1052" s="10"/>
      <c r="I1052" s="39"/>
      <c r="J1052" s="103"/>
      <c r="K1052" s="39"/>
      <c r="L1052" s="78"/>
      <c r="M1052" s="19"/>
      <c r="N1052" s="10"/>
    </row>
    <row r="1053" spans="7:14" x14ac:dyDescent="0.75">
      <c r="G1053" s="10"/>
      <c r="H1053" s="10"/>
      <c r="I1053" s="39"/>
      <c r="J1053" s="103"/>
      <c r="K1053" s="39"/>
      <c r="L1053" s="78"/>
      <c r="M1053" s="19"/>
      <c r="N1053" s="10"/>
    </row>
    <row r="1054" spans="7:14" x14ac:dyDescent="0.75">
      <c r="G1054" s="10"/>
      <c r="H1054" s="10"/>
      <c r="I1054" s="39"/>
      <c r="J1054" s="103"/>
      <c r="K1054" s="39"/>
      <c r="L1054" s="78"/>
      <c r="M1054" s="19"/>
      <c r="N1054" s="10"/>
    </row>
    <row r="1055" spans="7:14" x14ac:dyDescent="0.75">
      <c r="G1055" s="10"/>
      <c r="H1055" s="10"/>
      <c r="I1055" s="39"/>
      <c r="J1055" s="103"/>
      <c r="K1055" s="39"/>
      <c r="L1055" s="78"/>
      <c r="M1055" s="19"/>
      <c r="N1055" s="10"/>
    </row>
    <row r="1056" spans="7:14" x14ac:dyDescent="0.75">
      <c r="G1056" s="10"/>
      <c r="H1056" s="10"/>
      <c r="I1056" s="39"/>
      <c r="J1056" s="103"/>
      <c r="K1056" s="39"/>
      <c r="L1056" s="78"/>
      <c r="M1056" s="19"/>
      <c r="N1056" s="10"/>
    </row>
    <row r="1057" spans="7:14" x14ac:dyDescent="0.75">
      <c r="G1057" s="10"/>
      <c r="H1057" s="10"/>
      <c r="I1057" s="39"/>
      <c r="J1057" s="103"/>
      <c r="K1057" s="39"/>
      <c r="L1057" s="78"/>
      <c r="M1057" s="19"/>
      <c r="N1057" s="10"/>
    </row>
    <row r="1058" spans="7:14" x14ac:dyDescent="0.75">
      <c r="G1058" s="10"/>
      <c r="H1058" s="10"/>
      <c r="I1058" s="39"/>
      <c r="J1058" s="103"/>
      <c r="K1058" s="39"/>
      <c r="L1058" s="78"/>
      <c r="M1058" s="19"/>
      <c r="N1058" s="10"/>
    </row>
    <row r="1059" spans="7:14" x14ac:dyDescent="0.75">
      <c r="G1059" s="10"/>
      <c r="H1059" s="10"/>
      <c r="I1059" s="39"/>
      <c r="J1059" s="103"/>
      <c r="K1059" s="39"/>
      <c r="L1059" s="78"/>
      <c r="M1059" s="19"/>
      <c r="N1059" s="10"/>
    </row>
    <row r="1060" spans="7:14" x14ac:dyDescent="0.75">
      <c r="G1060" s="10"/>
      <c r="H1060" s="10"/>
      <c r="I1060" s="39"/>
      <c r="J1060" s="103"/>
      <c r="K1060" s="39"/>
      <c r="L1060" s="78"/>
      <c r="M1060" s="19"/>
      <c r="N1060" s="10"/>
    </row>
    <row r="1061" spans="7:14" x14ac:dyDescent="0.75">
      <c r="G1061" s="10"/>
      <c r="H1061" s="10"/>
      <c r="I1061" s="39"/>
      <c r="J1061" s="103"/>
      <c r="K1061" s="39"/>
      <c r="L1061" s="78"/>
      <c r="M1061" s="19"/>
      <c r="N1061" s="10"/>
    </row>
    <row r="1062" spans="7:14" x14ac:dyDescent="0.75">
      <c r="G1062" s="10"/>
      <c r="H1062" s="10"/>
      <c r="I1062" s="39"/>
      <c r="J1062" s="103"/>
      <c r="K1062" s="39"/>
      <c r="L1062" s="78"/>
      <c r="M1062" s="19"/>
      <c r="N1062" s="10"/>
    </row>
    <row r="1063" spans="7:14" x14ac:dyDescent="0.75">
      <c r="G1063" s="10"/>
      <c r="H1063" s="10"/>
      <c r="I1063" s="39"/>
      <c r="J1063" s="103"/>
      <c r="K1063" s="39"/>
      <c r="L1063" s="78"/>
      <c r="M1063" s="19"/>
      <c r="N1063" s="10"/>
    </row>
    <row r="1064" spans="7:14" x14ac:dyDescent="0.75">
      <c r="G1064" s="10"/>
      <c r="H1064" s="10"/>
      <c r="I1064" s="39"/>
      <c r="J1064" s="103"/>
      <c r="K1064" s="39"/>
      <c r="L1064" s="78"/>
      <c r="M1064" s="19"/>
      <c r="N1064" s="10"/>
    </row>
    <row r="1065" spans="7:14" x14ac:dyDescent="0.75">
      <c r="G1065" s="10"/>
      <c r="H1065" s="10"/>
      <c r="I1065" s="39"/>
      <c r="J1065" s="103"/>
      <c r="K1065" s="39"/>
      <c r="L1065" s="78"/>
      <c r="M1065" s="19"/>
      <c r="N1065" s="10"/>
    </row>
    <row r="1066" spans="7:14" x14ac:dyDescent="0.75">
      <c r="G1066" s="10"/>
      <c r="H1066" s="10"/>
      <c r="I1066" s="39"/>
      <c r="J1066" s="103"/>
      <c r="K1066" s="39"/>
      <c r="L1066" s="78"/>
      <c r="M1066" s="19"/>
      <c r="N1066" s="10"/>
    </row>
    <row r="1067" spans="7:14" x14ac:dyDescent="0.75">
      <c r="G1067" s="10"/>
      <c r="H1067" s="10"/>
      <c r="I1067" s="39"/>
      <c r="J1067" s="103"/>
      <c r="K1067" s="39"/>
      <c r="L1067" s="78"/>
      <c r="M1067" s="19"/>
      <c r="N1067" s="10"/>
    </row>
    <row r="1068" spans="7:14" x14ac:dyDescent="0.75">
      <c r="G1068" s="10"/>
      <c r="H1068" s="10"/>
      <c r="I1068" s="39"/>
      <c r="J1068" s="103"/>
      <c r="K1068" s="39"/>
      <c r="L1068" s="78"/>
      <c r="M1068" s="19"/>
      <c r="N1068" s="10"/>
    </row>
    <row r="1069" spans="7:14" x14ac:dyDescent="0.75">
      <c r="G1069" s="10"/>
      <c r="H1069" s="10"/>
      <c r="I1069" s="39"/>
      <c r="J1069" s="103"/>
      <c r="K1069" s="39"/>
      <c r="L1069" s="78"/>
      <c r="M1069" s="19"/>
      <c r="N1069" s="10"/>
    </row>
    <row r="1070" spans="7:14" x14ac:dyDescent="0.75">
      <c r="G1070" s="10"/>
      <c r="H1070" s="10"/>
      <c r="I1070" s="39"/>
      <c r="J1070" s="103"/>
      <c r="K1070" s="39"/>
      <c r="L1070" s="78"/>
      <c r="M1070" s="19"/>
      <c r="N1070" s="10"/>
    </row>
    <row r="1071" spans="7:14" x14ac:dyDescent="0.75">
      <c r="G1071" s="10"/>
      <c r="H1071" s="10"/>
      <c r="I1071" s="39"/>
      <c r="J1071" s="103"/>
      <c r="K1071" s="39"/>
      <c r="L1071" s="78"/>
      <c r="M1071" s="19"/>
      <c r="N1071" s="10"/>
    </row>
    <row r="1072" spans="7:14" x14ac:dyDescent="0.75">
      <c r="G1072" s="10"/>
      <c r="H1072" s="10"/>
      <c r="I1072" s="39"/>
      <c r="J1072" s="103"/>
      <c r="K1072" s="39"/>
      <c r="L1072" s="78"/>
      <c r="M1072" s="19"/>
      <c r="N1072" s="10"/>
    </row>
    <row r="1073" spans="7:14" x14ac:dyDescent="0.75">
      <c r="G1073" s="10"/>
      <c r="H1073" s="10"/>
      <c r="I1073" s="39"/>
      <c r="J1073" s="103"/>
      <c r="K1073" s="39"/>
      <c r="L1073" s="78"/>
      <c r="M1073" s="19"/>
      <c r="N1073" s="10"/>
    </row>
    <row r="1074" spans="7:14" x14ac:dyDescent="0.75">
      <c r="G1074" s="10"/>
      <c r="H1074" s="10"/>
      <c r="I1074" s="39"/>
      <c r="J1074" s="103"/>
      <c r="K1074" s="39"/>
      <c r="L1074" s="78"/>
      <c r="M1074" s="19"/>
      <c r="N1074" s="10"/>
    </row>
    <row r="1075" spans="7:14" x14ac:dyDescent="0.75">
      <c r="G1075" s="10"/>
      <c r="H1075" s="10"/>
      <c r="I1075" s="39"/>
      <c r="J1075" s="103"/>
      <c r="K1075" s="39"/>
      <c r="L1075" s="78"/>
      <c r="M1075" s="19"/>
      <c r="N1075" s="10"/>
    </row>
    <row r="1076" spans="7:14" x14ac:dyDescent="0.75">
      <c r="G1076" s="10"/>
      <c r="H1076" s="10"/>
      <c r="I1076" s="39"/>
      <c r="J1076" s="103"/>
      <c r="K1076" s="39"/>
      <c r="L1076" s="78"/>
      <c r="M1076" s="19"/>
      <c r="N1076" s="10"/>
    </row>
    <row r="1077" spans="7:14" x14ac:dyDescent="0.75">
      <c r="G1077" s="10"/>
      <c r="H1077" s="10"/>
      <c r="I1077" s="39"/>
      <c r="J1077" s="103"/>
      <c r="K1077" s="39"/>
      <c r="L1077" s="78"/>
      <c r="M1077" s="19"/>
      <c r="N1077" s="10"/>
    </row>
    <row r="1078" spans="7:14" x14ac:dyDescent="0.75">
      <c r="G1078" s="10"/>
      <c r="H1078" s="10"/>
      <c r="I1078" s="39"/>
      <c r="J1078" s="103"/>
      <c r="K1078" s="39"/>
      <c r="L1078" s="78"/>
      <c r="M1078" s="19"/>
      <c r="N1078" s="10"/>
    </row>
    <row r="1079" spans="7:14" x14ac:dyDescent="0.75">
      <c r="G1079" s="10"/>
      <c r="H1079" s="10"/>
      <c r="I1079" s="39"/>
      <c r="J1079" s="103"/>
      <c r="K1079" s="39"/>
      <c r="L1079" s="78"/>
      <c r="M1079" s="19"/>
      <c r="N1079" s="10"/>
    </row>
    <row r="1080" spans="7:14" x14ac:dyDescent="0.75">
      <c r="G1080" s="10"/>
      <c r="H1080" s="10"/>
      <c r="I1080" s="39"/>
      <c r="J1080" s="103"/>
      <c r="K1080" s="39"/>
      <c r="L1080" s="78"/>
      <c r="M1080" s="19"/>
      <c r="N1080" s="10"/>
    </row>
    <row r="1081" spans="7:14" x14ac:dyDescent="0.75">
      <c r="G1081" s="10"/>
      <c r="H1081" s="10"/>
      <c r="I1081" s="39"/>
      <c r="J1081" s="103"/>
      <c r="K1081" s="39"/>
      <c r="L1081" s="78"/>
      <c r="M1081" s="19"/>
      <c r="N1081" s="10"/>
    </row>
    <row r="1082" spans="7:14" x14ac:dyDescent="0.75">
      <c r="G1082" s="10"/>
      <c r="H1082" s="10"/>
      <c r="I1082" s="39"/>
      <c r="J1082" s="103"/>
      <c r="K1082" s="39"/>
      <c r="L1082" s="78"/>
      <c r="M1082" s="19"/>
      <c r="N1082" s="10"/>
    </row>
    <row r="1083" spans="7:14" x14ac:dyDescent="0.75">
      <c r="G1083" s="10"/>
      <c r="H1083" s="10"/>
      <c r="I1083" s="39"/>
      <c r="J1083" s="103"/>
      <c r="K1083" s="39"/>
      <c r="L1083" s="78"/>
      <c r="M1083" s="19"/>
      <c r="N1083" s="10"/>
    </row>
    <row r="1084" spans="7:14" x14ac:dyDescent="0.75">
      <c r="G1084" s="10"/>
      <c r="H1084" s="10"/>
      <c r="I1084" s="39"/>
      <c r="J1084" s="103"/>
      <c r="K1084" s="39"/>
      <c r="L1084" s="78"/>
      <c r="M1084" s="19"/>
      <c r="N1084" s="10"/>
    </row>
    <row r="1085" spans="7:14" x14ac:dyDescent="0.75">
      <c r="G1085" s="10"/>
      <c r="H1085" s="10"/>
      <c r="I1085" s="39"/>
      <c r="J1085" s="103"/>
      <c r="K1085" s="39"/>
      <c r="L1085" s="78"/>
      <c r="M1085" s="19"/>
      <c r="N1085" s="10"/>
    </row>
    <row r="1086" spans="7:14" x14ac:dyDescent="0.75">
      <c r="G1086" s="10"/>
      <c r="H1086" s="10"/>
      <c r="I1086" s="39"/>
      <c r="J1086" s="103"/>
      <c r="K1086" s="39"/>
      <c r="L1086" s="78"/>
      <c r="M1086" s="19"/>
      <c r="N1086" s="10"/>
    </row>
    <row r="1087" spans="7:14" x14ac:dyDescent="0.75">
      <c r="G1087" s="10"/>
      <c r="H1087" s="10"/>
      <c r="I1087" s="39"/>
      <c r="J1087" s="103"/>
      <c r="K1087" s="39"/>
      <c r="L1087" s="78"/>
      <c r="M1087" s="19"/>
      <c r="N1087" s="10"/>
    </row>
    <row r="1088" spans="7:14" x14ac:dyDescent="0.75">
      <c r="G1088" s="10"/>
      <c r="H1088" s="10"/>
      <c r="I1088" s="39"/>
      <c r="J1088" s="103"/>
      <c r="K1088" s="39"/>
      <c r="L1088" s="10"/>
      <c r="M1088" s="19"/>
      <c r="N1088" s="10"/>
    </row>
    <row r="1089" spans="7:14" x14ac:dyDescent="0.75">
      <c r="G1089" s="10"/>
      <c r="H1089" s="10"/>
      <c r="I1089" s="39"/>
      <c r="J1089" s="103"/>
      <c r="K1089" s="39"/>
      <c r="L1089" s="78"/>
      <c r="M1089" s="19"/>
      <c r="N1089" s="10"/>
    </row>
    <row r="1090" spans="7:14" x14ac:dyDescent="0.75">
      <c r="G1090" s="10"/>
      <c r="H1090" s="10"/>
      <c r="I1090" s="39"/>
      <c r="J1090" s="103"/>
      <c r="K1090" s="39"/>
      <c r="L1090" s="78"/>
      <c r="M1090" s="19"/>
      <c r="N1090" s="10"/>
    </row>
    <row r="1091" spans="7:14" x14ac:dyDescent="0.75">
      <c r="G1091" s="10"/>
      <c r="H1091" s="10"/>
      <c r="I1091" s="39"/>
      <c r="J1091" s="103"/>
      <c r="K1091" s="39"/>
      <c r="L1091" s="78"/>
      <c r="M1091" s="19"/>
      <c r="N1091" s="10"/>
    </row>
    <row r="1092" spans="7:14" x14ac:dyDescent="0.75">
      <c r="G1092" s="10"/>
      <c r="H1092" s="10"/>
      <c r="I1092" s="39"/>
      <c r="J1092" s="103"/>
      <c r="K1092" s="39"/>
      <c r="L1092" s="78"/>
      <c r="M1092" s="19"/>
      <c r="N1092" s="10"/>
    </row>
    <row r="1093" spans="7:14" x14ac:dyDescent="0.75">
      <c r="G1093" s="10"/>
      <c r="H1093" s="10"/>
      <c r="I1093" s="39"/>
      <c r="J1093" s="103"/>
      <c r="K1093" s="39"/>
      <c r="L1093" s="78"/>
      <c r="M1093" s="19"/>
      <c r="N1093" s="10"/>
    </row>
    <row r="1094" spans="7:14" x14ac:dyDescent="0.75">
      <c r="G1094" s="10"/>
      <c r="H1094" s="10"/>
      <c r="I1094" s="39"/>
      <c r="J1094" s="103"/>
      <c r="K1094" s="39"/>
      <c r="L1094" s="78"/>
      <c r="M1094" s="19"/>
      <c r="N1094" s="10"/>
    </row>
    <row r="1095" spans="7:14" x14ac:dyDescent="0.75">
      <c r="G1095" s="10"/>
      <c r="H1095" s="10"/>
      <c r="I1095" s="39"/>
      <c r="J1095" s="103"/>
      <c r="K1095" s="39"/>
      <c r="L1095" s="78"/>
      <c r="M1095" s="19"/>
      <c r="N1095" s="10"/>
    </row>
    <row r="1096" spans="7:14" x14ac:dyDescent="0.75">
      <c r="G1096" s="10"/>
      <c r="H1096" s="10"/>
      <c r="I1096" s="39"/>
      <c r="J1096" s="103"/>
      <c r="K1096" s="39"/>
      <c r="L1096" s="78"/>
      <c r="M1096" s="19"/>
      <c r="N1096" s="10"/>
    </row>
    <row r="1097" spans="7:14" x14ac:dyDescent="0.75">
      <c r="G1097" s="10"/>
      <c r="H1097" s="10"/>
      <c r="I1097" s="39"/>
      <c r="J1097" s="103"/>
      <c r="K1097" s="39"/>
      <c r="L1097" s="78"/>
      <c r="M1097" s="19"/>
      <c r="N1097" s="10"/>
    </row>
    <row r="1098" spans="7:14" x14ac:dyDescent="0.75">
      <c r="G1098" s="10"/>
      <c r="H1098" s="10"/>
      <c r="I1098" s="39"/>
      <c r="J1098" s="103"/>
      <c r="K1098" s="39"/>
      <c r="L1098" s="78"/>
      <c r="M1098" s="19"/>
      <c r="N1098" s="10"/>
    </row>
    <row r="1099" spans="7:14" x14ac:dyDescent="0.75">
      <c r="G1099" s="10"/>
      <c r="H1099" s="10"/>
      <c r="I1099" s="39"/>
      <c r="J1099" s="103"/>
      <c r="K1099" s="39"/>
      <c r="L1099" s="78"/>
      <c r="M1099" s="19"/>
      <c r="N1099" s="10"/>
    </row>
    <row r="1100" spans="7:14" x14ac:dyDescent="0.75">
      <c r="G1100" s="10"/>
      <c r="H1100" s="10"/>
      <c r="I1100" s="39"/>
      <c r="J1100" s="103"/>
      <c r="K1100" s="39"/>
      <c r="L1100" s="78"/>
      <c r="M1100" s="19"/>
      <c r="N1100" s="10"/>
    </row>
    <row r="1101" spans="7:14" x14ac:dyDescent="0.75">
      <c r="G1101" s="10"/>
      <c r="H1101" s="10"/>
      <c r="I1101" s="39"/>
      <c r="J1101" s="103"/>
      <c r="K1101" s="39"/>
      <c r="L1101" s="78"/>
      <c r="M1101" s="19"/>
      <c r="N1101" s="10"/>
    </row>
    <row r="1102" spans="7:14" x14ac:dyDescent="0.75">
      <c r="G1102" s="10"/>
      <c r="H1102" s="10"/>
      <c r="I1102" s="39"/>
      <c r="J1102" s="103"/>
      <c r="K1102" s="39"/>
      <c r="L1102" s="78"/>
      <c r="M1102" s="19"/>
      <c r="N1102" s="10"/>
    </row>
    <row r="1103" spans="7:14" x14ac:dyDescent="0.75">
      <c r="G1103" s="10"/>
      <c r="H1103" s="10"/>
      <c r="I1103" s="39"/>
      <c r="J1103" s="103"/>
      <c r="K1103" s="39"/>
      <c r="L1103" s="78"/>
      <c r="M1103" s="19"/>
      <c r="N1103" s="10"/>
    </row>
    <row r="1104" spans="7:14" x14ac:dyDescent="0.75">
      <c r="G1104" s="10"/>
      <c r="H1104" s="10"/>
      <c r="I1104" s="39"/>
      <c r="J1104" s="103"/>
      <c r="K1104" s="39"/>
      <c r="L1104" s="78"/>
      <c r="M1104" s="19"/>
      <c r="N1104" s="10"/>
    </row>
    <row r="1105" spans="7:14" x14ac:dyDescent="0.75">
      <c r="G1105" s="10"/>
      <c r="H1105" s="10"/>
      <c r="I1105" s="39"/>
      <c r="J1105" s="103"/>
      <c r="K1105" s="39"/>
      <c r="L1105" s="78"/>
      <c r="M1105" s="19"/>
      <c r="N1105" s="10"/>
    </row>
    <row r="1106" spans="7:14" x14ac:dyDescent="0.75">
      <c r="G1106" s="10"/>
      <c r="H1106" s="10"/>
      <c r="I1106" s="39"/>
      <c r="J1106" s="103"/>
      <c r="K1106" s="39"/>
      <c r="L1106" s="78"/>
      <c r="M1106" s="19"/>
      <c r="N1106" s="10"/>
    </row>
    <row r="1107" spans="7:14" x14ac:dyDescent="0.75">
      <c r="G1107" s="10"/>
      <c r="H1107" s="10"/>
      <c r="I1107" s="39"/>
      <c r="J1107" s="103"/>
      <c r="K1107" s="39"/>
      <c r="L1107" s="78"/>
      <c r="M1107" s="19"/>
      <c r="N1107" s="10"/>
    </row>
    <row r="1108" spans="7:14" x14ac:dyDescent="0.75">
      <c r="G1108" s="10"/>
      <c r="H1108" s="10"/>
      <c r="I1108" s="39"/>
      <c r="J1108" s="103"/>
      <c r="K1108" s="39"/>
      <c r="L1108" s="78"/>
      <c r="M1108" s="19"/>
      <c r="N1108" s="10"/>
    </row>
    <row r="1109" spans="7:14" x14ac:dyDescent="0.75">
      <c r="G1109" s="10"/>
      <c r="H1109" s="10"/>
      <c r="I1109" s="39"/>
      <c r="J1109" s="103"/>
      <c r="K1109" s="39"/>
      <c r="L1109" s="78"/>
      <c r="M1109" s="19"/>
      <c r="N1109" s="10"/>
    </row>
    <row r="1110" spans="7:14" x14ac:dyDescent="0.75">
      <c r="G1110" s="10"/>
      <c r="H1110" s="10"/>
      <c r="I1110" s="39"/>
      <c r="J1110" s="103"/>
      <c r="K1110" s="39"/>
      <c r="L1110" s="78"/>
      <c r="M1110" s="19"/>
      <c r="N1110" s="10"/>
    </row>
    <row r="1111" spans="7:14" x14ac:dyDescent="0.75">
      <c r="G1111" s="10"/>
      <c r="H1111" s="10"/>
      <c r="I1111" s="39"/>
      <c r="J1111" s="103"/>
      <c r="K1111" s="39"/>
      <c r="L1111" s="78"/>
      <c r="M1111" s="19"/>
      <c r="N1111" s="10"/>
    </row>
    <row r="1112" spans="7:14" x14ac:dyDescent="0.75">
      <c r="G1112" s="10"/>
      <c r="H1112" s="10"/>
      <c r="I1112" s="39"/>
      <c r="J1112" s="103"/>
      <c r="K1112" s="39"/>
      <c r="L1112" s="78"/>
      <c r="M1112" s="19"/>
      <c r="N1112" s="10"/>
    </row>
    <row r="1113" spans="7:14" x14ac:dyDescent="0.75">
      <c r="G1113" s="10"/>
      <c r="H1113" s="10"/>
      <c r="I1113" s="39"/>
      <c r="J1113" s="103"/>
      <c r="K1113" s="39"/>
      <c r="L1113" s="78"/>
      <c r="M1113" s="19"/>
      <c r="N1113" s="10"/>
    </row>
    <row r="1114" spans="7:14" x14ac:dyDescent="0.75">
      <c r="G1114" s="10"/>
      <c r="H1114" s="10"/>
      <c r="I1114" s="39"/>
      <c r="J1114" s="103"/>
      <c r="K1114" s="39"/>
      <c r="L1114" s="78"/>
      <c r="M1114" s="19"/>
      <c r="N1114" s="10"/>
    </row>
    <row r="1115" spans="7:14" x14ac:dyDescent="0.75">
      <c r="G1115" s="10"/>
      <c r="H1115" s="10"/>
      <c r="I1115" s="39"/>
      <c r="J1115" s="103"/>
      <c r="K1115" s="39"/>
      <c r="L1115" s="78"/>
      <c r="M1115" s="19"/>
      <c r="N1115" s="10"/>
    </row>
    <row r="1116" spans="7:14" x14ac:dyDescent="0.75">
      <c r="G1116" s="10"/>
      <c r="H1116" s="10"/>
      <c r="I1116" s="39"/>
      <c r="J1116" s="103"/>
      <c r="K1116" s="39"/>
      <c r="L1116" s="78"/>
      <c r="M1116" s="19"/>
      <c r="N1116" s="10"/>
    </row>
    <row r="1117" spans="7:14" x14ac:dyDescent="0.75">
      <c r="G1117" s="10"/>
      <c r="H1117" s="10"/>
      <c r="I1117" s="39"/>
      <c r="J1117" s="103"/>
      <c r="K1117" s="39"/>
      <c r="L1117" s="78"/>
      <c r="M1117" s="19"/>
      <c r="N1117" s="10"/>
    </row>
    <row r="1118" spans="7:14" x14ac:dyDescent="0.75">
      <c r="G1118" s="10"/>
      <c r="H1118" s="10"/>
      <c r="I1118" s="39"/>
      <c r="J1118" s="103"/>
      <c r="K1118" s="39"/>
      <c r="L1118" s="78"/>
      <c r="M1118" s="19"/>
      <c r="N1118" s="10"/>
    </row>
    <row r="1119" spans="7:14" x14ac:dyDescent="0.75">
      <c r="G1119" s="10"/>
      <c r="H1119" s="10"/>
      <c r="I1119" s="39"/>
      <c r="J1119" s="103"/>
      <c r="K1119" s="39"/>
      <c r="L1119" s="78"/>
      <c r="M1119" s="19"/>
      <c r="N1119" s="10"/>
    </row>
    <row r="1120" spans="7:14" x14ac:dyDescent="0.75">
      <c r="G1120" s="10"/>
      <c r="H1120" s="10"/>
      <c r="I1120" s="39"/>
      <c r="J1120" s="103"/>
      <c r="K1120" s="39"/>
      <c r="L1120" s="10"/>
      <c r="M1120" s="19"/>
      <c r="N1120" s="10"/>
    </row>
    <row r="1121" spans="7:14" x14ac:dyDescent="0.75">
      <c r="G1121" s="10"/>
      <c r="H1121" s="10"/>
      <c r="I1121" s="39"/>
      <c r="J1121" s="103"/>
      <c r="K1121" s="39"/>
      <c r="L1121" s="10"/>
      <c r="M1121" s="19"/>
      <c r="N1121" s="10"/>
    </row>
    <row r="1122" spans="7:14" x14ac:dyDescent="0.75">
      <c r="G1122" s="10"/>
      <c r="H1122" s="10"/>
      <c r="I1122" s="39"/>
      <c r="J1122" s="103"/>
      <c r="K1122" s="39"/>
      <c r="L1122" s="10"/>
      <c r="M1122" s="19"/>
      <c r="N1122" s="10"/>
    </row>
    <row r="1123" spans="7:14" x14ac:dyDescent="0.75">
      <c r="G1123" s="10"/>
      <c r="H1123" s="10"/>
      <c r="I1123" s="39"/>
      <c r="J1123" s="103"/>
      <c r="K1123" s="39"/>
      <c r="L1123" s="78"/>
      <c r="M1123" s="19"/>
      <c r="N1123" s="10"/>
    </row>
    <row r="1124" spans="7:14" x14ac:dyDescent="0.75">
      <c r="G1124" s="10"/>
      <c r="H1124" s="10"/>
      <c r="I1124" s="39"/>
      <c r="J1124" s="103"/>
      <c r="K1124" s="39"/>
      <c r="L1124" s="78"/>
      <c r="M1124" s="19"/>
      <c r="N1124" s="10"/>
    </row>
    <row r="1125" spans="7:14" x14ac:dyDescent="0.75">
      <c r="G1125" s="10"/>
      <c r="H1125" s="10"/>
      <c r="I1125" s="39"/>
      <c r="J1125" s="103"/>
      <c r="K1125" s="39"/>
      <c r="L1125" s="78"/>
      <c r="M1125" s="19"/>
      <c r="N1125" s="10"/>
    </row>
    <row r="1126" spans="7:14" x14ac:dyDescent="0.75">
      <c r="G1126" s="10"/>
      <c r="H1126" s="10"/>
      <c r="I1126" s="39"/>
      <c r="J1126" s="103"/>
      <c r="K1126" s="39"/>
      <c r="L1126" s="78"/>
      <c r="M1126" s="19"/>
      <c r="N1126" s="10"/>
    </row>
    <row r="1127" spans="7:14" x14ac:dyDescent="0.75">
      <c r="G1127" s="10"/>
      <c r="H1127" s="10"/>
      <c r="I1127" s="39"/>
      <c r="J1127" s="103"/>
      <c r="K1127" s="39"/>
      <c r="L1127" s="78"/>
      <c r="M1127" s="19"/>
      <c r="N1127" s="10"/>
    </row>
    <row r="1128" spans="7:14" x14ac:dyDescent="0.75">
      <c r="G1128" s="10"/>
      <c r="H1128" s="10"/>
      <c r="I1128" s="39"/>
      <c r="J1128" s="103"/>
      <c r="K1128" s="39"/>
      <c r="L1128" s="78"/>
      <c r="M1128" s="19"/>
      <c r="N1128" s="10"/>
    </row>
    <row r="1129" spans="7:14" x14ac:dyDescent="0.75">
      <c r="G1129" s="10"/>
      <c r="H1129" s="10"/>
      <c r="I1129" s="39"/>
      <c r="J1129" s="103"/>
      <c r="K1129" s="39"/>
      <c r="L1129" s="78"/>
      <c r="M1129" s="19"/>
      <c r="N1129" s="10"/>
    </row>
    <row r="1130" spans="7:14" x14ac:dyDescent="0.75">
      <c r="G1130" s="10"/>
      <c r="H1130" s="10"/>
      <c r="I1130" s="39"/>
      <c r="J1130" s="103"/>
      <c r="K1130" s="39"/>
      <c r="L1130" s="78"/>
      <c r="M1130" s="19"/>
      <c r="N1130" s="10"/>
    </row>
    <row r="1131" spans="7:14" x14ac:dyDescent="0.75">
      <c r="G1131" s="10"/>
      <c r="H1131" s="10"/>
      <c r="I1131" s="39"/>
      <c r="J1131" s="103"/>
      <c r="K1131" s="39"/>
      <c r="L1131" s="78"/>
      <c r="M1131" s="19"/>
      <c r="N1131" s="10"/>
    </row>
    <row r="1132" spans="7:14" x14ac:dyDescent="0.75">
      <c r="G1132" s="10"/>
      <c r="H1132" s="10"/>
      <c r="I1132" s="39"/>
      <c r="J1132" s="103"/>
      <c r="K1132" s="39"/>
      <c r="L1132" s="78"/>
      <c r="M1132" s="19"/>
      <c r="N1132" s="10"/>
    </row>
    <row r="1133" spans="7:14" x14ac:dyDescent="0.75">
      <c r="G1133" s="10"/>
      <c r="H1133" s="10"/>
      <c r="I1133" s="39"/>
      <c r="J1133" s="103"/>
      <c r="K1133" s="39"/>
      <c r="L1133" s="10"/>
      <c r="M1133" s="19"/>
      <c r="N1133" s="10"/>
    </row>
    <row r="1134" spans="7:14" x14ac:dyDescent="0.75">
      <c r="G1134" s="10"/>
      <c r="H1134" s="10"/>
      <c r="I1134" s="39"/>
      <c r="J1134" s="103"/>
      <c r="K1134" s="39"/>
      <c r="L1134" s="78"/>
      <c r="M1134" s="19"/>
      <c r="N1134" s="10"/>
    </row>
    <row r="1135" spans="7:14" x14ac:dyDescent="0.75">
      <c r="G1135" s="10"/>
      <c r="H1135" s="10"/>
      <c r="I1135" s="39"/>
      <c r="J1135" s="103"/>
      <c r="K1135" s="39"/>
      <c r="L1135" s="78"/>
      <c r="M1135" s="19"/>
      <c r="N1135" s="10"/>
    </row>
    <row r="1136" spans="7:14" x14ac:dyDescent="0.75">
      <c r="G1136" s="10"/>
      <c r="H1136" s="10"/>
      <c r="I1136" s="39"/>
      <c r="J1136" s="103"/>
      <c r="K1136" s="39"/>
      <c r="L1136" s="78"/>
      <c r="M1136" s="19"/>
      <c r="N1136" s="10"/>
    </row>
    <row r="1137" spans="7:14" x14ac:dyDescent="0.75">
      <c r="G1137" s="10"/>
      <c r="H1137" s="10"/>
      <c r="I1137" s="39"/>
      <c r="J1137" s="103"/>
      <c r="K1137" s="39"/>
      <c r="L1137" s="78"/>
      <c r="M1137" s="19"/>
      <c r="N1137" s="10"/>
    </row>
    <row r="1138" spans="7:14" x14ac:dyDescent="0.75">
      <c r="G1138" s="10"/>
      <c r="H1138" s="10"/>
      <c r="I1138" s="39"/>
      <c r="J1138" s="103"/>
      <c r="K1138" s="39"/>
      <c r="L1138" s="78"/>
      <c r="M1138" s="19"/>
      <c r="N1138" s="10"/>
    </row>
    <row r="1139" spans="7:14" x14ac:dyDescent="0.75">
      <c r="G1139" s="10"/>
      <c r="H1139" s="10"/>
      <c r="I1139" s="39"/>
      <c r="J1139" s="103"/>
      <c r="K1139" s="39"/>
      <c r="L1139" s="10"/>
      <c r="M1139" s="19"/>
      <c r="N1139" s="10"/>
    </row>
    <row r="1140" spans="7:14" x14ac:dyDescent="0.75">
      <c r="G1140" s="10"/>
      <c r="H1140" s="10"/>
      <c r="I1140" s="39"/>
      <c r="J1140" s="103"/>
      <c r="K1140" s="39"/>
      <c r="L1140" s="78"/>
      <c r="M1140" s="19"/>
      <c r="N1140" s="10"/>
    </row>
    <row r="1141" spans="7:14" x14ac:dyDescent="0.75">
      <c r="G1141" s="10"/>
      <c r="H1141" s="10"/>
      <c r="I1141" s="39"/>
      <c r="J1141" s="103"/>
      <c r="K1141" s="39"/>
      <c r="L1141" s="78"/>
      <c r="M1141" s="19"/>
      <c r="N1141" s="10"/>
    </row>
    <row r="1142" spans="7:14" x14ac:dyDescent="0.75">
      <c r="G1142" s="10"/>
      <c r="H1142" s="10"/>
      <c r="I1142" s="39"/>
      <c r="J1142" s="103"/>
      <c r="K1142" s="39"/>
      <c r="L1142" s="78"/>
      <c r="M1142" s="19"/>
      <c r="N1142" s="10"/>
    </row>
    <row r="1143" spans="7:14" x14ac:dyDescent="0.75">
      <c r="G1143" s="10"/>
      <c r="H1143" s="10"/>
      <c r="I1143" s="39"/>
      <c r="J1143" s="103"/>
      <c r="K1143" s="39"/>
      <c r="L1143" s="78"/>
      <c r="M1143" s="19"/>
      <c r="N1143" s="10"/>
    </row>
    <row r="1144" spans="7:14" x14ac:dyDescent="0.75">
      <c r="G1144" s="10"/>
      <c r="H1144" s="10"/>
      <c r="I1144" s="39"/>
      <c r="J1144" s="103"/>
      <c r="K1144" s="39"/>
      <c r="L1144" s="78"/>
      <c r="M1144" s="19"/>
      <c r="N1144" s="10"/>
    </row>
    <row r="1145" spans="7:14" x14ac:dyDescent="0.75">
      <c r="G1145" s="10"/>
      <c r="H1145" s="10"/>
      <c r="I1145" s="39"/>
      <c r="J1145" s="103"/>
      <c r="K1145" s="39"/>
      <c r="L1145" s="10"/>
      <c r="M1145" s="19"/>
      <c r="N1145" s="10"/>
    </row>
    <row r="1146" spans="7:14" x14ac:dyDescent="0.75">
      <c r="G1146" s="10"/>
      <c r="H1146" s="10"/>
      <c r="I1146" s="39"/>
      <c r="J1146" s="103"/>
      <c r="K1146" s="39"/>
      <c r="L1146" s="78"/>
      <c r="M1146" s="19"/>
      <c r="N1146" s="10"/>
    </row>
    <row r="1147" spans="7:14" x14ac:dyDescent="0.75">
      <c r="G1147" s="10"/>
      <c r="H1147" s="10"/>
      <c r="I1147" s="39"/>
      <c r="J1147" s="103"/>
      <c r="K1147" s="39"/>
      <c r="L1147" s="78"/>
      <c r="M1147" s="19"/>
      <c r="N1147" s="10"/>
    </row>
    <row r="1148" spans="7:14" x14ac:dyDescent="0.75">
      <c r="G1148" s="10"/>
      <c r="H1148" s="10"/>
      <c r="I1148" s="39"/>
      <c r="J1148" s="103"/>
      <c r="K1148" s="39"/>
      <c r="L1148" s="78"/>
      <c r="M1148" s="19"/>
      <c r="N1148" s="10"/>
    </row>
    <row r="1149" spans="7:14" x14ac:dyDescent="0.75">
      <c r="G1149" s="10"/>
      <c r="H1149" s="10"/>
      <c r="I1149" s="39"/>
      <c r="J1149" s="103"/>
      <c r="K1149" s="39"/>
      <c r="L1149" s="78"/>
      <c r="M1149" s="19"/>
      <c r="N1149" s="10"/>
    </row>
    <row r="1150" spans="7:14" x14ac:dyDescent="0.75">
      <c r="G1150" s="10"/>
      <c r="H1150" s="10"/>
      <c r="I1150" s="39"/>
      <c r="J1150" s="103"/>
      <c r="K1150" s="39"/>
      <c r="L1150" s="78"/>
      <c r="M1150" s="19"/>
      <c r="N1150" s="10"/>
    </row>
    <row r="1151" spans="7:14" x14ac:dyDescent="0.75">
      <c r="G1151" s="10"/>
      <c r="H1151" s="10"/>
      <c r="I1151" s="39"/>
      <c r="J1151" s="103"/>
      <c r="K1151" s="39"/>
      <c r="L1151" s="78"/>
      <c r="M1151" s="19"/>
      <c r="N1151" s="10"/>
    </row>
    <row r="1152" spans="7:14" x14ac:dyDescent="0.75">
      <c r="G1152" s="10"/>
      <c r="H1152" s="10"/>
      <c r="I1152" s="39"/>
      <c r="J1152" s="103"/>
      <c r="K1152" s="39"/>
      <c r="L1152" s="78"/>
      <c r="M1152" s="19"/>
      <c r="N1152" s="10"/>
    </row>
    <row r="1153" spans="7:14" x14ac:dyDescent="0.75">
      <c r="G1153" s="10"/>
      <c r="H1153" s="10"/>
      <c r="I1153" s="39"/>
      <c r="J1153" s="103"/>
      <c r="K1153" s="39"/>
      <c r="L1153" s="78"/>
      <c r="M1153" s="19"/>
      <c r="N1153" s="10"/>
    </row>
    <row r="1154" spans="7:14" x14ac:dyDescent="0.75">
      <c r="G1154" s="10"/>
      <c r="H1154" s="10"/>
      <c r="I1154" s="39"/>
      <c r="J1154" s="103"/>
      <c r="K1154" s="39"/>
      <c r="L1154" s="78"/>
      <c r="M1154" s="19"/>
      <c r="N1154" s="10"/>
    </row>
    <row r="1155" spans="7:14" x14ac:dyDescent="0.75">
      <c r="G1155" s="10"/>
      <c r="H1155" s="10"/>
      <c r="I1155" s="39"/>
      <c r="J1155" s="103"/>
      <c r="K1155" s="39"/>
      <c r="L1155" s="78"/>
      <c r="M1155" s="19"/>
      <c r="N1155" s="10"/>
    </row>
    <row r="1156" spans="7:14" x14ac:dyDescent="0.75">
      <c r="G1156" s="10"/>
      <c r="H1156" s="10"/>
      <c r="I1156" s="39"/>
      <c r="J1156" s="103"/>
      <c r="K1156" s="39"/>
      <c r="L1156" s="78"/>
      <c r="M1156" s="19"/>
      <c r="N1156" s="10"/>
    </row>
    <row r="1157" spans="7:14" x14ac:dyDescent="0.75">
      <c r="G1157" s="10"/>
      <c r="H1157" s="10"/>
      <c r="I1157" s="39"/>
      <c r="J1157" s="103"/>
      <c r="K1157" s="39"/>
      <c r="L1157" s="78"/>
      <c r="M1157" s="19"/>
      <c r="N1157" s="10"/>
    </row>
    <row r="1158" spans="7:14" x14ac:dyDescent="0.75">
      <c r="G1158" s="10"/>
      <c r="H1158" s="10"/>
      <c r="I1158" s="39"/>
      <c r="J1158" s="103"/>
      <c r="K1158" s="39"/>
      <c r="L1158" s="78"/>
      <c r="M1158" s="19"/>
      <c r="N1158" s="10"/>
    </row>
    <row r="1159" spans="7:14" x14ac:dyDescent="0.75">
      <c r="G1159" s="10"/>
      <c r="H1159" s="10"/>
      <c r="I1159" s="39"/>
      <c r="J1159" s="103"/>
      <c r="K1159" s="39"/>
      <c r="L1159" s="78"/>
      <c r="M1159" s="19"/>
      <c r="N1159" s="10"/>
    </row>
    <row r="1160" spans="7:14" x14ac:dyDescent="0.75">
      <c r="G1160" s="10"/>
      <c r="H1160" s="10"/>
      <c r="I1160" s="39"/>
      <c r="J1160" s="103"/>
      <c r="K1160" s="39"/>
      <c r="L1160" s="78"/>
      <c r="M1160" s="19"/>
      <c r="N1160" s="10"/>
    </row>
    <row r="1161" spans="7:14" x14ac:dyDescent="0.75">
      <c r="G1161" s="10"/>
      <c r="H1161" s="10"/>
      <c r="I1161" s="39"/>
      <c r="J1161" s="103"/>
      <c r="K1161" s="39"/>
      <c r="L1161" s="78"/>
      <c r="M1161" s="19"/>
      <c r="N1161" s="10"/>
    </row>
    <row r="1162" spans="7:14" x14ac:dyDescent="0.75">
      <c r="G1162" s="10"/>
      <c r="H1162" s="10"/>
      <c r="I1162" s="39"/>
      <c r="J1162" s="103"/>
      <c r="K1162" s="39"/>
      <c r="L1162" s="10"/>
      <c r="M1162" s="19"/>
      <c r="N1162" s="10"/>
    </row>
    <row r="1163" spans="7:14" x14ac:dyDescent="0.75">
      <c r="G1163" s="10"/>
      <c r="H1163" s="10"/>
      <c r="I1163" s="39"/>
      <c r="J1163" s="103"/>
      <c r="K1163" s="39"/>
      <c r="L1163" s="10"/>
      <c r="M1163" s="19"/>
      <c r="N1163" s="10"/>
    </row>
    <row r="1164" spans="7:14" x14ac:dyDescent="0.75">
      <c r="G1164" s="10"/>
      <c r="H1164" s="10"/>
      <c r="I1164" s="39"/>
      <c r="J1164" s="103"/>
      <c r="K1164" s="39"/>
      <c r="L1164" s="10"/>
      <c r="M1164" s="19"/>
      <c r="N1164" s="10"/>
    </row>
    <row r="1165" spans="7:14" x14ac:dyDescent="0.75">
      <c r="G1165" s="10"/>
      <c r="H1165" s="10"/>
      <c r="I1165" s="39"/>
      <c r="J1165" s="103"/>
      <c r="K1165" s="39"/>
      <c r="L1165" s="78"/>
      <c r="M1165" s="19"/>
      <c r="N1165" s="10"/>
    </row>
    <row r="1166" spans="7:14" x14ac:dyDescent="0.75">
      <c r="G1166" s="10"/>
      <c r="H1166" s="10"/>
      <c r="I1166" s="39"/>
      <c r="J1166" s="103"/>
      <c r="K1166" s="39"/>
      <c r="L1166" s="78"/>
      <c r="M1166" s="19"/>
      <c r="N1166" s="10"/>
    </row>
    <row r="1167" spans="7:14" x14ac:dyDescent="0.75">
      <c r="G1167" s="10"/>
      <c r="H1167" s="10"/>
      <c r="I1167" s="39"/>
      <c r="J1167" s="103"/>
      <c r="K1167" s="39"/>
      <c r="L1167" s="78"/>
      <c r="M1167" s="19"/>
      <c r="N1167" s="10"/>
    </row>
    <row r="1168" spans="7:14" x14ac:dyDescent="0.75">
      <c r="G1168" s="10"/>
      <c r="H1168" s="10"/>
      <c r="I1168" s="39"/>
      <c r="J1168" s="103"/>
      <c r="K1168" s="39"/>
      <c r="L1168" s="78"/>
      <c r="M1168" s="19"/>
      <c r="N1168" s="10"/>
    </row>
    <row r="1169" spans="7:14" x14ac:dyDescent="0.75">
      <c r="G1169" s="10"/>
      <c r="H1169" s="10"/>
      <c r="I1169" s="39"/>
      <c r="J1169" s="103"/>
      <c r="K1169" s="39"/>
      <c r="L1169" s="78"/>
      <c r="M1169" s="19"/>
      <c r="N1169" s="10"/>
    </row>
    <row r="1170" spans="7:14" x14ac:dyDescent="0.75">
      <c r="G1170" s="10"/>
      <c r="H1170" s="10"/>
      <c r="I1170" s="39"/>
      <c r="J1170" s="103"/>
      <c r="K1170" s="39"/>
      <c r="L1170" s="78"/>
      <c r="M1170" s="19"/>
      <c r="N1170" s="10"/>
    </row>
    <row r="1171" spans="7:14" x14ac:dyDescent="0.75">
      <c r="G1171" s="10"/>
      <c r="H1171" s="10"/>
      <c r="I1171" s="39"/>
      <c r="J1171" s="103"/>
      <c r="K1171" s="39"/>
      <c r="L1171" s="78"/>
      <c r="M1171" s="19"/>
      <c r="N1171" s="10"/>
    </row>
    <row r="1172" spans="7:14" x14ac:dyDescent="0.75">
      <c r="G1172" s="10"/>
      <c r="H1172" s="10"/>
      <c r="I1172" s="39"/>
      <c r="J1172" s="103"/>
      <c r="K1172" s="39"/>
      <c r="L1172" s="78"/>
      <c r="M1172" s="19"/>
      <c r="N1172" s="10"/>
    </row>
    <row r="1173" spans="7:14" x14ac:dyDescent="0.75">
      <c r="G1173" s="10"/>
      <c r="H1173" s="10"/>
      <c r="I1173" s="39"/>
      <c r="J1173" s="103"/>
      <c r="K1173" s="39"/>
      <c r="L1173" s="78"/>
      <c r="M1173" s="19"/>
      <c r="N1173" s="10"/>
    </row>
    <row r="1174" spans="7:14" x14ac:dyDescent="0.75">
      <c r="G1174" s="10"/>
      <c r="H1174" s="10"/>
      <c r="I1174" s="39"/>
      <c r="J1174" s="103"/>
      <c r="K1174" s="39"/>
      <c r="L1174" s="78"/>
      <c r="M1174" s="19"/>
      <c r="N1174" s="10"/>
    </row>
    <row r="1175" spans="7:14" x14ac:dyDescent="0.75">
      <c r="G1175" s="10"/>
      <c r="H1175" s="10"/>
      <c r="I1175" s="39"/>
      <c r="J1175" s="103"/>
      <c r="K1175" s="39"/>
      <c r="L1175" s="78"/>
      <c r="M1175" s="19"/>
      <c r="N1175" s="10"/>
    </row>
    <row r="1176" spans="7:14" x14ac:dyDescent="0.75">
      <c r="G1176" s="10"/>
      <c r="H1176" s="10"/>
      <c r="I1176" s="39"/>
      <c r="J1176" s="103"/>
      <c r="K1176" s="39"/>
      <c r="L1176" s="78"/>
      <c r="M1176" s="19"/>
      <c r="N1176" s="10"/>
    </row>
    <row r="1177" spans="7:14" x14ac:dyDescent="0.75">
      <c r="G1177" s="10"/>
      <c r="H1177" s="10"/>
      <c r="I1177" s="39"/>
      <c r="J1177" s="103"/>
      <c r="K1177" s="39"/>
      <c r="L1177" s="78"/>
      <c r="M1177" s="19"/>
      <c r="N1177" s="10"/>
    </row>
    <row r="1178" spans="7:14" x14ac:dyDescent="0.75">
      <c r="G1178" s="10"/>
      <c r="H1178" s="10"/>
      <c r="I1178" s="39"/>
      <c r="J1178" s="103"/>
      <c r="K1178" s="39"/>
      <c r="L1178" s="78"/>
      <c r="M1178" s="19"/>
      <c r="N1178" s="10"/>
    </row>
    <row r="1179" spans="7:14" x14ac:dyDescent="0.75">
      <c r="G1179" s="10"/>
      <c r="H1179" s="10"/>
      <c r="I1179" s="39"/>
      <c r="J1179" s="103"/>
      <c r="K1179" s="39"/>
      <c r="L1179" s="78"/>
      <c r="M1179" s="19"/>
      <c r="N1179" s="10"/>
    </row>
    <row r="1180" spans="7:14" x14ac:dyDescent="0.75">
      <c r="G1180" s="10"/>
      <c r="H1180" s="10"/>
      <c r="I1180" s="39"/>
      <c r="J1180" s="103"/>
      <c r="K1180" s="39"/>
      <c r="L1180" s="78"/>
      <c r="M1180" s="19"/>
      <c r="N1180" s="10"/>
    </row>
    <row r="1181" spans="7:14" x14ac:dyDescent="0.75">
      <c r="G1181" s="10"/>
      <c r="H1181" s="10"/>
      <c r="I1181" s="39"/>
      <c r="J1181" s="103"/>
      <c r="K1181" s="39"/>
      <c r="L1181" s="78"/>
      <c r="M1181" s="19"/>
      <c r="N1181" s="10"/>
    </row>
    <row r="1182" spans="7:14" x14ac:dyDescent="0.75">
      <c r="G1182" s="10"/>
      <c r="H1182" s="10"/>
      <c r="I1182" s="39"/>
      <c r="J1182" s="103"/>
      <c r="K1182" s="39"/>
      <c r="L1182" s="78"/>
      <c r="M1182" s="19"/>
      <c r="N1182" s="10"/>
    </row>
    <row r="1183" spans="7:14" x14ac:dyDescent="0.75">
      <c r="G1183" s="10"/>
      <c r="H1183" s="10"/>
      <c r="I1183" s="39"/>
      <c r="J1183" s="103"/>
      <c r="K1183" s="39"/>
      <c r="L1183" s="78"/>
      <c r="M1183" s="19"/>
      <c r="N1183" s="10"/>
    </row>
    <row r="1184" spans="7:14" x14ac:dyDescent="0.75">
      <c r="G1184" s="10"/>
      <c r="H1184" s="10"/>
      <c r="I1184" s="39"/>
      <c r="J1184" s="103"/>
      <c r="K1184" s="39"/>
      <c r="L1184" s="78"/>
      <c r="M1184" s="19"/>
      <c r="N1184" s="10"/>
    </row>
    <row r="1185" spans="7:14" x14ac:dyDescent="0.75">
      <c r="G1185" s="10"/>
      <c r="H1185" s="10"/>
      <c r="I1185" s="39"/>
      <c r="J1185" s="103"/>
      <c r="K1185" s="39"/>
      <c r="L1185" s="78"/>
      <c r="M1185" s="19"/>
      <c r="N1185" s="10"/>
    </row>
    <row r="1186" spans="7:14" x14ac:dyDescent="0.75">
      <c r="G1186" s="10"/>
      <c r="H1186" s="10"/>
      <c r="I1186" s="39"/>
      <c r="J1186" s="103"/>
      <c r="K1186" s="39"/>
      <c r="L1186" s="10"/>
      <c r="M1186" s="19"/>
      <c r="N1186" s="10"/>
    </row>
    <row r="1187" spans="7:14" x14ac:dyDescent="0.75">
      <c r="G1187" s="10"/>
      <c r="H1187" s="10"/>
      <c r="I1187" s="39"/>
      <c r="J1187" s="103"/>
      <c r="K1187" s="39"/>
      <c r="L1187" s="78"/>
      <c r="M1187" s="19"/>
      <c r="N1187" s="10"/>
    </row>
    <row r="1188" spans="7:14" x14ac:dyDescent="0.75">
      <c r="G1188" s="10"/>
      <c r="H1188" s="10"/>
      <c r="I1188" s="39"/>
      <c r="J1188" s="103"/>
      <c r="K1188" s="39"/>
      <c r="L1188" s="78"/>
      <c r="M1188" s="19"/>
      <c r="N1188" s="10"/>
    </row>
    <row r="1189" spans="7:14" x14ac:dyDescent="0.75">
      <c r="G1189" s="10"/>
      <c r="H1189" s="10"/>
      <c r="I1189" s="39"/>
      <c r="J1189" s="103"/>
      <c r="K1189" s="39"/>
      <c r="L1189" s="78"/>
      <c r="M1189" s="19"/>
      <c r="N1189" s="10"/>
    </row>
    <row r="1190" spans="7:14" x14ac:dyDescent="0.75">
      <c r="G1190" s="10"/>
      <c r="H1190" s="10"/>
      <c r="I1190" s="39"/>
      <c r="J1190" s="103"/>
      <c r="K1190" s="39"/>
      <c r="L1190" s="78"/>
      <c r="M1190" s="19"/>
      <c r="N1190" s="10"/>
    </row>
    <row r="1191" spans="7:14" x14ac:dyDescent="0.75">
      <c r="G1191" s="10"/>
      <c r="H1191" s="10"/>
      <c r="I1191" s="39"/>
      <c r="J1191" s="103"/>
      <c r="K1191" s="39"/>
      <c r="L1191" s="78"/>
      <c r="M1191" s="19"/>
      <c r="N1191" s="10"/>
    </row>
    <row r="1192" spans="7:14" x14ac:dyDescent="0.75">
      <c r="G1192" s="10"/>
      <c r="H1192" s="10"/>
      <c r="I1192" s="39"/>
      <c r="J1192" s="103"/>
      <c r="K1192" s="39"/>
      <c r="L1192" s="78"/>
      <c r="M1192" s="19"/>
      <c r="N1192" s="10"/>
    </row>
    <row r="1193" spans="7:14" x14ac:dyDescent="0.75">
      <c r="G1193" s="10"/>
      <c r="H1193" s="10"/>
      <c r="I1193" s="39"/>
      <c r="J1193" s="103"/>
      <c r="K1193" s="39"/>
      <c r="L1193" s="78"/>
      <c r="M1193" s="19"/>
      <c r="N1193" s="10"/>
    </row>
    <row r="1194" spans="7:14" x14ac:dyDescent="0.75">
      <c r="G1194" s="10"/>
      <c r="H1194" s="10"/>
      <c r="I1194" s="39"/>
      <c r="J1194" s="103"/>
      <c r="K1194" s="39"/>
      <c r="L1194" s="78"/>
      <c r="M1194" s="19"/>
      <c r="N1194" s="10"/>
    </row>
    <row r="1195" spans="7:14" x14ac:dyDescent="0.75">
      <c r="G1195" s="10"/>
      <c r="H1195" s="10"/>
      <c r="I1195" s="39"/>
      <c r="J1195" s="103"/>
      <c r="K1195" s="39"/>
      <c r="L1195" s="78"/>
      <c r="M1195" s="19"/>
      <c r="N1195" s="10"/>
    </row>
    <row r="1196" spans="7:14" x14ac:dyDescent="0.75">
      <c r="G1196" s="10"/>
      <c r="H1196" s="10"/>
      <c r="I1196" s="39"/>
      <c r="J1196" s="103"/>
      <c r="K1196" s="39"/>
      <c r="L1196" s="78"/>
      <c r="M1196" s="19"/>
      <c r="N1196" s="10"/>
    </row>
    <row r="1197" spans="7:14" x14ac:dyDescent="0.75">
      <c r="G1197" s="10"/>
      <c r="H1197" s="10"/>
      <c r="I1197" s="39"/>
      <c r="J1197" s="103"/>
      <c r="K1197" s="39"/>
      <c r="L1197" s="78"/>
      <c r="M1197" s="19"/>
      <c r="N1197" s="10"/>
    </row>
    <row r="1198" spans="7:14" x14ac:dyDescent="0.75">
      <c r="G1198" s="10"/>
      <c r="H1198" s="10"/>
      <c r="I1198" s="39"/>
      <c r="J1198" s="103"/>
      <c r="K1198" s="39"/>
      <c r="L1198" s="78"/>
      <c r="M1198" s="19"/>
      <c r="N1198" s="10"/>
    </row>
    <row r="1199" spans="7:14" x14ac:dyDescent="0.75">
      <c r="G1199" s="10"/>
      <c r="H1199" s="10"/>
      <c r="I1199" s="39"/>
      <c r="J1199" s="103"/>
      <c r="K1199" s="39"/>
      <c r="L1199" s="78"/>
      <c r="M1199" s="19"/>
      <c r="N1199" s="10"/>
    </row>
    <row r="1200" spans="7:14" x14ac:dyDescent="0.75">
      <c r="G1200" s="10"/>
      <c r="H1200" s="10"/>
      <c r="I1200" s="39"/>
      <c r="J1200" s="103"/>
      <c r="K1200" s="39"/>
      <c r="L1200" s="78"/>
      <c r="M1200" s="19"/>
      <c r="N1200" s="10"/>
    </row>
    <row r="1201" spans="7:14" x14ac:dyDescent="0.75">
      <c r="G1201" s="10"/>
      <c r="H1201" s="10"/>
      <c r="I1201" s="39"/>
      <c r="J1201" s="103"/>
      <c r="K1201" s="39"/>
      <c r="L1201" s="78"/>
      <c r="M1201" s="19"/>
      <c r="N1201" s="10"/>
    </row>
    <row r="1202" spans="7:14" x14ac:dyDescent="0.75">
      <c r="G1202" s="10"/>
      <c r="H1202" s="10"/>
      <c r="I1202" s="39"/>
      <c r="J1202" s="103"/>
      <c r="K1202" s="39"/>
      <c r="L1202" s="78"/>
      <c r="M1202" s="19"/>
      <c r="N1202" s="10"/>
    </row>
    <row r="1203" spans="7:14" x14ac:dyDescent="0.75">
      <c r="G1203" s="10"/>
      <c r="H1203" s="10"/>
      <c r="I1203" s="39"/>
      <c r="J1203" s="103"/>
      <c r="K1203" s="39"/>
      <c r="L1203" s="10"/>
      <c r="M1203" s="19"/>
      <c r="N1203" s="10"/>
    </row>
    <row r="1204" spans="7:14" x14ac:dyDescent="0.75">
      <c r="G1204" s="10"/>
      <c r="H1204" s="10"/>
      <c r="I1204" s="39"/>
      <c r="J1204" s="103"/>
      <c r="K1204" s="39"/>
      <c r="L1204" s="78"/>
      <c r="M1204" s="19"/>
      <c r="N1204" s="10"/>
    </row>
    <row r="1205" spans="7:14" x14ac:dyDescent="0.75">
      <c r="G1205" s="10"/>
      <c r="H1205" s="10"/>
      <c r="I1205" s="39"/>
      <c r="J1205" s="103"/>
      <c r="K1205" s="39"/>
      <c r="L1205" s="78"/>
      <c r="M1205" s="19"/>
      <c r="N1205" s="10"/>
    </row>
    <row r="1206" spans="7:14" x14ac:dyDescent="0.75">
      <c r="G1206" s="10"/>
      <c r="H1206" s="10"/>
      <c r="I1206" s="39"/>
      <c r="J1206" s="103"/>
      <c r="K1206" s="39"/>
      <c r="L1206" s="78"/>
      <c r="M1206" s="19"/>
      <c r="N1206" s="10"/>
    </row>
    <row r="1207" spans="7:14" x14ac:dyDescent="0.75">
      <c r="G1207" s="10"/>
      <c r="H1207" s="10"/>
      <c r="I1207" s="39"/>
      <c r="J1207" s="103"/>
      <c r="K1207" s="39"/>
      <c r="L1207" s="78"/>
      <c r="M1207" s="19"/>
      <c r="N1207" s="10"/>
    </row>
    <row r="1208" spans="7:14" x14ac:dyDescent="0.75">
      <c r="G1208" s="10"/>
      <c r="H1208" s="10"/>
      <c r="I1208" s="39"/>
      <c r="J1208" s="103"/>
      <c r="K1208" s="39"/>
      <c r="L1208" s="78"/>
      <c r="M1208" s="19"/>
      <c r="N1208" s="10"/>
    </row>
    <row r="1209" spans="7:14" x14ac:dyDescent="0.75">
      <c r="G1209" s="10"/>
      <c r="H1209" s="10"/>
      <c r="I1209" s="39"/>
      <c r="J1209" s="103"/>
      <c r="K1209" s="39"/>
      <c r="L1209" s="78"/>
      <c r="M1209" s="19"/>
      <c r="N1209" s="10"/>
    </row>
    <row r="1210" spans="7:14" x14ac:dyDescent="0.75">
      <c r="G1210" s="10"/>
      <c r="H1210" s="10"/>
      <c r="I1210" s="39"/>
      <c r="J1210" s="103"/>
      <c r="K1210" s="39"/>
      <c r="L1210" s="78"/>
      <c r="M1210" s="19"/>
      <c r="N1210" s="10"/>
    </row>
    <row r="1211" spans="7:14" x14ac:dyDescent="0.75">
      <c r="G1211" s="10"/>
      <c r="H1211" s="10"/>
      <c r="I1211" s="39"/>
      <c r="J1211" s="103"/>
      <c r="K1211" s="39"/>
      <c r="L1211" s="78"/>
      <c r="M1211" s="19"/>
      <c r="N1211" s="10"/>
    </row>
    <row r="1212" spans="7:14" x14ac:dyDescent="0.75">
      <c r="G1212" s="10"/>
      <c r="H1212" s="10"/>
      <c r="I1212" s="39"/>
      <c r="J1212" s="103"/>
      <c r="K1212" s="39"/>
      <c r="L1212" s="78"/>
      <c r="M1212" s="19"/>
      <c r="N1212" s="10"/>
    </row>
    <row r="1213" spans="7:14" x14ac:dyDescent="0.75">
      <c r="G1213" s="10"/>
      <c r="H1213" s="10"/>
      <c r="I1213" s="39"/>
      <c r="J1213" s="103"/>
      <c r="K1213" s="39"/>
      <c r="L1213" s="78"/>
      <c r="M1213" s="19"/>
      <c r="N1213" s="10"/>
    </row>
    <row r="1214" spans="7:14" x14ac:dyDescent="0.75">
      <c r="G1214" s="10"/>
      <c r="H1214" s="10"/>
      <c r="I1214" s="39"/>
      <c r="J1214" s="103"/>
      <c r="K1214" s="39"/>
      <c r="L1214" s="78"/>
      <c r="M1214" s="19"/>
      <c r="N1214" s="10"/>
    </row>
    <row r="1215" spans="7:14" x14ac:dyDescent="0.75">
      <c r="G1215" s="10"/>
      <c r="H1215" s="10"/>
      <c r="I1215" s="39"/>
      <c r="J1215" s="103"/>
      <c r="K1215" s="39"/>
      <c r="L1215" s="78"/>
      <c r="M1215" s="19"/>
      <c r="N1215" s="10"/>
    </row>
    <row r="1216" spans="7:14" x14ac:dyDescent="0.75">
      <c r="G1216" s="10"/>
      <c r="H1216" s="10"/>
      <c r="I1216" s="39"/>
      <c r="J1216" s="103"/>
      <c r="K1216" s="39"/>
      <c r="L1216" s="78"/>
      <c r="M1216" s="19"/>
      <c r="N1216" s="10"/>
    </row>
    <row r="1217" spans="7:14" x14ac:dyDescent="0.75">
      <c r="G1217" s="10"/>
      <c r="H1217" s="10"/>
      <c r="I1217" s="39"/>
      <c r="J1217" s="103"/>
      <c r="K1217" s="39"/>
      <c r="L1217" s="78"/>
      <c r="M1217" s="19"/>
      <c r="N1217" s="10"/>
    </row>
    <row r="1218" spans="7:14" x14ac:dyDescent="0.75">
      <c r="G1218" s="10"/>
      <c r="H1218" s="10"/>
      <c r="I1218" s="39"/>
      <c r="J1218" s="103"/>
      <c r="K1218" s="39"/>
      <c r="L1218" s="78"/>
      <c r="M1218" s="19"/>
      <c r="N1218" s="10"/>
    </row>
    <row r="1219" spans="7:14" x14ac:dyDescent="0.75">
      <c r="G1219" s="10"/>
      <c r="H1219" s="10"/>
      <c r="I1219" s="39"/>
      <c r="J1219" s="103"/>
      <c r="K1219" s="39"/>
      <c r="L1219" s="78"/>
      <c r="M1219" s="19"/>
      <c r="N1219" s="10"/>
    </row>
    <row r="1220" spans="7:14" x14ac:dyDescent="0.75">
      <c r="G1220" s="10"/>
      <c r="H1220" s="10"/>
      <c r="I1220" s="39"/>
      <c r="J1220" s="103"/>
      <c r="K1220" s="39"/>
      <c r="L1220" s="78"/>
      <c r="M1220" s="19"/>
      <c r="N1220" s="10"/>
    </row>
    <row r="1221" spans="7:14" x14ac:dyDescent="0.75">
      <c r="G1221" s="10"/>
      <c r="H1221" s="10"/>
      <c r="I1221" s="39"/>
      <c r="J1221" s="103"/>
      <c r="K1221" s="39"/>
      <c r="L1221" s="78"/>
      <c r="M1221" s="19"/>
      <c r="N1221" s="10"/>
    </row>
    <row r="1222" spans="7:14" x14ac:dyDescent="0.75">
      <c r="G1222" s="10"/>
      <c r="H1222" s="10"/>
      <c r="I1222" s="39"/>
      <c r="J1222" s="103"/>
      <c r="K1222" s="39"/>
      <c r="L1222" s="78"/>
      <c r="M1222" s="19"/>
      <c r="N1222" s="10"/>
    </row>
    <row r="1223" spans="7:14" x14ac:dyDescent="0.75">
      <c r="G1223" s="10"/>
      <c r="H1223" s="10"/>
      <c r="I1223" s="39"/>
      <c r="J1223" s="103"/>
      <c r="K1223" s="39"/>
      <c r="L1223" s="10"/>
      <c r="M1223" s="19"/>
      <c r="N1223" s="10"/>
    </row>
    <row r="1224" spans="7:14" x14ac:dyDescent="0.75">
      <c r="G1224" s="10"/>
      <c r="H1224" s="10"/>
      <c r="I1224" s="39"/>
      <c r="J1224" s="103"/>
      <c r="K1224" s="39"/>
      <c r="L1224" s="78"/>
      <c r="M1224" s="19"/>
      <c r="N1224" s="10"/>
    </row>
    <row r="1225" spans="7:14" x14ac:dyDescent="0.75">
      <c r="G1225" s="10"/>
      <c r="H1225" s="10"/>
      <c r="I1225" s="39"/>
      <c r="J1225" s="103"/>
      <c r="K1225" s="39"/>
      <c r="L1225" s="78"/>
      <c r="M1225" s="19"/>
      <c r="N1225" s="10"/>
    </row>
    <row r="1226" spans="7:14" x14ac:dyDescent="0.75">
      <c r="G1226" s="10"/>
      <c r="H1226" s="10"/>
      <c r="I1226" s="39"/>
      <c r="J1226" s="103"/>
      <c r="K1226" s="39"/>
      <c r="L1226" s="78"/>
      <c r="M1226" s="19"/>
      <c r="N1226" s="10"/>
    </row>
    <row r="1227" spans="7:14" x14ac:dyDescent="0.75">
      <c r="G1227" s="10"/>
      <c r="H1227" s="10"/>
      <c r="I1227" s="39"/>
      <c r="J1227" s="103"/>
      <c r="K1227" s="39"/>
      <c r="L1227" s="78"/>
      <c r="M1227" s="19"/>
      <c r="N1227" s="10"/>
    </row>
    <row r="1228" spans="7:14" x14ac:dyDescent="0.75">
      <c r="G1228" s="10"/>
      <c r="H1228" s="10"/>
      <c r="I1228" s="39"/>
      <c r="J1228" s="103"/>
      <c r="K1228" s="39"/>
      <c r="L1228" s="78"/>
      <c r="M1228" s="19"/>
      <c r="N1228" s="10"/>
    </row>
    <row r="1229" spans="7:14" x14ac:dyDescent="0.75">
      <c r="G1229" s="10"/>
      <c r="H1229" s="10"/>
      <c r="I1229" s="39"/>
      <c r="J1229" s="103"/>
      <c r="K1229" s="39"/>
      <c r="L1229" s="78"/>
      <c r="M1229" s="19"/>
      <c r="N1229" s="10"/>
    </row>
    <row r="1230" spans="7:14" x14ac:dyDescent="0.75">
      <c r="G1230" s="10"/>
      <c r="H1230" s="10"/>
      <c r="I1230" s="39"/>
      <c r="J1230" s="103"/>
      <c r="K1230" s="39"/>
      <c r="L1230" s="78"/>
      <c r="M1230" s="19"/>
      <c r="N1230" s="10"/>
    </row>
    <row r="1231" spans="7:14" x14ac:dyDescent="0.75">
      <c r="G1231" s="10"/>
      <c r="H1231" s="10"/>
      <c r="I1231" s="39"/>
      <c r="J1231" s="103"/>
      <c r="K1231" s="39"/>
      <c r="L1231" s="78"/>
      <c r="M1231" s="19"/>
      <c r="N1231" s="10"/>
    </row>
    <row r="1232" spans="7:14" x14ac:dyDescent="0.75">
      <c r="G1232" s="10"/>
      <c r="H1232" s="10"/>
      <c r="I1232" s="39"/>
      <c r="J1232" s="103"/>
      <c r="K1232" s="39"/>
      <c r="L1232" s="10"/>
      <c r="M1232" s="19"/>
      <c r="N1232" s="10"/>
    </row>
    <row r="1233" spans="7:14" x14ac:dyDescent="0.75">
      <c r="G1233" s="10"/>
      <c r="H1233" s="10"/>
      <c r="I1233" s="39"/>
      <c r="J1233" s="103"/>
      <c r="K1233" s="39"/>
      <c r="L1233" s="10"/>
      <c r="M1233" s="19"/>
      <c r="N1233" s="10"/>
    </row>
    <row r="1234" spans="7:14" x14ac:dyDescent="0.75">
      <c r="G1234" s="10"/>
      <c r="H1234" s="10"/>
      <c r="I1234" s="39"/>
      <c r="J1234" s="103"/>
      <c r="K1234" s="39"/>
      <c r="L1234" s="10"/>
      <c r="M1234" s="19"/>
      <c r="N1234" s="10"/>
    </row>
    <row r="1235" spans="7:14" x14ac:dyDescent="0.75">
      <c r="G1235" s="10"/>
      <c r="H1235" s="10"/>
      <c r="I1235" s="39"/>
      <c r="J1235" s="103"/>
      <c r="K1235" s="39"/>
      <c r="L1235" s="78"/>
      <c r="M1235" s="19"/>
      <c r="N1235" s="10"/>
    </row>
    <row r="1236" spans="7:14" x14ac:dyDescent="0.75">
      <c r="G1236" s="10"/>
      <c r="H1236" s="10"/>
      <c r="I1236" s="39"/>
      <c r="J1236" s="103"/>
      <c r="K1236" s="39"/>
      <c r="L1236" s="78"/>
      <c r="M1236" s="19"/>
      <c r="N1236" s="10"/>
    </row>
    <row r="1237" spans="7:14" x14ac:dyDescent="0.75">
      <c r="G1237" s="10"/>
      <c r="H1237" s="10"/>
      <c r="I1237" s="39"/>
      <c r="J1237" s="103"/>
      <c r="K1237" s="39"/>
      <c r="L1237" s="78"/>
      <c r="M1237" s="19"/>
      <c r="N1237" s="10"/>
    </row>
    <row r="1238" spans="7:14" x14ac:dyDescent="0.75">
      <c r="G1238" s="10"/>
      <c r="H1238" s="10"/>
      <c r="I1238" s="39"/>
      <c r="J1238" s="103"/>
      <c r="K1238" s="39"/>
      <c r="L1238" s="78"/>
      <c r="M1238" s="19"/>
      <c r="N1238" s="10"/>
    </row>
    <row r="1239" spans="7:14" x14ac:dyDescent="0.75">
      <c r="G1239" s="10"/>
      <c r="H1239" s="10"/>
      <c r="I1239" s="39"/>
      <c r="J1239" s="103"/>
      <c r="K1239" s="39"/>
      <c r="L1239" s="10"/>
      <c r="M1239" s="19"/>
      <c r="N1239" s="10"/>
    </row>
    <row r="1240" spans="7:14" x14ac:dyDescent="0.75">
      <c r="G1240" s="10"/>
      <c r="H1240" s="10"/>
      <c r="I1240" s="39"/>
      <c r="J1240" s="103"/>
      <c r="K1240" s="39"/>
      <c r="L1240" s="10"/>
      <c r="M1240" s="19"/>
      <c r="N1240" s="10"/>
    </row>
    <row r="1241" spans="7:14" x14ac:dyDescent="0.75">
      <c r="G1241" s="10"/>
      <c r="H1241" s="10"/>
      <c r="I1241" s="39"/>
      <c r="J1241" s="103"/>
      <c r="K1241" s="39"/>
      <c r="L1241" s="10"/>
      <c r="M1241" s="19"/>
      <c r="N1241" s="10"/>
    </row>
    <row r="1242" spans="7:14" x14ac:dyDescent="0.75">
      <c r="G1242" s="10"/>
      <c r="H1242" s="10"/>
      <c r="I1242" s="39"/>
      <c r="J1242" s="103"/>
      <c r="K1242" s="39"/>
      <c r="L1242" s="78"/>
      <c r="M1242" s="19"/>
      <c r="N1242" s="10"/>
    </row>
    <row r="1243" spans="7:14" x14ac:dyDescent="0.75">
      <c r="G1243" s="10"/>
      <c r="H1243" s="10"/>
      <c r="I1243" s="39"/>
      <c r="J1243" s="103"/>
      <c r="K1243" s="39"/>
      <c r="L1243" s="78"/>
      <c r="M1243" s="19"/>
      <c r="N1243" s="10"/>
    </row>
    <row r="1244" spans="7:14" x14ac:dyDescent="0.75">
      <c r="G1244" s="10"/>
      <c r="H1244" s="10"/>
      <c r="I1244" s="39"/>
      <c r="J1244" s="103"/>
      <c r="K1244" s="39"/>
      <c r="L1244" s="78"/>
      <c r="M1244" s="19"/>
      <c r="N1244" s="10"/>
    </row>
    <row r="1245" spans="7:14" x14ac:dyDescent="0.75">
      <c r="G1245" s="10"/>
      <c r="H1245" s="10"/>
      <c r="I1245" s="39"/>
      <c r="J1245" s="103"/>
      <c r="K1245" s="39"/>
      <c r="L1245" s="78"/>
      <c r="M1245" s="19"/>
      <c r="N1245" s="10"/>
    </row>
    <row r="1246" spans="7:14" x14ac:dyDescent="0.75">
      <c r="G1246" s="10"/>
      <c r="H1246" s="10"/>
      <c r="I1246" s="39"/>
      <c r="J1246" s="103"/>
      <c r="K1246" s="39"/>
      <c r="L1246" s="78"/>
      <c r="M1246" s="19"/>
      <c r="N1246" s="10"/>
    </row>
    <row r="1247" spans="7:14" x14ac:dyDescent="0.75">
      <c r="G1247" s="10"/>
      <c r="H1247" s="10"/>
      <c r="I1247" s="39"/>
      <c r="J1247" s="103"/>
      <c r="K1247" s="39"/>
      <c r="L1247" s="78"/>
      <c r="M1247" s="19"/>
      <c r="N1247" s="10"/>
    </row>
    <row r="1248" spans="7:14" x14ac:dyDescent="0.75">
      <c r="G1248" s="10"/>
      <c r="H1248" s="10"/>
      <c r="I1248" s="39"/>
      <c r="J1248" s="103"/>
      <c r="K1248" s="39"/>
      <c r="L1248" s="78"/>
      <c r="M1248" s="19"/>
      <c r="N1248" s="10"/>
    </row>
    <row r="1249" spans="7:14" x14ac:dyDescent="0.75">
      <c r="G1249" s="10"/>
      <c r="H1249" s="10"/>
      <c r="I1249" s="39"/>
      <c r="J1249" s="103"/>
      <c r="K1249" s="39"/>
      <c r="L1249" s="78"/>
      <c r="M1249" s="19"/>
      <c r="N1249" s="10"/>
    </row>
    <row r="1250" spans="7:14" x14ac:dyDescent="0.75">
      <c r="G1250" s="10"/>
      <c r="H1250" s="10"/>
      <c r="I1250" s="39"/>
      <c r="J1250" s="103"/>
      <c r="K1250" s="39"/>
      <c r="L1250" s="78"/>
      <c r="M1250" s="19"/>
      <c r="N1250" s="10"/>
    </row>
    <row r="1251" spans="7:14" x14ac:dyDescent="0.75">
      <c r="G1251" s="10"/>
      <c r="H1251" s="10"/>
      <c r="I1251" s="39"/>
      <c r="J1251" s="103"/>
      <c r="K1251" s="39"/>
      <c r="L1251" s="78"/>
      <c r="M1251" s="19"/>
      <c r="N1251" s="10"/>
    </row>
    <row r="1252" spans="7:14" x14ac:dyDescent="0.75">
      <c r="G1252" s="10"/>
      <c r="H1252" s="10"/>
      <c r="I1252" s="39"/>
      <c r="J1252" s="103"/>
      <c r="K1252" s="39"/>
      <c r="L1252" s="78"/>
      <c r="M1252" s="19"/>
      <c r="N1252" s="10"/>
    </row>
    <row r="1253" spans="7:14" x14ac:dyDescent="0.75">
      <c r="G1253" s="10"/>
      <c r="H1253" s="10"/>
      <c r="I1253" s="39"/>
      <c r="J1253" s="103"/>
      <c r="K1253" s="39"/>
      <c r="L1253" s="78"/>
      <c r="M1253" s="19"/>
      <c r="N1253" s="10"/>
    </row>
    <row r="1254" spans="7:14" x14ac:dyDescent="0.75">
      <c r="G1254" s="10"/>
      <c r="H1254" s="10"/>
      <c r="I1254" s="39"/>
      <c r="J1254" s="103"/>
      <c r="K1254" s="39"/>
      <c r="L1254" s="78"/>
      <c r="M1254" s="19"/>
      <c r="N1254" s="10"/>
    </row>
    <row r="1255" spans="7:14" x14ac:dyDescent="0.75">
      <c r="G1255" s="10"/>
      <c r="H1255" s="10"/>
      <c r="I1255" s="39"/>
      <c r="J1255" s="103"/>
      <c r="K1255" s="39"/>
      <c r="L1255" s="78"/>
      <c r="M1255" s="19"/>
      <c r="N1255" s="10"/>
    </row>
    <row r="1256" spans="7:14" x14ac:dyDescent="0.75">
      <c r="G1256" s="10"/>
      <c r="H1256" s="10"/>
      <c r="I1256" s="39"/>
      <c r="J1256" s="103"/>
      <c r="K1256" s="39"/>
      <c r="L1256" s="78"/>
      <c r="M1256" s="19"/>
      <c r="N1256" s="10"/>
    </row>
    <row r="1257" spans="7:14" x14ac:dyDescent="0.75">
      <c r="G1257" s="10"/>
      <c r="H1257" s="10"/>
      <c r="I1257" s="39"/>
      <c r="J1257" s="103"/>
      <c r="K1257" s="39"/>
      <c r="L1257" s="78"/>
      <c r="M1257" s="19"/>
      <c r="N1257" s="10"/>
    </row>
    <row r="1258" spans="7:14" x14ac:dyDescent="0.75">
      <c r="G1258" s="10"/>
      <c r="H1258" s="10"/>
      <c r="I1258" s="39"/>
      <c r="J1258" s="103"/>
      <c r="K1258" s="39"/>
      <c r="L1258" s="78"/>
      <c r="M1258" s="19"/>
      <c r="N1258" s="10"/>
    </row>
    <row r="1259" spans="7:14" x14ac:dyDescent="0.75">
      <c r="G1259" s="10"/>
      <c r="H1259" s="10"/>
      <c r="I1259" s="39"/>
      <c r="J1259" s="103"/>
      <c r="K1259" s="39"/>
      <c r="L1259" s="78"/>
      <c r="M1259" s="19"/>
      <c r="N1259" s="10"/>
    </row>
    <row r="1260" spans="7:14" x14ac:dyDescent="0.75">
      <c r="G1260" s="10"/>
      <c r="H1260" s="10"/>
      <c r="I1260" s="39"/>
      <c r="J1260" s="103"/>
      <c r="K1260" s="39"/>
      <c r="L1260" s="78"/>
      <c r="M1260" s="19"/>
      <c r="N1260" s="10"/>
    </row>
    <row r="1261" spans="7:14" x14ac:dyDescent="0.75">
      <c r="G1261" s="10"/>
      <c r="H1261" s="10"/>
      <c r="I1261" s="39"/>
      <c r="J1261" s="103"/>
      <c r="K1261" s="39"/>
      <c r="L1261" s="78"/>
      <c r="M1261" s="19"/>
      <c r="N1261" s="10"/>
    </row>
    <row r="1262" spans="7:14" x14ac:dyDescent="0.75">
      <c r="G1262" s="10"/>
      <c r="H1262" s="10"/>
      <c r="I1262" s="39"/>
      <c r="J1262" s="103"/>
      <c r="K1262" s="39"/>
      <c r="L1262" s="78"/>
      <c r="M1262" s="19"/>
      <c r="N1262" s="10"/>
    </row>
    <row r="1263" spans="7:14" x14ac:dyDescent="0.75">
      <c r="G1263" s="10"/>
      <c r="H1263" s="10"/>
      <c r="I1263" s="39"/>
      <c r="J1263" s="103"/>
      <c r="K1263" s="39"/>
      <c r="L1263" s="78"/>
      <c r="M1263" s="19"/>
      <c r="N1263" s="10"/>
    </row>
    <row r="1264" spans="7:14" x14ac:dyDescent="0.75">
      <c r="G1264" s="10"/>
      <c r="H1264" s="10"/>
      <c r="I1264" s="39"/>
      <c r="J1264" s="103"/>
      <c r="K1264" s="39"/>
      <c r="L1264" s="78"/>
      <c r="M1264" s="19"/>
      <c r="N1264" s="10"/>
    </row>
    <row r="1265" spans="7:14" x14ac:dyDescent="0.75">
      <c r="G1265" s="10"/>
      <c r="H1265" s="10"/>
      <c r="I1265" s="39"/>
      <c r="J1265" s="103"/>
      <c r="K1265" s="39"/>
      <c r="L1265" s="78"/>
      <c r="M1265" s="19"/>
      <c r="N1265" s="10"/>
    </row>
    <row r="1266" spans="7:14" x14ac:dyDescent="0.75">
      <c r="G1266" s="10"/>
      <c r="H1266" s="10"/>
      <c r="I1266" s="39"/>
      <c r="J1266" s="103"/>
      <c r="K1266" s="39"/>
      <c r="L1266" s="78"/>
      <c r="M1266" s="19"/>
      <c r="N1266" s="10"/>
    </row>
    <row r="1267" spans="7:14" x14ac:dyDescent="0.75">
      <c r="G1267" s="10"/>
      <c r="H1267" s="10"/>
      <c r="I1267" s="39"/>
      <c r="J1267" s="103"/>
      <c r="K1267" s="39"/>
      <c r="L1267" s="78"/>
      <c r="M1267" s="19"/>
      <c r="N1267" s="10"/>
    </row>
    <row r="1268" spans="7:14" x14ac:dyDescent="0.75">
      <c r="G1268" s="10"/>
      <c r="H1268" s="10"/>
      <c r="I1268" s="39"/>
      <c r="J1268" s="103"/>
      <c r="K1268" s="39"/>
      <c r="L1268" s="78"/>
      <c r="M1268" s="19"/>
      <c r="N1268" s="10"/>
    </row>
    <row r="1269" spans="7:14" x14ac:dyDescent="0.75">
      <c r="G1269" s="10"/>
      <c r="H1269" s="10"/>
      <c r="I1269" s="39"/>
      <c r="J1269" s="103"/>
      <c r="K1269" s="39"/>
      <c r="L1269" s="78"/>
      <c r="M1269" s="19"/>
      <c r="N1269" s="10"/>
    </row>
    <row r="1270" spans="7:14" x14ac:dyDescent="0.75">
      <c r="G1270" s="10"/>
      <c r="H1270" s="10"/>
      <c r="I1270" s="39"/>
      <c r="J1270" s="103"/>
      <c r="K1270" s="39"/>
      <c r="L1270" s="78"/>
      <c r="M1270" s="19"/>
      <c r="N1270" s="10"/>
    </row>
    <row r="1271" spans="7:14" x14ac:dyDescent="0.75">
      <c r="G1271" s="10"/>
      <c r="H1271" s="10"/>
      <c r="I1271" s="39"/>
      <c r="J1271" s="103"/>
      <c r="K1271" s="39"/>
      <c r="L1271" s="78"/>
      <c r="M1271" s="19"/>
      <c r="N1271" s="10"/>
    </row>
    <row r="1272" spans="7:14" x14ac:dyDescent="0.75">
      <c r="G1272" s="10"/>
      <c r="H1272" s="10"/>
      <c r="I1272" s="39"/>
      <c r="J1272" s="103"/>
      <c r="K1272" s="39"/>
      <c r="L1272" s="78"/>
      <c r="M1272" s="19"/>
      <c r="N1272" s="10"/>
    </row>
    <row r="1273" spans="7:14" x14ac:dyDescent="0.75">
      <c r="G1273" s="10"/>
      <c r="H1273" s="10"/>
      <c r="I1273" s="39"/>
      <c r="J1273" s="103"/>
      <c r="K1273" s="39"/>
      <c r="L1273" s="78"/>
      <c r="M1273" s="19"/>
      <c r="N1273" s="10"/>
    </row>
    <row r="1274" spans="7:14" x14ac:dyDescent="0.75">
      <c r="G1274" s="10"/>
      <c r="H1274" s="10"/>
      <c r="I1274" s="39"/>
      <c r="J1274" s="103"/>
      <c r="K1274" s="39"/>
      <c r="L1274" s="78"/>
      <c r="M1274" s="19"/>
      <c r="N1274" s="10"/>
    </row>
    <row r="1275" spans="7:14" x14ac:dyDescent="0.75">
      <c r="G1275" s="10"/>
      <c r="H1275" s="10"/>
      <c r="I1275" s="39"/>
      <c r="J1275" s="103"/>
      <c r="K1275" s="39"/>
      <c r="L1275" s="78"/>
      <c r="M1275" s="19"/>
      <c r="N1275" s="10"/>
    </row>
    <row r="1276" spans="7:14" x14ac:dyDescent="0.75">
      <c r="G1276" s="10"/>
      <c r="H1276" s="10"/>
      <c r="I1276" s="39"/>
      <c r="J1276" s="103"/>
      <c r="K1276" s="39"/>
      <c r="L1276" s="78"/>
      <c r="M1276" s="19"/>
      <c r="N1276" s="10"/>
    </row>
    <row r="1277" spans="7:14" x14ac:dyDescent="0.75">
      <c r="G1277" s="10"/>
      <c r="H1277" s="10"/>
      <c r="I1277" s="39"/>
      <c r="J1277" s="103"/>
      <c r="K1277" s="39"/>
      <c r="L1277" s="78"/>
      <c r="M1277" s="19"/>
      <c r="N1277" s="10"/>
    </row>
    <row r="1278" spans="7:14" x14ac:dyDescent="0.75">
      <c r="G1278" s="10"/>
      <c r="H1278" s="10"/>
      <c r="I1278" s="39"/>
      <c r="J1278" s="103"/>
      <c r="K1278" s="39"/>
      <c r="L1278" s="78"/>
      <c r="M1278" s="19"/>
      <c r="N1278" s="10"/>
    </row>
    <row r="1279" spans="7:14" x14ac:dyDescent="0.75">
      <c r="G1279" s="10"/>
      <c r="H1279" s="10"/>
      <c r="I1279" s="39"/>
      <c r="J1279" s="103"/>
      <c r="K1279" s="39"/>
      <c r="L1279" s="78"/>
      <c r="M1279" s="19"/>
      <c r="N1279" s="10"/>
    </row>
    <row r="1280" spans="7:14" x14ac:dyDescent="0.75">
      <c r="G1280" s="10"/>
      <c r="H1280" s="10"/>
      <c r="I1280" s="39"/>
      <c r="J1280" s="103"/>
      <c r="K1280" s="39"/>
      <c r="L1280" s="78"/>
      <c r="M1280" s="19"/>
      <c r="N1280" s="10"/>
    </row>
    <row r="1281" spans="7:14" x14ac:dyDescent="0.75">
      <c r="G1281" s="10"/>
      <c r="H1281" s="10"/>
      <c r="I1281" s="39"/>
      <c r="J1281" s="103"/>
      <c r="K1281" s="39"/>
      <c r="L1281" s="78"/>
      <c r="M1281" s="19"/>
      <c r="N1281" s="10"/>
    </row>
    <row r="1282" spans="7:14" x14ac:dyDescent="0.75">
      <c r="G1282" s="10"/>
      <c r="H1282" s="10"/>
      <c r="I1282" s="39"/>
      <c r="J1282" s="103"/>
      <c r="K1282" s="39"/>
      <c r="L1282" s="78"/>
      <c r="M1282" s="19"/>
      <c r="N1282" s="10"/>
    </row>
    <row r="1283" spans="7:14" x14ac:dyDescent="0.75">
      <c r="G1283" s="10"/>
      <c r="H1283" s="10"/>
      <c r="I1283" s="39"/>
      <c r="J1283" s="103"/>
      <c r="K1283" s="39"/>
      <c r="L1283" s="78"/>
      <c r="M1283" s="19"/>
      <c r="N1283" s="10"/>
    </row>
    <row r="1284" spans="7:14" x14ac:dyDescent="0.75">
      <c r="G1284" s="10"/>
      <c r="H1284" s="10"/>
      <c r="I1284" s="39"/>
      <c r="J1284" s="103"/>
      <c r="K1284" s="39"/>
      <c r="L1284" s="78"/>
      <c r="M1284" s="19"/>
      <c r="N1284" s="10"/>
    </row>
    <row r="1285" spans="7:14" x14ac:dyDescent="0.75">
      <c r="G1285" s="10"/>
      <c r="H1285" s="10"/>
      <c r="I1285" s="39"/>
      <c r="J1285" s="103"/>
      <c r="K1285" s="39"/>
      <c r="L1285" s="10"/>
      <c r="M1285" s="19"/>
      <c r="N1285" s="10"/>
    </row>
    <row r="1286" spans="7:14" x14ac:dyDescent="0.75">
      <c r="G1286" s="10"/>
      <c r="H1286" s="10"/>
      <c r="I1286" s="39"/>
      <c r="J1286" s="103"/>
      <c r="K1286" s="39"/>
      <c r="L1286" s="78"/>
      <c r="M1286" s="19"/>
      <c r="N1286" s="10"/>
    </row>
    <row r="1287" spans="7:14" x14ac:dyDescent="0.75">
      <c r="G1287" s="10"/>
      <c r="H1287" s="10"/>
      <c r="I1287" s="39"/>
      <c r="J1287" s="103"/>
      <c r="K1287" s="39"/>
      <c r="L1287" s="78"/>
      <c r="M1287" s="19"/>
      <c r="N1287" s="10"/>
    </row>
    <row r="1288" spans="7:14" x14ac:dyDescent="0.75">
      <c r="G1288" s="10"/>
      <c r="H1288" s="10"/>
      <c r="I1288" s="39"/>
      <c r="J1288" s="103"/>
      <c r="K1288" s="39"/>
      <c r="L1288" s="78"/>
      <c r="M1288" s="19"/>
      <c r="N1288" s="10"/>
    </row>
    <row r="1289" spans="7:14" x14ac:dyDescent="0.75">
      <c r="G1289" s="10"/>
      <c r="H1289" s="10"/>
      <c r="I1289" s="39"/>
      <c r="J1289" s="103"/>
      <c r="K1289" s="39"/>
      <c r="L1289" s="78"/>
      <c r="M1289" s="19"/>
      <c r="N1289" s="10"/>
    </row>
    <row r="1290" spans="7:14" x14ac:dyDescent="0.75">
      <c r="G1290" s="10"/>
      <c r="H1290" s="10"/>
      <c r="I1290" s="39"/>
      <c r="J1290" s="103"/>
      <c r="K1290" s="39"/>
      <c r="L1290" s="78"/>
      <c r="M1290" s="19"/>
      <c r="N1290" s="10"/>
    </row>
    <row r="1291" spans="7:14" x14ac:dyDescent="0.75">
      <c r="G1291" s="10"/>
      <c r="H1291" s="10"/>
      <c r="I1291" s="39"/>
      <c r="J1291" s="103"/>
      <c r="K1291" s="39"/>
      <c r="L1291" s="78"/>
      <c r="M1291" s="19"/>
      <c r="N1291" s="10"/>
    </row>
    <row r="1292" spans="7:14" x14ac:dyDescent="0.75">
      <c r="G1292" s="10"/>
      <c r="H1292" s="10"/>
      <c r="I1292" s="39"/>
      <c r="J1292" s="103"/>
      <c r="K1292" s="39"/>
      <c r="L1292" s="10"/>
      <c r="M1292" s="19"/>
      <c r="N1292" s="10"/>
    </row>
    <row r="1293" spans="7:14" x14ac:dyDescent="0.75">
      <c r="G1293" s="10"/>
      <c r="H1293" s="10"/>
      <c r="I1293" s="39"/>
      <c r="J1293" s="103"/>
      <c r="K1293" s="39"/>
      <c r="L1293" s="78"/>
      <c r="M1293" s="19"/>
      <c r="N1293" s="10"/>
    </row>
    <row r="1294" spans="7:14" x14ac:dyDescent="0.75">
      <c r="G1294" s="10"/>
      <c r="H1294" s="10"/>
      <c r="I1294" s="39"/>
      <c r="J1294" s="103"/>
      <c r="K1294" s="39"/>
      <c r="L1294" s="78"/>
      <c r="M1294" s="19"/>
      <c r="N1294" s="10"/>
    </row>
    <row r="1295" spans="7:14" x14ac:dyDescent="0.75">
      <c r="G1295" s="10"/>
      <c r="H1295" s="10"/>
      <c r="I1295" s="39"/>
      <c r="J1295" s="103"/>
      <c r="K1295" s="39"/>
      <c r="L1295" s="78"/>
      <c r="M1295" s="19"/>
      <c r="N1295" s="10"/>
    </row>
    <row r="1296" spans="7:14" x14ac:dyDescent="0.75">
      <c r="G1296" s="10"/>
      <c r="H1296" s="10"/>
      <c r="I1296" s="39"/>
      <c r="J1296" s="103"/>
      <c r="K1296" s="39"/>
      <c r="L1296" s="78"/>
      <c r="M1296" s="19"/>
      <c r="N1296" s="10"/>
    </row>
    <row r="1297" spans="7:14" x14ac:dyDescent="0.75">
      <c r="G1297" s="10"/>
      <c r="H1297" s="10"/>
      <c r="I1297" s="39"/>
      <c r="J1297" s="103"/>
      <c r="K1297" s="39"/>
      <c r="L1297" s="78"/>
      <c r="M1297" s="19"/>
      <c r="N1297" s="10"/>
    </row>
    <row r="1298" spans="7:14" x14ac:dyDescent="0.75">
      <c r="G1298" s="10"/>
      <c r="H1298" s="10"/>
      <c r="I1298" s="39"/>
      <c r="J1298" s="103"/>
      <c r="K1298" s="39"/>
      <c r="L1298" s="78"/>
      <c r="M1298" s="19"/>
      <c r="N1298" s="10"/>
    </row>
    <row r="1299" spans="7:14" x14ac:dyDescent="0.75">
      <c r="G1299" s="10"/>
      <c r="H1299" s="10"/>
      <c r="I1299" s="39"/>
      <c r="J1299" s="103"/>
      <c r="K1299" s="39"/>
      <c r="L1299" s="78"/>
      <c r="M1299" s="19"/>
      <c r="N1299" s="10"/>
    </row>
    <row r="1300" spans="7:14" x14ac:dyDescent="0.75">
      <c r="G1300" s="10"/>
      <c r="H1300" s="10"/>
      <c r="I1300" s="39"/>
      <c r="J1300" s="103"/>
      <c r="K1300" s="39"/>
      <c r="L1300" s="78"/>
      <c r="M1300" s="19"/>
      <c r="N1300" s="10"/>
    </row>
    <row r="1301" spans="7:14" x14ac:dyDescent="0.75">
      <c r="G1301" s="10"/>
      <c r="H1301" s="10"/>
      <c r="I1301" s="39"/>
      <c r="J1301" s="103"/>
      <c r="K1301" s="39"/>
      <c r="L1301" s="78"/>
      <c r="M1301" s="19"/>
      <c r="N1301" s="10"/>
    </row>
    <row r="1302" spans="7:14" x14ac:dyDescent="0.75">
      <c r="G1302" s="10"/>
      <c r="H1302" s="10"/>
      <c r="I1302" s="39"/>
      <c r="J1302" s="103"/>
      <c r="K1302" s="39"/>
      <c r="L1302" s="78"/>
      <c r="M1302" s="19"/>
      <c r="N1302" s="10"/>
    </row>
    <row r="1303" spans="7:14" x14ac:dyDescent="0.75">
      <c r="G1303" s="10"/>
      <c r="H1303" s="10"/>
      <c r="I1303" s="39"/>
      <c r="J1303" s="103"/>
      <c r="K1303" s="39"/>
      <c r="L1303" s="78"/>
      <c r="M1303" s="19"/>
      <c r="N1303" s="10"/>
    </row>
    <row r="1304" spans="7:14" x14ac:dyDescent="0.75">
      <c r="G1304" s="10"/>
      <c r="H1304" s="10"/>
      <c r="I1304" s="39"/>
      <c r="J1304" s="103"/>
      <c r="K1304" s="39"/>
      <c r="L1304" s="78"/>
      <c r="M1304" s="19"/>
      <c r="N1304" s="10"/>
    </row>
    <row r="1305" spans="7:14" x14ac:dyDescent="0.75">
      <c r="G1305" s="10"/>
      <c r="H1305" s="10"/>
      <c r="I1305" s="39"/>
      <c r="J1305" s="103"/>
      <c r="K1305" s="39"/>
      <c r="L1305" s="78"/>
      <c r="M1305" s="19"/>
      <c r="N1305" s="10"/>
    </row>
    <row r="1306" spans="7:14" x14ac:dyDescent="0.75">
      <c r="G1306" s="10"/>
      <c r="H1306" s="10"/>
      <c r="I1306" s="39"/>
      <c r="J1306" s="103"/>
      <c r="K1306" s="39"/>
      <c r="L1306" s="78"/>
      <c r="M1306" s="19"/>
      <c r="N1306" s="10"/>
    </row>
    <row r="1307" spans="7:14" x14ac:dyDescent="0.75">
      <c r="G1307" s="10"/>
      <c r="H1307" s="10"/>
      <c r="I1307" s="39"/>
      <c r="J1307" s="103"/>
      <c r="K1307" s="39"/>
      <c r="L1307" s="78"/>
      <c r="M1307" s="19"/>
      <c r="N1307" s="10"/>
    </row>
    <row r="1308" spans="7:14" x14ac:dyDescent="0.75">
      <c r="G1308" s="10"/>
      <c r="H1308" s="10"/>
      <c r="I1308" s="39"/>
      <c r="J1308" s="103"/>
      <c r="K1308" s="39"/>
      <c r="L1308" s="78"/>
      <c r="M1308" s="19"/>
      <c r="N1308" s="10"/>
    </row>
    <row r="1309" spans="7:14" x14ac:dyDescent="0.75">
      <c r="G1309" s="10"/>
      <c r="H1309" s="10"/>
      <c r="I1309" s="39"/>
      <c r="J1309" s="103"/>
      <c r="K1309" s="39"/>
      <c r="L1309" s="78"/>
      <c r="M1309" s="19"/>
      <c r="N1309" s="10"/>
    </row>
    <row r="1310" spans="7:14" x14ac:dyDescent="0.75">
      <c r="G1310" s="10"/>
      <c r="H1310" s="10"/>
      <c r="I1310" s="39"/>
      <c r="J1310" s="103"/>
      <c r="K1310" s="39"/>
      <c r="L1310" s="78"/>
      <c r="M1310" s="19"/>
      <c r="N1310" s="10"/>
    </row>
    <row r="1311" spans="7:14" x14ac:dyDescent="0.75">
      <c r="G1311" s="10"/>
      <c r="H1311" s="10"/>
      <c r="I1311" s="39"/>
      <c r="J1311" s="103"/>
      <c r="K1311" s="39"/>
      <c r="L1311" s="78"/>
      <c r="M1311" s="19"/>
      <c r="N1311" s="10"/>
    </row>
    <row r="1312" spans="7:14" x14ac:dyDescent="0.75">
      <c r="G1312" s="10"/>
      <c r="H1312" s="10"/>
      <c r="I1312" s="39"/>
      <c r="J1312" s="103"/>
      <c r="K1312" s="39"/>
      <c r="L1312" s="78"/>
      <c r="M1312" s="19"/>
      <c r="N1312" s="10"/>
    </row>
    <row r="1313" spans="7:14" x14ac:dyDescent="0.75">
      <c r="G1313" s="10"/>
      <c r="H1313" s="10"/>
      <c r="I1313" s="39"/>
      <c r="J1313" s="103"/>
      <c r="K1313" s="39"/>
      <c r="L1313" s="78"/>
      <c r="M1313" s="19"/>
      <c r="N1313" s="10"/>
    </row>
    <row r="1314" spans="7:14" x14ac:dyDescent="0.75">
      <c r="G1314" s="10"/>
      <c r="H1314" s="10"/>
      <c r="I1314" s="39"/>
      <c r="J1314" s="103"/>
      <c r="K1314" s="39"/>
      <c r="L1314" s="78"/>
      <c r="M1314" s="19"/>
      <c r="N1314" s="10"/>
    </row>
    <row r="1315" spans="7:14" x14ac:dyDescent="0.75">
      <c r="G1315" s="10"/>
      <c r="H1315" s="10"/>
      <c r="I1315" s="39"/>
      <c r="J1315" s="103"/>
      <c r="K1315" s="39"/>
      <c r="L1315" s="78"/>
      <c r="M1315" s="19"/>
      <c r="N1315" s="10"/>
    </row>
    <row r="1316" spans="7:14" x14ac:dyDescent="0.75">
      <c r="G1316" s="10"/>
      <c r="H1316" s="10"/>
      <c r="I1316" s="39"/>
      <c r="J1316" s="103"/>
      <c r="K1316" s="39"/>
      <c r="L1316" s="78"/>
      <c r="M1316" s="19"/>
      <c r="N1316" s="10"/>
    </row>
    <row r="1317" spans="7:14" x14ac:dyDescent="0.75">
      <c r="G1317" s="10"/>
      <c r="H1317" s="10"/>
      <c r="I1317" s="39"/>
      <c r="J1317" s="103"/>
      <c r="K1317" s="39"/>
      <c r="L1317" s="78"/>
      <c r="M1317" s="19"/>
      <c r="N1317" s="10"/>
    </row>
    <row r="1318" spans="7:14" x14ac:dyDescent="0.75">
      <c r="G1318" s="10"/>
      <c r="H1318" s="10"/>
      <c r="I1318" s="39"/>
      <c r="J1318" s="103"/>
      <c r="K1318" s="39"/>
      <c r="L1318" s="78"/>
      <c r="M1318" s="19"/>
      <c r="N1318" s="10"/>
    </row>
    <row r="1319" spans="7:14" x14ac:dyDescent="0.75">
      <c r="G1319" s="10"/>
      <c r="H1319" s="10"/>
      <c r="I1319" s="39"/>
      <c r="J1319" s="103"/>
      <c r="K1319" s="39"/>
      <c r="L1319" s="78"/>
      <c r="M1319" s="19"/>
      <c r="N1319" s="10"/>
    </row>
    <row r="1320" spans="7:14" x14ac:dyDescent="0.75">
      <c r="G1320" s="10"/>
      <c r="H1320" s="10"/>
      <c r="I1320" s="39"/>
      <c r="J1320" s="103"/>
      <c r="K1320" s="39"/>
      <c r="L1320" s="78"/>
      <c r="M1320" s="19"/>
      <c r="N1320" s="10"/>
    </row>
    <row r="1321" spans="7:14" x14ac:dyDescent="0.75">
      <c r="G1321" s="10"/>
      <c r="H1321" s="10"/>
      <c r="I1321" s="39"/>
      <c r="J1321" s="103"/>
      <c r="K1321" s="39"/>
      <c r="L1321" s="78"/>
      <c r="M1321" s="19"/>
      <c r="N1321" s="10"/>
    </row>
    <row r="1322" spans="7:14" x14ac:dyDescent="0.75">
      <c r="G1322" s="10"/>
      <c r="H1322" s="10"/>
      <c r="I1322" s="39"/>
      <c r="J1322" s="103"/>
      <c r="K1322" s="39"/>
      <c r="L1322" s="10"/>
      <c r="M1322" s="19"/>
      <c r="N1322" s="10"/>
    </row>
    <row r="1323" spans="7:14" x14ac:dyDescent="0.75">
      <c r="G1323" s="10"/>
      <c r="H1323" s="10"/>
      <c r="I1323" s="39"/>
      <c r="J1323" s="103"/>
      <c r="K1323" s="39"/>
      <c r="L1323" s="78"/>
      <c r="M1323" s="19"/>
      <c r="N1323" s="10"/>
    </row>
    <row r="1324" spans="7:14" x14ac:dyDescent="0.75">
      <c r="G1324" s="10"/>
      <c r="H1324" s="10"/>
      <c r="I1324" s="39"/>
      <c r="J1324" s="103"/>
      <c r="K1324" s="39"/>
      <c r="L1324" s="78"/>
      <c r="M1324" s="19"/>
      <c r="N1324" s="10"/>
    </row>
    <row r="1325" spans="7:14" x14ac:dyDescent="0.75">
      <c r="G1325" s="10"/>
      <c r="H1325" s="10"/>
      <c r="I1325" s="39"/>
      <c r="J1325" s="103"/>
      <c r="K1325" s="39"/>
      <c r="L1325" s="78"/>
      <c r="M1325" s="19"/>
      <c r="N1325" s="10"/>
    </row>
    <row r="1326" spans="7:14" x14ac:dyDescent="0.75">
      <c r="G1326" s="10"/>
      <c r="H1326" s="10"/>
      <c r="I1326" s="39"/>
      <c r="J1326" s="103"/>
      <c r="K1326" s="39"/>
      <c r="L1326" s="78"/>
      <c r="M1326" s="19"/>
      <c r="N1326" s="10"/>
    </row>
    <row r="1327" spans="7:14" x14ac:dyDescent="0.75">
      <c r="G1327" s="10"/>
      <c r="H1327" s="10"/>
      <c r="I1327" s="39"/>
      <c r="J1327" s="103"/>
      <c r="K1327" s="39"/>
      <c r="L1327" s="78"/>
      <c r="M1327" s="19"/>
      <c r="N1327" s="10"/>
    </row>
    <row r="1328" spans="7:14" x14ac:dyDescent="0.75">
      <c r="G1328" s="10"/>
      <c r="H1328" s="10"/>
      <c r="I1328" s="39"/>
      <c r="J1328" s="103"/>
      <c r="K1328" s="39"/>
      <c r="L1328" s="78"/>
      <c r="M1328" s="19"/>
      <c r="N1328" s="10"/>
    </row>
    <row r="1329" spans="7:14" x14ac:dyDescent="0.75">
      <c r="G1329" s="10"/>
      <c r="H1329" s="10"/>
      <c r="I1329" s="39"/>
      <c r="J1329" s="103"/>
      <c r="K1329" s="39"/>
      <c r="L1329" s="78"/>
      <c r="M1329" s="19"/>
      <c r="N1329" s="10"/>
    </row>
    <row r="1330" spans="7:14" x14ac:dyDescent="0.75">
      <c r="G1330" s="10"/>
      <c r="H1330" s="10"/>
      <c r="I1330" s="39"/>
      <c r="J1330" s="103"/>
      <c r="K1330" s="39"/>
      <c r="L1330" s="78"/>
      <c r="M1330" s="19"/>
      <c r="N1330" s="10"/>
    </row>
    <row r="1331" spans="7:14" x14ac:dyDescent="0.75">
      <c r="G1331" s="10"/>
      <c r="H1331" s="10"/>
      <c r="I1331" s="39"/>
      <c r="J1331" s="103"/>
      <c r="K1331" s="39"/>
      <c r="L1331" s="78"/>
      <c r="M1331" s="19"/>
      <c r="N1331" s="10"/>
    </row>
    <row r="1332" spans="7:14" x14ac:dyDescent="0.75">
      <c r="G1332" s="10"/>
      <c r="H1332" s="10"/>
      <c r="I1332" s="39"/>
      <c r="J1332" s="103"/>
      <c r="K1332" s="39"/>
      <c r="L1332" s="78"/>
      <c r="M1332" s="19"/>
      <c r="N1332" s="10"/>
    </row>
    <row r="1333" spans="7:14" x14ac:dyDescent="0.75">
      <c r="G1333" s="10"/>
      <c r="H1333" s="10"/>
      <c r="I1333" s="39"/>
      <c r="J1333" s="103"/>
      <c r="K1333" s="39"/>
      <c r="L1333" s="78"/>
      <c r="M1333" s="19"/>
      <c r="N1333" s="10"/>
    </row>
    <row r="1334" spans="7:14" x14ac:dyDescent="0.75">
      <c r="G1334" s="10"/>
      <c r="H1334" s="10"/>
      <c r="I1334" s="39"/>
      <c r="J1334" s="103"/>
      <c r="K1334" s="39"/>
      <c r="L1334" s="78"/>
      <c r="M1334" s="19"/>
      <c r="N1334" s="10"/>
    </row>
    <row r="1335" spans="7:14" x14ac:dyDescent="0.75">
      <c r="G1335" s="10"/>
      <c r="H1335" s="10"/>
      <c r="I1335" s="39"/>
      <c r="J1335" s="103"/>
      <c r="K1335" s="39"/>
      <c r="L1335" s="78"/>
      <c r="M1335" s="19"/>
      <c r="N1335" s="10"/>
    </row>
    <row r="1336" spans="7:14" x14ac:dyDescent="0.75">
      <c r="G1336" s="10"/>
      <c r="H1336" s="10"/>
      <c r="I1336" s="39"/>
      <c r="J1336" s="103"/>
      <c r="K1336" s="39"/>
      <c r="L1336" s="78"/>
      <c r="M1336" s="19"/>
      <c r="N1336" s="10"/>
    </row>
    <row r="1337" spans="7:14" x14ac:dyDescent="0.75">
      <c r="G1337" s="10"/>
      <c r="H1337" s="10"/>
      <c r="I1337" s="39"/>
      <c r="J1337" s="103"/>
      <c r="K1337" s="39"/>
      <c r="L1337" s="78"/>
      <c r="M1337" s="19"/>
      <c r="N1337" s="10"/>
    </row>
    <row r="1338" spans="7:14" x14ac:dyDescent="0.75">
      <c r="G1338" s="10"/>
      <c r="H1338" s="10"/>
      <c r="I1338" s="39"/>
      <c r="J1338" s="103"/>
      <c r="K1338" s="39"/>
      <c r="L1338" s="78"/>
      <c r="M1338" s="19"/>
      <c r="N1338" s="10"/>
    </row>
    <row r="1339" spans="7:14" x14ac:dyDescent="0.75">
      <c r="G1339" s="10"/>
      <c r="H1339" s="10"/>
      <c r="I1339" s="39"/>
      <c r="J1339" s="103"/>
      <c r="K1339" s="39"/>
      <c r="L1339" s="78"/>
      <c r="M1339" s="19"/>
      <c r="N1339" s="10"/>
    </row>
    <row r="1340" spans="7:14" x14ac:dyDescent="0.75">
      <c r="G1340" s="10"/>
      <c r="H1340" s="10"/>
      <c r="I1340" s="39"/>
      <c r="J1340" s="103"/>
      <c r="K1340" s="39"/>
      <c r="L1340" s="78"/>
      <c r="M1340" s="19"/>
      <c r="N1340" s="10"/>
    </row>
    <row r="1341" spans="7:14" x14ac:dyDescent="0.75">
      <c r="G1341" s="10"/>
      <c r="H1341" s="10"/>
      <c r="I1341" s="39"/>
      <c r="J1341" s="103"/>
      <c r="K1341" s="39"/>
      <c r="L1341" s="78"/>
      <c r="M1341" s="19"/>
      <c r="N1341" s="10"/>
    </row>
    <row r="1342" spans="7:14" x14ac:dyDescent="0.75">
      <c r="G1342" s="10"/>
      <c r="H1342" s="10"/>
      <c r="I1342" s="39"/>
      <c r="J1342" s="103"/>
      <c r="K1342" s="39"/>
      <c r="L1342" s="78"/>
      <c r="M1342" s="19"/>
      <c r="N1342" s="10"/>
    </row>
    <row r="1343" spans="7:14" x14ac:dyDescent="0.75">
      <c r="G1343" s="10"/>
      <c r="H1343" s="10"/>
      <c r="I1343" s="39"/>
      <c r="J1343" s="103"/>
      <c r="K1343" s="39"/>
      <c r="L1343" s="78"/>
      <c r="M1343" s="19"/>
      <c r="N1343" s="10"/>
    </row>
    <row r="1344" spans="7:14" x14ac:dyDescent="0.75">
      <c r="G1344" s="10"/>
      <c r="H1344" s="10"/>
      <c r="I1344" s="39"/>
      <c r="J1344" s="103"/>
      <c r="K1344" s="39"/>
      <c r="L1344" s="78"/>
      <c r="M1344" s="19"/>
      <c r="N1344" s="10"/>
    </row>
    <row r="1345" spans="7:14" x14ac:dyDescent="0.75">
      <c r="G1345" s="10"/>
      <c r="H1345" s="10"/>
      <c r="I1345" s="39"/>
      <c r="J1345" s="103"/>
      <c r="K1345" s="39"/>
      <c r="L1345" s="78"/>
      <c r="M1345" s="19"/>
      <c r="N1345" s="10"/>
    </row>
    <row r="1346" spans="7:14" x14ac:dyDescent="0.75">
      <c r="G1346" s="10"/>
      <c r="H1346" s="10"/>
      <c r="I1346" s="39"/>
      <c r="J1346" s="103"/>
      <c r="K1346" s="39"/>
      <c r="L1346" s="78"/>
      <c r="M1346" s="19"/>
      <c r="N1346" s="10"/>
    </row>
    <row r="1347" spans="7:14" x14ac:dyDescent="0.75">
      <c r="G1347" s="10"/>
      <c r="H1347" s="10"/>
      <c r="I1347" s="39"/>
      <c r="J1347" s="103"/>
      <c r="K1347" s="39"/>
      <c r="L1347" s="78"/>
      <c r="M1347" s="19"/>
      <c r="N1347" s="10"/>
    </row>
    <row r="1348" spans="7:14" x14ac:dyDescent="0.75">
      <c r="G1348" s="10"/>
      <c r="H1348" s="10"/>
      <c r="I1348" s="39"/>
      <c r="J1348" s="103"/>
      <c r="K1348" s="39"/>
      <c r="L1348" s="78"/>
      <c r="M1348" s="19"/>
      <c r="N1348" s="10"/>
    </row>
    <row r="1349" spans="7:14" x14ac:dyDescent="0.75">
      <c r="G1349" s="10"/>
      <c r="H1349" s="10"/>
      <c r="I1349" s="39"/>
      <c r="J1349" s="103"/>
      <c r="K1349" s="39"/>
      <c r="L1349" s="78"/>
      <c r="M1349" s="19"/>
      <c r="N1349" s="10"/>
    </row>
    <row r="1350" spans="7:14" x14ac:dyDescent="0.75">
      <c r="G1350" s="10"/>
      <c r="H1350" s="10"/>
      <c r="I1350" s="39"/>
      <c r="J1350" s="103"/>
      <c r="K1350" s="39"/>
      <c r="L1350" s="78"/>
      <c r="M1350" s="19"/>
      <c r="N1350" s="10"/>
    </row>
    <row r="1351" spans="7:14" x14ac:dyDescent="0.75">
      <c r="G1351" s="10"/>
      <c r="H1351" s="10"/>
      <c r="I1351" s="39"/>
      <c r="J1351" s="103"/>
      <c r="K1351" s="39"/>
      <c r="L1351" s="78"/>
      <c r="M1351" s="19"/>
      <c r="N1351" s="10"/>
    </row>
    <row r="1352" spans="7:14" x14ac:dyDescent="0.75">
      <c r="G1352" s="10"/>
      <c r="H1352" s="10"/>
      <c r="I1352" s="39"/>
      <c r="J1352" s="103"/>
      <c r="K1352" s="39"/>
      <c r="L1352" s="78"/>
      <c r="M1352" s="19"/>
      <c r="N1352" s="10"/>
    </row>
    <row r="1353" spans="7:14" x14ac:dyDescent="0.75">
      <c r="G1353" s="10"/>
      <c r="H1353" s="10"/>
      <c r="I1353" s="39"/>
      <c r="J1353" s="103"/>
      <c r="K1353" s="39"/>
      <c r="L1353" s="78"/>
      <c r="M1353" s="19"/>
      <c r="N1353" s="10"/>
    </row>
    <row r="1354" spans="7:14" x14ac:dyDescent="0.75">
      <c r="G1354" s="10"/>
      <c r="H1354" s="10"/>
      <c r="I1354" s="39"/>
      <c r="J1354" s="103"/>
      <c r="K1354" s="39"/>
      <c r="L1354" s="78"/>
      <c r="M1354" s="19"/>
      <c r="N1354" s="10"/>
    </row>
    <row r="1355" spans="7:14" x14ac:dyDescent="0.75">
      <c r="G1355" s="10"/>
      <c r="H1355" s="10"/>
      <c r="I1355" s="39"/>
      <c r="J1355" s="103"/>
      <c r="K1355" s="39"/>
      <c r="L1355" s="78"/>
      <c r="M1355" s="19"/>
      <c r="N1355" s="10"/>
    </row>
    <row r="1356" spans="7:14" x14ac:dyDescent="0.75">
      <c r="G1356" s="10"/>
      <c r="H1356" s="10"/>
      <c r="I1356" s="39"/>
      <c r="J1356" s="103"/>
      <c r="K1356" s="39"/>
      <c r="L1356" s="78"/>
      <c r="M1356" s="19"/>
      <c r="N1356" s="10"/>
    </row>
    <row r="1357" spans="7:14" x14ac:dyDescent="0.75">
      <c r="G1357" s="10"/>
      <c r="H1357" s="10"/>
      <c r="I1357" s="39"/>
      <c r="J1357" s="103"/>
      <c r="K1357" s="39"/>
      <c r="L1357" s="78"/>
      <c r="M1357" s="19"/>
      <c r="N1357" s="10"/>
    </row>
    <row r="1358" spans="7:14" x14ac:dyDescent="0.75">
      <c r="G1358" s="10"/>
      <c r="H1358" s="10"/>
      <c r="I1358" s="39"/>
      <c r="J1358" s="103"/>
      <c r="K1358" s="39"/>
      <c r="L1358" s="78"/>
      <c r="M1358" s="19"/>
      <c r="N1358" s="10"/>
    </row>
    <row r="1359" spans="7:14" x14ac:dyDescent="0.75">
      <c r="G1359" s="10"/>
      <c r="H1359" s="10"/>
      <c r="I1359" s="39"/>
      <c r="J1359" s="103"/>
      <c r="K1359" s="39"/>
      <c r="L1359" s="78"/>
      <c r="M1359" s="19"/>
      <c r="N1359" s="10"/>
    </row>
    <row r="1360" spans="7:14" x14ac:dyDescent="0.75">
      <c r="G1360" s="10"/>
      <c r="H1360" s="10"/>
      <c r="I1360" s="39"/>
      <c r="J1360" s="103"/>
      <c r="K1360" s="39"/>
      <c r="L1360" s="78"/>
      <c r="M1360" s="19"/>
      <c r="N1360" s="10"/>
    </row>
    <row r="1361" spans="7:14" x14ac:dyDescent="0.75">
      <c r="G1361" s="10"/>
      <c r="H1361" s="10"/>
      <c r="I1361" s="39"/>
      <c r="J1361" s="103"/>
      <c r="K1361" s="39"/>
      <c r="L1361" s="78"/>
      <c r="M1361" s="19"/>
      <c r="N1361" s="10"/>
    </row>
    <row r="1362" spans="7:14" x14ac:dyDescent="0.75">
      <c r="G1362" s="10"/>
      <c r="H1362" s="10"/>
      <c r="I1362" s="39"/>
      <c r="J1362" s="103"/>
      <c r="K1362" s="39"/>
      <c r="L1362" s="78"/>
      <c r="M1362" s="19"/>
      <c r="N1362" s="10"/>
    </row>
    <row r="1363" spans="7:14" x14ac:dyDescent="0.75">
      <c r="G1363" s="10"/>
      <c r="H1363" s="10"/>
      <c r="I1363" s="39"/>
      <c r="J1363" s="103"/>
      <c r="K1363" s="39"/>
      <c r="L1363" s="78"/>
      <c r="M1363" s="19"/>
      <c r="N1363" s="10"/>
    </row>
    <row r="1364" spans="7:14" x14ac:dyDescent="0.75">
      <c r="G1364" s="10"/>
      <c r="H1364" s="10"/>
      <c r="I1364" s="39"/>
      <c r="J1364" s="103"/>
      <c r="K1364" s="39"/>
      <c r="L1364" s="78"/>
      <c r="M1364" s="19"/>
      <c r="N1364" s="10"/>
    </row>
    <row r="1365" spans="7:14" x14ac:dyDescent="0.75">
      <c r="G1365" s="10"/>
      <c r="H1365" s="10"/>
      <c r="I1365" s="39"/>
      <c r="J1365" s="103"/>
      <c r="K1365" s="39"/>
      <c r="L1365" s="10"/>
      <c r="M1365" s="19"/>
      <c r="N1365" s="10"/>
    </row>
    <row r="1366" spans="7:14" x14ac:dyDescent="0.75">
      <c r="G1366" s="10"/>
      <c r="H1366" s="10"/>
      <c r="I1366" s="39"/>
      <c r="J1366" s="103"/>
      <c r="K1366" s="39"/>
      <c r="L1366" s="10"/>
      <c r="M1366" s="19"/>
      <c r="N1366" s="10"/>
    </row>
    <row r="1367" spans="7:14" x14ac:dyDescent="0.75">
      <c r="G1367" s="10"/>
      <c r="H1367" s="10"/>
      <c r="I1367" s="39"/>
      <c r="J1367" s="103"/>
      <c r="K1367" s="39"/>
      <c r="L1367" s="10"/>
      <c r="M1367" s="19"/>
      <c r="N1367" s="10"/>
    </row>
    <row r="1368" spans="7:14" x14ac:dyDescent="0.75">
      <c r="G1368" s="10"/>
      <c r="H1368" s="10"/>
      <c r="I1368" s="39"/>
      <c r="J1368" s="103"/>
      <c r="K1368" s="39"/>
      <c r="L1368" s="78"/>
      <c r="M1368" s="19"/>
      <c r="N1368" s="10"/>
    </row>
    <row r="1369" spans="7:14" x14ac:dyDescent="0.75">
      <c r="G1369" s="10"/>
      <c r="H1369" s="10"/>
      <c r="I1369" s="39"/>
      <c r="J1369" s="103"/>
      <c r="K1369" s="39"/>
      <c r="L1369" s="78"/>
      <c r="M1369" s="19"/>
      <c r="N1369" s="10"/>
    </row>
    <row r="1370" spans="7:14" x14ac:dyDescent="0.75">
      <c r="G1370" s="10"/>
      <c r="H1370" s="10"/>
      <c r="I1370" s="39"/>
      <c r="J1370" s="103"/>
      <c r="K1370" s="39"/>
      <c r="L1370" s="78"/>
      <c r="M1370" s="19"/>
      <c r="N1370" s="10"/>
    </row>
    <row r="1371" spans="7:14" x14ac:dyDescent="0.75">
      <c r="G1371" s="10"/>
      <c r="H1371" s="10"/>
      <c r="I1371" s="39"/>
      <c r="J1371" s="103"/>
      <c r="K1371" s="39"/>
      <c r="L1371" s="78"/>
      <c r="M1371" s="19"/>
      <c r="N1371" s="10"/>
    </row>
    <row r="1372" spans="7:14" x14ac:dyDescent="0.75">
      <c r="G1372" s="10"/>
      <c r="H1372" s="10"/>
      <c r="I1372" s="39"/>
      <c r="J1372" s="103"/>
      <c r="K1372" s="39"/>
      <c r="L1372" s="78"/>
      <c r="M1372" s="19"/>
      <c r="N1372" s="10"/>
    </row>
    <row r="1373" spans="7:14" x14ac:dyDescent="0.75">
      <c r="G1373" s="10"/>
      <c r="H1373" s="10"/>
      <c r="I1373" s="39"/>
      <c r="J1373" s="103"/>
      <c r="K1373" s="39"/>
      <c r="L1373" s="78"/>
      <c r="M1373" s="19"/>
      <c r="N1373" s="10"/>
    </row>
    <row r="1374" spans="7:14" x14ac:dyDescent="0.75">
      <c r="G1374" s="10"/>
      <c r="H1374" s="10"/>
      <c r="I1374" s="39"/>
      <c r="J1374" s="103"/>
      <c r="K1374" s="39"/>
      <c r="L1374" s="78"/>
      <c r="M1374" s="19"/>
      <c r="N1374" s="10"/>
    </row>
    <row r="1375" spans="7:14" x14ac:dyDescent="0.75">
      <c r="G1375" s="10"/>
      <c r="H1375" s="10"/>
      <c r="I1375" s="39"/>
      <c r="J1375" s="103"/>
      <c r="K1375" s="39"/>
      <c r="L1375" s="78"/>
      <c r="M1375" s="19"/>
      <c r="N1375" s="10"/>
    </row>
    <row r="1376" spans="7:14" x14ac:dyDescent="0.75">
      <c r="G1376" s="10"/>
      <c r="H1376" s="10"/>
      <c r="I1376" s="39"/>
      <c r="J1376" s="103"/>
      <c r="K1376" s="39"/>
      <c r="L1376" s="78"/>
      <c r="M1376" s="19"/>
      <c r="N1376" s="10"/>
    </row>
    <row r="1377" spans="7:14" x14ac:dyDescent="0.75">
      <c r="G1377" s="10"/>
      <c r="H1377" s="10"/>
      <c r="I1377" s="39"/>
      <c r="J1377" s="103"/>
      <c r="K1377" s="39"/>
      <c r="L1377" s="10"/>
      <c r="M1377" s="19"/>
      <c r="N1377" s="10"/>
    </row>
    <row r="1378" spans="7:14" x14ac:dyDescent="0.75">
      <c r="G1378" s="10"/>
      <c r="H1378" s="10"/>
      <c r="I1378" s="39"/>
      <c r="J1378" s="103"/>
      <c r="K1378" s="39"/>
      <c r="L1378" s="78"/>
      <c r="M1378" s="19"/>
      <c r="N1378" s="10"/>
    </row>
    <row r="1379" spans="7:14" x14ac:dyDescent="0.75">
      <c r="G1379" s="10"/>
      <c r="H1379" s="10"/>
      <c r="I1379" s="39"/>
      <c r="J1379" s="103"/>
      <c r="K1379" s="39"/>
      <c r="L1379" s="78"/>
      <c r="M1379" s="19"/>
      <c r="N1379" s="10"/>
    </row>
    <row r="1380" spans="7:14" x14ac:dyDescent="0.75">
      <c r="G1380" s="10"/>
      <c r="H1380" s="10"/>
      <c r="I1380" s="39"/>
      <c r="J1380" s="103"/>
      <c r="K1380" s="39"/>
      <c r="L1380" s="78"/>
      <c r="M1380" s="19"/>
      <c r="N1380" s="10"/>
    </row>
    <row r="1381" spans="7:14" x14ac:dyDescent="0.75">
      <c r="G1381" s="10"/>
      <c r="H1381" s="10"/>
      <c r="I1381" s="39"/>
      <c r="J1381" s="103"/>
      <c r="K1381" s="39"/>
      <c r="L1381" s="78"/>
      <c r="M1381" s="19"/>
      <c r="N1381" s="10"/>
    </row>
    <row r="1382" spans="7:14" x14ac:dyDescent="0.75">
      <c r="G1382" s="10"/>
      <c r="H1382" s="10"/>
      <c r="I1382" s="39"/>
      <c r="J1382" s="103"/>
      <c r="K1382" s="39"/>
      <c r="L1382" s="78"/>
      <c r="M1382" s="19"/>
      <c r="N1382" s="10"/>
    </row>
    <row r="1383" spans="7:14" x14ac:dyDescent="0.75">
      <c r="G1383" s="10"/>
      <c r="H1383" s="10"/>
      <c r="I1383" s="39"/>
      <c r="J1383" s="103"/>
      <c r="K1383" s="39"/>
      <c r="L1383" s="78"/>
      <c r="M1383" s="19"/>
      <c r="N1383" s="10"/>
    </row>
    <row r="1384" spans="7:14" x14ac:dyDescent="0.75">
      <c r="G1384" s="10"/>
      <c r="H1384" s="10"/>
      <c r="I1384" s="39"/>
      <c r="J1384" s="103"/>
      <c r="K1384" s="39"/>
      <c r="L1384" s="78"/>
      <c r="M1384" s="19"/>
      <c r="N1384" s="10"/>
    </row>
    <row r="1385" spans="7:14" x14ac:dyDescent="0.75">
      <c r="G1385" s="10"/>
      <c r="H1385" s="10"/>
      <c r="I1385" s="39"/>
      <c r="J1385" s="103"/>
      <c r="K1385" s="39"/>
      <c r="L1385" s="78"/>
      <c r="M1385" s="19"/>
      <c r="N1385" s="10"/>
    </row>
    <row r="1386" spans="7:14" x14ac:dyDescent="0.75">
      <c r="G1386" s="10"/>
      <c r="H1386" s="10"/>
      <c r="I1386" s="39"/>
      <c r="J1386" s="103"/>
      <c r="K1386" s="39"/>
      <c r="L1386" s="78"/>
      <c r="M1386" s="19"/>
      <c r="N1386" s="10"/>
    </row>
    <row r="1387" spans="7:14" x14ac:dyDescent="0.75">
      <c r="G1387" s="10"/>
      <c r="H1387" s="10"/>
      <c r="I1387" s="39"/>
      <c r="J1387" s="103"/>
      <c r="K1387" s="39"/>
      <c r="L1387" s="78"/>
      <c r="M1387" s="19"/>
      <c r="N1387" s="10"/>
    </row>
    <row r="1388" spans="7:14" x14ac:dyDescent="0.75">
      <c r="G1388" s="10"/>
      <c r="H1388" s="10"/>
      <c r="I1388" s="39"/>
      <c r="J1388" s="103"/>
      <c r="K1388" s="39"/>
      <c r="L1388" s="78"/>
      <c r="M1388" s="19"/>
      <c r="N1388" s="10"/>
    </row>
    <row r="1389" spans="7:14" x14ac:dyDescent="0.75">
      <c r="G1389" s="10"/>
      <c r="H1389" s="10"/>
      <c r="I1389" s="39"/>
      <c r="J1389" s="103"/>
      <c r="K1389" s="39"/>
      <c r="L1389" s="78"/>
      <c r="M1389" s="19"/>
      <c r="N1389" s="10"/>
    </row>
    <row r="1390" spans="7:14" x14ac:dyDescent="0.75">
      <c r="G1390" s="10"/>
      <c r="H1390" s="10"/>
      <c r="I1390" s="39"/>
      <c r="J1390" s="103"/>
      <c r="K1390" s="39"/>
      <c r="L1390" s="78"/>
      <c r="M1390" s="19"/>
      <c r="N1390" s="10"/>
    </row>
    <row r="1391" spans="7:14" x14ac:dyDescent="0.75">
      <c r="G1391" s="10"/>
      <c r="H1391" s="10"/>
      <c r="I1391" s="39"/>
      <c r="J1391" s="103"/>
      <c r="K1391" s="39"/>
      <c r="L1391" s="78"/>
      <c r="M1391" s="19"/>
      <c r="N1391" s="10"/>
    </row>
    <row r="1392" spans="7:14" x14ac:dyDescent="0.75">
      <c r="G1392" s="10"/>
      <c r="H1392" s="10"/>
      <c r="I1392" s="39"/>
      <c r="J1392" s="103"/>
      <c r="K1392" s="39"/>
      <c r="L1392" s="78"/>
      <c r="M1392" s="19"/>
      <c r="N1392" s="10"/>
    </row>
    <row r="1393" spans="7:14" x14ac:dyDescent="0.75">
      <c r="G1393" s="10"/>
      <c r="H1393" s="10"/>
      <c r="I1393" s="39"/>
      <c r="J1393" s="103"/>
      <c r="K1393" s="39"/>
      <c r="L1393" s="78"/>
      <c r="M1393" s="19"/>
      <c r="N1393" s="10"/>
    </row>
    <row r="1394" spans="7:14" x14ac:dyDescent="0.75">
      <c r="G1394" s="10"/>
      <c r="H1394" s="10"/>
      <c r="I1394" s="39"/>
      <c r="J1394" s="103"/>
      <c r="K1394" s="39"/>
      <c r="L1394" s="78"/>
      <c r="M1394" s="19"/>
      <c r="N1394" s="10"/>
    </row>
    <row r="1395" spans="7:14" x14ac:dyDescent="0.75">
      <c r="G1395" s="10"/>
      <c r="H1395" s="10"/>
      <c r="I1395" s="39"/>
      <c r="J1395" s="103"/>
      <c r="K1395" s="39"/>
      <c r="L1395" s="78"/>
      <c r="M1395" s="19"/>
      <c r="N1395" s="10"/>
    </row>
    <row r="1396" spans="7:14" x14ac:dyDescent="0.75">
      <c r="G1396" s="10"/>
      <c r="H1396" s="10"/>
      <c r="I1396" s="39"/>
      <c r="J1396" s="103"/>
      <c r="K1396" s="39"/>
      <c r="L1396" s="78"/>
      <c r="M1396" s="19"/>
      <c r="N1396" s="10"/>
    </row>
    <row r="1397" spans="7:14" x14ac:dyDescent="0.75">
      <c r="G1397" s="10"/>
      <c r="H1397" s="10"/>
      <c r="I1397" s="39"/>
      <c r="J1397" s="103"/>
      <c r="K1397" s="39"/>
      <c r="L1397" s="78"/>
      <c r="M1397" s="19"/>
      <c r="N1397" s="10"/>
    </row>
    <row r="1398" spans="7:14" x14ac:dyDescent="0.75">
      <c r="G1398" s="10"/>
      <c r="H1398" s="10"/>
      <c r="I1398" s="39"/>
      <c r="J1398" s="103"/>
      <c r="K1398" s="39"/>
      <c r="L1398" s="78"/>
      <c r="M1398" s="19"/>
      <c r="N1398" s="10"/>
    </row>
    <row r="1399" spans="7:14" x14ac:dyDescent="0.75">
      <c r="G1399" s="10"/>
      <c r="H1399" s="10"/>
      <c r="I1399" s="39"/>
      <c r="J1399" s="103"/>
      <c r="K1399" s="39"/>
      <c r="L1399" s="78"/>
      <c r="M1399" s="19"/>
      <c r="N1399" s="10"/>
    </row>
    <row r="1400" spans="7:14" x14ac:dyDescent="0.75">
      <c r="G1400" s="10"/>
      <c r="H1400" s="10"/>
      <c r="I1400" s="39"/>
      <c r="J1400" s="103"/>
      <c r="K1400" s="39"/>
      <c r="L1400" s="78"/>
      <c r="M1400" s="19"/>
      <c r="N1400" s="10"/>
    </row>
    <row r="1401" spans="7:14" x14ac:dyDescent="0.75">
      <c r="G1401" s="10"/>
      <c r="H1401" s="10"/>
      <c r="I1401" s="39"/>
      <c r="J1401" s="103"/>
      <c r="K1401" s="39"/>
      <c r="L1401" s="78"/>
      <c r="M1401" s="19"/>
      <c r="N1401" s="10"/>
    </row>
    <row r="1402" spans="7:14" x14ac:dyDescent="0.75">
      <c r="G1402" s="10"/>
      <c r="H1402" s="10"/>
      <c r="I1402" s="39"/>
      <c r="J1402" s="103"/>
      <c r="K1402" s="39"/>
      <c r="L1402" s="78"/>
      <c r="M1402" s="19"/>
      <c r="N1402" s="10"/>
    </row>
    <row r="1403" spans="7:14" x14ac:dyDescent="0.75">
      <c r="G1403" s="10"/>
      <c r="H1403" s="10"/>
      <c r="I1403" s="39"/>
      <c r="J1403" s="103"/>
      <c r="K1403" s="39"/>
      <c r="L1403" s="78"/>
      <c r="M1403" s="19"/>
      <c r="N1403" s="10"/>
    </row>
    <row r="1404" spans="7:14" x14ac:dyDescent="0.75">
      <c r="G1404" s="10"/>
      <c r="H1404" s="10"/>
      <c r="I1404" s="39"/>
      <c r="J1404" s="103"/>
      <c r="K1404" s="39"/>
      <c r="L1404" s="78"/>
      <c r="M1404" s="19"/>
      <c r="N1404" s="10"/>
    </row>
    <row r="1405" spans="7:14" x14ac:dyDescent="0.75">
      <c r="G1405" s="10"/>
      <c r="H1405" s="10"/>
      <c r="I1405" s="39"/>
      <c r="J1405" s="103"/>
      <c r="K1405" s="39"/>
      <c r="L1405" s="78"/>
      <c r="M1405" s="19"/>
      <c r="N1405" s="10"/>
    </row>
    <row r="1406" spans="7:14" x14ac:dyDescent="0.75">
      <c r="G1406" s="10"/>
      <c r="H1406" s="10"/>
      <c r="I1406" s="39"/>
      <c r="J1406" s="103"/>
      <c r="K1406" s="39"/>
      <c r="L1406" s="78"/>
      <c r="M1406" s="19"/>
      <c r="N1406" s="10"/>
    </row>
    <row r="1407" spans="7:14" x14ac:dyDescent="0.75">
      <c r="G1407" s="10"/>
      <c r="H1407" s="10"/>
      <c r="I1407" s="39"/>
      <c r="J1407" s="103"/>
      <c r="K1407" s="39"/>
      <c r="L1407" s="78"/>
      <c r="M1407" s="19"/>
      <c r="N1407" s="10"/>
    </row>
    <row r="1408" spans="7:14" x14ac:dyDescent="0.75">
      <c r="G1408" s="10"/>
      <c r="H1408" s="10"/>
      <c r="I1408" s="39"/>
      <c r="J1408" s="103"/>
      <c r="K1408" s="39"/>
      <c r="L1408" s="78"/>
      <c r="M1408" s="19"/>
      <c r="N1408" s="10"/>
    </row>
    <row r="1409" spans="7:14" x14ac:dyDescent="0.75">
      <c r="G1409" s="10"/>
      <c r="H1409" s="10"/>
      <c r="I1409" s="39"/>
      <c r="J1409" s="103"/>
      <c r="K1409" s="39"/>
      <c r="L1409" s="78"/>
      <c r="M1409" s="19"/>
      <c r="N1409" s="10"/>
    </row>
    <row r="1410" spans="7:14" x14ac:dyDescent="0.75">
      <c r="G1410" s="10"/>
      <c r="H1410" s="10"/>
      <c r="I1410" s="39"/>
      <c r="J1410" s="103"/>
      <c r="K1410" s="39"/>
      <c r="L1410" s="78"/>
      <c r="M1410" s="19"/>
      <c r="N1410" s="10"/>
    </row>
    <row r="1411" spans="7:14" x14ac:dyDescent="0.75">
      <c r="G1411" s="10"/>
      <c r="H1411" s="10"/>
      <c r="I1411" s="39"/>
      <c r="J1411" s="103"/>
      <c r="K1411" s="39"/>
      <c r="L1411" s="78"/>
      <c r="M1411" s="19"/>
      <c r="N1411" s="10"/>
    </row>
    <row r="1412" spans="7:14" x14ac:dyDescent="0.75">
      <c r="G1412" s="10"/>
      <c r="H1412" s="10"/>
      <c r="I1412" s="39"/>
      <c r="J1412" s="103"/>
      <c r="K1412" s="39"/>
      <c r="L1412" s="78"/>
      <c r="M1412" s="19"/>
      <c r="N1412" s="10"/>
    </row>
    <row r="1413" spans="7:14" x14ac:dyDescent="0.75">
      <c r="G1413" s="10"/>
      <c r="H1413" s="10"/>
      <c r="I1413" s="39"/>
      <c r="J1413" s="103"/>
      <c r="K1413" s="39"/>
      <c r="L1413" s="78"/>
      <c r="M1413" s="19"/>
      <c r="N1413" s="10"/>
    </row>
    <row r="1414" spans="7:14" x14ac:dyDescent="0.75">
      <c r="G1414" s="10"/>
      <c r="H1414" s="10"/>
      <c r="I1414" s="39"/>
      <c r="J1414" s="103"/>
      <c r="K1414" s="39"/>
      <c r="L1414" s="78"/>
      <c r="M1414" s="19"/>
      <c r="N1414" s="10"/>
    </row>
    <row r="1415" spans="7:14" x14ac:dyDescent="0.75">
      <c r="G1415" s="10"/>
      <c r="H1415" s="10"/>
      <c r="I1415" s="39"/>
      <c r="J1415" s="103"/>
      <c r="K1415" s="39"/>
      <c r="L1415" s="78"/>
      <c r="M1415" s="19"/>
      <c r="N1415" s="10"/>
    </row>
    <row r="1416" spans="7:14" x14ac:dyDescent="0.75">
      <c r="G1416" s="10"/>
      <c r="H1416" s="10"/>
      <c r="I1416" s="39"/>
      <c r="J1416" s="103"/>
      <c r="K1416" s="39"/>
      <c r="L1416" s="78"/>
      <c r="M1416" s="19"/>
      <c r="N1416" s="10"/>
    </row>
    <row r="1417" spans="7:14" x14ac:dyDescent="0.75">
      <c r="G1417" s="10"/>
      <c r="H1417" s="10"/>
      <c r="I1417" s="39"/>
      <c r="J1417" s="103"/>
      <c r="K1417" s="39"/>
      <c r="L1417" s="10"/>
      <c r="M1417" s="19"/>
      <c r="N1417" s="10"/>
    </row>
    <row r="1418" spans="7:14" x14ac:dyDescent="0.75">
      <c r="G1418" s="10"/>
      <c r="H1418" s="10"/>
      <c r="I1418" s="39"/>
      <c r="J1418" s="103"/>
      <c r="K1418" s="39"/>
      <c r="L1418" s="78"/>
      <c r="M1418" s="19"/>
      <c r="N1418" s="10"/>
    </row>
    <row r="1419" spans="7:14" x14ac:dyDescent="0.75">
      <c r="G1419" s="10"/>
      <c r="H1419" s="10"/>
      <c r="I1419" s="39"/>
      <c r="J1419" s="103"/>
      <c r="K1419" s="39"/>
      <c r="L1419" s="78"/>
      <c r="M1419" s="19"/>
      <c r="N1419" s="10"/>
    </row>
    <row r="1420" spans="7:14" x14ac:dyDescent="0.75">
      <c r="G1420" s="10"/>
      <c r="H1420" s="10"/>
      <c r="I1420" s="39"/>
      <c r="J1420" s="103"/>
      <c r="K1420" s="39"/>
      <c r="L1420" s="78"/>
      <c r="M1420" s="19"/>
      <c r="N1420" s="10"/>
    </row>
    <row r="1421" spans="7:14" x14ac:dyDescent="0.75">
      <c r="G1421" s="10"/>
      <c r="H1421" s="10"/>
      <c r="I1421" s="39"/>
      <c r="J1421" s="103"/>
      <c r="K1421" s="39"/>
      <c r="L1421" s="78"/>
      <c r="M1421" s="19"/>
      <c r="N1421" s="10"/>
    </row>
    <row r="1422" spans="7:14" x14ac:dyDescent="0.75">
      <c r="G1422" s="10"/>
      <c r="H1422" s="10"/>
      <c r="I1422" s="39"/>
      <c r="J1422" s="103"/>
      <c r="K1422" s="39"/>
      <c r="L1422" s="78"/>
      <c r="M1422" s="19"/>
      <c r="N1422" s="10"/>
    </row>
    <row r="1423" spans="7:14" x14ac:dyDescent="0.75">
      <c r="G1423" s="10"/>
      <c r="H1423" s="10"/>
      <c r="I1423" s="39"/>
      <c r="J1423" s="103"/>
      <c r="K1423" s="39"/>
      <c r="L1423" s="78"/>
      <c r="M1423" s="19"/>
      <c r="N1423" s="10"/>
    </row>
    <row r="1424" spans="7:14" x14ac:dyDescent="0.75">
      <c r="G1424" s="10"/>
      <c r="H1424" s="10"/>
      <c r="I1424" s="39"/>
      <c r="J1424" s="103"/>
      <c r="K1424" s="39"/>
      <c r="L1424" s="78"/>
      <c r="M1424" s="19"/>
      <c r="N1424" s="10"/>
    </row>
    <row r="1425" spans="7:14" x14ac:dyDescent="0.75">
      <c r="G1425" s="10"/>
      <c r="H1425" s="10"/>
      <c r="I1425" s="39"/>
      <c r="J1425" s="103"/>
      <c r="K1425" s="39"/>
      <c r="L1425" s="78"/>
      <c r="M1425" s="19"/>
      <c r="N1425" s="10"/>
    </row>
    <row r="1426" spans="7:14" x14ac:dyDescent="0.75">
      <c r="G1426" s="10"/>
      <c r="H1426" s="10"/>
      <c r="I1426" s="39"/>
      <c r="J1426" s="103"/>
      <c r="K1426" s="39"/>
      <c r="L1426" s="78"/>
      <c r="M1426" s="19"/>
      <c r="N1426" s="10"/>
    </row>
    <row r="1427" spans="7:14" x14ac:dyDescent="0.75">
      <c r="G1427" s="10"/>
      <c r="H1427" s="10"/>
      <c r="I1427" s="39"/>
      <c r="J1427" s="103"/>
      <c r="K1427" s="39"/>
      <c r="L1427" s="78"/>
      <c r="M1427" s="19"/>
      <c r="N1427" s="10"/>
    </row>
    <row r="1428" spans="7:14" x14ac:dyDescent="0.75">
      <c r="G1428" s="10"/>
      <c r="H1428" s="10"/>
      <c r="I1428" s="39"/>
      <c r="J1428" s="103"/>
      <c r="K1428" s="39"/>
      <c r="L1428" s="78"/>
      <c r="M1428" s="19"/>
      <c r="N1428" s="10"/>
    </row>
    <row r="1429" spans="7:14" x14ac:dyDescent="0.75">
      <c r="G1429" s="10"/>
      <c r="H1429" s="10"/>
      <c r="I1429" s="39"/>
      <c r="J1429" s="103"/>
      <c r="K1429" s="39"/>
      <c r="L1429" s="78"/>
      <c r="M1429" s="19"/>
      <c r="N1429" s="10"/>
    </row>
    <row r="1430" spans="7:14" x14ac:dyDescent="0.75">
      <c r="G1430" s="10"/>
      <c r="H1430" s="10"/>
      <c r="I1430" s="39"/>
      <c r="J1430" s="103"/>
      <c r="K1430" s="39"/>
      <c r="L1430" s="78"/>
      <c r="M1430" s="19"/>
      <c r="N1430" s="10"/>
    </row>
    <row r="1431" spans="7:14" x14ac:dyDescent="0.75">
      <c r="G1431" s="10"/>
      <c r="H1431" s="10"/>
      <c r="I1431" s="39"/>
      <c r="J1431" s="103"/>
      <c r="K1431" s="39"/>
      <c r="L1431" s="78"/>
      <c r="M1431" s="19"/>
      <c r="N1431" s="10"/>
    </row>
    <row r="1432" spans="7:14" x14ac:dyDescent="0.75">
      <c r="G1432" s="10"/>
      <c r="H1432" s="10"/>
      <c r="I1432" s="39"/>
      <c r="J1432" s="103"/>
      <c r="K1432" s="39"/>
      <c r="L1432" s="78"/>
      <c r="M1432" s="19"/>
      <c r="N1432" s="10"/>
    </row>
    <row r="1433" spans="7:14" x14ac:dyDescent="0.75">
      <c r="G1433" s="10"/>
      <c r="H1433" s="10"/>
      <c r="I1433" s="39"/>
      <c r="J1433" s="103"/>
      <c r="K1433" s="39"/>
      <c r="L1433" s="78"/>
      <c r="M1433" s="19"/>
      <c r="N1433" s="10"/>
    </row>
    <row r="1434" spans="7:14" x14ac:dyDescent="0.75">
      <c r="G1434" s="10"/>
      <c r="H1434" s="10"/>
      <c r="I1434" s="39"/>
      <c r="J1434" s="103"/>
      <c r="K1434" s="39"/>
      <c r="L1434" s="78"/>
      <c r="M1434" s="19"/>
      <c r="N1434" s="10"/>
    </row>
    <row r="1435" spans="7:14" x14ac:dyDescent="0.75">
      <c r="G1435" s="10"/>
      <c r="H1435" s="10"/>
      <c r="I1435" s="39"/>
      <c r="J1435" s="103"/>
      <c r="K1435" s="39"/>
      <c r="L1435" s="78"/>
      <c r="M1435" s="19"/>
      <c r="N1435" s="10"/>
    </row>
    <row r="1436" spans="7:14" x14ac:dyDescent="0.75">
      <c r="G1436" s="10"/>
      <c r="H1436" s="10"/>
      <c r="I1436" s="39"/>
      <c r="J1436" s="103"/>
      <c r="K1436" s="39"/>
      <c r="L1436" s="78"/>
      <c r="M1436" s="19"/>
      <c r="N1436" s="10"/>
    </row>
    <row r="1437" spans="7:14" x14ac:dyDescent="0.75">
      <c r="G1437" s="10"/>
      <c r="H1437" s="10"/>
      <c r="I1437" s="39"/>
      <c r="J1437" s="103"/>
      <c r="K1437" s="39"/>
      <c r="L1437" s="78"/>
      <c r="M1437" s="19"/>
      <c r="N1437" s="10"/>
    </row>
    <row r="1438" spans="7:14" x14ac:dyDescent="0.75">
      <c r="G1438" s="10"/>
      <c r="H1438" s="10"/>
      <c r="I1438" s="39"/>
      <c r="J1438" s="103"/>
      <c r="K1438" s="39"/>
      <c r="L1438" s="10"/>
      <c r="M1438" s="19"/>
      <c r="N1438" s="10"/>
    </row>
    <row r="1439" spans="7:14" x14ac:dyDescent="0.75">
      <c r="G1439" s="10"/>
      <c r="H1439" s="10"/>
      <c r="I1439" s="39"/>
      <c r="J1439" s="103"/>
      <c r="K1439" s="39"/>
      <c r="L1439" s="78"/>
      <c r="M1439" s="19"/>
      <c r="N1439" s="10"/>
    </row>
    <row r="1440" spans="7:14" x14ac:dyDescent="0.75">
      <c r="G1440" s="10"/>
      <c r="H1440" s="10"/>
      <c r="I1440" s="39"/>
      <c r="J1440" s="103"/>
      <c r="K1440" s="39"/>
      <c r="L1440" s="78"/>
      <c r="M1440" s="19"/>
      <c r="N1440" s="10"/>
    </row>
    <row r="1441" spans="7:14" x14ac:dyDescent="0.75">
      <c r="G1441" s="10"/>
      <c r="H1441" s="10"/>
      <c r="I1441" s="39"/>
      <c r="J1441" s="103"/>
      <c r="K1441" s="39"/>
      <c r="L1441" s="10"/>
      <c r="M1441" s="19"/>
      <c r="N1441" s="10"/>
    </row>
    <row r="1442" spans="7:14" x14ac:dyDescent="0.75">
      <c r="G1442" s="10"/>
      <c r="H1442" s="10"/>
      <c r="I1442" s="39"/>
      <c r="J1442" s="103"/>
      <c r="K1442" s="39"/>
      <c r="L1442" s="78"/>
      <c r="M1442" s="19"/>
      <c r="N1442" s="10"/>
    </row>
    <row r="1443" spans="7:14" x14ac:dyDescent="0.75">
      <c r="G1443" s="10"/>
      <c r="H1443" s="10"/>
      <c r="I1443" s="39"/>
      <c r="J1443" s="103"/>
      <c r="K1443" s="39"/>
      <c r="L1443" s="78"/>
      <c r="M1443" s="19"/>
      <c r="N1443" s="10"/>
    </row>
    <row r="1444" spans="7:14" x14ac:dyDescent="0.75">
      <c r="G1444" s="10"/>
      <c r="H1444" s="10"/>
      <c r="I1444" s="39"/>
      <c r="J1444" s="103"/>
      <c r="K1444" s="39"/>
      <c r="L1444" s="78"/>
      <c r="M1444" s="19"/>
      <c r="N1444" s="10"/>
    </row>
    <row r="1445" spans="7:14" x14ac:dyDescent="0.75">
      <c r="G1445" s="10"/>
      <c r="H1445" s="10"/>
      <c r="I1445" s="39"/>
      <c r="J1445" s="103"/>
      <c r="K1445" s="39"/>
      <c r="L1445" s="78"/>
      <c r="M1445" s="19"/>
      <c r="N1445" s="10"/>
    </row>
    <row r="1446" spans="7:14" x14ac:dyDescent="0.75">
      <c r="G1446" s="10"/>
      <c r="H1446" s="10"/>
      <c r="I1446" s="39"/>
      <c r="J1446" s="103"/>
      <c r="K1446" s="39"/>
      <c r="L1446" s="78"/>
      <c r="M1446" s="19"/>
      <c r="N1446" s="10"/>
    </row>
    <row r="1447" spans="7:14" x14ac:dyDescent="0.75">
      <c r="G1447" s="10"/>
      <c r="H1447" s="10"/>
      <c r="I1447" s="39"/>
      <c r="J1447" s="103"/>
      <c r="K1447" s="39"/>
      <c r="L1447" s="78"/>
      <c r="M1447" s="19"/>
      <c r="N1447" s="10"/>
    </row>
    <row r="1448" spans="7:14" x14ac:dyDescent="0.75">
      <c r="G1448" s="10"/>
      <c r="H1448" s="10"/>
      <c r="I1448" s="39"/>
      <c r="J1448" s="103"/>
      <c r="K1448" s="39"/>
      <c r="L1448" s="78"/>
      <c r="M1448" s="19"/>
      <c r="N1448" s="10"/>
    </row>
    <row r="1449" spans="7:14" x14ac:dyDescent="0.75">
      <c r="G1449" s="10"/>
      <c r="H1449" s="10"/>
      <c r="I1449" s="39"/>
      <c r="J1449" s="103"/>
      <c r="K1449" s="39"/>
      <c r="L1449" s="78"/>
      <c r="M1449" s="19"/>
      <c r="N1449" s="10"/>
    </row>
    <row r="1450" spans="7:14" x14ac:dyDescent="0.75">
      <c r="G1450" s="10"/>
      <c r="H1450" s="10"/>
      <c r="I1450" s="39"/>
      <c r="J1450" s="103"/>
      <c r="K1450" s="39"/>
      <c r="L1450" s="78"/>
      <c r="M1450" s="19"/>
      <c r="N1450" s="10"/>
    </row>
    <row r="1451" spans="7:14" x14ac:dyDescent="0.75">
      <c r="G1451" s="10"/>
      <c r="H1451" s="10"/>
      <c r="I1451" s="39"/>
      <c r="J1451" s="103"/>
      <c r="K1451" s="39"/>
      <c r="L1451" s="78"/>
      <c r="M1451" s="19"/>
      <c r="N1451" s="10"/>
    </row>
    <row r="1452" spans="7:14" x14ac:dyDescent="0.75">
      <c r="G1452" s="10"/>
      <c r="H1452" s="10"/>
      <c r="I1452" s="39"/>
      <c r="J1452" s="103"/>
      <c r="K1452" s="39"/>
      <c r="L1452" s="78"/>
      <c r="M1452" s="19"/>
      <c r="N1452" s="10"/>
    </row>
    <row r="1453" spans="7:14" x14ac:dyDescent="0.75">
      <c r="G1453" s="10"/>
      <c r="H1453" s="10"/>
      <c r="I1453" s="39"/>
      <c r="J1453" s="103"/>
      <c r="K1453" s="39"/>
      <c r="L1453" s="78"/>
      <c r="M1453" s="19"/>
      <c r="N1453" s="10"/>
    </row>
    <row r="1454" spans="7:14" x14ac:dyDescent="0.75">
      <c r="G1454" s="10"/>
      <c r="H1454" s="10"/>
      <c r="I1454" s="39"/>
      <c r="J1454" s="103"/>
      <c r="K1454" s="39"/>
      <c r="L1454" s="78"/>
      <c r="M1454" s="19"/>
      <c r="N1454" s="10"/>
    </row>
    <row r="1455" spans="7:14" x14ac:dyDescent="0.75">
      <c r="G1455" s="10"/>
      <c r="H1455" s="10"/>
      <c r="I1455" s="39"/>
      <c r="J1455" s="103"/>
      <c r="K1455" s="39"/>
      <c r="L1455" s="78"/>
      <c r="M1455" s="19"/>
      <c r="N1455" s="10"/>
    </row>
    <row r="1456" spans="7:14" x14ac:dyDescent="0.75">
      <c r="G1456" s="10"/>
      <c r="H1456" s="10"/>
      <c r="I1456" s="39"/>
      <c r="J1456" s="103"/>
      <c r="K1456" s="39"/>
      <c r="L1456" s="78"/>
      <c r="M1456" s="19"/>
      <c r="N1456" s="10"/>
    </row>
    <row r="1457" spans="7:14" x14ac:dyDescent="0.75">
      <c r="G1457" s="10"/>
      <c r="H1457" s="10"/>
      <c r="I1457" s="39"/>
      <c r="J1457" s="103"/>
      <c r="K1457" s="39"/>
      <c r="L1457" s="78"/>
      <c r="M1457" s="19"/>
      <c r="N1457" s="10"/>
    </row>
    <row r="1458" spans="7:14" x14ac:dyDescent="0.75">
      <c r="G1458" s="10"/>
      <c r="H1458" s="10"/>
      <c r="I1458" s="39"/>
      <c r="J1458" s="103"/>
      <c r="K1458" s="39"/>
      <c r="L1458" s="78"/>
      <c r="M1458" s="19"/>
      <c r="N1458" s="10"/>
    </row>
    <row r="1459" spans="7:14" x14ac:dyDescent="0.75">
      <c r="G1459" s="10"/>
      <c r="H1459" s="10"/>
      <c r="I1459" s="39"/>
      <c r="J1459" s="103"/>
      <c r="K1459" s="39"/>
      <c r="L1459" s="78"/>
      <c r="M1459" s="19"/>
      <c r="N1459" s="10"/>
    </row>
    <row r="1460" spans="7:14" x14ac:dyDescent="0.75">
      <c r="G1460" s="10"/>
      <c r="H1460" s="10"/>
      <c r="I1460" s="39"/>
      <c r="J1460" s="103"/>
      <c r="K1460" s="39"/>
      <c r="L1460" s="78"/>
      <c r="M1460" s="19"/>
      <c r="N1460" s="10"/>
    </row>
    <row r="1461" spans="7:14" x14ac:dyDescent="0.75">
      <c r="G1461" s="10"/>
      <c r="H1461" s="10"/>
      <c r="I1461" s="39"/>
      <c r="J1461" s="103"/>
      <c r="K1461" s="39"/>
      <c r="L1461" s="10"/>
      <c r="M1461" s="19"/>
      <c r="N1461" s="10"/>
    </row>
    <row r="1462" spans="7:14" x14ac:dyDescent="0.75">
      <c r="G1462" s="10"/>
      <c r="H1462" s="10"/>
      <c r="I1462" s="39"/>
      <c r="J1462" s="103"/>
      <c r="K1462" s="39"/>
      <c r="L1462" s="78"/>
      <c r="M1462" s="19"/>
      <c r="N1462" s="10"/>
    </row>
    <row r="1463" spans="7:14" x14ac:dyDescent="0.75">
      <c r="G1463" s="10"/>
      <c r="H1463" s="10"/>
      <c r="I1463" s="39"/>
      <c r="J1463" s="103"/>
      <c r="K1463" s="39"/>
      <c r="L1463" s="78"/>
      <c r="M1463" s="19"/>
      <c r="N1463" s="10"/>
    </row>
    <row r="1464" spans="7:14" x14ac:dyDescent="0.75">
      <c r="G1464" s="10"/>
      <c r="H1464" s="10"/>
      <c r="I1464" s="39"/>
      <c r="J1464" s="103"/>
      <c r="K1464" s="39"/>
      <c r="L1464" s="78"/>
      <c r="M1464" s="19"/>
      <c r="N1464" s="10"/>
    </row>
    <row r="1465" spans="7:14" x14ac:dyDescent="0.75">
      <c r="G1465" s="10"/>
      <c r="H1465" s="10"/>
      <c r="I1465" s="39"/>
      <c r="J1465" s="103"/>
      <c r="K1465" s="39"/>
      <c r="L1465" s="78"/>
      <c r="M1465" s="19"/>
      <c r="N1465" s="10"/>
    </row>
    <row r="1466" spans="7:14" x14ac:dyDescent="0.75">
      <c r="G1466" s="10"/>
      <c r="H1466" s="10"/>
      <c r="I1466" s="39"/>
      <c r="J1466" s="103"/>
      <c r="K1466" s="39"/>
      <c r="L1466" s="78"/>
      <c r="M1466" s="19"/>
      <c r="N1466" s="10"/>
    </row>
    <row r="1467" spans="7:14" x14ac:dyDescent="0.75">
      <c r="G1467" s="10"/>
      <c r="H1467" s="10"/>
      <c r="I1467" s="39"/>
      <c r="J1467" s="103"/>
      <c r="K1467" s="39"/>
      <c r="L1467" s="78"/>
      <c r="M1467" s="19"/>
      <c r="N1467" s="10"/>
    </row>
    <row r="1468" spans="7:14" x14ac:dyDescent="0.75">
      <c r="G1468" s="10"/>
      <c r="H1468" s="10"/>
      <c r="I1468" s="39"/>
      <c r="J1468" s="103"/>
      <c r="K1468" s="39"/>
      <c r="L1468" s="78"/>
      <c r="M1468" s="19"/>
      <c r="N1468" s="10"/>
    </row>
    <row r="1469" spans="7:14" x14ac:dyDescent="0.75">
      <c r="G1469" s="10"/>
      <c r="H1469" s="10"/>
      <c r="I1469" s="39"/>
      <c r="J1469" s="103"/>
      <c r="K1469" s="39"/>
      <c r="L1469" s="10"/>
      <c r="M1469" s="19"/>
      <c r="N1469" s="10"/>
    </row>
    <row r="1470" spans="7:14" x14ac:dyDescent="0.75">
      <c r="G1470" s="10"/>
      <c r="H1470" s="10"/>
      <c r="I1470" s="39"/>
      <c r="J1470" s="103"/>
      <c r="K1470" s="39"/>
      <c r="L1470" s="78"/>
      <c r="M1470" s="19"/>
      <c r="N1470" s="10"/>
    </row>
    <row r="1471" spans="7:14" x14ac:dyDescent="0.75">
      <c r="G1471" s="10"/>
      <c r="H1471" s="10"/>
      <c r="I1471" s="39"/>
      <c r="J1471" s="103"/>
      <c r="K1471" s="39"/>
      <c r="L1471" s="78"/>
      <c r="M1471" s="19"/>
      <c r="N1471" s="10"/>
    </row>
    <row r="1472" spans="7:14" x14ac:dyDescent="0.75">
      <c r="G1472" s="10"/>
      <c r="H1472" s="10"/>
      <c r="I1472" s="39"/>
      <c r="J1472" s="103"/>
      <c r="K1472" s="39"/>
      <c r="L1472" s="78"/>
      <c r="M1472" s="19"/>
      <c r="N1472" s="10"/>
    </row>
    <row r="1473" spans="7:14" x14ac:dyDescent="0.75">
      <c r="G1473" s="10"/>
      <c r="H1473" s="10"/>
      <c r="I1473" s="39"/>
      <c r="J1473" s="103"/>
      <c r="K1473" s="39"/>
      <c r="L1473" s="78"/>
      <c r="M1473" s="19"/>
      <c r="N1473" s="10"/>
    </row>
    <row r="1474" spans="7:14" x14ac:dyDescent="0.75">
      <c r="G1474" s="10"/>
      <c r="H1474" s="10"/>
      <c r="I1474" s="39"/>
      <c r="J1474" s="103"/>
      <c r="K1474" s="39"/>
      <c r="L1474" s="78"/>
      <c r="M1474" s="19"/>
      <c r="N1474" s="10"/>
    </row>
    <row r="1475" spans="7:14" x14ac:dyDescent="0.75">
      <c r="G1475" s="10"/>
      <c r="H1475" s="10"/>
      <c r="I1475" s="39"/>
      <c r="J1475" s="103"/>
      <c r="K1475" s="39"/>
      <c r="L1475" s="78"/>
      <c r="M1475" s="19"/>
      <c r="N1475" s="10"/>
    </row>
    <row r="1476" spans="7:14" x14ac:dyDescent="0.75">
      <c r="G1476" s="10"/>
      <c r="H1476" s="10"/>
      <c r="I1476" s="39"/>
      <c r="J1476" s="103"/>
      <c r="K1476" s="39"/>
      <c r="L1476" s="78"/>
      <c r="M1476" s="19"/>
      <c r="N1476" s="10"/>
    </row>
    <row r="1477" spans="7:14" x14ac:dyDescent="0.75">
      <c r="G1477" s="10"/>
      <c r="H1477" s="10"/>
      <c r="I1477" s="39"/>
      <c r="J1477" s="103"/>
      <c r="K1477" s="39"/>
      <c r="L1477" s="78"/>
      <c r="M1477" s="19"/>
      <c r="N1477" s="10"/>
    </row>
    <row r="1478" spans="7:14" x14ac:dyDescent="0.75">
      <c r="G1478" s="10"/>
      <c r="H1478" s="10"/>
      <c r="I1478" s="39"/>
      <c r="J1478" s="103"/>
      <c r="K1478" s="39"/>
      <c r="L1478" s="78"/>
      <c r="M1478" s="19"/>
      <c r="N1478" s="10"/>
    </row>
    <row r="1479" spans="7:14" x14ac:dyDescent="0.75">
      <c r="G1479" s="10"/>
      <c r="H1479" s="10"/>
      <c r="I1479" s="39"/>
      <c r="J1479" s="103"/>
      <c r="K1479" s="39"/>
      <c r="L1479" s="78"/>
      <c r="M1479" s="19"/>
      <c r="N1479" s="10"/>
    </row>
    <row r="1480" spans="7:14" x14ac:dyDescent="0.75">
      <c r="G1480" s="10"/>
      <c r="H1480" s="10"/>
      <c r="I1480" s="39"/>
      <c r="J1480" s="103"/>
      <c r="K1480" s="39"/>
      <c r="L1480" s="78"/>
      <c r="M1480" s="19"/>
      <c r="N1480" s="10"/>
    </row>
    <row r="1481" spans="7:14" x14ac:dyDescent="0.75">
      <c r="G1481" s="10"/>
      <c r="H1481" s="10"/>
      <c r="I1481" s="39"/>
      <c r="J1481" s="103"/>
      <c r="K1481" s="39"/>
      <c r="L1481" s="78"/>
      <c r="M1481" s="19"/>
      <c r="N1481" s="10"/>
    </row>
    <row r="1482" spans="7:14" x14ac:dyDescent="0.75">
      <c r="G1482" s="10"/>
      <c r="H1482" s="10"/>
      <c r="I1482" s="39"/>
      <c r="J1482" s="103"/>
      <c r="K1482" s="39"/>
      <c r="L1482" s="78"/>
      <c r="M1482" s="19"/>
      <c r="N1482" s="10"/>
    </row>
    <row r="1483" spans="7:14" x14ac:dyDescent="0.75">
      <c r="G1483" s="10"/>
      <c r="H1483" s="10"/>
      <c r="I1483" s="39"/>
      <c r="J1483" s="103"/>
      <c r="K1483" s="39"/>
      <c r="L1483" s="78"/>
      <c r="M1483" s="19"/>
      <c r="N1483" s="10"/>
    </row>
    <row r="1484" spans="7:14" x14ac:dyDescent="0.75">
      <c r="G1484" s="10"/>
      <c r="H1484" s="10"/>
      <c r="I1484" s="39"/>
      <c r="J1484" s="103"/>
      <c r="K1484" s="39"/>
      <c r="L1484" s="10"/>
      <c r="M1484" s="19"/>
      <c r="N1484" s="10"/>
    </row>
    <row r="1485" spans="7:14" x14ac:dyDescent="0.75">
      <c r="G1485" s="10"/>
      <c r="H1485" s="10"/>
      <c r="I1485" s="39"/>
      <c r="J1485" s="103"/>
      <c r="K1485" s="39"/>
      <c r="L1485" s="10"/>
      <c r="M1485" s="19"/>
      <c r="N1485" s="10"/>
    </row>
    <row r="1486" spans="7:14" x14ac:dyDescent="0.75">
      <c r="G1486" s="10"/>
      <c r="H1486" s="10"/>
      <c r="I1486" s="39"/>
      <c r="J1486" s="103"/>
      <c r="K1486" s="39"/>
      <c r="L1486" s="10"/>
      <c r="M1486" s="19"/>
      <c r="N1486" s="10"/>
    </row>
    <row r="1487" spans="7:14" x14ac:dyDescent="0.75">
      <c r="G1487" s="10"/>
      <c r="H1487" s="10"/>
      <c r="I1487" s="39"/>
      <c r="J1487" s="103"/>
      <c r="K1487" s="39"/>
      <c r="L1487" s="78"/>
      <c r="M1487" s="19"/>
      <c r="N1487" s="10"/>
    </row>
    <row r="1488" spans="7:14" x14ac:dyDescent="0.75">
      <c r="G1488" s="10"/>
      <c r="H1488" s="10"/>
      <c r="I1488" s="39"/>
      <c r="J1488" s="103"/>
      <c r="K1488" s="39"/>
      <c r="L1488" s="78"/>
      <c r="M1488" s="19"/>
      <c r="N1488" s="10"/>
    </row>
    <row r="1489" spans="7:14" x14ac:dyDescent="0.75">
      <c r="G1489" s="10"/>
      <c r="H1489" s="10"/>
      <c r="I1489" s="39"/>
      <c r="J1489" s="103"/>
      <c r="K1489" s="39"/>
      <c r="L1489" s="78"/>
      <c r="M1489" s="19"/>
      <c r="N1489" s="10"/>
    </row>
    <row r="1490" spans="7:14" x14ac:dyDescent="0.75">
      <c r="G1490" s="10"/>
      <c r="H1490" s="10"/>
      <c r="I1490" s="39"/>
      <c r="J1490" s="103"/>
      <c r="K1490" s="39"/>
      <c r="L1490" s="78"/>
      <c r="M1490" s="19"/>
      <c r="N1490" s="10"/>
    </row>
    <row r="1491" spans="7:14" x14ac:dyDescent="0.75">
      <c r="G1491" s="10"/>
      <c r="H1491" s="10"/>
      <c r="I1491" s="39"/>
      <c r="J1491" s="103"/>
      <c r="K1491" s="39"/>
      <c r="L1491" s="78"/>
      <c r="M1491" s="19"/>
      <c r="N1491" s="10"/>
    </row>
    <row r="1492" spans="7:14" x14ac:dyDescent="0.75">
      <c r="G1492" s="10"/>
      <c r="H1492" s="10"/>
      <c r="I1492" s="39"/>
      <c r="J1492" s="103"/>
      <c r="K1492" s="39"/>
      <c r="L1492" s="78"/>
      <c r="M1492" s="19"/>
      <c r="N1492" s="10"/>
    </row>
    <row r="1493" spans="7:14" x14ac:dyDescent="0.75">
      <c r="G1493" s="10"/>
      <c r="H1493" s="10"/>
      <c r="I1493" s="39"/>
      <c r="J1493" s="103"/>
      <c r="K1493" s="39"/>
      <c r="L1493" s="78"/>
      <c r="M1493" s="19"/>
      <c r="N1493" s="10"/>
    </row>
    <row r="1494" spans="7:14" x14ac:dyDescent="0.75">
      <c r="G1494" s="10"/>
      <c r="H1494" s="10"/>
      <c r="I1494" s="39"/>
      <c r="J1494" s="103"/>
      <c r="K1494" s="39"/>
      <c r="L1494" s="78"/>
      <c r="M1494" s="19"/>
      <c r="N1494" s="10"/>
    </row>
    <row r="1495" spans="7:14" x14ac:dyDescent="0.75">
      <c r="G1495" s="10"/>
      <c r="H1495" s="10"/>
      <c r="I1495" s="39"/>
      <c r="J1495" s="103"/>
      <c r="K1495" s="39"/>
      <c r="L1495" s="78"/>
      <c r="M1495" s="19"/>
      <c r="N1495" s="10"/>
    </row>
    <row r="1496" spans="7:14" x14ac:dyDescent="0.75">
      <c r="G1496" s="10"/>
      <c r="H1496" s="10"/>
      <c r="I1496" s="39"/>
      <c r="J1496" s="103"/>
      <c r="K1496" s="39"/>
      <c r="L1496" s="78"/>
      <c r="M1496" s="19"/>
      <c r="N1496" s="10"/>
    </row>
    <row r="1497" spans="7:14" x14ac:dyDescent="0.75">
      <c r="G1497" s="10"/>
      <c r="H1497" s="10"/>
      <c r="I1497" s="39"/>
      <c r="J1497" s="103"/>
      <c r="K1497" s="39"/>
      <c r="L1497" s="78"/>
      <c r="M1497" s="19"/>
      <c r="N1497" s="10"/>
    </row>
    <row r="1498" spans="7:14" x14ac:dyDescent="0.75">
      <c r="G1498" s="10"/>
      <c r="H1498" s="10"/>
      <c r="I1498" s="39"/>
      <c r="J1498" s="103"/>
      <c r="K1498" s="39"/>
      <c r="L1498" s="78"/>
      <c r="M1498" s="19"/>
      <c r="N1498" s="10"/>
    </row>
    <row r="1499" spans="7:14" x14ac:dyDescent="0.75">
      <c r="G1499" s="10"/>
      <c r="H1499" s="10"/>
      <c r="I1499" s="39"/>
      <c r="J1499" s="103"/>
      <c r="K1499" s="39"/>
      <c r="L1499" s="78"/>
      <c r="M1499" s="19"/>
      <c r="N1499" s="10"/>
    </row>
    <row r="1500" spans="7:14" x14ac:dyDescent="0.75">
      <c r="G1500" s="10"/>
      <c r="H1500" s="10"/>
      <c r="I1500" s="39"/>
      <c r="J1500" s="103"/>
      <c r="K1500" s="39"/>
      <c r="L1500" s="78"/>
      <c r="M1500" s="19"/>
      <c r="N1500" s="10"/>
    </row>
    <row r="1501" spans="7:14" x14ac:dyDescent="0.75">
      <c r="G1501" s="10"/>
      <c r="H1501" s="10"/>
      <c r="I1501" s="39"/>
      <c r="J1501" s="103"/>
      <c r="K1501" s="39"/>
      <c r="L1501" s="78"/>
      <c r="M1501" s="19"/>
      <c r="N1501" s="10"/>
    </row>
    <row r="1502" spans="7:14" x14ac:dyDescent="0.75">
      <c r="G1502" s="10"/>
      <c r="H1502" s="10"/>
      <c r="I1502" s="39"/>
      <c r="J1502" s="103"/>
      <c r="K1502" s="39"/>
      <c r="L1502" s="78"/>
      <c r="M1502" s="19"/>
      <c r="N1502" s="10"/>
    </row>
    <row r="1503" spans="7:14" x14ac:dyDescent="0.75">
      <c r="G1503" s="10"/>
      <c r="H1503" s="10"/>
      <c r="I1503" s="39"/>
      <c r="J1503" s="103"/>
      <c r="K1503" s="39"/>
      <c r="L1503" s="78"/>
      <c r="M1503" s="19"/>
      <c r="N1503" s="10"/>
    </row>
    <row r="1504" spans="7:14" x14ac:dyDescent="0.75">
      <c r="G1504" s="10"/>
      <c r="H1504" s="10"/>
      <c r="I1504" s="39"/>
      <c r="J1504" s="103"/>
      <c r="K1504" s="39"/>
      <c r="L1504" s="78"/>
      <c r="M1504" s="19"/>
      <c r="N1504" s="10"/>
    </row>
    <row r="1505" spans="7:14" x14ac:dyDescent="0.75">
      <c r="G1505" s="10"/>
      <c r="H1505" s="10"/>
      <c r="I1505" s="39"/>
      <c r="J1505" s="103"/>
      <c r="K1505" s="39"/>
      <c r="L1505" s="10"/>
      <c r="M1505" s="19"/>
      <c r="N1505" s="10"/>
    </row>
    <row r="1506" spans="7:14" x14ac:dyDescent="0.75">
      <c r="G1506" s="10"/>
      <c r="H1506" s="10"/>
      <c r="I1506" s="39"/>
      <c r="J1506" s="103"/>
      <c r="K1506" s="39"/>
      <c r="L1506" s="10"/>
      <c r="M1506" s="19"/>
      <c r="N1506" s="10"/>
    </row>
    <row r="1507" spans="7:14" x14ac:dyDescent="0.75">
      <c r="G1507" s="10"/>
      <c r="H1507" s="10"/>
      <c r="I1507" s="39"/>
      <c r="J1507" s="103"/>
      <c r="K1507" s="39"/>
      <c r="L1507" s="10"/>
      <c r="M1507" s="19"/>
      <c r="N1507" s="10"/>
    </row>
    <row r="1508" spans="7:14" x14ac:dyDescent="0.75">
      <c r="G1508" s="10"/>
      <c r="H1508" s="10"/>
      <c r="I1508" s="39"/>
      <c r="J1508" s="103"/>
      <c r="K1508" s="39"/>
      <c r="L1508" s="78"/>
      <c r="M1508" s="19"/>
      <c r="N1508" s="10"/>
    </row>
    <row r="1509" spans="7:14" x14ac:dyDescent="0.75">
      <c r="G1509" s="10"/>
      <c r="H1509" s="10"/>
      <c r="I1509" s="39"/>
      <c r="J1509" s="103"/>
      <c r="K1509" s="39"/>
      <c r="L1509" s="78"/>
      <c r="M1509" s="19"/>
      <c r="N1509" s="10"/>
    </row>
    <row r="1510" spans="7:14" x14ac:dyDescent="0.75">
      <c r="G1510" s="10"/>
      <c r="H1510" s="10"/>
      <c r="I1510" s="39"/>
      <c r="J1510" s="103"/>
      <c r="K1510" s="39"/>
      <c r="L1510" s="78"/>
      <c r="M1510" s="19"/>
      <c r="N1510" s="10"/>
    </row>
    <row r="1511" spans="7:14" x14ac:dyDescent="0.75">
      <c r="G1511" s="10"/>
      <c r="H1511" s="10"/>
      <c r="I1511" s="39"/>
      <c r="J1511" s="103"/>
      <c r="K1511" s="39"/>
      <c r="L1511" s="78"/>
      <c r="M1511" s="19"/>
      <c r="N1511" s="10"/>
    </row>
    <row r="1512" spans="7:14" x14ac:dyDescent="0.75">
      <c r="G1512" s="10"/>
      <c r="H1512" s="10"/>
      <c r="I1512" s="39"/>
      <c r="J1512" s="103"/>
      <c r="K1512" s="39"/>
      <c r="L1512" s="78"/>
      <c r="M1512" s="19"/>
      <c r="N1512" s="10"/>
    </row>
    <row r="1513" spans="7:14" x14ac:dyDescent="0.75">
      <c r="G1513" s="10"/>
      <c r="H1513" s="10"/>
      <c r="I1513" s="39"/>
      <c r="J1513" s="103"/>
      <c r="K1513" s="39"/>
      <c r="L1513" s="78"/>
      <c r="M1513" s="19"/>
      <c r="N1513" s="10"/>
    </row>
    <row r="1514" spans="7:14" x14ac:dyDescent="0.75">
      <c r="G1514" s="10"/>
      <c r="H1514" s="10"/>
      <c r="I1514" s="39"/>
      <c r="J1514" s="103"/>
      <c r="K1514" s="39"/>
      <c r="L1514" s="78"/>
      <c r="M1514" s="19"/>
      <c r="N1514" s="10"/>
    </row>
    <row r="1515" spans="7:14" x14ac:dyDescent="0.75">
      <c r="G1515" s="10"/>
      <c r="H1515" s="10"/>
      <c r="I1515" s="39"/>
      <c r="J1515" s="103"/>
      <c r="K1515" s="39"/>
      <c r="L1515" s="78"/>
      <c r="M1515" s="19"/>
      <c r="N1515" s="10"/>
    </row>
    <row r="1516" spans="7:14" x14ac:dyDescent="0.75">
      <c r="G1516" s="10"/>
      <c r="H1516" s="10"/>
      <c r="I1516" s="39"/>
      <c r="J1516" s="103"/>
      <c r="K1516" s="39"/>
      <c r="L1516" s="78"/>
      <c r="M1516" s="19"/>
      <c r="N1516" s="10"/>
    </row>
    <row r="1517" spans="7:14" x14ac:dyDescent="0.75">
      <c r="G1517" s="10"/>
      <c r="H1517" s="10"/>
      <c r="I1517" s="39"/>
      <c r="J1517" s="103"/>
      <c r="K1517" s="39"/>
      <c r="L1517" s="78"/>
      <c r="M1517" s="19"/>
      <c r="N1517" s="10"/>
    </row>
    <row r="1518" spans="7:14" x14ac:dyDescent="0.75">
      <c r="G1518" s="10"/>
      <c r="H1518" s="10"/>
      <c r="I1518" s="39"/>
      <c r="J1518" s="103"/>
      <c r="K1518" s="39"/>
      <c r="L1518" s="78"/>
      <c r="M1518" s="19"/>
      <c r="N1518" s="10"/>
    </row>
    <row r="1519" spans="7:14" x14ac:dyDescent="0.75">
      <c r="G1519" s="10"/>
      <c r="H1519" s="10"/>
      <c r="I1519" s="39"/>
      <c r="J1519" s="103"/>
      <c r="K1519" s="39"/>
      <c r="L1519" s="78"/>
      <c r="M1519" s="19"/>
      <c r="N1519" s="10"/>
    </row>
    <row r="1520" spans="7:14" x14ac:dyDescent="0.75">
      <c r="G1520" s="10"/>
      <c r="H1520" s="10"/>
      <c r="I1520" s="39"/>
      <c r="J1520" s="103"/>
      <c r="K1520" s="39"/>
      <c r="L1520" s="78"/>
      <c r="M1520" s="19"/>
      <c r="N1520" s="10"/>
    </row>
    <row r="1521" spans="7:14" x14ac:dyDescent="0.75">
      <c r="G1521" s="10"/>
      <c r="H1521" s="10"/>
      <c r="I1521" s="39"/>
      <c r="J1521" s="103"/>
      <c r="K1521" s="39"/>
      <c r="L1521" s="78"/>
      <c r="M1521" s="19"/>
      <c r="N1521" s="10"/>
    </row>
    <row r="1522" spans="7:14" x14ac:dyDescent="0.75">
      <c r="G1522" s="10"/>
      <c r="H1522" s="10"/>
      <c r="I1522" s="39"/>
      <c r="J1522" s="103"/>
      <c r="K1522" s="39"/>
      <c r="L1522" s="78"/>
      <c r="M1522" s="19"/>
      <c r="N1522" s="10"/>
    </row>
    <row r="1523" spans="7:14" x14ac:dyDescent="0.75">
      <c r="G1523" s="10"/>
      <c r="H1523" s="10"/>
      <c r="I1523" s="39"/>
      <c r="J1523" s="103"/>
      <c r="K1523" s="39"/>
      <c r="L1523" s="78"/>
      <c r="M1523" s="19"/>
      <c r="N1523" s="10"/>
    </row>
    <row r="1524" spans="7:14" x14ac:dyDescent="0.75">
      <c r="G1524" s="10"/>
      <c r="H1524" s="10"/>
      <c r="I1524" s="39"/>
      <c r="J1524" s="103"/>
      <c r="K1524" s="39"/>
      <c r="L1524" s="78"/>
      <c r="M1524" s="19"/>
      <c r="N1524" s="10"/>
    </row>
    <row r="1525" spans="7:14" x14ac:dyDescent="0.75">
      <c r="G1525" s="10"/>
      <c r="H1525" s="10"/>
      <c r="I1525" s="39"/>
      <c r="J1525" s="103"/>
      <c r="K1525" s="39"/>
      <c r="L1525" s="78"/>
      <c r="M1525" s="19"/>
      <c r="N1525" s="10"/>
    </row>
    <row r="1526" spans="7:14" x14ac:dyDescent="0.75">
      <c r="G1526" s="10"/>
      <c r="H1526" s="10"/>
      <c r="I1526" s="39"/>
      <c r="J1526" s="103"/>
      <c r="K1526" s="39"/>
      <c r="L1526" s="78"/>
      <c r="M1526" s="19"/>
      <c r="N1526" s="10"/>
    </row>
    <row r="1527" spans="7:14" x14ac:dyDescent="0.75">
      <c r="G1527" s="10"/>
      <c r="H1527" s="10"/>
      <c r="I1527" s="39"/>
      <c r="J1527" s="103"/>
      <c r="K1527" s="39"/>
      <c r="L1527" s="78"/>
      <c r="M1527" s="19"/>
      <c r="N1527" s="10"/>
    </row>
    <row r="1528" spans="7:14" x14ac:dyDescent="0.75">
      <c r="G1528" s="10"/>
      <c r="H1528" s="10"/>
      <c r="I1528" s="39"/>
      <c r="J1528" s="103"/>
      <c r="K1528" s="39"/>
      <c r="L1528" s="78"/>
      <c r="M1528" s="19"/>
      <c r="N1528" s="10"/>
    </row>
    <row r="1529" spans="7:14" x14ac:dyDescent="0.75">
      <c r="G1529" s="10"/>
      <c r="H1529" s="10"/>
      <c r="I1529" s="39"/>
      <c r="J1529" s="103"/>
      <c r="K1529" s="39"/>
      <c r="L1529" s="78"/>
      <c r="M1529" s="19"/>
      <c r="N1529" s="10"/>
    </row>
    <row r="1530" spans="7:14" x14ac:dyDescent="0.75">
      <c r="G1530" s="10"/>
      <c r="H1530" s="10"/>
      <c r="I1530" s="39"/>
      <c r="J1530" s="103"/>
      <c r="K1530" s="39"/>
      <c r="L1530" s="78"/>
      <c r="M1530" s="19"/>
      <c r="N1530" s="10"/>
    </row>
    <row r="1531" spans="7:14" x14ac:dyDescent="0.75">
      <c r="G1531" s="10"/>
      <c r="H1531" s="10"/>
      <c r="I1531" s="39"/>
      <c r="J1531" s="103"/>
      <c r="K1531" s="39"/>
      <c r="L1531" s="78"/>
      <c r="M1531" s="19"/>
      <c r="N1531" s="10"/>
    </row>
    <row r="1532" spans="7:14" x14ac:dyDescent="0.75">
      <c r="G1532" s="10"/>
      <c r="H1532" s="10"/>
      <c r="I1532" s="39"/>
      <c r="J1532" s="103"/>
      <c r="K1532" s="39"/>
      <c r="L1532" s="78"/>
      <c r="M1532" s="19"/>
      <c r="N1532" s="10"/>
    </row>
    <row r="1533" spans="7:14" x14ac:dyDescent="0.75">
      <c r="G1533" s="10"/>
      <c r="H1533" s="10"/>
      <c r="I1533" s="39"/>
      <c r="J1533" s="103"/>
      <c r="K1533" s="39"/>
      <c r="L1533" s="78"/>
      <c r="M1533" s="19"/>
      <c r="N1533" s="10"/>
    </row>
    <row r="1534" spans="7:14" x14ac:dyDescent="0.75">
      <c r="G1534" s="10"/>
      <c r="H1534" s="10"/>
      <c r="I1534" s="39"/>
      <c r="J1534" s="103"/>
      <c r="K1534" s="39"/>
      <c r="L1534" s="78"/>
      <c r="M1534" s="19"/>
      <c r="N1534" s="10"/>
    </row>
    <row r="1535" spans="7:14" x14ac:dyDescent="0.75">
      <c r="G1535" s="10"/>
      <c r="H1535" s="10"/>
      <c r="I1535" s="39"/>
      <c r="J1535" s="103"/>
      <c r="K1535" s="39"/>
      <c r="L1535" s="78"/>
      <c r="M1535" s="19"/>
      <c r="N1535" s="10"/>
    </row>
    <row r="1536" spans="7:14" x14ac:dyDescent="0.75">
      <c r="G1536" s="10"/>
      <c r="H1536" s="10"/>
      <c r="I1536" s="39"/>
      <c r="J1536" s="103"/>
      <c r="K1536" s="39"/>
      <c r="L1536" s="78"/>
      <c r="M1536" s="19"/>
      <c r="N1536" s="10"/>
    </row>
    <row r="1537" spans="7:14" x14ac:dyDescent="0.75">
      <c r="G1537" s="10"/>
      <c r="H1537" s="10"/>
      <c r="I1537" s="39"/>
      <c r="J1537" s="103"/>
      <c r="K1537" s="39"/>
      <c r="L1537" s="78"/>
      <c r="M1537" s="19"/>
      <c r="N1537" s="10"/>
    </row>
    <row r="1538" spans="7:14" x14ac:dyDescent="0.75">
      <c r="G1538" s="10"/>
      <c r="H1538" s="10"/>
      <c r="I1538" s="39"/>
      <c r="J1538" s="103"/>
      <c r="K1538" s="39"/>
      <c r="L1538" s="78"/>
      <c r="M1538" s="19"/>
      <c r="N1538" s="10"/>
    </row>
    <row r="1539" spans="7:14" x14ac:dyDescent="0.75">
      <c r="G1539" s="10"/>
      <c r="H1539" s="10"/>
      <c r="I1539" s="39"/>
      <c r="J1539" s="103"/>
      <c r="K1539" s="39"/>
      <c r="L1539" s="78"/>
      <c r="M1539" s="19"/>
      <c r="N1539" s="10"/>
    </row>
    <row r="1540" spans="7:14" x14ac:dyDescent="0.75">
      <c r="G1540" s="10"/>
      <c r="H1540" s="10"/>
      <c r="I1540" s="39"/>
      <c r="J1540" s="103"/>
      <c r="K1540" s="39"/>
      <c r="L1540" s="78"/>
      <c r="M1540" s="19"/>
      <c r="N1540" s="10"/>
    </row>
    <row r="1541" spans="7:14" x14ac:dyDescent="0.75">
      <c r="G1541" s="10"/>
      <c r="H1541" s="10"/>
      <c r="I1541" s="39"/>
      <c r="J1541" s="103"/>
      <c r="K1541" s="39"/>
      <c r="L1541" s="78"/>
      <c r="M1541" s="19"/>
      <c r="N1541" s="10"/>
    </row>
    <row r="1542" spans="7:14" x14ac:dyDescent="0.75">
      <c r="G1542" s="10"/>
      <c r="H1542" s="10"/>
      <c r="I1542" s="39"/>
      <c r="J1542" s="103"/>
      <c r="K1542" s="39"/>
      <c r="L1542" s="78"/>
      <c r="M1542" s="19"/>
      <c r="N1542" s="10"/>
    </row>
    <row r="1543" spans="7:14" x14ac:dyDescent="0.75">
      <c r="G1543" s="10"/>
      <c r="H1543" s="10"/>
      <c r="I1543" s="39"/>
      <c r="J1543" s="103"/>
      <c r="K1543" s="39"/>
      <c r="L1543" s="10"/>
      <c r="M1543" s="19"/>
      <c r="N1543" s="10"/>
    </row>
    <row r="1544" spans="7:14" x14ac:dyDescent="0.75">
      <c r="G1544" s="10"/>
      <c r="H1544" s="10"/>
      <c r="I1544" s="39"/>
      <c r="J1544" s="103"/>
      <c r="K1544" s="39"/>
      <c r="L1544" s="78"/>
      <c r="M1544" s="19"/>
      <c r="N1544" s="10"/>
    </row>
    <row r="1545" spans="7:14" x14ac:dyDescent="0.75">
      <c r="G1545" s="10"/>
      <c r="H1545" s="10"/>
      <c r="I1545" s="39"/>
      <c r="J1545" s="103"/>
      <c r="K1545" s="39"/>
      <c r="L1545" s="78"/>
      <c r="M1545" s="19"/>
      <c r="N1545" s="10"/>
    </row>
    <row r="1546" spans="7:14" x14ac:dyDescent="0.75">
      <c r="G1546" s="10"/>
      <c r="H1546" s="10"/>
      <c r="I1546" s="39"/>
      <c r="J1546" s="103"/>
      <c r="K1546" s="39"/>
      <c r="L1546" s="78"/>
      <c r="M1546" s="19"/>
      <c r="N1546" s="10"/>
    </row>
    <row r="1547" spans="7:14" x14ac:dyDescent="0.75">
      <c r="G1547" s="10"/>
      <c r="H1547" s="10"/>
      <c r="I1547" s="39"/>
      <c r="J1547" s="103"/>
      <c r="K1547" s="39"/>
      <c r="L1547" s="78"/>
      <c r="M1547" s="19"/>
      <c r="N1547" s="10"/>
    </row>
    <row r="1548" spans="7:14" x14ac:dyDescent="0.75">
      <c r="G1548" s="10"/>
      <c r="H1548" s="10"/>
      <c r="I1548" s="39"/>
      <c r="J1548" s="103"/>
      <c r="K1548" s="39"/>
      <c r="L1548" s="78"/>
      <c r="M1548" s="19"/>
      <c r="N1548" s="10"/>
    </row>
    <row r="1549" spans="7:14" x14ac:dyDescent="0.75">
      <c r="G1549" s="10"/>
      <c r="H1549" s="10"/>
      <c r="I1549" s="39"/>
      <c r="J1549" s="103"/>
      <c r="K1549" s="39"/>
      <c r="L1549" s="78"/>
      <c r="M1549" s="19"/>
      <c r="N1549" s="10"/>
    </row>
    <row r="1550" spans="7:14" x14ac:dyDescent="0.75">
      <c r="G1550" s="10"/>
      <c r="H1550" s="10"/>
      <c r="I1550" s="39"/>
      <c r="J1550" s="103"/>
      <c r="K1550" s="39"/>
      <c r="L1550" s="78"/>
      <c r="M1550" s="19"/>
      <c r="N1550" s="10"/>
    </row>
    <row r="1551" spans="7:14" x14ac:dyDescent="0.75">
      <c r="G1551" s="10"/>
      <c r="H1551" s="10"/>
      <c r="I1551" s="39"/>
      <c r="J1551" s="103"/>
      <c r="K1551" s="39"/>
      <c r="L1551" s="78"/>
      <c r="M1551" s="19"/>
      <c r="N1551" s="10"/>
    </row>
    <row r="1552" spans="7:14" x14ac:dyDescent="0.75">
      <c r="G1552" s="10"/>
      <c r="H1552" s="10"/>
      <c r="I1552" s="39"/>
      <c r="J1552" s="103"/>
      <c r="K1552" s="39"/>
      <c r="L1552" s="78"/>
      <c r="M1552" s="19"/>
      <c r="N1552" s="10"/>
    </row>
    <row r="1553" spans="7:14" x14ac:dyDescent="0.75">
      <c r="G1553" s="10"/>
      <c r="H1553" s="10"/>
      <c r="I1553" s="39"/>
      <c r="J1553" s="103"/>
      <c r="K1553" s="39"/>
      <c r="L1553" s="78"/>
      <c r="M1553" s="19"/>
      <c r="N1553" s="10"/>
    </row>
    <row r="1554" spans="7:14" x14ac:dyDescent="0.75">
      <c r="G1554" s="10"/>
      <c r="H1554" s="10"/>
      <c r="I1554" s="39"/>
      <c r="J1554" s="103"/>
      <c r="K1554" s="39"/>
      <c r="L1554" s="78"/>
      <c r="M1554" s="19"/>
      <c r="N1554" s="10"/>
    </row>
    <row r="1555" spans="7:14" x14ac:dyDescent="0.75">
      <c r="G1555" s="10"/>
      <c r="H1555" s="10"/>
      <c r="I1555" s="39"/>
      <c r="J1555" s="103"/>
      <c r="K1555" s="39"/>
      <c r="L1555" s="78"/>
      <c r="M1555" s="19"/>
      <c r="N1555" s="10"/>
    </row>
    <row r="1556" spans="7:14" x14ac:dyDescent="0.75">
      <c r="G1556" s="10"/>
      <c r="H1556" s="10"/>
      <c r="I1556" s="39"/>
      <c r="J1556" s="103"/>
      <c r="K1556" s="39"/>
      <c r="L1556" s="78"/>
      <c r="M1556" s="19"/>
      <c r="N1556" s="10"/>
    </row>
    <row r="1557" spans="7:14" x14ac:dyDescent="0.75">
      <c r="G1557" s="10"/>
      <c r="H1557" s="10"/>
      <c r="I1557" s="39"/>
      <c r="J1557" s="103"/>
      <c r="K1557" s="39"/>
      <c r="L1557" s="78"/>
      <c r="M1557" s="19"/>
      <c r="N1557" s="10"/>
    </row>
    <row r="1558" spans="7:14" x14ac:dyDescent="0.75">
      <c r="G1558" s="10"/>
      <c r="H1558" s="10"/>
      <c r="I1558" s="39"/>
      <c r="J1558" s="103"/>
      <c r="K1558" s="39"/>
      <c r="L1558" s="10"/>
      <c r="M1558" s="19"/>
      <c r="N1558" s="10"/>
    </row>
    <row r="1559" spans="7:14" x14ac:dyDescent="0.75">
      <c r="G1559" s="10"/>
      <c r="H1559" s="10"/>
      <c r="I1559" s="39"/>
      <c r="J1559" s="103"/>
      <c r="K1559" s="39"/>
      <c r="L1559" s="78"/>
      <c r="M1559" s="19"/>
      <c r="N1559" s="10"/>
    </row>
    <row r="1560" spans="7:14" x14ac:dyDescent="0.75">
      <c r="G1560" s="10"/>
      <c r="H1560" s="10"/>
      <c r="I1560" s="39"/>
      <c r="J1560" s="103"/>
      <c r="K1560" s="39"/>
      <c r="L1560" s="78"/>
      <c r="M1560" s="19"/>
      <c r="N1560" s="10"/>
    </row>
    <row r="1561" spans="7:14" x14ac:dyDescent="0.75">
      <c r="G1561" s="10"/>
      <c r="H1561" s="10"/>
      <c r="I1561" s="39"/>
      <c r="J1561" s="103"/>
      <c r="K1561" s="39"/>
      <c r="L1561" s="78"/>
      <c r="M1561" s="19"/>
      <c r="N1561" s="10"/>
    </row>
    <row r="1562" spans="7:14" x14ac:dyDescent="0.75">
      <c r="G1562" s="10"/>
      <c r="H1562" s="10"/>
      <c r="I1562" s="39"/>
      <c r="J1562" s="103"/>
      <c r="K1562" s="39"/>
      <c r="L1562" s="78"/>
      <c r="M1562" s="19"/>
      <c r="N1562" s="10"/>
    </row>
    <row r="1563" spans="7:14" x14ac:dyDescent="0.75">
      <c r="G1563" s="10"/>
      <c r="H1563" s="10"/>
      <c r="I1563" s="39"/>
      <c r="J1563" s="103"/>
      <c r="K1563" s="39"/>
      <c r="L1563" s="78"/>
      <c r="M1563" s="19"/>
      <c r="N1563" s="10"/>
    </row>
    <row r="1564" spans="7:14" x14ac:dyDescent="0.75">
      <c r="G1564" s="10"/>
      <c r="H1564" s="10"/>
      <c r="I1564" s="39"/>
      <c r="J1564" s="103"/>
      <c r="K1564" s="39"/>
      <c r="L1564" s="10"/>
      <c r="M1564" s="19"/>
      <c r="N1564" s="10"/>
    </row>
    <row r="1565" spans="7:14" x14ac:dyDescent="0.75">
      <c r="G1565" s="10"/>
      <c r="H1565" s="10"/>
      <c r="I1565" s="39"/>
      <c r="J1565" s="103"/>
      <c r="K1565" s="39"/>
      <c r="L1565" s="78"/>
      <c r="M1565" s="19"/>
      <c r="N1565" s="10"/>
    </row>
    <row r="1566" spans="7:14" x14ac:dyDescent="0.75">
      <c r="G1566" s="10"/>
      <c r="H1566" s="10"/>
      <c r="I1566" s="39"/>
      <c r="J1566" s="103"/>
      <c r="K1566" s="39"/>
      <c r="L1566" s="78"/>
      <c r="M1566" s="19"/>
      <c r="N1566" s="10"/>
    </row>
    <row r="1567" spans="7:14" x14ac:dyDescent="0.75">
      <c r="G1567" s="10"/>
      <c r="H1567" s="10"/>
      <c r="I1567" s="39"/>
      <c r="J1567" s="103"/>
      <c r="K1567" s="39"/>
      <c r="L1567" s="78"/>
      <c r="M1567" s="19"/>
      <c r="N1567" s="10"/>
    </row>
    <row r="1568" spans="7:14" x14ac:dyDescent="0.75">
      <c r="G1568" s="10"/>
      <c r="H1568" s="10"/>
      <c r="I1568" s="39"/>
      <c r="J1568" s="103"/>
      <c r="K1568" s="39"/>
      <c r="L1568" s="78"/>
      <c r="M1568" s="19"/>
      <c r="N1568" s="10"/>
    </row>
    <row r="1569" spans="7:14" x14ac:dyDescent="0.75">
      <c r="G1569" s="10"/>
      <c r="H1569" s="10"/>
      <c r="I1569" s="39"/>
      <c r="J1569" s="103"/>
      <c r="K1569" s="39"/>
      <c r="L1569" s="78"/>
      <c r="M1569" s="19"/>
      <c r="N1569" s="10"/>
    </row>
    <row r="1570" spans="7:14" x14ac:dyDescent="0.75">
      <c r="G1570" s="10"/>
      <c r="H1570" s="10"/>
      <c r="I1570" s="39"/>
      <c r="J1570" s="103"/>
      <c r="K1570" s="39"/>
      <c r="L1570" s="78"/>
      <c r="M1570" s="19"/>
      <c r="N1570" s="10"/>
    </row>
    <row r="1571" spans="7:14" x14ac:dyDescent="0.75">
      <c r="G1571" s="10"/>
      <c r="H1571" s="10"/>
      <c r="I1571" s="39"/>
      <c r="J1571" s="103"/>
      <c r="K1571" s="39"/>
      <c r="L1571" s="78"/>
      <c r="M1571" s="19"/>
      <c r="N1571" s="10"/>
    </row>
    <row r="1572" spans="7:14" x14ac:dyDescent="0.75">
      <c r="G1572" s="10"/>
      <c r="H1572" s="10"/>
      <c r="I1572" s="39"/>
      <c r="J1572" s="103"/>
      <c r="K1572" s="39"/>
      <c r="L1572" s="78"/>
      <c r="M1572" s="19"/>
      <c r="N1572" s="10"/>
    </row>
    <row r="1573" spans="7:14" x14ac:dyDescent="0.75">
      <c r="G1573" s="10"/>
      <c r="H1573" s="10"/>
      <c r="I1573" s="39"/>
      <c r="J1573" s="103"/>
      <c r="K1573" s="39"/>
      <c r="L1573" s="78"/>
      <c r="M1573" s="19"/>
      <c r="N1573" s="10"/>
    </row>
    <row r="1574" spans="7:14" x14ac:dyDescent="0.75">
      <c r="G1574" s="10"/>
      <c r="H1574" s="10"/>
      <c r="I1574" s="39"/>
      <c r="J1574" s="103"/>
      <c r="K1574" s="39"/>
      <c r="L1574" s="78"/>
      <c r="M1574" s="19"/>
      <c r="N1574" s="10"/>
    </row>
    <row r="1575" spans="7:14" x14ac:dyDescent="0.75">
      <c r="G1575" s="10"/>
      <c r="H1575" s="10"/>
      <c r="I1575" s="39"/>
      <c r="J1575" s="103"/>
      <c r="K1575" s="39"/>
      <c r="L1575" s="78"/>
      <c r="M1575" s="19"/>
      <c r="N1575" s="10"/>
    </row>
    <row r="1576" spans="7:14" x14ac:dyDescent="0.75">
      <c r="G1576" s="10"/>
      <c r="H1576" s="10"/>
      <c r="I1576" s="39"/>
      <c r="J1576" s="103"/>
      <c r="K1576" s="39"/>
      <c r="L1576" s="78"/>
      <c r="M1576" s="19"/>
      <c r="N1576" s="10"/>
    </row>
    <row r="1577" spans="7:14" x14ac:dyDescent="0.75">
      <c r="G1577" s="10"/>
      <c r="H1577" s="10"/>
      <c r="I1577" s="39"/>
      <c r="J1577" s="103"/>
      <c r="K1577" s="39"/>
      <c r="L1577" s="78"/>
      <c r="M1577" s="19"/>
      <c r="N1577" s="10"/>
    </row>
    <row r="1578" spans="7:14" x14ac:dyDescent="0.75">
      <c r="G1578" s="10"/>
      <c r="H1578" s="10"/>
      <c r="I1578" s="39"/>
      <c r="J1578" s="103"/>
      <c r="K1578" s="39"/>
      <c r="L1578" s="10"/>
      <c r="M1578" s="19"/>
      <c r="N1578" s="10"/>
    </row>
    <row r="1579" spans="7:14" x14ac:dyDescent="0.75">
      <c r="G1579" s="10"/>
      <c r="H1579" s="10"/>
      <c r="I1579" s="39"/>
      <c r="J1579" s="103"/>
      <c r="K1579" s="39"/>
      <c r="L1579" s="78"/>
      <c r="M1579" s="19"/>
      <c r="N1579" s="10"/>
    </row>
    <row r="1580" spans="7:14" x14ac:dyDescent="0.75">
      <c r="G1580" s="10"/>
      <c r="H1580" s="10"/>
      <c r="I1580" s="39"/>
      <c r="J1580" s="103"/>
      <c r="K1580" s="39"/>
      <c r="L1580" s="78"/>
      <c r="M1580" s="19"/>
      <c r="N1580" s="10"/>
    </row>
    <row r="1581" spans="7:14" x14ac:dyDescent="0.75">
      <c r="G1581" s="10"/>
      <c r="H1581" s="10"/>
      <c r="I1581" s="39"/>
      <c r="J1581" s="103"/>
      <c r="K1581" s="39"/>
      <c r="L1581" s="78"/>
      <c r="M1581" s="19"/>
      <c r="N1581" s="10"/>
    </row>
    <row r="1582" spans="7:14" x14ac:dyDescent="0.75">
      <c r="G1582" s="10"/>
      <c r="H1582" s="10"/>
      <c r="I1582" s="39"/>
      <c r="J1582" s="103"/>
      <c r="K1582" s="39"/>
      <c r="L1582" s="78"/>
      <c r="M1582" s="19"/>
      <c r="N1582" s="10"/>
    </row>
    <row r="1583" spans="7:14" x14ac:dyDescent="0.75">
      <c r="G1583" s="10"/>
      <c r="H1583" s="10"/>
      <c r="I1583" s="39"/>
      <c r="J1583" s="103"/>
      <c r="K1583" s="39"/>
      <c r="L1583" s="78"/>
      <c r="M1583" s="19"/>
      <c r="N1583" s="10"/>
    </row>
    <row r="1584" spans="7:14" x14ac:dyDescent="0.75">
      <c r="G1584" s="10"/>
      <c r="H1584" s="10"/>
      <c r="I1584" s="39"/>
      <c r="J1584" s="103"/>
      <c r="K1584" s="39"/>
      <c r="L1584" s="78"/>
      <c r="M1584" s="19"/>
      <c r="N1584" s="10"/>
    </row>
    <row r="1585" spans="7:14" x14ac:dyDescent="0.75">
      <c r="G1585" s="10"/>
      <c r="H1585" s="10"/>
      <c r="I1585" s="39"/>
      <c r="J1585" s="103"/>
      <c r="K1585" s="39"/>
      <c r="L1585" s="78"/>
      <c r="M1585" s="19"/>
      <c r="N1585" s="10"/>
    </row>
    <row r="1586" spans="7:14" x14ac:dyDescent="0.75">
      <c r="G1586" s="10"/>
      <c r="H1586" s="10"/>
      <c r="I1586" s="39"/>
      <c r="J1586" s="103"/>
      <c r="K1586" s="39"/>
      <c r="L1586" s="78"/>
      <c r="M1586" s="19"/>
      <c r="N1586" s="10"/>
    </row>
    <row r="1587" spans="7:14" x14ac:dyDescent="0.75">
      <c r="G1587" s="10"/>
      <c r="H1587" s="10"/>
      <c r="I1587" s="39"/>
      <c r="J1587" s="103"/>
      <c r="K1587" s="39"/>
      <c r="L1587" s="78"/>
      <c r="M1587" s="19"/>
      <c r="N1587" s="10"/>
    </row>
    <row r="1588" spans="7:14" x14ac:dyDescent="0.75">
      <c r="G1588" s="10"/>
      <c r="H1588" s="10"/>
      <c r="I1588" s="39"/>
      <c r="J1588" s="103"/>
      <c r="K1588" s="39"/>
      <c r="L1588" s="78"/>
      <c r="M1588" s="19"/>
      <c r="N1588" s="10"/>
    </row>
    <row r="1589" spans="7:14" x14ac:dyDescent="0.75">
      <c r="G1589" s="10"/>
      <c r="H1589" s="10"/>
      <c r="I1589" s="39"/>
      <c r="J1589" s="103"/>
      <c r="K1589" s="39"/>
      <c r="L1589" s="78"/>
      <c r="M1589" s="19"/>
      <c r="N1589" s="10"/>
    </row>
    <row r="1590" spans="7:14" x14ac:dyDescent="0.75">
      <c r="G1590" s="10"/>
      <c r="H1590" s="10"/>
      <c r="I1590" s="39"/>
      <c r="J1590" s="103"/>
      <c r="K1590" s="39"/>
      <c r="L1590" s="78"/>
      <c r="M1590" s="19"/>
      <c r="N1590" s="10"/>
    </row>
    <row r="1591" spans="7:14" x14ac:dyDescent="0.75">
      <c r="G1591" s="10"/>
      <c r="H1591" s="10"/>
      <c r="I1591" s="39"/>
      <c r="J1591" s="103"/>
      <c r="K1591" s="39"/>
      <c r="L1591" s="78"/>
      <c r="M1591" s="19"/>
      <c r="N1591" s="10"/>
    </row>
    <row r="1592" spans="7:14" x14ac:dyDescent="0.75">
      <c r="G1592" s="10"/>
      <c r="H1592" s="10"/>
      <c r="I1592" s="39"/>
      <c r="J1592" s="103"/>
      <c r="K1592" s="39"/>
      <c r="L1592" s="78"/>
      <c r="M1592" s="19"/>
      <c r="N1592" s="10"/>
    </row>
    <row r="1593" spans="7:14" x14ac:dyDescent="0.75">
      <c r="G1593" s="10"/>
      <c r="H1593" s="10"/>
      <c r="I1593" s="39"/>
      <c r="J1593" s="103"/>
      <c r="K1593" s="39"/>
      <c r="L1593" s="78"/>
      <c r="M1593" s="19"/>
      <c r="N1593" s="10"/>
    </row>
    <row r="1594" spans="7:14" x14ac:dyDescent="0.75">
      <c r="G1594" s="10"/>
      <c r="H1594" s="10"/>
      <c r="I1594" s="39"/>
      <c r="J1594" s="103"/>
      <c r="K1594" s="39"/>
      <c r="L1594" s="10"/>
      <c r="M1594" s="19"/>
      <c r="N1594" s="10"/>
    </row>
    <row r="1595" spans="7:14" x14ac:dyDescent="0.75">
      <c r="G1595" s="10"/>
      <c r="H1595" s="10"/>
      <c r="I1595" s="39"/>
      <c r="J1595" s="103"/>
      <c r="K1595" s="39"/>
      <c r="L1595" s="10"/>
      <c r="M1595" s="19"/>
      <c r="N1595" s="10"/>
    </row>
    <row r="1596" spans="7:14" x14ac:dyDescent="0.75">
      <c r="G1596" s="10"/>
      <c r="H1596" s="10"/>
      <c r="I1596" s="39"/>
      <c r="J1596" s="103"/>
      <c r="K1596" s="39"/>
      <c r="L1596" s="78"/>
      <c r="M1596" s="19"/>
      <c r="N1596" s="10"/>
    </row>
    <row r="1597" spans="7:14" x14ac:dyDescent="0.75">
      <c r="G1597" s="10"/>
      <c r="H1597" s="10"/>
      <c r="I1597" s="39"/>
      <c r="J1597" s="103"/>
      <c r="K1597" s="39"/>
      <c r="L1597" s="78"/>
      <c r="M1597" s="19"/>
      <c r="N1597" s="10"/>
    </row>
    <row r="1598" spans="7:14" x14ac:dyDescent="0.75">
      <c r="G1598" s="10"/>
      <c r="H1598" s="10"/>
      <c r="I1598" s="39"/>
      <c r="J1598" s="103"/>
      <c r="K1598" s="39"/>
      <c r="L1598" s="78"/>
      <c r="M1598" s="19"/>
      <c r="N1598" s="10"/>
    </row>
    <row r="1599" spans="7:14" x14ac:dyDescent="0.75">
      <c r="G1599" s="10"/>
      <c r="H1599" s="10"/>
      <c r="I1599" s="39"/>
      <c r="J1599" s="103"/>
      <c r="K1599" s="39"/>
      <c r="L1599" s="78"/>
      <c r="M1599" s="19"/>
      <c r="N1599" s="10"/>
    </row>
    <row r="1600" spans="7:14" x14ac:dyDescent="0.75">
      <c r="G1600" s="10"/>
      <c r="H1600" s="10"/>
      <c r="I1600" s="39"/>
      <c r="J1600" s="103"/>
      <c r="K1600" s="39"/>
      <c r="L1600" s="78"/>
      <c r="M1600" s="19"/>
      <c r="N1600" s="10"/>
    </row>
    <row r="1601" spans="7:14" x14ac:dyDescent="0.75">
      <c r="G1601" s="10"/>
      <c r="H1601" s="10"/>
      <c r="I1601" s="39"/>
      <c r="J1601" s="103"/>
      <c r="K1601" s="39"/>
      <c r="L1601" s="78"/>
      <c r="M1601" s="19"/>
      <c r="N1601" s="10"/>
    </row>
    <row r="1602" spans="7:14" x14ac:dyDescent="0.75">
      <c r="G1602" s="10"/>
      <c r="H1602" s="10"/>
      <c r="I1602" s="39"/>
      <c r="J1602" s="103"/>
      <c r="K1602" s="39"/>
      <c r="L1602" s="78"/>
      <c r="M1602" s="19"/>
      <c r="N1602" s="10"/>
    </row>
    <row r="1603" spans="7:14" x14ac:dyDescent="0.75">
      <c r="G1603" s="10"/>
      <c r="H1603" s="10"/>
      <c r="I1603" s="39"/>
      <c r="J1603" s="103"/>
      <c r="K1603" s="39"/>
      <c r="L1603" s="78"/>
      <c r="M1603" s="19"/>
      <c r="N1603" s="10"/>
    </row>
    <row r="1604" spans="7:14" x14ac:dyDescent="0.75">
      <c r="G1604" s="10"/>
      <c r="H1604" s="10"/>
      <c r="I1604" s="39"/>
      <c r="J1604" s="103"/>
      <c r="K1604" s="39"/>
      <c r="L1604" s="78"/>
      <c r="M1604" s="19"/>
      <c r="N1604" s="10"/>
    </row>
    <row r="1605" spans="7:14" x14ac:dyDescent="0.75">
      <c r="G1605" s="10"/>
      <c r="H1605" s="10"/>
      <c r="I1605" s="39"/>
      <c r="J1605" s="103"/>
      <c r="K1605" s="39"/>
      <c r="L1605" s="78"/>
      <c r="M1605" s="19"/>
      <c r="N1605" s="10"/>
    </row>
    <row r="1606" spans="7:14" x14ac:dyDescent="0.75">
      <c r="G1606" s="10"/>
      <c r="H1606" s="10"/>
      <c r="I1606" s="39"/>
      <c r="J1606" s="103"/>
      <c r="K1606" s="39"/>
      <c r="L1606" s="78"/>
      <c r="M1606" s="19"/>
      <c r="N1606" s="10"/>
    </row>
    <row r="1607" spans="7:14" x14ac:dyDescent="0.75">
      <c r="G1607" s="10"/>
      <c r="H1607" s="10"/>
      <c r="I1607" s="39"/>
      <c r="J1607" s="103"/>
      <c r="K1607" s="39"/>
      <c r="L1607" s="78"/>
      <c r="M1607" s="19"/>
      <c r="N1607" s="10"/>
    </row>
    <row r="1608" spans="7:14" x14ac:dyDescent="0.75">
      <c r="G1608" s="10"/>
      <c r="H1608" s="10"/>
      <c r="I1608" s="39"/>
      <c r="J1608" s="103"/>
      <c r="K1608" s="39"/>
      <c r="L1608" s="78"/>
      <c r="M1608" s="19"/>
      <c r="N1608" s="10"/>
    </row>
    <row r="1609" spans="7:14" x14ac:dyDescent="0.75">
      <c r="G1609" s="10"/>
      <c r="H1609" s="10"/>
      <c r="I1609" s="39"/>
      <c r="J1609" s="103"/>
      <c r="K1609" s="39"/>
      <c r="L1609" s="10"/>
      <c r="M1609" s="19"/>
      <c r="N1609" s="10"/>
    </row>
    <row r="1610" spans="7:14" x14ac:dyDescent="0.75">
      <c r="G1610" s="10"/>
      <c r="H1610" s="10"/>
      <c r="I1610" s="39"/>
      <c r="J1610" s="103"/>
      <c r="K1610" s="39"/>
      <c r="L1610" s="78"/>
      <c r="M1610" s="19"/>
      <c r="N1610" s="10"/>
    </row>
    <row r="1611" spans="7:14" x14ac:dyDescent="0.75">
      <c r="G1611" s="10"/>
      <c r="H1611" s="10"/>
      <c r="I1611" s="39"/>
      <c r="J1611" s="103"/>
      <c r="K1611" s="39"/>
      <c r="L1611" s="78"/>
      <c r="M1611" s="19"/>
      <c r="N1611" s="10"/>
    </row>
    <row r="1612" spans="7:14" x14ac:dyDescent="0.75">
      <c r="G1612" s="10"/>
      <c r="H1612" s="10"/>
      <c r="I1612" s="39"/>
      <c r="J1612" s="103"/>
      <c r="K1612" s="39"/>
      <c r="L1612" s="78"/>
      <c r="M1612" s="19"/>
      <c r="N1612" s="10"/>
    </row>
    <row r="1613" spans="7:14" x14ac:dyDescent="0.75">
      <c r="G1613" s="10"/>
      <c r="H1613" s="10"/>
      <c r="I1613" s="39"/>
      <c r="J1613" s="103"/>
      <c r="K1613" s="39"/>
      <c r="L1613" s="78"/>
      <c r="M1613" s="19"/>
      <c r="N1613" s="10"/>
    </row>
    <row r="1614" spans="7:14" x14ac:dyDescent="0.75">
      <c r="G1614" s="10"/>
      <c r="H1614" s="10"/>
      <c r="I1614" s="39"/>
      <c r="J1614" s="103"/>
      <c r="K1614" s="39"/>
      <c r="L1614" s="78"/>
      <c r="M1614" s="19"/>
      <c r="N1614" s="10"/>
    </row>
    <row r="1615" spans="7:14" x14ac:dyDescent="0.75">
      <c r="G1615" s="10"/>
      <c r="H1615" s="10"/>
      <c r="I1615" s="39"/>
      <c r="J1615" s="103"/>
      <c r="K1615" s="39"/>
      <c r="L1615" s="78"/>
      <c r="M1615" s="19"/>
      <c r="N1615" s="10"/>
    </row>
    <row r="1616" spans="7:14" x14ac:dyDescent="0.75">
      <c r="G1616" s="10"/>
      <c r="H1616" s="10"/>
      <c r="I1616" s="39"/>
      <c r="J1616" s="103"/>
      <c r="K1616" s="39"/>
      <c r="L1616" s="78"/>
      <c r="M1616" s="19"/>
      <c r="N1616" s="10"/>
    </row>
    <row r="1617" spans="7:14" x14ac:dyDescent="0.75">
      <c r="G1617" s="10"/>
      <c r="H1617" s="10"/>
      <c r="I1617" s="39"/>
      <c r="J1617" s="103"/>
      <c r="K1617" s="39"/>
      <c r="L1617" s="10"/>
      <c r="M1617" s="19"/>
      <c r="N1617" s="10"/>
    </row>
    <row r="1618" spans="7:14" x14ac:dyDescent="0.75">
      <c r="G1618" s="10"/>
      <c r="H1618" s="10"/>
      <c r="I1618" s="39"/>
      <c r="J1618" s="103"/>
      <c r="K1618" s="39"/>
      <c r="L1618" s="10"/>
      <c r="M1618" s="19"/>
      <c r="N1618" s="10"/>
    </row>
    <row r="1619" spans="7:14" x14ac:dyDescent="0.75">
      <c r="G1619" s="10"/>
      <c r="H1619" s="10"/>
      <c r="I1619" s="39"/>
      <c r="J1619" s="103"/>
      <c r="K1619" s="39"/>
      <c r="L1619" s="10"/>
      <c r="M1619" s="19"/>
      <c r="N1619" s="10"/>
    </row>
    <row r="1620" spans="7:14" x14ac:dyDescent="0.75">
      <c r="G1620" s="10"/>
      <c r="H1620" s="10"/>
      <c r="I1620" s="39"/>
      <c r="J1620" s="103"/>
      <c r="K1620" s="39"/>
      <c r="L1620" s="10"/>
      <c r="M1620" s="19"/>
      <c r="N1620" s="10"/>
    </row>
    <row r="1621" spans="7:14" x14ac:dyDescent="0.75">
      <c r="G1621" s="10"/>
      <c r="H1621" s="10"/>
      <c r="I1621" s="39"/>
      <c r="J1621" s="103"/>
      <c r="K1621" s="39"/>
      <c r="L1621" s="10"/>
      <c r="M1621" s="19"/>
      <c r="N1621" s="10"/>
    </row>
    <row r="1622" spans="7:14" x14ac:dyDescent="0.75">
      <c r="G1622" s="10"/>
      <c r="H1622" s="10"/>
      <c r="I1622" s="39"/>
      <c r="J1622" s="103"/>
      <c r="K1622" s="39"/>
      <c r="L1622" s="78"/>
      <c r="M1622" s="19"/>
      <c r="N1622" s="10"/>
    </row>
    <row r="1623" spans="7:14" x14ac:dyDescent="0.75">
      <c r="G1623" s="10"/>
      <c r="H1623" s="10"/>
      <c r="I1623" s="39"/>
      <c r="J1623" s="103"/>
      <c r="K1623" s="39"/>
      <c r="L1623" s="78"/>
      <c r="M1623" s="19"/>
      <c r="N1623" s="10"/>
    </row>
    <row r="1624" spans="7:14" x14ac:dyDescent="0.75">
      <c r="G1624" s="10"/>
      <c r="H1624" s="10"/>
      <c r="I1624" s="39"/>
      <c r="J1624" s="103"/>
      <c r="K1624" s="39"/>
      <c r="L1624" s="78"/>
      <c r="M1624" s="19"/>
      <c r="N1624" s="10"/>
    </row>
    <row r="1625" spans="7:14" x14ac:dyDescent="0.75">
      <c r="G1625" s="10"/>
      <c r="H1625" s="10"/>
      <c r="I1625" s="39"/>
      <c r="J1625" s="103"/>
      <c r="K1625" s="39"/>
      <c r="L1625" s="78"/>
      <c r="M1625" s="19"/>
      <c r="N1625" s="10"/>
    </row>
    <row r="1626" spans="7:14" x14ac:dyDescent="0.75">
      <c r="G1626" s="10"/>
      <c r="H1626" s="10"/>
      <c r="I1626" s="39"/>
      <c r="J1626" s="103"/>
      <c r="K1626" s="39"/>
      <c r="L1626" s="78"/>
      <c r="M1626" s="19"/>
      <c r="N1626" s="10"/>
    </row>
    <row r="1627" spans="7:14" x14ac:dyDescent="0.75">
      <c r="G1627" s="10"/>
      <c r="H1627" s="10"/>
      <c r="I1627" s="39"/>
      <c r="J1627" s="103"/>
      <c r="K1627" s="39"/>
      <c r="L1627" s="78"/>
      <c r="M1627" s="19"/>
      <c r="N1627" s="10"/>
    </row>
    <row r="1628" spans="7:14" x14ac:dyDescent="0.75">
      <c r="G1628" s="10"/>
      <c r="H1628" s="10"/>
      <c r="I1628" s="39"/>
      <c r="J1628" s="103"/>
      <c r="K1628" s="39"/>
      <c r="L1628" s="78"/>
      <c r="M1628" s="19"/>
      <c r="N1628" s="10"/>
    </row>
    <row r="1629" spans="7:14" x14ac:dyDescent="0.75">
      <c r="G1629" s="10"/>
      <c r="H1629" s="10"/>
      <c r="I1629" s="39"/>
      <c r="J1629" s="103"/>
      <c r="K1629" s="39"/>
      <c r="L1629" s="78"/>
      <c r="M1629" s="19"/>
      <c r="N1629" s="10"/>
    </row>
    <row r="1630" spans="7:14" x14ac:dyDescent="0.75">
      <c r="G1630" s="10"/>
      <c r="H1630" s="10"/>
      <c r="I1630" s="39"/>
      <c r="J1630" s="103"/>
      <c r="K1630" s="39"/>
      <c r="L1630" s="78"/>
      <c r="M1630" s="19"/>
      <c r="N1630" s="10"/>
    </row>
    <row r="1631" spans="7:14" x14ac:dyDescent="0.75">
      <c r="G1631" s="10"/>
      <c r="H1631" s="10"/>
      <c r="I1631" s="39"/>
      <c r="J1631" s="103"/>
      <c r="K1631" s="39"/>
      <c r="L1631" s="78"/>
      <c r="M1631" s="19"/>
      <c r="N1631" s="10"/>
    </row>
    <row r="1632" spans="7:14" x14ac:dyDescent="0.75">
      <c r="G1632" s="10"/>
      <c r="H1632" s="10"/>
      <c r="I1632" s="39"/>
      <c r="J1632" s="103"/>
      <c r="K1632" s="39"/>
      <c r="L1632" s="78"/>
      <c r="M1632" s="19"/>
      <c r="N1632" s="10"/>
    </row>
    <row r="1633" spans="7:14" x14ac:dyDescent="0.75">
      <c r="G1633" s="10"/>
      <c r="H1633" s="10"/>
      <c r="I1633" s="39"/>
      <c r="J1633" s="103"/>
      <c r="K1633" s="39"/>
      <c r="L1633" s="78"/>
      <c r="M1633" s="19"/>
      <c r="N1633" s="10"/>
    </row>
    <row r="1634" spans="7:14" x14ac:dyDescent="0.75">
      <c r="G1634" s="10"/>
      <c r="H1634" s="10"/>
      <c r="I1634" s="39"/>
      <c r="J1634" s="103"/>
      <c r="K1634" s="39"/>
      <c r="L1634" s="78"/>
      <c r="M1634" s="19"/>
      <c r="N1634" s="10"/>
    </row>
    <row r="1635" spans="7:14" x14ac:dyDescent="0.75">
      <c r="G1635" s="10"/>
      <c r="H1635" s="10"/>
      <c r="I1635" s="39"/>
      <c r="J1635" s="103"/>
      <c r="K1635" s="39"/>
      <c r="L1635" s="10"/>
      <c r="M1635" s="19"/>
      <c r="N1635" s="10"/>
    </row>
    <row r="1636" spans="7:14" x14ac:dyDescent="0.75">
      <c r="G1636" s="10"/>
      <c r="H1636" s="10"/>
      <c r="I1636" s="39"/>
      <c r="J1636" s="103"/>
      <c r="K1636" s="39"/>
      <c r="L1636" s="78"/>
      <c r="M1636" s="19"/>
      <c r="N1636" s="10"/>
    </row>
    <row r="1637" spans="7:14" x14ac:dyDescent="0.75">
      <c r="G1637" s="10"/>
      <c r="H1637" s="10"/>
      <c r="I1637" s="39"/>
      <c r="J1637" s="103"/>
      <c r="K1637" s="39"/>
      <c r="L1637" s="78"/>
      <c r="M1637" s="19"/>
      <c r="N1637" s="10"/>
    </row>
    <row r="1638" spans="7:14" x14ac:dyDescent="0.75">
      <c r="G1638" s="10"/>
      <c r="H1638" s="10"/>
      <c r="I1638" s="39"/>
      <c r="J1638" s="103"/>
      <c r="K1638" s="39"/>
      <c r="L1638" s="78"/>
      <c r="M1638" s="19"/>
      <c r="N1638" s="10"/>
    </row>
    <row r="1639" spans="7:14" x14ac:dyDescent="0.75">
      <c r="G1639" s="10"/>
      <c r="H1639" s="10"/>
      <c r="I1639" s="39"/>
      <c r="J1639" s="103"/>
      <c r="K1639" s="39"/>
      <c r="L1639" s="78"/>
      <c r="M1639" s="19"/>
      <c r="N1639" s="10"/>
    </row>
    <row r="1640" spans="7:14" x14ac:dyDescent="0.75">
      <c r="G1640" s="10"/>
      <c r="H1640" s="10"/>
      <c r="I1640" s="39"/>
      <c r="J1640" s="103"/>
      <c r="K1640" s="39"/>
      <c r="L1640" s="78"/>
      <c r="M1640" s="19"/>
      <c r="N1640" s="10"/>
    </row>
    <row r="1641" spans="7:14" x14ac:dyDescent="0.75">
      <c r="G1641" s="10"/>
      <c r="H1641" s="10"/>
      <c r="I1641" s="39"/>
      <c r="J1641" s="103"/>
      <c r="K1641" s="39"/>
      <c r="L1641" s="78"/>
      <c r="M1641" s="19"/>
      <c r="N1641" s="10"/>
    </row>
    <row r="1642" spans="7:14" x14ac:dyDescent="0.75">
      <c r="G1642" s="10"/>
      <c r="H1642" s="10"/>
      <c r="I1642" s="39"/>
      <c r="J1642" s="103"/>
      <c r="K1642" s="39"/>
      <c r="L1642" s="78"/>
      <c r="M1642" s="19"/>
      <c r="N1642" s="10"/>
    </row>
    <row r="1643" spans="7:14" x14ac:dyDescent="0.75">
      <c r="G1643" s="10"/>
      <c r="H1643" s="10"/>
      <c r="I1643" s="39"/>
      <c r="J1643" s="103"/>
      <c r="K1643" s="39"/>
      <c r="L1643" s="78"/>
      <c r="M1643" s="19"/>
      <c r="N1643" s="10"/>
    </row>
    <row r="1644" spans="7:14" x14ac:dyDescent="0.75">
      <c r="G1644" s="10"/>
      <c r="H1644" s="10"/>
      <c r="I1644" s="39"/>
      <c r="J1644" s="103"/>
      <c r="K1644" s="39"/>
      <c r="L1644" s="78"/>
      <c r="M1644" s="19"/>
      <c r="N1644" s="10"/>
    </row>
    <row r="1645" spans="7:14" x14ac:dyDescent="0.75">
      <c r="G1645" s="10"/>
      <c r="H1645" s="10"/>
      <c r="I1645" s="39"/>
      <c r="J1645" s="103"/>
      <c r="K1645" s="39"/>
      <c r="L1645" s="78"/>
      <c r="M1645" s="19"/>
      <c r="N1645" s="10"/>
    </row>
    <row r="1646" spans="7:14" x14ac:dyDescent="0.75">
      <c r="G1646" s="10"/>
      <c r="H1646" s="10"/>
      <c r="I1646" s="39"/>
      <c r="J1646" s="103"/>
      <c r="K1646" s="39"/>
      <c r="L1646" s="78"/>
      <c r="M1646" s="19"/>
      <c r="N1646" s="10"/>
    </row>
    <row r="1647" spans="7:14" x14ac:dyDescent="0.75">
      <c r="G1647" s="10"/>
      <c r="H1647" s="10"/>
      <c r="I1647" s="39"/>
      <c r="J1647" s="103"/>
      <c r="K1647" s="39"/>
      <c r="L1647" s="78"/>
      <c r="M1647" s="19"/>
      <c r="N1647" s="10"/>
    </row>
    <row r="1648" spans="7:14" x14ac:dyDescent="0.75">
      <c r="G1648" s="10"/>
      <c r="H1648" s="10"/>
      <c r="I1648" s="39"/>
      <c r="J1648" s="103"/>
      <c r="K1648" s="39"/>
      <c r="L1648" s="78"/>
      <c r="M1648" s="19"/>
      <c r="N1648" s="10"/>
    </row>
    <row r="1649" spans="7:14" x14ac:dyDescent="0.75">
      <c r="G1649" s="10"/>
      <c r="H1649" s="10"/>
      <c r="I1649" s="39"/>
      <c r="J1649" s="103"/>
      <c r="K1649" s="39"/>
      <c r="L1649" s="78"/>
      <c r="M1649" s="19"/>
      <c r="N1649" s="10"/>
    </row>
    <row r="1650" spans="7:14" x14ac:dyDescent="0.75">
      <c r="G1650" s="10"/>
      <c r="H1650" s="10"/>
      <c r="I1650" s="39"/>
      <c r="J1650" s="103"/>
      <c r="K1650" s="39"/>
      <c r="L1650" s="78"/>
      <c r="M1650" s="19"/>
      <c r="N1650" s="10"/>
    </row>
    <row r="1651" spans="7:14" x14ac:dyDescent="0.75">
      <c r="G1651" s="10"/>
      <c r="H1651" s="10"/>
      <c r="I1651" s="39"/>
      <c r="J1651" s="103"/>
      <c r="K1651" s="39"/>
      <c r="L1651" s="78"/>
      <c r="M1651" s="19"/>
      <c r="N1651" s="10"/>
    </row>
    <row r="1652" spans="7:14" x14ac:dyDescent="0.75">
      <c r="G1652" s="10"/>
      <c r="H1652" s="10"/>
      <c r="I1652" s="39"/>
      <c r="J1652" s="103"/>
      <c r="K1652" s="39"/>
      <c r="L1652" s="78"/>
      <c r="M1652" s="19"/>
      <c r="N1652" s="10"/>
    </row>
    <row r="1653" spans="7:14" x14ac:dyDescent="0.75">
      <c r="G1653" s="10"/>
      <c r="H1653" s="10"/>
      <c r="I1653" s="39"/>
      <c r="J1653" s="103"/>
      <c r="K1653" s="39"/>
      <c r="L1653" s="78"/>
      <c r="M1653" s="19"/>
      <c r="N1653" s="10"/>
    </row>
    <row r="1654" spans="7:14" x14ac:dyDescent="0.75">
      <c r="G1654" s="10"/>
      <c r="H1654" s="10"/>
      <c r="I1654" s="39"/>
      <c r="J1654" s="103"/>
      <c r="K1654" s="39"/>
      <c r="L1654" s="78"/>
      <c r="M1654" s="19"/>
      <c r="N1654" s="10"/>
    </row>
    <row r="1655" spans="7:14" x14ac:dyDescent="0.75">
      <c r="G1655" s="10"/>
      <c r="H1655" s="10"/>
      <c r="I1655" s="39"/>
      <c r="J1655" s="103"/>
      <c r="K1655" s="39"/>
      <c r="L1655" s="78"/>
      <c r="M1655" s="19"/>
      <c r="N1655" s="10"/>
    </row>
    <row r="1656" spans="7:14" x14ac:dyDescent="0.75">
      <c r="G1656" s="10"/>
      <c r="H1656" s="10"/>
      <c r="I1656" s="39"/>
      <c r="J1656" s="103"/>
      <c r="K1656" s="39"/>
      <c r="L1656" s="78"/>
      <c r="M1656" s="19"/>
      <c r="N1656" s="10"/>
    </row>
    <row r="1657" spans="7:14" x14ac:dyDescent="0.75">
      <c r="G1657" s="10"/>
      <c r="H1657" s="10"/>
      <c r="I1657" s="39"/>
      <c r="J1657" s="103"/>
      <c r="K1657" s="39"/>
      <c r="L1657" s="78"/>
      <c r="M1657" s="19"/>
      <c r="N1657" s="10"/>
    </row>
    <row r="1658" spans="7:14" x14ac:dyDescent="0.75">
      <c r="G1658" s="10"/>
      <c r="H1658" s="10"/>
      <c r="I1658" s="39"/>
      <c r="J1658" s="103"/>
      <c r="K1658" s="39"/>
      <c r="L1658" s="78"/>
      <c r="M1658" s="19"/>
      <c r="N1658" s="10"/>
    </row>
    <row r="1659" spans="7:14" x14ac:dyDescent="0.75">
      <c r="G1659" s="10"/>
      <c r="H1659" s="10"/>
      <c r="I1659" s="39"/>
      <c r="J1659" s="103"/>
      <c r="K1659" s="39"/>
      <c r="L1659" s="78"/>
      <c r="M1659" s="19"/>
      <c r="N1659" s="10"/>
    </row>
    <row r="1660" spans="7:14" x14ac:dyDescent="0.75">
      <c r="G1660" s="10"/>
      <c r="H1660" s="10"/>
      <c r="I1660" s="39"/>
      <c r="J1660" s="103"/>
      <c r="K1660" s="39"/>
      <c r="L1660" s="78"/>
      <c r="M1660" s="19"/>
      <c r="N1660" s="10"/>
    </row>
    <row r="1661" spans="7:14" x14ac:dyDescent="0.75">
      <c r="G1661" s="10"/>
      <c r="H1661" s="10"/>
      <c r="I1661" s="39"/>
      <c r="J1661" s="103"/>
      <c r="K1661" s="39"/>
      <c r="L1661" s="78"/>
      <c r="M1661" s="19"/>
      <c r="N1661" s="10"/>
    </row>
    <row r="1662" spans="7:14" x14ac:dyDescent="0.75">
      <c r="G1662" s="10"/>
      <c r="H1662" s="10"/>
      <c r="I1662" s="39"/>
      <c r="J1662" s="103"/>
      <c r="K1662" s="39"/>
      <c r="L1662" s="78"/>
      <c r="M1662" s="19"/>
      <c r="N1662" s="10"/>
    </row>
    <row r="1663" spans="7:14" x14ac:dyDescent="0.75">
      <c r="G1663" s="10"/>
      <c r="H1663" s="10"/>
      <c r="I1663" s="39"/>
      <c r="J1663" s="103"/>
      <c r="K1663" s="39"/>
      <c r="L1663" s="78"/>
      <c r="M1663" s="19"/>
      <c r="N1663" s="10"/>
    </row>
    <row r="1664" spans="7:14" x14ac:dyDescent="0.75">
      <c r="G1664" s="10"/>
      <c r="H1664" s="10"/>
      <c r="I1664" s="39"/>
      <c r="J1664" s="103"/>
      <c r="K1664" s="39"/>
      <c r="L1664" s="78"/>
      <c r="M1664" s="19"/>
      <c r="N1664" s="10"/>
    </row>
    <row r="1665" spans="7:14" x14ac:dyDescent="0.75">
      <c r="G1665" s="10"/>
      <c r="H1665" s="10"/>
      <c r="I1665" s="39"/>
      <c r="J1665" s="103"/>
      <c r="K1665" s="39"/>
      <c r="L1665" s="10"/>
      <c r="M1665" s="19"/>
      <c r="N1665" s="10"/>
    </row>
    <row r="1666" spans="7:14" x14ac:dyDescent="0.75">
      <c r="G1666" s="10"/>
      <c r="H1666" s="10"/>
      <c r="I1666" s="39"/>
      <c r="J1666" s="103"/>
      <c r="K1666" s="39"/>
      <c r="L1666" s="78"/>
      <c r="M1666" s="19"/>
      <c r="N1666" s="10"/>
    </row>
    <row r="1667" spans="7:14" x14ac:dyDescent="0.75">
      <c r="G1667" s="10"/>
      <c r="H1667" s="10"/>
      <c r="I1667" s="39"/>
      <c r="J1667" s="103"/>
      <c r="K1667" s="39"/>
      <c r="L1667" s="78"/>
      <c r="M1667" s="19"/>
      <c r="N1667" s="10"/>
    </row>
    <row r="1668" spans="7:14" x14ac:dyDescent="0.75">
      <c r="G1668" s="10"/>
      <c r="H1668" s="10"/>
      <c r="I1668" s="39"/>
      <c r="J1668" s="103"/>
      <c r="K1668" s="39"/>
      <c r="L1668" s="78"/>
      <c r="M1668" s="19"/>
      <c r="N1668" s="10"/>
    </row>
    <row r="1669" spans="7:14" x14ac:dyDescent="0.75">
      <c r="G1669" s="10"/>
      <c r="H1669" s="10"/>
      <c r="I1669" s="39"/>
      <c r="J1669" s="103"/>
      <c r="K1669" s="39"/>
      <c r="L1669" s="10"/>
      <c r="M1669" s="19"/>
      <c r="N1669" s="10"/>
    </row>
    <row r="1670" spans="7:14" x14ac:dyDescent="0.75">
      <c r="G1670" s="10"/>
      <c r="H1670" s="10"/>
      <c r="I1670" s="39"/>
      <c r="J1670" s="103"/>
      <c r="K1670" s="39"/>
      <c r="L1670" s="78"/>
      <c r="M1670" s="19"/>
      <c r="N1670" s="10"/>
    </row>
    <row r="1671" spans="7:14" x14ac:dyDescent="0.75">
      <c r="G1671" s="10"/>
      <c r="H1671" s="10"/>
      <c r="I1671" s="39"/>
      <c r="J1671" s="103"/>
      <c r="K1671" s="39"/>
      <c r="L1671" s="78"/>
      <c r="M1671" s="19"/>
      <c r="N1671" s="10"/>
    </row>
    <row r="1672" spans="7:14" x14ac:dyDescent="0.75">
      <c r="G1672" s="10"/>
      <c r="H1672" s="10"/>
      <c r="I1672" s="39"/>
      <c r="J1672" s="103"/>
      <c r="K1672" s="39"/>
      <c r="L1672" s="78"/>
      <c r="M1672" s="19"/>
      <c r="N1672" s="10"/>
    </row>
    <row r="1673" spans="7:14" x14ac:dyDescent="0.75">
      <c r="G1673" s="10"/>
      <c r="H1673" s="10"/>
      <c r="I1673" s="39"/>
      <c r="J1673" s="103"/>
      <c r="K1673" s="39"/>
      <c r="L1673" s="78"/>
      <c r="M1673" s="19"/>
      <c r="N1673" s="10"/>
    </row>
    <row r="1674" spans="7:14" x14ac:dyDescent="0.75">
      <c r="G1674" s="10"/>
      <c r="H1674" s="10"/>
      <c r="I1674" s="39"/>
      <c r="J1674" s="103"/>
      <c r="K1674" s="39"/>
      <c r="L1674" s="78"/>
      <c r="M1674" s="19"/>
      <c r="N1674" s="10"/>
    </row>
    <row r="1675" spans="7:14" x14ac:dyDescent="0.75">
      <c r="G1675" s="10"/>
      <c r="H1675" s="10"/>
      <c r="I1675" s="39"/>
      <c r="J1675" s="103"/>
      <c r="K1675" s="39"/>
      <c r="L1675" s="78"/>
      <c r="M1675" s="19"/>
      <c r="N1675" s="10"/>
    </row>
    <row r="1676" spans="7:14" x14ac:dyDescent="0.75">
      <c r="G1676" s="10"/>
      <c r="H1676" s="10"/>
      <c r="I1676" s="39"/>
      <c r="J1676" s="103"/>
      <c r="K1676" s="39"/>
      <c r="L1676" s="10"/>
      <c r="M1676" s="19"/>
      <c r="N1676" s="10"/>
    </row>
    <row r="1677" spans="7:14" x14ac:dyDescent="0.75">
      <c r="G1677" s="10"/>
      <c r="H1677" s="10"/>
      <c r="I1677" s="39"/>
      <c r="J1677" s="103"/>
      <c r="K1677" s="39"/>
      <c r="L1677" s="78"/>
      <c r="M1677" s="19"/>
      <c r="N1677" s="10"/>
    </row>
    <row r="1678" spans="7:14" x14ac:dyDescent="0.75">
      <c r="G1678" s="10"/>
      <c r="H1678" s="10"/>
      <c r="I1678" s="39"/>
      <c r="J1678" s="103"/>
      <c r="K1678" s="39"/>
      <c r="L1678" s="78"/>
      <c r="M1678" s="19"/>
      <c r="N1678" s="10"/>
    </row>
    <row r="1679" spans="7:14" x14ac:dyDescent="0.75">
      <c r="G1679" s="10"/>
      <c r="H1679" s="10"/>
      <c r="I1679" s="39"/>
      <c r="J1679" s="103"/>
      <c r="K1679" s="39"/>
      <c r="L1679" s="78"/>
      <c r="M1679" s="19"/>
      <c r="N1679" s="10"/>
    </row>
    <row r="1680" spans="7:14" x14ac:dyDescent="0.75">
      <c r="G1680" s="10"/>
      <c r="H1680" s="10"/>
      <c r="I1680" s="39"/>
      <c r="J1680" s="103"/>
      <c r="K1680" s="39"/>
      <c r="L1680" s="78"/>
      <c r="M1680" s="19"/>
      <c r="N1680" s="10"/>
    </row>
    <row r="1681" spans="7:14" x14ac:dyDescent="0.75">
      <c r="G1681" s="10"/>
      <c r="H1681" s="10"/>
      <c r="I1681" s="39"/>
      <c r="J1681" s="103"/>
      <c r="K1681" s="39"/>
      <c r="L1681" s="78"/>
      <c r="M1681" s="19"/>
      <c r="N1681" s="10"/>
    </row>
    <row r="1682" spans="7:14" x14ac:dyDescent="0.75">
      <c r="G1682" s="10"/>
      <c r="H1682" s="10"/>
      <c r="I1682" s="39"/>
      <c r="J1682" s="103"/>
      <c r="K1682" s="39"/>
      <c r="L1682" s="78"/>
      <c r="M1682" s="19"/>
      <c r="N1682" s="10"/>
    </row>
    <row r="1683" spans="7:14" x14ac:dyDescent="0.75">
      <c r="G1683" s="10"/>
      <c r="H1683" s="10"/>
      <c r="I1683" s="39"/>
      <c r="J1683" s="103"/>
      <c r="K1683" s="39"/>
      <c r="L1683" s="78"/>
      <c r="M1683" s="19"/>
      <c r="N1683" s="10"/>
    </row>
    <row r="1684" spans="7:14" x14ac:dyDescent="0.75">
      <c r="G1684" s="10"/>
      <c r="H1684" s="10"/>
      <c r="I1684" s="39"/>
      <c r="J1684" s="103"/>
      <c r="K1684" s="39"/>
      <c r="L1684" s="78"/>
      <c r="M1684" s="19"/>
      <c r="N1684" s="10"/>
    </row>
    <row r="1685" spans="7:14" x14ac:dyDescent="0.75">
      <c r="G1685" s="10"/>
      <c r="H1685" s="10"/>
      <c r="I1685" s="39"/>
      <c r="J1685" s="103"/>
      <c r="K1685" s="39"/>
      <c r="L1685" s="78"/>
      <c r="M1685" s="19"/>
      <c r="N1685" s="10"/>
    </row>
    <row r="1686" spans="7:14" x14ac:dyDescent="0.75">
      <c r="G1686" s="10"/>
      <c r="H1686" s="10"/>
      <c r="I1686" s="39"/>
      <c r="J1686" s="103"/>
      <c r="K1686" s="39"/>
      <c r="L1686" s="78"/>
      <c r="M1686" s="19"/>
      <c r="N1686" s="10"/>
    </row>
    <row r="1687" spans="7:14" x14ac:dyDescent="0.75">
      <c r="G1687" s="10"/>
      <c r="H1687" s="10"/>
      <c r="I1687" s="39"/>
      <c r="J1687" s="103"/>
      <c r="K1687" s="39"/>
      <c r="L1687" s="78"/>
      <c r="M1687" s="19"/>
      <c r="N1687" s="10"/>
    </row>
    <row r="1688" spans="7:14" x14ac:dyDescent="0.75">
      <c r="G1688" s="10"/>
      <c r="H1688" s="10"/>
      <c r="I1688" s="39"/>
      <c r="J1688" s="103"/>
      <c r="K1688" s="39"/>
      <c r="L1688" s="78"/>
      <c r="M1688" s="19"/>
      <c r="N1688" s="10"/>
    </row>
    <row r="1689" spans="7:14" x14ac:dyDescent="0.75">
      <c r="G1689" s="10"/>
      <c r="H1689" s="10"/>
      <c r="I1689" s="39"/>
      <c r="J1689" s="103"/>
      <c r="K1689" s="39"/>
      <c r="L1689" s="78"/>
      <c r="M1689" s="19"/>
      <c r="N1689" s="10"/>
    </row>
    <row r="1690" spans="7:14" x14ac:dyDescent="0.75">
      <c r="G1690" s="10"/>
      <c r="H1690" s="10"/>
      <c r="I1690" s="39"/>
      <c r="J1690" s="103"/>
      <c r="K1690" s="39"/>
      <c r="L1690" s="78"/>
      <c r="M1690" s="19"/>
      <c r="N1690" s="10"/>
    </row>
    <row r="1691" spans="7:14" x14ac:dyDescent="0.75">
      <c r="G1691" s="10"/>
      <c r="H1691" s="10"/>
      <c r="I1691" s="39"/>
      <c r="J1691" s="103"/>
      <c r="K1691" s="39"/>
      <c r="L1691" s="78"/>
      <c r="M1691" s="19"/>
      <c r="N1691" s="10"/>
    </row>
    <row r="1692" spans="7:14" x14ac:dyDescent="0.75">
      <c r="G1692" s="10"/>
      <c r="H1692" s="10"/>
      <c r="I1692" s="39"/>
      <c r="J1692" s="103"/>
      <c r="K1692" s="39"/>
      <c r="L1692" s="78"/>
      <c r="M1692" s="19"/>
      <c r="N1692" s="10"/>
    </row>
    <row r="1693" spans="7:14" x14ac:dyDescent="0.75">
      <c r="G1693" s="10"/>
      <c r="H1693" s="10"/>
      <c r="I1693" s="39"/>
      <c r="J1693" s="103"/>
      <c r="K1693" s="39"/>
      <c r="L1693" s="10"/>
      <c r="M1693" s="19"/>
      <c r="N1693" s="10"/>
    </row>
    <row r="1694" spans="7:14" x14ac:dyDescent="0.75">
      <c r="G1694" s="10"/>
      <c r="H1694" s="10"/>
      <c r="I1694" s="39"/>
      <c r="J1694" s="103"/>
      <c r="K1694" s="39"/>
      <c r="L1694" s="78"/>
      <c r="M1694" s="19"/>
      <c r="N1694" s="10"/>
    </row>
    <row r="1695" spans="7:14" x14ac:dyDescent="0.75">
      <c r="G1695" s="10"/>
      <c r="H1695" s="10"/>
      <c r="I1695" s="39"/>
      <c r="J1695" s="103"/>
      <c r="K1695" s="39"/>
      <c r="L1695" s="78"/>
      <c r="M1695" s="19"/>
      <c r="N1695" s="10"/>
    </row>
    <row r="1696" spans="7:14" x14ac:dyDescent="0.75">
      <c r="G1696" s="10"/>
      <c r="H1696" s="10"/>
      <c r="I1696" s="39"/>
      <c r="J1696" s="103"/>
      <c r="K1696" s="39"/>
      <c r="L1696" s="78"/>
      <c r="M1696" s="19"/>
      <c r="N1696" s="10"/>
    </row>
    <row r="1697" spans="7:14" x14ac:dyDescent="0.75">
      <c r="G1697" s="10"/>
      <c r="H1697" s="10"/>
      <c r="I1697" s="39"/>
      <c r="J1697" s="103"/>
      <c r="K1697" s="39"/>
      <c r="L1697" s="78"/>
      <c r="M1697" s="19"/>
      <c r="N1697" s="10"/>
    </row>
    <row r="1698" spans="7:14" x14ac:dyDescent="0.75">
      <c r="G1698" s="10"/>
      <c r="H1698" s="10"/>
      <c r="I1698" s="39"/>
      <c r="J1698" s="103"/>
      <c r="K1698" s="39"/>
      <c r="L1698" s="78"/>
      <c r="M1698" s="19"/>
      <c r="N1698" s="10"/>
    </row>
    <row r="1699" spans="7:14" x14ac:dyDescent="0.75">
      <c r="G1699" s="10"/>
      <c r="H1699" s="10"/>
      <c r="I1699" s="39"/>
      <c r="J1699" s="103"/>
      <c r="K1699" s="39"/>
      <c r="L1699" s="78"/>
      <c r="M1699" s="19"/>
      <c r="N1699" s="10"/>
    </row>
    <row r="1700" spans="7:14" x14ac:dyDescent="0.75">
      <c r="G1700" s="10"/>
      <c r="H1700" s="10"/>
      <c r="I1700" s="39"/>
      <c r="J1700" s="103"/>
      <c r="K1700" s="39"/>
      <c r="L1700" s="78"/>
      <c r="M1700" s="19"/>
      <c r="N1700" s="10"/>
    </row>
    <row r="1701" spans="7:14" x14ac:dyDescent="0.75">
      <c r="G1701" s="10"/>
      <c r="H1701" s="10"/>
      <c r="I1701" s="39"/>
      <c r="J1701" s="103"/>
      <c r="K1701" s="39"/>
      <c r="L1701" s="78"/>
      <c r="M1701" s="19"/>
      <c r="N1701" s="10"/>
    </row>
    <row r="1702" spans="7:14" x14ac:dyDescent="0.75">
      <c r="G1702" s="10"/>
      <c r="H1702" s="10"/>
      <c r="I1702" s="39"/>
      <c r="J1702" s="103"/>
      <c r="K1702" s="39"/>
      <c r="L1702" s="78"/>
      <c r="M1702" s="19"/>
      <c r="N1702" s="10"/>
    </row>
    <row r="1703" spans="7:14" x14ac:dyDescent="0.75">
      <c r="G1703" s="10"/>
      <c r="H1703" s="10"/>
      <c r="I1703" s="39"/>
      <c r="J1703" s="103"/>
      <c r="K1703" s="39"/>
      <c r="L1703" s="78"/>
      <c r="M1703" s="19"/>
      <c r="N1703" s="10"/>
    </row>
    <row r="1704" spans="7:14" x14ac:dyDescent="0.75">
      <c r="G1704" s="10"/>
      <c r="H1704" s="10"/>
      <c r="I1704" s="39"/>
      <c r="J1704" s="103"/>
      <c r="K1704" s="39"/>
      <c r="L1704" s="78"/>
      <c r="M1704" s="19"/>
      <c r="N1704" s="10"/>
    </row>
    <row r="1705" spans="7:14" x14ac:dyDescent="0.75">
      <c r="G1705" s="10"/>
      <c r="H1705" s="10"/>
      <c r="I1705" s="39"/>
      <c r="J1705" s="103"/>
      <c r="K1705" s="39"/>
      <c r="L1705" s="10"/>
      <c r="M1705" s="19"/>
      <c r="N1705" s="10"/>
    </row>
    <row r="1706" spans="7:14" x14ac:dyDescent="0.75">
      <c r="G1706" s="10"/>
      <c r="H1706" s="10"/>
      <c r="I1706" s="39"/>
      <c r="J1706" s="103"/>
      <c r="K1706" s="39"/>
      <c r="L1706" s="78"/>
      <c r="M1706" s="19"/>
      <c r="N1706" s="10"/>
    </row>
    <row r="1707" spans="7:14" x14ac:dyDescent="0.75">
      <c r="G1707" s="10"/>
      <c r="H1707" s="10"/>
      <c r="I1707" s="39"/>
      <c r="J1707" s="103"/>
      <c r="K1707" s="39"/>
      <c r="L1707" s="10"/>
      <c r="M1707" s="19"/>
      <c r="N1707" s="10"/>
    </row>
    <row r="1708" spans="7:14" x14ac:dyDescent="0.75">
      <c r="G1708" s="10"/>
      <c r="H1708" s="10"/>
      <c r="I1708" s="39"/>
      <c r="J1708" s="103"/>
      <c r="K1708" s="39"/>
      <c r="L1708" s="78"/>
      <c r="M1708" s="19"/>
      <c r="N1708" s="10"/>
    </row>
    <row r="1709" spans="7:14" x14ac:dyDescent="0.75">
      <c r="G1709" s="10"/>
      <c r="H1709" s="10"/>
      <c r="I1709" s="39"/>
      <c r="J1709" s="103"/>
      <c r="K1709" s="39"/>
      <c r="L1709" s="78"/>
      <c r="M1709" s="19"/>
      <c r="N1709" s="10"/>
    </row>
    <row r="1710" spans="7:14" x14ac:dyDescent="0.75">
      <c r="G1710" s="10"/>
      <c r="H1710" s="10"/>
      <c r="I1710" s="39"/>
      <c r="J1710" s="103"/>
      <c r="K1710" s="39"/>
      <c r="L1710" s="78"/>
      <c r="M1710" s="19"/>
      <c r="N1710" s="10"/>
    </row>
    <row r="1711" spans="7:14" x14ac:dyDescent="0.75">
      <c r="G1711" s="10"/>
      <c r="H1711" s="10"/>
      <c r="I1711" s="39"/>
      <c r="J1711" s="103"/>
      <c r="K1711" s="39"/>
      <c r="L1711" s="10"/>
      <c r="M1711" s="19"/>
      <c r="N1711" s="10"/>
    </row>
    <row r="1712" spans="7:14" x14ac:dyDescent="0.75">
      <c r="G1712" s="10"/>
      <c r="H1712" s="10"/>
      <c r="I1712" s="39"/>
      <c r="J1712" s="103"/>
      <c r="K1712" s="39"/>
      <c r="L1712" s="78"/>
      <c r="M1712" s="19"/>
      <c r="N1712" s="10"/>
    </row>
    <row r="1713" spans="7:14" x14ac:dyDescent="0.75">
      <c r="G1713" s="10"/>
      <c r="H1713" s="10"/>
      <c r="I1713" s="39"/>
      <c r="J1713" s="103"/>
      <c r="K1713" s="39"/>
      <c r="L1713" s="78"/>
      <c r="M1713" s="19"/>
      <c r="N1713" s="10"/>
    </row>
    <row r="1714" spans="7:14" x14ac:dyDescent="0.75">
      <c r="G1714" s="10"/>
      <c r="H1714" s="10"/>
      <c r="I1714" s="39"/>
      <c r="J1714" s="103"/>
      <c r="K1714" s="39"/>
      <c r="L1714" s="78"/>
      <c r="M1714" s="19"/>
      <c r="N1714" s="10"/>
    </row>
    <row r="1715" spans="7:14" x14ac:dyDescent="0.75">
      <c r="G1715" s="10"/>
      <c r="H1715" s="10"/>
      <c r="I1715" s="39"/>
      <c r="J1715" s="103"/>
      <c r="K1715" s="39"/>
      <c r="L1715" s="10"/>
      <c r="M1715" s="19"/>
      <c r="N1715" s="10"/>
    </row>
    <row r="1716" spans="7:14" x14ac:dyDescent="0.75">
      <c r="G1716" s="10"/>
      <c r="H1716" s="10"/>
      <c r="I1716" s="39"/>
      <c r="J1716" s="103"/>
      <c r="K1716" s="39"/>
      <c r="L1716" s="10"/>
      <c r="M1716" s="19"/>
      <c r="N1716" s="10"/>
    </row>
    <row r="1717" spans="7:14" x14ac:dyDescent="0.75">
      <c r="G1717" s="10"/>
      <c r="H1717" s="10"/>
      <c r="I1717" s="39"/>
      <c r="J1717" s="103"/>
      <c r="K1717" s="39"/>
      <c r="L1717" s="10"/>
      <c r="M1717" s="19"/>
      <c r="N1717" s="10"/>
    </row>
    <row r="1718" spans="7:14" x14ac:dyDescent="0.75">
      <c r="G1718" s="10"/>
      <c r="H1718" s="10"/>
      <c r="I1718" s="39"/>
      <c r="J1718" s="103"/>
      <c r="K1718" s="39"/>
      <c r="L1718" s="78"/>
      <c r="M1718" s="19"/>
      <c r="N1718" s="10"/>
    </row>
    <row r="1719" spans="7:14" x14ac:dyDescent="0.75">
      <c r="G1719" s="10"/>
      <c r="H1719" s="10"/>
      <c r="I1719" s="39"/>
      <c r="J1719" s="103"/>
      <c r="K1719" s="39"/>
      <c r="L1719" s="78"/>
      <c r="M1719" s="19"/>
      <c r="N1719" s="10"/>
    </row>
    <row r="1720" spans="7:14" x14ac:dyDescent="0.75">
      <c r="G1720" s="10"/>
      <c r="H1720" s="10"/>
      <c r="I1720" s="39"/>
      <c r="J1720" s="103"/>
      <c r="K1720" s="39"/>
      <c r="L1720" s="78"/>
      <c r="M1720" s="19"/>
      <c r="N1720" s="10"/>
    </row>
    <row r="1721" spans="7:14" x14ac:dyDescent="0.75">
      <c r="G1721" s="10"/>
      <c r="H1721" s="10"/>
      <c r="I1721" s="39"/>
      <c r="J1721" s="103"/>
      <c r="K1721" s="39"/>
      <c r="L1721" s="78"/>
      <c r="M1721" s="19"/>
      <c r="N1721" s="10"/>
    </row>
    <row r="1722" spans="7:14" x14ac:dyDescent="0.75">
      <c r="G1722" s="10"/>
      <c r="H1722" s="10"/>
      <c r="I1722" s="39"/>
      <c r="J1722" s="103"/>
      <c r="K1722" s="39"/>
      <c r="L1722" s="78"/>
      <c r="M1722" s="19"/>
      <c r="N1722" s="10"/>
    </row>
    <row r="1723" spans="7:14" x14ac:dyDescent="0.75">
      <c r="G1723" s="10"/>
      <c r="H1723" s="10"/>
      <c r="I1723" s="39"/>
      <c r="J1723" s="103"/>
      <c r="K1723" s="39"/>
      <c r="L1723" s="78"/>
      <c r="M1723" s="19"/>
      <c r="N1723" s="10"/>
    </row>
    <row r="1724" spans="7:14" x14ac:dyDescent="0.75">
      <c r="G1724" s="10"/>
      <c r="H1724" s="10"/>
      <c r="I1724" s="39"/>
      <c r="J1724" s="103"/>
      <c r="K1724" s="39"/>
      <c r="L1724" s="78"/>
      <c r="M1724" s="19"/>
      <c r="N1724" s="10"/>
    </row>
    <row r="1725" spans="7:14" x14ac:dyDescent="0.75">
      <c r="G1725" s="10"/>
      <c r="H1725" s="10"/>
      <c r="I1725" s="39"/>
      <c r="J1725" s="103"/>
      <c r="K1725" s="39"/>
      <c r="L1725" s="78"/>
      <c r="M1725" s="19"/>
      <c r="N1725" s="10"/>
    </row>
    <row r="1726" spans="7:14" x14ac:dyDescent="0.75">
      <c r="G1726" s="10"/>
      <c r="H1726" s="10"/>
      <c r="I1726" s="39"/>
      <c r="J1726" s="103"/>
      <c r="K1726" s="39"/>
      <c r="L1726" s="78"/>
      <c r="M1726" s="19"/>
      <c r="N1726" s="10"/>
    </row>
    <row r="1727" spans="7:14" x14ac:dyDescent="0.75">
      <c r="G1727" s="10"/>
      <c r="H1727" s="10"/>
      <c r="I1727" s="39"/>
      <c r="J1727" s="103"/>
      <c r="K1727" s="39"/>
      <c r="L1727" s="78"/>
      <c r="M1727" s="19"/>
      <c r="N1727" s="10"/>
    </row>
    <row r="1728" spans="7:14" x14ac:dyDescent="0.75">
      <c r="G1728" s="10"/>
      <c r="H1728" s="10"/>
      <c r="I1728" s="39"/>
      <c r="J1728" s="103"/>
      <c r="K1728" s="39"/>
      <c r="L1728" s="78"/>
      <c r="M1728" s="19"/>
      <c r="N1728" s="10"/>
    </row>
    <row r="1729" spans="7:14" x14ac:dyDescent="0.75">
      <c r="G1729" s="10"/>
      <c r="H1729" s="10"/>
      <c r="I1729" s="39"/>
      <c r="J1729" s="103"/>
      <c r="K1729" s="39"/>
      <c r="L1729" s="78"/>
      <c r="M1729" s="19"/>
      <c r="N1729" s="10"/>
    </row>
    <row r="1730" spans="7:14" x14ac:dyDescent="0.75">
      <c r="G1730" s="10"/>
      <c r="H1730" s="10"/>
      <c r="I1730" s="39"/>
      <c r="J1730" s="103"/>
      <c r="K1730" s="39"/>
      <c r="L1730" s="78"/>
      <c r="M1730" s="19"/>
      <c r="N1730" s="10"/>
    </row>
    <row r="1731" spans="7:14" x14ac:dyDescent="0.75">
      <c r="G1731" s="10"/>
      <c r="H1731" s="10"/>
      <c r="I1731" s="39"/>
      <c r="J1731" s="103"/>
      <c r="K1731" s="39"/>
      <c r="L1731" s="78"/>
      <c r="M1731" s="19"/>
      <c r="N1731" s="10"/>
    </row>
    <row r="1732" spans="7:14" x14ac:dyDescent="0.75">
      <c r="G1732" s="10"/>
      <c r="H1732" s="10"/>
      <c r="I1732" s="39"/>
      <c r="J1732" s="103"/>
      <c r="K1732" s="39"/>
      <c r="L1732" s="78"/>
      <c r="M1732" s="19"/>
      <c r="N1732" s="10"/>
    </row>
    <row r="1733" spans="7:14" x14ac:dyDescent="0.75">
      <c r="G1733" s="10"/>
      <c r="H1733" s="10"/>
      <c r="I1733" s="39"/>
      <c r="J1733" s="103"/>
      <c r="K1733" s="39"/>
      <c r="L1733" s="10"/>
      <c r="M1733" s="19"/>
      <c r="N1733" s="10"/>
    </row>
    <row r="1734" spans="7:14" x14ac:dyDescent="0.75">
      <c r="G1734" s="10"/>
      <c r="H1734" s="10"/>
      <c r="I1734" s="39"/>
      <c r="J1734" s="103"/>
      <c r="K1734" s="39"/>
      <c r="L1734" s="78"/>
      <c r="M1734" s="19"/>
      <c r="N1734" s="10"/>
    </row>
    <row r="1735" spans="7:14" x14ac:dyDescent="0.75">
      <c r="G1735" s="10"/>
      <c r="H1735" s="10"/>
      <c r="I1735" s="39"/>
      <c r="J1735" s="103"/>
      <c r="K1735" s="39"/>
      <c r="L1735" s="78"/>
      <c r="M1735" s="19"/>
      <c r="N1735" s="10"/>
    </row>
    <row r="1736" spans="7:14" x14ac:dyDescent="0.75">
      <c r="G1736" s="10"/>
      <c r="H1736" s="10"/>
      <c r="I1736" s="39"/>
      <c r="J1736" s="103"/>
      <c r="K1736" s="39"/>
      <c r="L1736" s="78"/>
      <c r="M1736" s="19"/>
      <c r="N1736" s="10"/>
    </row>
    <row r="1737" spans="7:14" x14ac:dyDescent="0.75">
      <c r="G1737" s="10"/>
      <c r="H1737" s="10"/>
      <c r="I1737" s="39"/>
      <c r="J1737" s="103"/>
      <c r="K1737" s="39"/>
      <c r="L1737" s="78"/>
      <c r="M1737" s="19"/>
      <c r="N1737" s="10"/>
    </row>
    <row r="1738" spans="7:14" x14ac:dyDescent="0.75">
      <c r="G1738" s="10"/>
      <c r="H1738" s="10"/>
      <c r="I1738" s="39"/>
      <c r="J1738" s="103"/>
      <c r="K1738" s="39"/>
      <c r="L1738" s="78"/>
      <c r="M1738" s="19"/>
      <c r="N1738" s="10"/>
    </row>
    <row r="1739" spans="7:14" x14ac:dyDescent="0.75">
      <c r="G1739" s="10"/>
      <c r="H1739" s="10"/>
      <c r="I1739" s="39"/>
      <c r="J1739" s="103"/>
      <c r="K1739" s="39"/>
      <c r="L1739" s="78"/>
      <c r="M1739" s="19"/>
      <c r="N1739" s="10"/>
    </row>
    <row r="1740" spans="7:14" x14ac:dyDescent="0.75">
      <c r="G1740" s="10"/>
      <c r="H1740" s="10"/>
      <c r="I1740" s="39"/>
      <c r="J1740" s="103"/>
      <c r="K1740" s="39"/>
      <c r="L1740" s="78"/>
      <c r="M1740" s="19"/>
      <c r="N1740" s="10"/>
    </row>
    <row r="1741" spans="7:14" x14ac:dyDescent="0.75">
      <c r="G1741" s="10"/>
      <c r="H1741" s="10"/>
      <c r="I1741" s="39"/>
      <c r="J1741" s="103"/>
      <c r="K1741" s="39"/>
      <c r="L1741" s="78"/>
      <c r="M1741" s="19"/>
      <c r="N1741" s="10"/>
    </row>
    <row r="1742" spans="7:14" x14ac:dyDescent="0.75">
      <c r="G1742" s="10"/>
      <c r="H1742" s="10"/>
      <c r="I1742" s="39"/>
      <c r="J1742" s="103"/>
      <c r="K1742" s="39"/>
      <c r="L1742" s="78"/>
      <c r="M1742" s="19"/>
      <c r="N1742" s="10"/>
    </row>
    <row r="1743" spans="7:14" x14ac:dyDescent="0.75">
      <c r="G1743" s="10"/>
      <c r="H1743" s="10"/>
      <c r="I1743" s="39"/>
      <c r="J1743" s="103"/>
      <c r="K1743" s="39"/>
      <c r="L1743" s="78"/>
      <c r="M1743" s="19"/>
      <c r="N1743" s="10"/>
    </row>
    <row r="1744" spans="7:14" x14ac:dyDescent="0.75">
      <c r="G1744" s="10"/>
      <c r="H1744" s="10"/>
      <c r="I1744" s="39"/>
      <c r="J1744" s="103"/>
      <c r="K1744" s="39"/>
      <c r="L1744" s="78"/>
      <c r="M1744" s="19"/>
      <c r="N1744" s="10"/>
    </row>
    <row r="1745" spans="7:14" x14ac:dyDescent="0.75">
      <c r="G1745" s="10"/>
      <c r="H1745" s="10"/>
      <c r="I1745" s="39"/>
      <c r="J1745" s="103"/>
      <c r="K1745" s="39"/>
      <c r="L1745" s="78"/>
      <c r="M1745" s="19"/>
      <c r="N1745" s="10"/>
    </row>
    <row r="1746" spans="7:14" x14ac:dyDescent="0.75">
      <c r="G1746" s="10"/>
      <c r="H1746" s="10"/>
      <c r="I1746" s="39"/>
      <c r="J1746" s="103"/>
      <c r="K1746" s="39"/>
      <c r="L1746" s="78"/>
      <c r="M1746" s="19"/>
      <c r="N1746" s="10"/>
    </row>
    <row r="1747" spans="7:14" x14ac:dyDescent="0.75">
      <c r="G1747" s="10"/>
      <c r="H1747" s="10"/>
      <c r="I1747" s="39"/>
      <c r="J1747" s="103"/>
      <c r="K1747" s="39"/>
      <c r="L1747" s="78"/>
      <c r="M1747" s="19"/>
      <c r="N1747" s="10"/>
    </row>
    <row r="1748" spans="7:14" x14ac:dyDescent="0.75">
      <c r="G1748" s="10"/>
      <c r="H1748" s="10"/>
      <c r="I1748" s="39"/>
      <c r="J1748" s="103"/>
      <c r="K1748" s="39"/>
      <c r="L1748" s="78"/>
      <c r="M1748" s="19"/>
      <c r="N1748" s="10"/>
    </row>
    <row r="1749" spans="7:14" x14ac:dyDescent="0.75">
      <c r="G1749" s="10"/>
      <c r="H1749" s="10"/>
      <c r="I1749" s="39"/>
      <c r="J1749" s="103"/>
      <c r="K1749" s="39"/>
      <c r="L1749" s="78"/>
      <c r="M1749" s="19"/>
      <c r="N1749" s="10"/>
    </row>
    <row r="1750" spans="7:14" x14ac:dyDescent="0.75">
      <c r="G1750" s="10"/>
      <c r="H1750" s="10"/>
      <c r="I1750" s="39"/>
      <c r="J1750" s="103"/>
      <c r="K1750" s="39"/>
      <c r="L1750" s="78"/>
      <c r="M1750" s="19"/>
      <c r="N1750" s="10"/>
    </row>
    <row r="1751" spans="7:14" x14ac:dyDescent="0.75">
      <c r="G1751" s="10"/>
      <c r="H1751" s="10"/>
      <c r="I1751" s="39"/>
      <c r="J1751" s="103"/>
      <c r="K1751" s="39"/>
      <c r="L1751" s="78"/>
      <c r="M1751" s="19"/>
      <c r="N1751" s="10"/>
    </row>
    <row r="1752" spans="7:14" x14ac:dyDescent="0.75">
      <c r="G1752" s="10"/>
      <c r="H1752" s="10"/>
      <c r="I1752" s="39"/>
      <c r="J1752" s="103"/>
      <c r="K1752" s="39"/>
      <c r="L1752" s="78"/>
      <c r="M1752" s="19"/>
      <c r="N1752" s="10"/>
    </row>
    <row r="1753" spans="7:14" x14ac:dyDescent="0.75">
      <c r="G1753" s="10"/>
      <c r="H1753" s="10"/>
      <c r="I1753" s="39"/>
      <c r="J1753" s="103"/>
      <c r="K1753" s="39"/>
      <c r="L1753" s="78"/>
      <c r="M1753" s="19"/>
      <c r="N1753" s="10"/>
    </row>
    <row r="1754" spans="7:14" x14ac:dyDescent="0.75">
      <c r="G1754" s="10"/>
      <c r="H1754" s="10"/>
      <c r="I1754" s="39"/>
      <c r="J1754" s="103"/>
      <c r="K1754" s="39"/>
      <c r="L1754" s="78"/>
      <c r="M1754" s="19"/>
      <c r="N1754" s="10"/>
    </row>
    <row r="1755" spans="7:14" x14ac:dyDescent="0.75">
      <c r="G1755" s="10"/>
      <c r="H1755" s="10"/>
      <c r="I1755" s="39"/>
      <c r="J1755" s="103"/>
      <c r="K1755" s="39"/>
      <c r="L1755" s="78"/>
      <c r="M1755" s="19"/>
      <c r="N1755" s="10"/>
    </row>
    <row r="1756" spans="7:14" x14ac:dyDescent="0.75">
      <c r="G1756" s="10"/>
      <c r="H1756" s="10"/>
      <c r="I1756" s="39"/>
      <c r="J1756" s="103"/>
      <c r="K1756" s="39"/>
      <c r="L1756" s="78"/>
      <c r="M1756" s="19"/>
      <c r="N1756" s="10"/>
    </row>
    <row r="1757" spans="7:14" x14ac:dyDescent="0.75">
      <c r="G1757" s="10"/>
      <c r="H1757" s="10"/>
      <c r="I1757" s="39"/>
      <c r="J1757" s="103"/>
      <c r="K1757" s="39"/>
      <c r="L1757" s="78"/>
      <c r="M1757" s="19"/>
      <c r="N1757" s="10"/>
    </row>
    <row r="1758" spans="7:14" x14ac:dyDescent="0.75">
      <c r="G1758" s="10"/>
      <c r="H1758" s="10"/>
      <c r="I1758" s="39"/>
      <c r="J1758" s="103"/>
      <c r="K1758" s="39"/>
      <c r="L1758" s="78"/>
      <c r="M1758" s="19"/>
      <c r="N1758" s="10"/>
    </row>
    <row r="1759" spans="7:14" x14ac:dyDescent="0.75">
      <c r="G1759" s="10"/>
      <c r="H1759" s="10"/>
      <c r="I1759" s="39"/>
      <c r="J1759" s="103"/>
      <c r="K1759" s="39"/>
      <c r="L1759" s="78"/>
      <c r="M1759" s="19"/>
      <c r="N1759" s="10"/>
    </row>
    <row r="1760" spans="7:14" x14ac:dyDescent="0.75">
      <c r="G1760" s="10"/>
      <c r="H1760" s="10"/>
      <c r="I1760" s="39"/>
      <c r="J1760" s="103"/>
      <c r="K1760" s="39"/>
      <c r="L1760" s="78"/>
      <c r="M1760" s="19"/>
      <c r="N1760" s="10"/>
    </row>
    <row r="1761" spans="7:14" x14ac:dyDescent="0.75">
      <c r="G1761" s="10"/>
      <c r="H1761" s="10"/>
      <c r="I1761" s="39"/>
      <c r="J1761" s="103"/>
      <c r="K1761" s="39"/>
      <c r="L1761" s="78"/>
      <c r="M1761" s="19"/>
      <c r="N1761" s="10"/>
    </row>
    <row r="1762" spans="7:14" x14ac:dyDescent="0.75">
      <c r="G1762" s="10"/>
      <c r="H1762" s="10"/>
      <c r="I1762" s="39"/>
      <c r="J1762" s="103"/>
      <c r="K1762" s="39"/>
      <c r="L1762" s="78"/>
      <c r="M1762" s="19"/>
      <c r="N1762" s="10"/>
    </row>
    <row r="1763" spans="7:14" x14ac:dyDescent="0.75">
      <c r="G1763" s="10"/>
      <c r="H1763" s="10"/>
      <c r="I1763" s="39"/>
      <c r="J1763" s="103"/>
      <c r="K1763" s="39"/>
      <c r="L1763" s="78"/>
      <c r="M1763" s="19"/>
      <c r="N1763" s="10"/>
    </row>
    <row r="1764" spans="7:14" x14ac:dyDescent="0.75">
      <c r="G1764" s="10"/>
      <c r="H1764" s="10"/>
      <c r="I1764" s="39"/>
      <c r="J1764" s="103"/>
      <c r="K1764" s="39"/>
      <c r="L1764" s="78"/>
      <c r="M1764" s="19"/>
      <c r="N1764" s="10"/>
    </row>
    <row r="1765" spans="7:14" x14ac:dyDescent="0.75">
      <c r="G1765" s="10"/>
      <c r="H1765" s="10"/>
      <c r="I1765" s="39"/>
      <c r="J1765" s="103"/>
      <c r="K1765" s="39"/>
      <c r="L1765" s="78"/>
      <c r="M1765" s="19"/>
      <c r="N1765" s="10"/>
    </row>
    <row r="1766" spans="7:14" x14ac:dyDescent="0.75">
      <c r="G1766" s="10"/>
      <c r="H1766" s="10"/>
      <c r="I1766" s="39"/>
      <c r="J1766" s="103"/>
      <c r="K1766" s="39"/>
      <c r="L1766" s="78"/>
      <c r="M1766" s="19"/>
      <c r="N1766" s="10"/>
    </row>
    <row r="1767" spans="7:14" x14ac:dyDescent="0.75">
      <c r="G1767" s="10"/>
      <c r="H1767" s="10"/>
      <c r="I1767" s="39"/>
      <c r="J1767" s="103"/>
      <c r="K1767" s="39"/>
      <c r="L1767" s="78"/>
      <c r="M1767" s="19"/>
      <c r="N1767" s="10"/>
    </row>
    <row r="1768" spans="7:14" x14ac:dyDescent="0.75">
      <c r="G1768" s="10"/>
      <c r="H1768" s="10"/>
      <c r="I1768" s="39"/>
      <c r="J1768" s="103"/>
      <c r="K1768" s="39"/>
      <c r="L1768" s="78"/>
      <c r="M1768" s="19"/>
      <c r="N1768" s="10"/>
    </row>
    <row r="1769" spans="7:14" x14ac:dyDescent="0.75">
      <c r="G1769" s="10"/>
      <c r="H1769" s="10"/>
      <c r="I1769" s="39"/>
      <c r="J1769" s="103"/>
      <c r="K1769" s="39"/>
      <c r="L1769" s="78"/>
      <c r="M1769" s="19"/>
      <c r="N1769" s="10"/>
    </row>
    <row r="1770" spans="7:14" x14ac:dyDescent="0.75">
      <c r="G1770" s="10"/>
      <c r="H1770" s="10"/>
      <c r="I1770" s="39"/>
      <c r="J1770" s="103"/>
      <c r="K1770" s="39"/>
      <c r="L1770" s="78"/>
      <c r="M1770" s="19"/>
      <c r="N1770" s="10"/>
    </row>
    <row r="1771" spans="7:14" x14ac:dyDescent="0.75">
      <c r="G1771" s="10"/>
      <c r="H1771" s="10"/>
      <c r="I1771" s="39"/>
      <c r="J1771" s="103"/>
      <c r="K1771" s="39"/>
      <c r="L1771" s="78"/>
      <c r="M1771" s="19"/>
      <c r="N1771" s="10"/>
    </row>
    <row r="1772" spans="7:14" x14ac:dyDescent="0.75">
      <c r="G1772" s="10"/>
      <c r="H1772" s="10"/>
      <c r="I1772" s="39"/>
      <c r="J1772" s="103"/>
      <c r="K1772" s="39"/>
      <c r="L1772" s="78"/>
      <c r="M1772" s="19"/>
      <c r="N1772" s="10"/>
    </row>
    <row r="1773" spans="7:14" x14ac:dyDescent="0.75">
      <c r="G1773" s="10"/>
      <c r="H1773" s="10"/>
      <c r="I1773" s="39"/>
      <c r="J1773" s="103"/>
      <c r="K1773" s="39"/>
      <c r="L1773" s="78"/>
      <c r="M1773" s="19"/>
      <c r="N1773" s="10"/>
    </row>
    <row r="1774" spans="7:14" x14ac:dyDescent="0.75">
      <c r="G1774" s="10"/>
      <c r="H1774" s="10"/>
      <c r="I1774" s="39"/>
      <c r="J1774" s="103"/>
      <c r="K1774" s="39"/>
      <c r="L1774" s="78"/>
      <c r="M1774" s="19"/>
      <c r="N1774" s="10"/>
    </row>
    <row r="1775" spans="7:14" x14ac:dyDescent="0.75">
      <c r="G1775" s="10"/>
      <c r="H1775" s="10"/>
      <c r="I1775" s="39"/>
      <c r="J1775" s="103"/>
      <c r="K1775" s="39"/>
      <c r="L1775" s="78"/>
      <c r="M1775" s="19"/>
      <c r="N1775" s="10"/>
    </row>
    <row r="1776" spans="7:14" x14ac:dyDescent="0.75">
      <c r="G1776" s="10"/>
      <c r="H1776" s="10"/>
      <c r="I1776" s="39"/>
      <c r="J1776" s="103"/>
      <c r="K1776" s="39"/>
      <c r="L1776" s="10"/>
      <c r="M1776" s="19"/>
      <c r="N1776" s="10"/>
    </row>
    <row r="1777" spans="7:14" x14ac:dyDescent="0.75">
      <c r="G1777" s="10"/>
      <c r="H1777" s="10"/>
      <c r="I1777" s="39"/>
      <c r="J1777" s="103"/>
      <c r="K1777" s="39"/>
      <c r="L1777" s="78"/>
      <c r="M1777" s="19"/>
      <c r="N1777" s="10"/>
    </row>
    <row r="1778" spans="7:14" x14ac:dyDescent="0.75">
      <c r="G1778" s="10"/>
      <c r="H1778" s="10"/>
      <c r="I1778" s="39"/>
      <c r="J1778" s="103"/>
      <c r="K1778" s="39"/>
      <c r="L1778" s="78"/>
      <c r="M1778" s="19"/>
      <c r="N1778" s="10"/>
    </row>
    <row r="1779" spans="7:14" x14ac:dyDescent="0.75">
      <c r="G1779" s="10"/>
      <c r="H1779" s="10"/>
      <c r="I1779" s="39"/>
      <c r="J1779" s="103"/>
      <c r="K1779" s="39"/>
      <c r="L1779" s="78"/>
      <c r="M1779" s="19"/>
      <c r="N1779" s="10"/>
    </row>
    <row r="1780" spans="7:14" x14ac:dyDescent="0.75">
      <c r="G1780" s="10"/>
      <c r="H1780" s="10"/>
      <c r="I1780" s="39"/>
      <c r="J1780" s="103"/>
      <c r="K1780" s="39"/>
      <c r="L1780" s="78"/>
      <c r="M1780" s="19"/>
      <c r="N1780" s="10"/>
    </row>
    <row r="1781" spans="7:14" x14ac:dyDescent="0.75">
      <c r="G1781" s="10"/>
      <c r="H1781" s="10"/>
      <c r="I1781" s="39"/>
      <c r="J1781" s="103"/>
      <c r="K1781" s="39"/>
      <c r="L1781" s="78"/>
      <c r="M1781" s="19"/>
      <c r="N1781" s="10"/>
    </row>
    <row r="1782" spans="7:14" x14ac:dyDescent="0.75">
      <c r="G1782" s="10"/>
      <c r="H1782" s="10"/>
      <c r="I1782" s="39"/>
      <c r="J1782" s="103"/>
      <c r="K1782" s="39"/>
      <c r="L1782" s="78"/>
      <c r="M1782" s="19"/>
      <c r="N1782" s="10"/>
    </row>
    <row r="1783" spans="7:14" x14ac:dyDescent="0.75">
      <c r="G1783" s="10"/>
      <c r="H1783" s="10"/>
      <c r="I1783" s="39"/>
      <c r="J1783" s="103"/>
      <c r="K1783" s="39"/>
      <c r="L1783" s="78"/>
      <c r="M1783" s="19"/>
      <c r="N1783" s="10"/>
    </row>
    <row r="1784" spans="7:14" x14ac:dyDescent="0.75">
      <c r="G1784" s="10"/>
      <c r="H1784" s="10"/>
      <c r="I1784" s="39"/>
      <c r="J1784" s="103"/>
      <c r="K1784" s="39"/>
      <c r="L1784" s="78"/>
      <c r="M1784" s="19"/>
      <c r="N1784" s="10"/>
    </row>
    <row r="1785" spans="7:14" x14ac:dyDescent="0.75">
      <c r="G1785" s="10"/>
      <c r="H1785" s="10"/>
      <c r="I1785" s="39"/>
      <c r="J1785" s="103"/>
      <c r="K1785" s="39"/>
      <c r="L1785" s="78"/>
      <c r="M1785" s="19"/>
      <c r="N1785" s="10"/>
    </row>
    <row r="1786" spans="7:14" x14ac:dyDescent="0.75">
      <c r="G1786" s="10"/>
      <c r="H1786" s="10"/>
      <c r="I1786" s="39"/>
      <c r="J1786" s="103"/>
      <c r="K1786" s="39"/>
      <c r="L1786" s="78"/>
      <c r="M1786" s="19"/>
      <c r="N1786" s="10"/>
    </row>
    <row r="1787" spans="7:14" x14ac:dyDescent="0.75">
      <c r="G1787" s="10"/>
      <c r="H1787" s="10"/>
      <c r="I1787" s="39"/>
      <c r="J1787" s="103"/>
      <c r="K1787" s="39"/>
      <c r="L1787" s="78"/>
      <c r="M1787" s="19"/>
      <c r="N1787" s="10"/>
    </row>
    <row r="1788" spans="7:14" x14ac:dyDescent="0.75">
      <c r="G1788" s="10"/>
      <c r="H1788" s="10"/>
      <c r="I1788" s="39"/>
      <c r="J1788" s="103"/>
      <c r="K1788" s="39"/>
      <c r="L1788" s="78"/>
      <c r="M1788" s="19"/>
      <c r="N1788" s="10"/>
    </row>
    <row r="1789" spans="7:14" x14ac:dyDescent="0.75">
      <c r="G1789" s="10"/>
      <c r="H1789" s="10"/>
      <c r="I1789" s="39"/>
      <c r="J1789" s="103"/>
      <c r="K1789" s="39"/>
      <c r="L1789" s="78"/>
      <c r="M1789" s="19"/>
      <c r="N1789" s="10"/>
    </row>
    <row r="1790" spans="7:14" x14ac:dyDescent="0.75">
      <c r="G1790" s="10"/>
      <c r="H1790" s="10"/>
      <c r="I1790" s="39"/>
      <c r="J1790" s="103"/>
      <c r="K1790" s="39"/>
      <c r="L1790" s="78"/>
      <c r="M1790" s="19"/>
      <c r="N1790" s="10"/>
    </row>
    <row r="1791" spans="7:14" x14ac:dyDescent="0.75">
      <c r="G1791" s="10"/>
      <c r="H1791" s="10"/>
      <c r="I1791" s="39"/>
      <c r="J1791" s="103"/>
      <c r="K1791" s="39"/>
      <c r="L1791" s="78"/>
      <c r="M1791" s="19"/>
      <c r="N1791" s="10"/>
    </row>
    <row r="1792" spans="7:14" x14ac:dyDescent="0.75">
      <c r="G1792" s="10"/>
      <c r="H1792" s="10"/>
      <c r="I1792" s="39"/>
      <c r="J1792" s="103"/>
      <c r="K1792" s="39"/>
      <c r="L1792" s="78"/>
      <c r="M1792" s="19"/>
      <c r="N1792" s="10"/>
    </row>
    <row r="1793" spans="7:14" x14ac:dyDescent="0.75">
      <c r="G1793" s="10"/>
      <c r="H1793" s="10"/>
      <c r="I1793" s="39"/>
      <c r="J1793" s="103"/>
      <c r="K1793" s="39"/>
      <c r="L1793" s="78"/>
      <c r="M1793" s="19"/>
      <c r="N1793" s="10"/>
    </row>
    <row r="1794" spans="7:14" x14ac:dyDescent="0.75">
      <c r="G1794" s="10"/>
      <c r="H1794" s="10"/>
      <c r="I1794" s="39"/>
      <c r="J1794" s="103"/>
      <c r="K1794" s="39"/>
      <c r="L1794" s="78"/>
      <c r="M1794" s="19"/>
      <c r="N1794" s="10"/>
    </row>
    <row r="1795" spans="7:14" x14ac:dyDescent="0.75">
      <c r="G1795" s="10"/>
      <c r="H1795" s="10"/>
      <c r="I1795" s="39"/>
      <c r="J1795" s="103"/>
      <c r="K1795" s="39"/>
      <c r="L1795" s="10"/>
      <c r="M1795" s="19"/>
      <c r="N1795" s="10"/>
    </row>
    <row r="1796" spans="7:14" x14ac:dyDescent="0.75">
      <c r="G1796" s="10"/>
      <c r="H1796" s="10"/>
      <c r="I1796" s="39"/>
      <c r="J1796" s="103"/>
      <c r="K1796" s="39"/>
      <c r="L1796" s="78"/>
      <c r="M1796" s="19"/>
      <c r="N1796" s="10"/>
    </row>
    <row r="1797" spans="7:14" x14ac:dyDescent="0.75">
      <c r="G1797" s="10"/>
      <c r="H1797" s="10"/>
      <c r="I1797" s="39"/>
      <c r="J1797" s="103"/>
      <c r="K1797" s="39"/>
      <c r="L1797" s="78"/>
      <c r="M1797" s="19"/>
      <c r="N1797" s="10"/>
    </row>
    <row r="1798" spans="7:14" x14ac:dyDescent="0.75">
      <c r="G1798" s="10"/>
      <c r="H1798" s="10"/>
      <c r="I1798" s="39"/>
      <c r="J1798" s="103"/>
      <c r="K1798" s="39"/>
      <c r="L1798" s="10"/>
      <c r="M1798" s="19"/>
      <c r="N1798" s="10"/>
    </row>
    <row r="1799" spans="7:14" x14ac:dyDescent="0.75">
      <c r="G1799" s="10"/>
      <c r="H1799" s="10"/>
      <c r="I1799" s="39"/>
      <c r="J1799" s="103"/>
      <c r="K1799" s="39"/>
      <c r="L1799" s="78"/>
      <c r="M1799" s="19"/>
      <c r="N1799" s="10"/>
    </row>
    <row r="1800" spans="7:14" x14ac:dyDescent="0.75">
      <c r="G1800" s="10"/>
      <c r="H1800" s="10"/>
      <c r="I1800" s="39"/>
      <c r="J1800" s="103"/>
      <c r="K1800" s="39"/>
      <c r="L1800" s="78"/>
      <c r="M1800" s="19"/>
      <c r="N1800" s="10"/>
    </row>
    <row r="1801" spans="7:14" x14ac:dyDescent="0.75">
      <c r="G1801" s="10"/>
      <c r="H1801" s="10"/>
      <c r="I1801" s="39"/>
      <c r="J1801" s="103"/>
      <c r="K1801" s="39"/>
      <c r="L1801" s="78"/>
      <c r="M1801" s="19"/>
      <c r="N1801" s="10"/>
    </row>
    <row r="1802" spans="7:14" x14ac:dyDescent="0.75">
      <c r="G1802" s="10"/>
      <c r="H1802" s="10"/>
      <c r="I1802" s="39"/>
      <c r="J1802" s="103"/>
      <c r="K1802" s="39"/>
      <c r="L1802" s="78"/>
      <c r="M1802" s="19"/>
      <c r="N1802" s="10"/>
    </row>
    <row r="1803" spans="7:14" x14ac:dyDescent="0.75">
      <c r="G1803" s="10"/>
      <c r="H1803" s="10"/>
      <c r="I1803" s="39"/>
      <c r="J1803" s="103"/>
      <c r="K1803" s="39"/>
      <c r="L1803" s="78"/>
      <c r="M1803" s="19"/>
      <c r="N1803" s="10"/>
    </row>
    <row r="1804" spans="7:14" x14ac:dyDescent="0.75">
      <c r="G1804" s="10"/>
      <c r="H1804" s="10"/>
      <c r="I1804" s="39"/>
      <c r="J1804" s="103"/>
      <c r="K1804" s="39"/>
      <c r="L1804" s="78"/>
      <c r="M1804" s="19"/>
      <c r="N1804" s="10"/>
    </row>
    <row r="1805" spans="7:14" x14ac:dyDescent="0.75">
      <c r="G1805" s="10"/>
      <c r="H1805" s="10"/>
      <c r="I1805" s="39"/>
      <c r="J1805" s="103"/>
      <c r="K1805" s="39"/>
      <c r="L1805" s="78"/>
      <c r="M1805" s="19"/>
      <c r="N1805" s="10"/>
    </row>
    <row r="1806" spans="7:14" x14ac:dyDescent="0.75">
      <c r="G1806" s="10"/>
      <c r="H1806" s="10"/>
      <c r="I1806" s="39"/>
      <c r="J1806" s="103"/>
      <c r="K1806" s="39"/>
      <c r="L1806" s="78"/>
      <c r="M1806" s="19"/>
      <c r="N1806" s="10"/>
    </row>
    <row r="1807" spans="7:14" x14ac:dyDescent="0.75">
      <c r="G1807" s="10"/>
      <c r="H1807" s="10"/>
      <c r="I1807" s="39"/>
      <c r="J1807" s="103"/>
      <c r="K1807" s="39"/>
      <c r="L1807" s="78"/>
      <c r="M1807" s="19"/>
      <c r="N1807" s="10"/>
    </row>
    <row r="1808" spans="7:14" x14ac:dyDescent="0.75">
      <c r="G1808" s="10"/>
      <c r="H1808" s="10"/>
      <c r="I1808" s="39"/>
      <c r="J1808" s="103"/>
      <c r="K1808" s="39"/>
      <c r="L1808" s="78"/>
      <c r="M1808" s="19"/>
      <c r="N1808" s="10"/>
    </row>
    <row r="1809" spans="7:14" x14ac:dyDescent="0.75">
      <c r="G1809" s="10"/>
      <c r="H1809" s="10"/>
      <c r="I1809" s="39"/>
      <c r="J1809" s="103"/>
      <c r="K1809" s="39"/>
      <c r="L1809" s="78"/>
      <c r="M1809" s="19"/>
      <c r="N1809" s="10"/>
    </row>
    <row r="1810" spans="7:14" x14ac:dyDescent="0.75">
      <c r="G1810" s="10"/>
      <c r="H1810" s="10"/>
      <c r="I1810" s="39"/>
      <c r="J1810" s="103"/>
      <c r="K1810" s="39"/>
      <c r="L1810" s="78"/>
      <c r="M1810" s="19"/>
      <c r="N1810" s="10"/>
    </row>
    <row r="1811" spans="7:14" x14ac:dyDescent="0.75">
      <c r="G1811" s="10"/>
      <c r="H1811" s="10"/>
      <c r="I1811" s="39"/>
      <c r="J1811" s="103"/>
      <c r="K1811" s="39"/>
      <c r="L1811" s="78"/>
      <c r="M1811" s="19"/>
      <c r="N1811" s="10"/>
    </row>
    <row r="1812" spans="7:14" x14ac:dyDescent="0.75">
      <c r="G1812" s="10"/>
      <c r="H1812" s="10"/>
      <c r="I1812" s="39"/>
      <c r="J1812" s="103"/>
      <c r="K1812" s="39"/>
      <c r="L1812" s="78"/>
      <c r="M1812" s="19"/>
      <c r="N1812" s="10"/>
    </row>
    <row r="1813" spans="7:14" x14ac:dyDescent="0.75">
      <c r="G1813" s="10"/>
      <c r="H1813" s="10"/>
      <c r="I1813" s="39"/>
      <c r="J1813" s="103"/>
      <c r="K1813" s="39"/>
      <c r="L1813" s="78"/>
      <c r="M1813" s="19"/>
      <c r="N1813" s="10"/>
    </row>
    <row r="1814" spans="7:14" x14ac:dyDescent="0.75">
      <c r="G1814" s="10"/>
      <c r="H1814" s="10"/>
      <c r="I1814" s="39"/>
      <c r="J1814" s="103"/>
      <c r="K1814" s="39"/>
      <c r="L1814" s="78"/>
      <c r="M1814" s="19"/>
      <c r="N1814" s="10"/>
    </row>
    <row r="1815" spans="7:14" x14ac:dyDescent="0.75">
      <c r="G1815" s="10"/>
      <c r="H1815" s="10"/>
      <c r="I1815" s="39"/>
      <c r="J1815" s="103"/>
      <c r="K1815" s="39"/>
      <c r="L1815" s="78"/>
      <c r="M1815" s="19"/>
      <c r="N1815" s="10"/>
    </row>
    <row r="1816" spans="7:14" x14ac:dyDescent="0.75">
      <c r="G1816" s="10"/>
      <c r="H1816" s="10"/>
      <c r="I1816" s="39"/>
      <c r="J1816" s="103"/>
      <c r="K1816" s="39"/>
      <c r="L1816" s="78"/>
      <c r="M1816" s="19"/>
      <c r="N1816" s="10"/>
    </row>
    <row r="1817" spans="7:14" x14ac:dyDescent="0.75">
      <c r="G1817" s="10"/>
      <c r="H1817" s="10"/>
      <c r="I1817" s="39"/>
      <c r="J1817" s="103"/>
      <c r="K1817" s="39"/>
      <c r="L1817" s="78"/>
      <c r="M1817" s="19"/>
      <c r="N1817" s="10"/>
    </row>
    <row r="1818" spans="7:14" x14ac:dyDescent="0.75">
      <c r="G1818" s="10"/>
      <c r="H1818" s="10"/>
      <c r="I1818" s="39"/>
      <c r="J1818" s="103"/>
      <c r="K1818" s="39"/>
      <c r="L1818" s="10"/>
      <c r="M1818" s="19"/>
      <c r="N1818" s="10"/>
    </row>
    <row r="1819" spans="7:14" x14ac:dyDescent="0.75">
      <c r="G1819" s="10"/>
      <c r="H1819" s="10"/>
      <c r="I1819" s="39"/>
      <c r="J1819" s="103"/>
      <c r="K1819" s="39"/>
      <c r="L1819" s="78"/>
      <c r="M1819" s="19"/>
      <c r="N1819" s="10"/>
    </row>
    <row r="1820" spans="7:14" x14ac:dyDescent="0.75">
      <c r="G1820" s="10"/>
      <c r="H1820" s="10"/>
      <c r="I1820" s="39"/>
      <c r="J1820" s="103"/>
      <c r="K1820" s="39"/>
      <c r="L1820" s="78"/>
      <c r="M1820" s="19"/>
      <c r="N1820" s="10"/>
    </row>
    <row r="1821" spans="7:14" x14ac:dyDescent="0.75">
      <c r="G1821" s="10"/>
      <c r="H1821" s="10"/>
      <c r="I1821" s="39"/>
      <c r="J1821" s="103"/>
      <c r="K1821" s="39"/>
      <c r="L1821" s="78"/>
      <c r="M1821" s="19"/>
      <c r="N1821" s="10"/>
    </row>
    <row r="1822" spans="7:14" x14ac:dyDescent="0.75">
      <c r="G1822" s="10"/>
      <c r="H1822" s="10"/>
      <c r="I1822" s="39"/>
      <c r="J1822" s="103"/>
      <c r="K1822" s="39"/>
      <c r="L1822" s="78"/>
      <c r="M1822" s="19"/>
      <c r="N1822" s="10"/>
    </row>
    <row r="1823" spans="7:14" x14ac:dyDescent="0.75">
      <c r="G1823" s="10"/>
      <c r="H1823" s="10"/>
      <c r="I1823" s="39"/>
      <c r="J1823" s="103"/>
      <c r="K1823" s="39"/>
      <c r="L1823" s="78"/>
      <c r="M1823" s="19"/>
      <c r="N1823" s="10"/>
    </row>
    <row r="1824" spans="7:14" x14ac:dyDescent="0.75">
      <c r="G1824" s="10"/>
      <c r="H1824" s="10"/>
      <c r="I1824" s="39"/>
      <c r="J1824" s="103"/>
      <c r="K1824" s="39"/>
      <c r="L1824" s="78"/>
      <c r="M1824" s="19"/>
      <c r="N1824" s="10"/>
    </row>
    <row r="1825" spans="7:14" x14ac:dyDescent="0.75">
      <c r="G1825" s="10"/>
      <c r="H1825" s="10"/>
      <c r="I1825" s="39"/>
      <c r="J1825" s="103"/>
      <c r="K1825" s="39"/>
      <c r="L1825" s="78"/>
      <c r="M1825" s="19"/>
      <c r="N1825" s="10"/>
    </row>
    <row r="1826" spans="7:14" x14ac:dyDescent="0.75">
      <c r="G1826" s="10"/>
      <c r="H1826" s="10"/>
      <c r="I1826" s="39"/>
      <c r="J1826" s="103"/>
      <c r="K1826" s="39"/>
      <c r="L1826" s="78"/>
      <c r="M1826" s="19"/>
      <c r="N1826" s="10"/>
    </row>
    <row r="1827" spans="7:14" x14ac:dyDescent="0.75">
      <c r="G1827" s="10"/>
      <c r="H1827" s="10"/>
      <c r="I1827" s="39"/>
      <c r="J1827" s="103"/>
      <c r="K1827" s="39"/>
      <c r="L1827" s="78"/>
      <c r="M1827" s="19"/>
      <c r="N1827" s="10"/>
    </row>
    <row r="1828" spans="7:14" x14ac:dyDescent="0.75">
      <c r="G1828" s="10"/>
      <c r="H1828" s="10"/>
      <c r="I1828" s="39"/>
      <c r="J1828" s="103"/>
      <c r="K1828" s="39"/>
      <c r="L1828" s="78"/>
      <c r="M1828" s="19"/>
      <c r="N1828" s="10"/>
    </row>
    <row r="1829" spans="7:14" x14ac:dyDescent="0.75">
      <c r="G1829" s="10"/>
      <c r="H1829" s="10"/>
      <c r="I1829" s="39"/>
      <c r="J1829" s="103"/>
      <c r="K1829" s="39"/>
      <c r="L1829" s="78"/>
      <c r="M1829" s="19"/>
      <c r="N1829" s="10"/>
    </row>
    <row r="1830" spans="7:14" x14ac:dyDescent="0.75">
      <c r="G1830" s="10"/>
      <c r="H1830" s="10"/>
      <c r="I1830" s="39"/>
      <c r="J1830" s="103"/>
      <c r="K1830" s="39"/>
      <c r="L1830" s="78"/>
      <c r="M1830" s="19"/>
      <c r="N1830" s="10"/>
    </row>
    <row r="1831" spans="7:14" x14ac:dyDescent="0.75">
      <c r="G1831" s="10"/>
      <c r="H1831" s="10"/>
      <c r="I1831" s="39"/>
      <c r="J1831" s="103"/>
      <c r="K1831" s="39"/>
      <c r="L1831" s="78"/>
      <c r="M1831" s="19"/>
      <c r="N1831" s="10"/>
    </row>
    <row r="1832" spans="7:14" x14ac:dyDescent="0.75">
      <c r="G1832" s="10"/>
      <c r="H1832" s="10"/>
      <c r="I1832" s="39"/>
      <c r="J1832" s="103"/>
      <c r="K1832" s="39"/>
      <c r="L1832" s="10"/>
      <c r="M1832" s="19"/>
      <c r="N1832" s="10"/>
    </row>
    <row r="1833" spans="7:14" x14ac:dyDescent="0.75">
      <c r="G1833" s="10"/>
      <c r="H1833" s="10"/>
      <c r="I1833" s="39"/>
      <c r="J1833" s="103"/>
      <c r="K1833" s="39"/>
      <c r="L1833" s="78"/>
      <c r="M1833" s="19"/>
      <c r="N1833" s="10"/>
    </row>
    <row r="1834" spans="7:14" x14ac:dyDescent="0.75">
      <c r="G1834" s="10"/>
      <c r="H1834" s="10"/>
      <c r="I1834" s="39"/>
      <c r="J1834" s="103"/>
      <c r="K1834" s="39"/>
      <c r="L1834" s="78"/>
      <c r="M1834" s="19"/>
      <c r="N1834" s="10"/>
    </row>
    <row r="1835" spans="7:14" x14ac:dyDescent="0.75">
      <c r="G1835" s="10"/>
      <c r="H1835" s="10"/>
      <c r="I1835" s="39"/>
      <c r="J1835" s="103"/>
      <c r="K1835" s="39"/>
      <c r="L1835" s="78"/>
      <c r="M1835" s="19"/>
      <c r="N1835" s="10"/>
    </row>
    <row r="1836" spans="7:14" x14ac:dyDescent="0.75">
      <c r="G1836" s="10"/>
      <c r="H1836" s="10"/>
      <c r="I1836" s="39"/>
      <c r="J1836" s="103"/>
      <c r="K1836" s="39"/>
      <c r="L1836" s="78"/>
      <c r="M1836" s="19"/>
      <c r="N1836" s="10"/>
    </row>
    <row r="1837" spans="7:14" x14ac:dyDescent="0.75">
      <c r="G1837" s="10"/>
      <c r="H1837" s="10"/>
      <c r="I1837" s="39"/>
      <c r="J1837" s="103"/>
      <c r="K1837" s="39"/>
      <c r="L1837" s="78"/>
      <c r="M1837" s="19"/>
      <c r="N1837" s="10"/>
    </row>
    <row r="1838" spans="7:14" x14ac:dyDescent="0.75">
      <c r="G1838" s="10"/>
      <c r="H1838" s="10"/>
      <c r="I1838" s="39"/>
      <c r="J1838" s="103"/>
      <c r="K1838" s="39"/>
      <c r="L1838" s="78"/>
      <c r="M1838" s="19"/>
      <c r="N1838" s="10"/>
    </row>
    <row r="1839" spans="7:14" x14ac:dyDescent="0.75">
      <c r="G1839" s="10"/>
      <c r="H1839" s="10"/>
      <c r="I1839" s="39"/>
      <c r="J1839" s="103"/>
      <c r="K1839" s="39"/>
      <c r="L1839" s="78"/>
      <c r="M1839" s="19"/>
      <c r="N1839" s="10"/>
    </row>
    <row r="1840" spans="7:14" x14ac:dyDescent="0.75">
      <c r="G1840" s="10"/>
      <c r="H1840" s="10"/>
      <c r="I1840" s="39"/>
      <c r="J1840" s="103"/>
      <c r="K1840" s="39"/>
      <c r="L1840" s="78"/>
      <c r="M1840" s="19"/>
      <c r="N1840" s="10"/>
    </row>
    <row r="1841" spans="7:14" x14ac:dyDescent="0.75">
      <c r="G1841" s="10"/>
      <c r="H1841" s="10"/>
      <c r="I1841" s="39"/>
      <c r="J1841" s="103"/>
      <c r="K1841" s="39"/>
      <c r="L1841" s="78"/>
      <c r="M1841" s="19"/>
      <c r="N1841" s="10"/>
    </row>
    <row r="1842" spans="7:14" x14ac:dyDescent="0.75">
      <c r="G1842" s="10"/>
      <c r="H1842" s="10"/>
      <c r="I1842" s="39"/>
      <c r="J1842" s="103"/>
      <c r="K1842" s="39"/>
      <c r="L1842" s="78"/>
      <c r="M1842" s="19"/>
      <c r="N1842" s="10"/>
    </row>
    <row r="1843" spans="7:14" x14ac:dyDescent="0.75">
      <c r="G1843" s="10"/>
      <c r="H1843" s="10"/>
      <c r="I1843" s="39"/>
      <c r="J1843" s="103"/>
      <c r="K1843" s="39"/>
      <c r="L1843" s="78"/>
      <c r="M1843" s="19"/>
      <c r="N1843" s="10"/>
    </row>
    <row r="1844" spans="7:14" x14ac:dyDescent="0.75">
      <c r="G1844" s="10"/>
      <c r="H1844" s="10"/>
      <c r="I1844" s="39"/>
      <c r="J1844" s="103"/>
      <c r="K1844" s="39"/>
      <c r="L1844" s="78"/>
      <c r="M1844" s="19"/>
      <c r="N1844" s="10"/>
    </row>
    <row r="1845" spans="7:14" x14ac:dyDescent="0.75">
      <c r="G1845" s="10"/>
      <c r="H1845" s="10"/>
      <c r="I1845" s="39"/>
      <c r="J1845" s="103"/>
      <c r="K1845" s="39"/>
      <c r="L1845" s="78"/>
      <c r="M1845" s="19"/>
      <c r="N1845" s="10"/>
    </row>
    <row r="1846" spans="7:14" x14ac:dyDescent="0.75">
      <c r="G1846" s="10"/>
      <c r="H1846" s="10"/>
      <c r="I1846" s="39"/>
      <c r="J1846" s="103"/>
      <c r="K1846" s="39"/>
      <c r="L1846" s="78"/>
      <c r="M1846" s="19"/>
      <c r="N1846" s="10"/>
    </row>
    <row r="1847" spans="7:14" x14ac:dyDescent="0.75">
      <c r="G1847" s="10"/>
      <c r="H1847" s="10"/>
      <c r="I1847" s="39"/>
      <c r="J1847" s="103"/>
      <c r="K1847" s="39"/>
      <c r="L1847" s="78"/>
      <c r="M1847" s="19"/>
      <c r="N1847" s="10"/>
    </row>
    <row r="1848" spans="7:14" x14ac:dyDescent="0.75">
      <c r="G1848" s="10"/>
      <c r="H1848" s="10"/>
      <c r="I1848" s="39"/>
      <c r="J1848" s="103"/>
      <c r="K1848" s="39"/>
      <c r="L1848" s="78"/>
      <c r="M1848" s="19"/>
      <c r="N1848" s="10"/>
    </row>
    <row r="1849" spans="7:14" x14ac:dyDescent="0.75">
      <c r="G1849" s="10"/>
      <c r="H1849" s="10"/>
      <c r="I1849" s="39"/>
      <c r="J1849" s="103"/>
      <c r="K1849" s="39"/>
      <c r="L1849" s="78"/>
      <c r="M1849" s="19"/>
      <c r="N1849" s="10"/>
    </row>
    <row r="1850" spans="7:14" x14ac:dyDescent="0.75">
      <c r="G1850" s="10"/>
      <c r="H1850" s="10"/>
      <c r="I1850" s="39"/>
      <c r="J1850" s="103"/>
      <c r="K1850" s="39"/>
      <c r="L1850" s="78"/>
      <c r="M1850" s="19"/>
      <c r="N1850" s="10"/>
    </row>
    <row r="1851" spans="7:14" x14ac:dyDescent="0.75">
      <c r="G1851" s="10"/>
      <c r="H1851" s="10"/>
      <c r="I1851" s="39"/>
      <c r="J1851" s="103"/>
      <c r="K1851" s="39"/>
      <c r="L1851" s="78"/>
      <c r="M1851" s="19"/>
      <c r="N1851" s="10"/>
    </row>
    <row r="1852" spans="7:14" x14ac:dyDescent="0.75">
      <c r="G1852" s="10"/>
      <c r="H1852" s="10"/>
      <c r="I1852" s="39"/>
      <c r="J1852" s="103"/>
      <c r="K1852" s="39"/>
      <c r="L1852" s="78"/>
      <c r="M1852" s="19"/>
      <c r="N1852" s="10"/>
    </row>
    <row r="1853" spans="7:14" x14ac:dyDescent="0.75">
      <c r="G1853" s="10"/>
      <c r="H1853" s="10"/>
      <c r="I1853" s="39"/>
      <c r="J1853" s="103"/>
      <c r="K1853" s="39"/>
      <c r="L1853" s="78"/>
      <c r="M1853" s="19"/>
      <c r="N1853" s="10"/>
    </row>
    <row r="1854" spans="7:14" x14ac:dyDescent="0.75">
      <c r="G1854" s="10"/>
      <c r="H1854" s="10"/>
      <c r="I1854" s="39"/>
      <c r="J1854" s="103"/>
      <c r="K1854" s="39"/>
      <c r="L1854" s="78"/>
      <c r="M1854" s="19"/>
      <c r="N1854" s="10"/>
    </row>
    <row r="1855" spans="7:14" x14ac:dyDescent="0.75">
      <c r="G1855" s="10"/>
      <c r="H1855" s="10"/>
      <c r="I1855" s="39"/>
      <c r="J1855" s="103"/>
      <c r="K1855" s="39"/>
      <c r="L1855" s="78"/>
      <c r="M1855" s="19"/>
      <c r="N1855" s="10"/>
    </row>
    <row r="1856" spans="7:14" x14ac:dyDescent="0.75">
      <c r="G1856" s="10"/>
      <c r="H1856" s="10"/>
      <c r="I1856" s="39"/>
      <c r="J1856" s="103"/>
      <c r="K1856" s="39"/>
      <c r="L1856" s="78"/>
      <c r="M1856" s="19"/>
      <c r="N1856" s="10"/>
    </row>
    <row r="1857" spans="7:14" x14ac:dyDescent="0.75">
      <c r="G1857" s="10"/>
      <c r="H1857" s="10"/>
      <c r="I1857" s="39"/>
      <c r="J1857" s="103"/>
      <c r="K1857" s="39"/>
      <c r="L1857" s="78"/>
      <c r="M1857" s="19"/>
      <c r="N1857" s="10"/>
    </row>
    <row r="1858" spans="7:14" x14ac:dyDescent="0.75">
      <c r="G1858" s="10"/>
      <c r="H1858" s="10"/>
      <c r="I1858" s="39"/>
      <c r="J1858" s="103"/>
      <c r="K1858" s="39"/>
      <c r="L1858" s="78"/>
      <c r="M1858" s="19"/>
      <c r="N1858" s="10"/>
    </row>
    <row r="1859" spans="7:14" x14ac:dyDescent="0.75">
      <c r="G1859" s="10"/>
      <c r="H1859" s="10"/>
      <c r="I1859" s="39"/>
      <c r="J1859" s="103"/>
      <c r="K1859" s="39"/>
      <c r="L1859" s="78"/>
      <c r="M1859" s="19"/>
      <c r="N1859" s="10"/>
    </row>
    <row r="1860" spans="7:14" x14ac:dyDescent="0.75">
      <c r="G1860" s="10"/>
      <c r="H1860" s="10"/>
      <c r="I1860" s="39"/>
      <c r="J1860" s="103"/>
      <c r="K1860" s="39"/>
      <c r="L1860" s="78"/>
      <c r="M1860" s="19"/>
      <c r="N1860" s="10"/>
    </row>
    <row r="1861" spans="7:14" x14ac:dyDescent="0.75">
      <c r="G1861" s="10"/>
      <c r="H1861" s="10"/>
      <c r="I1861" s="39"/>
      <c r="J1861" s="103"/>
      <c r="K1861" s="39"/>
      <c r="L1861" s="78"/>
      <c r="M1861" s="19"/>
      <c r="N1861" s="10"/>
    </row>
    <row r="1862" spans="7:14" x14ac:dyDescent="0.75">
      <c r="G1862" s="10"/>
      <c r="H1862" s="10"/>
      <c r="I1862" s="39"/>
      <c r="J1862" s="103"/>
      <c r="K1862" s="39"/>
      <c r="L1862" s="78"/>
      <c r="M1862" s="19"/>
      <c r="N1862" s="10"/>
    </row>
    <row r="1863" spans="7:14" x14ac:dyDescent="0.75">
      <c r="G1863" s="10"/>
      <c r="H1863" s="10"/>
      <c r="I1863" s="39"/>
      <c r="J1863" s="103"/>
      <c r="K1863" s="39"/>
      <c r="L1863" s="78"/>
      <c r="M1863" s="19"/>
      <c r="N1863" s="10"/>
    </row>
    <row r="1864" spans="7:14" x14ac:dyDescent="0.75">
      <c r="G1864" s="10"/>
      <c r="H1864" s="10"/>
      <c r="I1864" s="39"/>
      <c r="J1864" s="103"/>
      <c r="K1864" s="39"/>
      <c r="L1864" s="78"/>
      <c r="M1864" s="19"/>
      <c r="N1864" s="10"/>
    </row>
    <row r="1865" spans="7:14" x14ac:dyDescent="0.75">
      <c r="G1865" s="10"/>
      <c r="H1865" s="10"/>
      <c r="I1865" s="39"/>
      <c r="J1865" s="103"/>
      <c r="K1865" s="39"/>
      <c r="L1865" s="78"/>
      <c r="M1865" s="19"/>
      <c r="N1865" s="10"/>
    </row>
    <row r="1866" spans="7:14" x14ac:dyDescent="0.75">
      <c r="G1866" s="10"/>
      <c r="H1866" s="10"/>
      <c r="I1866" s="39"/>
      <c r="J1866" s="103"/>
      <c r="K1866" s="39"/>
      <c r="L1866" s="78"/>
      <c r="M1866" s="19"/>
      <c r="N1866" s="10"/>
    </row>
    <row r="1867" spans="7:14" x14ac:dyDescent="0.75">
      <c r="G1867" s="10"/>
      <c r="H1867" s="10"/>
      <c r="I1867" s="39"/>
      <c r="J1867" s="103"/>
      <c r="K1867" s="39"/>
      <c r="L1867" s="78"/>
      <c r="M1867" s="19"/>
      <c r="N1867" s="10"/>
    </row>
    <row r="1868" spans="7:14" x14ac:dyDescent="0.75">
      <c r="G1868" s="10"/>
      <c r="H1868" s="10"/>
      <c r="I1868" s="39"/>
      <c r="J1868" s="103"/>
      <c r="K1868" s="39"/>
      <c r="L1868" s="78"/>
      <c r="M1868" s="19"/>
      <c r="N1868" s="10"/>
    </row>
    <row r="1869" spans="7:14" x14ac:dyDescent="0.75">
      <c r="G1869" s="10"/>
      <c r="H1869" s="10"/>
      <c r="I1869" s="39"/>
      <c r="J1869" s="103"/>
      <c r="K1869" s="39"/>
      <c r="L1869" s="78"/>
      <c r="M1869" s="19"/>
      <c r="N1869" s="10"/>
    </row>
    <row r="1870" spans="7:14" x14ac:dyDescent="0.75">
      <c r="G1870" s="10"/>
      <c r="H1870" s="10"/>
      <c r="I1870" s="39"/>
      <c r="J1870" s="103"/>
      <c r="K1870" s="39"/>
      <c r="L1870" s="78"/>
      <c r="M1870" s="19"/>
      <c r="N1870" s="10"/>
    </row>
    <row r="1871" spans="7:14" x14ac:dyDescent="0.75">
      <c r="G1871" s="10"/>
      <c r="H1871" s="10"/>
      <c r="I1871" s="39"/>
      <c r="J1871" s="103"/>
      <c r="K1871" s="39"/>
      <c r="L1871" s="78"/>
      <c r="M1871" s="19"/>
      <c r="N1871" s="10"/>
    </row>
    <row r="1872" spans="7:14" x14ac:dyDescent="0.75">
      <c r="G1872" s="10"/>
      <c r="H1872" s="10"/>
      <c r="I1872" s="39"/>
      <c r="J1872" s="103"/>
      <c r="K1872" s="39"/>
      <c r="L1872" s="78"/>
      <c r="M1872" s="19"/>
      <c r="N1872" s="10"/>
    </row>
    <row r="1873" spans="7:14" x14ac:dyDescent="0.75">
      <c r="G1873" s="10"/>
      <c r="H1873" s="10"/>
      <c r="I1873" s="39"/>
      <c r="J1873" s="103"/>
      <c r="K1873" s="39"/>
      <c r="L1873" s="78"/>
      <c r="M1873" s="19"/>
      <c r="N1873" s="10"/>
    </row>
    <row r="1874" spans="7:14" x14ac:dyDescent="0.75">
      <c r="G1874" s="10"/>
      <c r="H1874" s="10"/>
      <c r="I1874" s="39"/>
      <c r="J1874" s="103"/>
      <c r="K1874" s="39"/>
      <c r="L1874" s="78"/>
      <c r="M1874" s="19"/>
      <c r="N1874" s="10"/>
    </row>
    <row r="1875" spans="7:14" x14ac:dyDescent="0.75">
      <c r="G1875" s="10"/>
      <c r="H1875" s="10"/>
      <c r="I1875" s="39"/>
      <c r="J1875" s="103"/>
      <c r="K1875" s="39"/>
      <c r="L1875" s="10"/>
      <c r="M1875" s="19"/>
      <c r="N1875" s="10"/>
    </row>
    <row r="1876" spans="7:14" x14ac:dyDescent="0.75">
      <c r="G1876" s="10"/>
      <c r="H1876" s="10"/>
      <c r="I1876" s="39"/>
      <c r="J1876" s="103"/>
      <c r="K1876" s="39"/>
      <c r="L1876" s="78"/>
      <c r="M1876" s="19"/>
      <c r="N1876" s="10"/>
    </row>
    <row r="1877" spans="7:14" x14ac:dyDescent="0.75">
      <c r="G1877" s="10"/>
      <c r="H1877" s="10"/>
      <c r="I1877" s="39"/>
      <c r="J1877" s="103"/>
      <c r="K1877" s="39"/>
      <c r="L1877" s="78"/>
      <c r="M1877" s="19"/>
      <c r="N1877" s="10"/>
    </row>
    <row r="1878" spans="7:14" x14ac:dyDescent="0.75">
      <c r="G1878" s="10"/>
      <c r="H1878" s="10"/>
      <c r="I1878" s="39"/>
      <c r="J1878" s="103"/>
      <c r="K1878" s="39"/>
      <c r="L1878" s="78"/>
      <c r="M1878" s="19"/>
      <c r="N1878" s="10"/>
    </row>
    <row r="1879" spans="7:14" x14ac:dyDescent="0.75">
      <c r="G1879" s="10"/>
      <c r="H1879" s="10"/>
      <c r="I1879" s="39"/>
      <c r="J1879" s="103"/>
      <c r="K1879" s="39"/>
      <c r="L1879" s="78"/>
      <c r="M1879" s="19"/>
      <c r="N1879" s="10"/>
    </row>
    <row r="1880" spans="7:14" x14ac:dyDescent="0.75">
      <c r="G1880" s="10"/>
      <c r="H1880" s="10"/>
      <c r="I1880" s="39"/>
      <c r="J1880" s="103"/>
      <c r="K1880" s="39"/>
      <c r="L1880" s="78"/>
      <c r="M1880" s="19"/>
      <c r="N1880" s="10"/>
    </row>
    <row r="1881" spans="7:14" x14ac:dyDescent="0.75">
      <c r="G1881" s="10"/>
      <c r="H1881" s="10"/>
      <c r="I1881" s="39"/>
      <c r="J1881" s="103"/>
      <c r="K1881" s="39"/>
      <c r="L1881" s="78"/>
      <c r="M1881" s="19"/>
      <c r="N1881" s="10"/>
    </row>
    <row r="1882" spans="7:14" x14ac:dyDescent="0.75">
      <c r="G1882" s="10"/>
      <c r="H1882" s="10"/>
      <c r="I1882" s="39"/>
      <c r="J1882" s="103"/>
      <c r="K1882" s="39"/>
      <c r="L1882" s="78"/>
      <c r="M1882" s="19"/>
      <c r="N1882" s="10"/>
    </row>
    <row r="1883" spans="7:14" x14ac:dyDescent="0.75">
      <c r="G1883" s="10"/>
      <c r="H1883" s="10"/>
      <c r="I1883" s="39"/>
      <c r="J1883" s="103"/>
      <c r="K1883" s="39"/>
      <c r="L1883" s="78"/>
      <c r="M1883" s="19"/>
      <c r="N1883" s="10"/>
    </row>
    <row r="1884" spans="7:14" x14ac:dyDescent="0.75">
      <c r="G1884" s="10"/>
      <c r="H1884" s="10"/>
      <c r="I1884" s="39"/>
      <c r="J1884" s="103"/>
      <c r="K1884" s="39"/>
      <c r="L1884" s="78"/>
      <c r="M1884" s="19"/>
      <c r="N1884" s="10"/>
    </row>
    <row r="1885" spans="7:14" x14ac:dyDescent="0.75">
      <c r="G1885" s="10"/>
      <c r="H1885" s="10"/>
      <c r="I1885" s="39"/>
      <c r="J1885" s="103"/>
      <c r="K1885" s="39"/>
      <c r="L1885" s="78"/>
      <c r="M1885" s="19"/>
      <c r="N1885" s="10"/>
    </row>
    <row r="1886" spans="7:14" x14ac:dyDescent="0.75">
      <c r="G1886" s="10"/>
      <c r="H1886" s="10"/>
      <c r="I1886" s="39"/>
      <c r="J1886" s="103"/>
      <c r="K1886" s="39"/>
      <c r="L1886" s="78"/>
      <c r="M1886" s="19"/>
      <c r="N1886" s="10"/>
    </row>
    <row r="1887" spans="7:14" x14ac:dyDescent="0.75">
      <c r="G1887" s="10"/>
      <c r="H1887" s="10"/>
      <c r="I1887" s="39"/>
      <c r="J1887" s="103"/>
      <c r="K1887" s="39"/>
      <c r="L1887" s="10"/>
      <c r="M1887" s="19"/>
      <c r="N1887" s="10"/>
    </row>
    <row r="1888" spans="7:14" x14ac:dyDescent="0.75">
      <c r="G1888" s="10"/>
      <c r="H1888" s="10"/>
      <c r="I1888" s="39"/>
      <c r="J1888" s="103"/>
      <c r="K1888" s="39"/>
      <c r="L1888" s="78"/>
      <c r="M1888" s="19"/>
      <c r="N1888" s="10"/>
    </row>
    <row r="1889" spans="7:14" x14ac:dyDescent="0.75">
      <c r="G1889" s="10"/>
      <c r="H1889" s="10"/>
      <c r="I1889" s="39"/>
      <c r="J1889" s="103"/>
      <c r="K1889" s="39"/>
      <c r="L1889" s="78"/>
      <c r="M1889" s="19"/>
      <c r="N1889" s="10"/>
    </row>
    <row r="1890" spans="7:14" x14ac:dyDescent="0.75">
      <c r="G1890" s="10"/>
      <c r="H1890" s="10"/>
      <c r="I1890" s="39"/>
      <c r="J1890" s="103"/>
      <c r="K1890" s="39"/>
      <c r="L1890" s="78"/>
      <c r="M1890" s="19"/>
      <c r="N1890" s="10"/>
    </row>
    <row r="1891" spans="7:14" x14ac:dyDescent="0.75">
      <c r="G1891" s="10"/>
      <c r="H1891" s="10"/>
      <c r="I1891" s="39"/>
      <c r="J1891" s="103"/>
      <c r="K1891" s="39"/>
      <c r="L1891" s="78"/>
      <c r="M1891" s="19"/>
      <c r="N1891" s="10"/>
    </row>
    <row r="1892" spans="7:14" x14ac:dyDescent="0.75">
      <c r="G1892" s="10"/>
      <c r="H1892" s="10"/>
      <c r="I1892" s="39"/>
      <c r="J1892" s="103"/>
      <c r="K1892" s="39"/>
      <c r="L1892" s="78"/>
      <c r="M1892" s="19"/>
      <c r="N1892" s="10"/>
    </row>
    <row r="1893" spans="7:14" x14ac:dyDescent="0.75">
      <c r="G1893" s="10"/>
      <c r="H1893" s="10"/>
      <c r="I1893" s="39"/>
      <c r="J1893" s="103"/>
      <c r="K1893" s="39"/>
      <c r="L1893" s="78"/>
      <c r="M1893" s="19"/>
      <c r="N1893" s="10"/>
    </row>
    <row r="1894" spans="7:14" x14ac:dyDescent="0.75">
      <c r="G1894" s="10"/>
      <c r="H1894" s="10"/>
      <c r="I1894" s="39"/>
      <c r="J1894" s="103"/>
      <c r="K1894" s="39"/>
      <c r="L1894" s="78"/>
      <c r="M1894" s="19"/>
      <c r="N1894" s="10"/>
    </row>
    <row r="1895" spans="7:14" x14ac:dyDescent="0.75">
      <c r="G1895" s="10"/>
      <c r="H1895" s="10"/>
      <c r="I1895" s="39"/>
      <c r="J1895" s="103"/>
      <c r="K1895" s="39"/>
      <c r="L1895" s="78"/>
      <c r="M1895" s="19"/>
      <c r="N1895" s="10"/>
    </row>
    <row r="1896" spans="7:14" x14ac:dyDescent="0.75">
      <c r="G1896" s="10"/>
      <c r="H1896" s="10"/>
      <c r="I1896" s="39"/>
      <c r="J1896" s="103"/>
      <c r="K1896" s="39"/>
      <c r="L1896" s="78"/>
      <c r="M1896" s="19"/>
      <c r="N1896" s="10"/>
    </row>
    <row r="1897" spans="7:14" x14ac:dyDescent="0.75">
      <c r="G1897" s="10"/>
      <c r="H1897" s="10"/>
      <c r="I1897" s="39"/>
      <c r="J1897" s="103"/>
      <c r="K1897" s="39"/>
      <c r="L1897" s="78"/>
      <c r="M1897" s="19"/>
      <c r="N1897" s="10"/>
    </row>
    <row r="1898" spans="7:14" x14ac:dyDescent="0.75">
      <c r="G1898" s="10"/>
      <c r="H1898" s="10"/>
      <c r="I1898" s="39"/>
      <c r="J1898" s="103"/>
      <c r="K1898" s="39"/>
      <c r="L1898" s="78"/>
      <c r="M1898" s="19"/>
      <c r="N1898" s="10"/>
    </row>
    <row r="1899" spans="7:14" x14ac:dyDescent="0.75">
      <c r="G1899" s="10"/>
      <c r="H1899" s="10"/>
      <c r="I1899" s="39"/>
      <c r="J1899" s="103"/>
      <c r="K1899" s="39"/>
      <c r="L1899" s="78"/>
      <c r="M1899" s="19"/>
      <c r="N1899" s="10"/>
    </row>
    <row r="1900" spans="7:14" x14ac:dyDescent="0.75">
      <c r="G1900" s="10"/>
      <c r="H1900" s="10"/>
      <c r="I1900" s="39"/>
      <c r="J1900" s="103"/>
      <c r="K1900" s="39"/>
      <c r="L1900" s="78"/>
      <c r="M1900" s="19"/>
      <c r="N1900" s="10"/>
    </row>
    <row r="1901" spans="7:14" x14ac:dyDescent="0.75">
      <c r="G1901" s="10"/>
      <c r="H1901" s="10"/>
      <c r="I1901" s="39"/>
      <c r="J1901" s="103"/>
      <c r="K1901" s="39"/>
      <c r="L1901" s="10"/>
      <c r="M1901" s="19"/>
      <c r="N1901" s="10"/>
    </row>
    <row r="1902" spans="7:14" x14ac:dyDescent="0.75">
      <c r="G1902" s="10"/>
      <c r="H1902" s="10"/>
      <c r="I1902" s="39"/>
      <c r="J1902" s="103"/>
      <c r="K1902" s="39"/>
      <c r="L1902" s="78"/>
      <c r="M1902" s="19"/>
      <c r="N1902" s="10"/>
    </row>
    <row r="1903" spans="7:14" x14ac:dyDescent="0.75">
      <c r="G1903" s="10"/>
      <c r="H1903" s="10"/>
      <c r="I1903" s="39"/>
      <c r="J1903" s="103"/>
      <c r="K1903" s="39"/>
      <c r="L1903" s="78"/>
      <c r="M1903" s="19"/>
      <c r="N1903" s="10"/>
    </row>
    <row r="1904" spans="7:14" x14ac:dyDescent="0.75">
      <c r="G1904" s="10"/>
      <c r="H1904" s="10"/>
      <c r="I1904" s="39"/>
      <c r="J1904" s="103"/>
      <c r="K1904" s="39"/>
      <c r="L1904" s="78"/>
      <c r="M1904" s="19"/>
      <c r="N1904" s="10"/>
    </row>
    <row r="1905" spans="7:14" x14ac:dyDescent="0.75">
      <c r="G1905" s="10"/>
      <c r="H1905" s="10"/>
      <c r="I1905" s="39"/>
      <c r="J1905" s="103"/>
      <c r="K1905" s="39"/>
      <c r="L1905" s="78"/>
      <c r="M1905" s="19"/>
      <c r="N1905" s="10"/>
    </row>
    <row r="1906" spans="7:14" x14ac:dyDescent="0.75">
      <c r="G1906" s="10"/>
      <c r="H1906" s="10"/>
      <c r="I1906" s="39"/>
      <c r="J1906" s="103"/>
      <c r="K1906" s="39"/>
      <c r="L1906" s="78"/>
      <c r="M1906" s="19"/>
      <c r="N1906" s="10"/>
    </row>
    <row r="1907" spans="7:14" x14ac:dyDescent="0.75">
      <c r="G1907" s="10"/>
      <c r="H1907" s="10"/>
      <c r="I1907" s="39"/>
      <c r="J1907" s="103"/>
      <c r="K1907" s="39"/>
      <c r="L1907" s="78"/>
      <c r="M1907" s="19"/>
      <c r="N1907" s="10"/>
    </row>
    <row r="1908" spans="7:14" x14ac:dyDescent="0.75">
      <c r="G1908" s="10"/>
      <c r="H1908" s="10"/>
      <c r="I1908" s="39"/>
      <c r="J1908" s="103"/>
      <c r="K1908" s="39"/>
      <c r="L1908" s="78"/>
      <c r="M1908" s="19"/>
      <c r="N1908" s="10"/>
    </row>
    <row r="1909" spans="7:14" x14ac:dyDescent="0.75">
      <c r="G1909" s="10"/>
      <c r="H1909" s="10"/>
      <c r="I1909" s="39"/>
      <c r="J1909" s="103"/>
      <c r="K1909" s="39"/>
      <c r="L1909" s="78"/>
      <c r="M1909" s="19"/>
      <c r="N1909" s="10"/>
    </row>
    <row r="1910" spans="7:14" x14ac:dyDescent="0.75">
      <c r="G1910" s="10"/>
      <c r="H1910" s="10"/>
      <c r="I1910" s="39"/>
      <c r="J1910" s="103"/>
      <c r="K1910" s="39"/>
      <c r="L1910" s="78"/>
      <c r="M1910" s="19"/>
      <c r="N1910" s="10"/>
    </row>
    <row r="1911" spans="7:14" x14ac:dyDescent="0.75">
      <c r="G1911" s="10"/>
      <c r="H1911" s="10"/>
      <c r="I1911" s="39"/>
      <c r="J1911" s="103"/>
      <c r="K1911" s="39"/>
      <c r="L1911" s="78"/>
      <c r="M1911" s="19"/>
      <c r="N1911" s="10"/>
    </row>
    <row r="1912" spans="7:14" x14ac:dyDescent="0.75">
      <c r="G1912" s="10"/>
      <c r="H1912" s="10"/>
      <c r="I1912" s="39"/>
      <c r="J1912" s="103"/>
      <c r="K1912" s="39"/>
      <c r="L1912" s="78"/>
      <c r="M1912" s="19"/>
      <c r="N1912" s="10"/>
    </row>
    <row r="1913" spans="7:14" x14ac:dyDescent="0.75">
      <c r="G1913" s="10"/>
      <c r="H1913" s="10"/>
      <c r="I1913" s="39"/>
      <c r="J1913" s="103"/>
      <c r="K1913" s="39"/>
      <c r="L1913" s="78"/>
      <c r="M1913" s="19"/>
      <c r="N1913" s="10"/>
    </row>
    <row r="1914" spans="7:14" x14ac:dyDescent="0.75">
      <c r="G1914" s="10"/>
      <c r="H1914" s="10"/>
      <c r="I1914" s="39"/>
      <c r="J1914" s="103"/>
      <c r="K1914" s="39"/>
      <c r="L1914" s="78"/>
      <c r="M1914" s="19"/>
      <c r="N1914" s="10"/>
    </row>
    <row r="1915" spans="7:14" x14ac:dyDescent="0.75">
      <c r="G1915" s="10"/>
      <c r="H1915" s="10"/>
      <c r="I1915" s="39"/>
      <c r="J1915" s="103"/>
      <c r="K1915" s="39"/>
      <c r="L1915" s="78"/>
      <c r="M1915" s="19"/>
      <c r="N1915" s="10"/>
    </row>
    <row r="1916" spans="7:14" x14ac:dyDescent="0.75">
      <c r="G1916" s="10"/>
      <c r="H1916" s="10"/>
      <c r="I1916" s="39"/>
      <c r="J1916" s="103"/>
      <c r="K1916" s="39"/>
      <c r="L1916" s="78"/>
      <c r="M1916" s="19"/>
      <c r="N1916" s="10"/>
    </row>
    <row r="1917" spans="7:14" x14ac:dyDescent="0.75">
      <c r="G1917" s="10"/>
      <c r="H1917" s="10"/>
      <c r="I1917" s="39"/>
      <c r="J1917" s="103"/>
      <c r="K1917" s="39"/>
      <c r="L1917" s="78"/>
      <c r="M1917" s="19"/>
      <c r="N1917" s="10"/>
    </row>
    <row r="1918" spans="7:14" x14ac:dyDescent="0.75">
      <c r="G1918" s="10"/>
      <c r="H1918" s="10"/>
      <c r="I1918" s="39"/>
      <c r="J1918" s="103"/>
      <c r="K1918" s="39"/>
      <c r="L1918" s="78"/>
      <c r="M1918" s="19"/>
      <c r="N1918" s="10"/>
    </row>
    <row r="1919" spans="7:14" x14ac:dyDescent="0.75">
      <c r="G1919" s="10"/>
      <c r="H1919" s="10"/>
      <c r="I1919" s="39"/>
      <c r="J1919" s="103"/>
      <c r="K1919" s="39"/>
      <c r="L1919" s="78"/>
      <c r="M1919" s="19"/>
      <c r="N1919" s="10"/>
    </row>
    <row r="1920" spans="7:14" x14ac:dyDescent="0.75">
      <c r="G1920" s="10"/>
      <c r="H1920" s="10"/>
      <c r="I1920" s="39"/>
      <c r="J1920" s="103"/>
      <c r="K1920" s="39"/>
      <c r="L1920" s="78"/>
      <c r="M1920" s="19"/>
      <c r="N1920" s="10"/>
    </row>
    <row r="1921" spans="7:14" x14ac:dyDescent="0.75">
      <c r="G1921" s="10"/>
      <c r="H1921" s="10"/>
      <c r="I1921" s="39"/>
      <c r="J1921" s="103"/>
      <c r="K1921" s="39"/>
      <c r="L1921" s="78"/>
      <c r="M1921" s="19"/>
      <c r="N1921" s="10"/>
    </row>
    <row r="1922" spans="7:14" x14ac:dyDescent="0.75">
      <c r="G1922" s="10"/>
      <c r="H1922" s="10"/>
      <c r="I1922" s="39"/>
      <c r="J1922" s="103"/>
      <c r="K1922" s="39"/>
      <c r="L1922" s="78"/>
      <c r="M1922" s="19"/>
      <c r="N1922" s="10"/>
    </row>
    <row r="1923" spans="7:14" x14ac:dyDescent="0.75">
      <c r="G1923" s="10"/>
      <c r="H1923" s="10"/>
      <c r="I1923" s="39"/>
      <c r="J1923" s="103"/>
      <c r="K1923" s="39"/>
      <c r="L1923" s="78"/>
      <c r="M1923" s="19"/>
      <c r="N1923" s="10"/>
    </row>
    <row r="1924" spans="7:14" x14ac:dyDescent="0.75">
      <c r="G1924" s="10"/>
      <c r="H1924" s="10"/>
      <c r="I1924" s="39"/>
      <c r="J1924" s="103"/>
      <c r="K1924" s="39"/>
      <c r="L1924" s="78"/>
      <c r="M1924" s="19"/>
      <c r="N1924" s="10"/>
    </row>
    <row r="1925" spans="7:14" x14ac:dyDescent="0.75">
      <c r="G1925" s="10"/>
      <c r="H1925" s="10"/>
      <c r="I1925" s="39"/>
      <c r="J1925" s="103"/>
      <c r="K1925" s="39"/>
      <c r="L1925" s="10"/>
      <c r="M1925" s="19"/>
      <c r="N1925" s="10"/>
    </row>
    <row r="1926" spans="7:14" x14ac:dyDescent="0.75">
      <c r="G1926" s="10"/>
      <c r="H1926" s="10"/>
      <c r="I1926" s="39"/>
      <c r="J1926" s="103"/>
      <c r="K1926" s="39"/>
      <c r="L1926" s="10"/>
      <c r="M1926" s="19"/>
      <c r="N1926" s="10"/>
    </row>
    <row r="1927" spans="7:14" x14ac:dyDescent="0.75">
      <c r="G1927" s="10"/>
      <c r="H1927" s="10"/>
      <c r="I1927" s="39"/>
      <c r="J1927" s="103"/>
      <c r="K1927" s="39"/>
      <c r="L1927" s="10"/>
      <c r="M1927" s="19"/>
      <c r="N1927" s="10"/>
    </row>
    <row r="1928" spans="7:14" x14ac:dyDescent="0.75">
      <c r="G1928" s="10"/>
      <c r="H1928" s="10"/>
      <c r="I1928" s="39"/>
      <c r="J1928" s="103"/>
      <c r="K1928" s="39"/>
      <c r="L1928" s="78"/>
      <c r="M1928" s="19"/>
      <c r="N1928" s="10"/>
    </row>
    <row r="1929" spans="7:14" x14ac:dyDescent="0.75">
      <c r="G1929" s="10"/>
      <c r="H1929" s="10"/>
      <c r="I1929" s="39"/>
      <c r="J1929" s="103"/>
      <c r="K1929" s="39"/>
      <c r="L1929" s="78"/>
      <c r="M1929" s="19"/>
      <c r="N1929" s="10"/>
    </row>
    <row r="1930" spans="7:14" x14ac:dyDescent="0.75">
      <c r="G1930" s="10"/>
      <c r="H1930" s="10"/>
      <c r="I1930" s="39"/>
      <c r="J1930" s="103"/>
      <c r="K1930" s="39"/>
      <c r="L1930" s="78"/>
      <c r="M1930" s="19"/>
      <c r="N1930" s="10"/>
    </row>
    <row r="1931" spans="7:14" x14ac:dyDescent="0.75">
      <c r="G1931" s="10"/>
      <c r="H1931" s="10"/>
      <c r="I1931" s="39"/>
      <c r="J1931" s="103"/>
      <c r="K1931" s="39"/>
      <c r="L1931" s="78"/>
      <c r="M1931" s="19"/>
      <c r="N1931" s="10"/>
    </row>
    <row r="1932" spans="7:14" x14ac:dyDescent="0.75">
      <c r="G1932" s="10"/>
      <c r="H1932" s="10"/>
      <c r="I1932" s="39"/>
      <c r="J1932" s="103"/>
      <c r="K1932" s="39"/>
      <c r="L1932" s="78"/>
      <c r="M1932" s="19"/>
      <c r="N1932" s="10"/>
    </row>
    <row r="1933" spans="7:14" x14ac:dyDescent="0.75">
      <c r="G1933" s="10"/>
      <c r="H1933" s="10"/>
      <c r="I1933" s="39"/>
      <c r="J1933" s="103"/>
      <c r="K1933" s="39"/>
      <c r="L1933" s="78"/>
      <c r="M1933" s="19"/>
      <c r="N1933" s="10"/>
    </row>
    <row r="1934" spans="7:14" x14ac:dyDescent="0.75">
      <c r="G1934" s="10"/>
      <c r="H1934" s="10"/>
      <c r="I1934" s="39"/>
      <c r="J1934" s="103"/>
      <c r="K1934" s="39"/>
      <c r="L1934" s="78"/>
      <c r="M1934" s="19"/>
      <c r="N1934" s="10"/>
    </row>
    <row r="1935" spans="7:14" x14ac:dyDescent="0.75">
      <c r="G1935" s="10"/>
      <c r="H1935" s="10"/>
      <c r="I1935" s="39"/>
      <c r="J1935" s="103"/>
      <c r="K1935" s="39"/>
      <c r="L1935" s="78"/>
      <c r="M1935" s="19"/>
      <c r="N1935" s="10"/>
    </row>
    <row r="1936" spans="7:14" x14ac:dyDescent="0.75">
      <c r="G1936" s="10"/>
      <c r="H1936" s="10"/>
      <c r="I1936" s="39"/>
      <c r="J1936" s="103"/>
      <c r="K1936" s="39"/>
      <c r="L1936" s="10"/>
      <c r="M1936" s="19"/>
      <c r="N1936" s="10"/>
    </row>
    <row r="1937" spans="7:14" x14ac:dyDescent="0.75">
      <c r="G1937" s="10"/>
      <c r="H1937" s="10"/>
      <c r="I1937" s="39"/>
      <c r="J1937" s="103"/>
      <c r="K1937" s="39"/>
      <c r="L1937" s="78"/>
      <c r="M1937" s="19"/>
      <c r="N1937" s="10"/>
    </row>
    <row r="1938" spans="7:14" x14ac:dyDescent="0.75">
      <c r="G1938" s="10"/>
      <c r="H1938" s="10"/>
      <c r="I1938" s="39"/>
      <c r="J1938" s="103"/>
      <c r="K1938" s="39"/>
      <c r="L1938" s="78"/>
      <c r="M1938" s="19"/>
      <c r="N1938" s="10"/>
    </row>
    <row r="1939" spans="7:14" x14ac:dyDescent="0.75">
      <c r="G1939" s="10"/>
      <c r="H1939" s="10"/>
      <c r="I1939" s="39"/>
      <c r="J1939" s="103"/>
      <c r="K1939" s="39"/>
      <c r="L1939" s="78"/>
      <c r="M1939" s="19"/>
      <c r="N1939" s="10"/>
    </row>
    <row r="1940" spans="7:14" x14ac:dyDescent="0.75">
      <c r="G1940" s="10"/>
      <c r="H1940" s="10"/>
      <c r="I1940" s="39"/>
      <c r="J1940" s="103"/>
      <c r="K1940" s="39"/>
      <c r="L1940" s="78"/>
      <c r="M1940" s="19"/>
      <c r="N1940" s="10"/>
    </row>
    <row r="1941" spans="7:14" x14ac:dyDescent="0.75">
      <c r="G1941" s="10"/>
      <c r="H1941" s="10"/>
      <c r="I1941" s="39"/>
      <c r="J1941" s="103"/>
      <c r="K1941" s="39"/>
      <c r="L1941" s="78"/>
      <c r="M1941" s="19"/>
      <c r="N1941" s="10"/>
    </row>
    <row r="1942" spans="7:14" x14ac:dyDescent="0.75">
      <c r="G1942" s="10"/>
      <c r="H1942" s="10"/>
      <c r="I1942" s="39"/>
      <c r="J1942" s="103"/>
      <c r="K1942" s="39"/>
      <c r="L1942" s="78"/>
      <c r="M1942" s="19"/>
      <c r="N1942" s="10"/>
    </row>
    <row r="1943" spans="7:14" x14ac:dyDescent="0.75">
      <c r="G1943" s="10"/>
      <c r="H1943" s="10"/>
      <c r="I1943" s="39"/>
      <c r="J1943" s="103"/>
      <c r="K1943" s="39"/>
      <c r="L1943" s="78"/>
      <c r="M1943" s="19"/>
      <c r="N1943" s="10"/>
    </row>
    <row r="1944" spans="7:14" x14ac:dyDescent="0.75">
      <c r="G1944" s="10"/>
      <c r="H1944" s="10"/>
      <c r="I1944" s="39"/>
      <c r="J1944" s="103"/>
      <c r="K1944" s="39"/>
      <c r="L1944" s="78"/>
      <c r="M1944" s="19"/>
      <c r="N1944" s="10"/>
    </row>
    <row r="1945" spans="7:14" x14ac:dyDescent="0.75">
      <c r="G1945" s="10"/>
      <c r="H1945" s="10"/>
      <c r="I1945" s="39"/>
      <c r="J1945" s="103"/>
      <c r="K1945" s="39"/>
      <c r="L1945" s="78"/>
      <c r="M1945" s="19"/>
      <c r="N1945" s="10"/>
    </row>
    <row r="1946" spans="7:14" x14ac:dyDescent="0.75">
      <c r="G1946" s="10"/>
      <c r="H1946" s="10"/>
      <c r="I1946" s="39"/>
      <c r="J1946" s="103"/>
      <c r="K1946" s="39"/>
      <c r="L1946" s="78"/>
      <c r="M1946" s="19"/>
      <c r="N1946" s="10"/>
    </row>
    <row r="1947" spans="7:14" x14ac:dyDescent="0.75">
      <c r="G1947" s="10"/>
      <c r="H1947" s="10"/>
      <c r="I1947" s="39"/>
      <c r="J1947" s="103"/>
      <c r="K1947" s="39"/>
      <c r="L1947" s="78"/>
      <c r="M1947" s="19"/>
      <c r="N1947" s="10"/>
    </row>
    <row r="1948" spans="7:14" x14ac:dyDescent="0.75">
      <c r="G1948" s="10"/>
      <c r="H1948" s="10"/>
      <c r="I1948" s="39"/>
      <c r="J1948" s="103"/>
      <c r="K1948" s="39"/>
      <c r="L1948" s="78"/>
      <c r="M1948" s="19"/>
      <c r="N1948" s="10"/>
    </row>
    <row r="1949" spans="7:14" x14ac:dyDescent="0.75">
      <c r="G1949" s="10"/>
      <c r="H1949" s="10"/>
      <c r="I1949" s="39"/>
      <c r="J1949" s="103"/>
      <c r="K1949" s="39"/>
      <c r="L1949" s="78"/>
      <c r="M1949" s="19"/>
      <c r="N1949" s="10"/>
    </row>
    <row r="1950" spans="7:14" x14ac:dyDescent="0.75">
      <c r="G1950" s="10"/>
      <c r="H1950" s="10"/>
      <c r="I1950" s="39"/>
      <c r="J1950" s="103"/>
      <c r="K1950" s="39"/>
      <c r="L1950" s="78"/>
      <c r="M1950" s="19"/>
      <c r="N1950" s="10"/>
    </row>
    <row r="1951" spans="7:14" x14ac:dyDescent="0.75">
      <c r="G1951" s="10"/>
      <c r="H1951" s="10"/>
      <c r="I1951" s="39"/>
      <c r="J1951" s="103"/>
      <c r="K1951" s="39"/>
      <c r="L1951" s="78"/>
      <c r="M1951" s="19"/>
      <c r="N1951" s="10"/>
    </row>
    <row r="1952" spans="7:14" x14ac:dyDescent="0.75">
      <c r="G1952" s="10"/>
      <c r="H1952" s="10"/>
      <c r="I1952" s="39"/>
      <c r="J1952" s="103"/>
      <c r="K1952" s="39"/>
      <c r="L1952" s="78"/>
      <c r="M1952" s="19"/>
      <c r="N1952" s="10"/>
    </row>
    <row r="1953" spans="7:14" x14ac:dyDescent="0.75">
      <c r="G1953" s="10"/>
      <c r="H1953" s="10"/>
      <c r="I1953" s="39"/>
      <c r="J1953" s="103"/>
      <c r="K1953" s="39"/>
      <c r="L1953" s="78"/>
      <c r="M1953" s="19"/>
      <c r="N1953" s="10"/>
    </row>
    <row r="1954" spans="7:14" x14ac:dyDescent="0.75">
      <c r="G1954" s="10"/>
      <c r="H1954" s="10"/>
      <c r="I1954" s="39"/>
      <c r="J1954" s="103"/>
      <c r="K1954" s="39"/>
      <c r="L1954" s="78"/>
      <c r="M1954" s="19"/>
      <c r="N1954" s="10"/>
    </row>
    <row r="1955" spans="7:14" x14ac:dyDescent="0.75">
      <c r="G1955" s="10"/>
      <c r="H1955" s="10"/>
      <c r="I1955" s="39"/>
      <c r="J1955" s="103"/>
      <c r="K1955" s="39"/>
      <c r="L1955" s="78"/>
      <c r="M1955" s="19"/>
      <c r="N1955" s="10"/>
    </row>
    <row r="1956" spans="7:14" x14ac:dyDescent="0.75">
      <c r="G1956" s="10"/>
      <c r="H1956" s="10"/>
      <c r="I1956" s="39"/>
      <c r="J1956" s="103"/>
      <c r="K1956" s="39"/>
      <c r="L1956" s="78"/>
      <c r="M1956" s="19"/>
      <c r="N1956" s="10"/>
    </row>
    <row r="1957" spans="7:14" x14ac:dyDescent="0.75">
      <c r="G1957" s="10"/>
      <c r="H1957" s="10"/>
      <c r="I1957" s="39"/>
      <c r="J1957" s="103"/>
      <c r="K1957" s="39"/>
      <c r="L1957" s="78"/>
      <c r="M1957" s="19"/>
      <c r="N1957" s="10"/>
    </row>
    <row r="1958" spans="7:14" x14ac:dyDescent="0.75">
      <c r="G1958" s="10"/>
      <c r="H1958" s="10"/>
      <c r="I1958" s="39"/>
      <c r="J1958" s="103"/>
      <c r="K1958" s="39"/>
      <c r="L1958" s="78"/>
      <c r="M1958" s="19"/>
      <c r="N1958" s="10"/>
    </row>
    <row r="1959" spans="7:14" x14ac:dyDescent="0.75">
      <c r="G1959" s="10"/>
      <c r="H1959" s="10"/>
      <c r="I1959" s="39"/>
      <c r="J1959" s="103"/>
      <c r="K1959" s="39"/>
      <c r="L1959" s="78"/>
      <c r="M1959" s="19"/>
      <c r="N1959" s="10"/>
    </row>
    <row r="1960" spans="7:14" x14ac:dyDescent="0.75">
      <c r="G1960" s="10"/>
      <c r="H1960" s="10"/>
      <c r="I1960" s="39"/>
      <c r="J1960" s="103"/>
      <c r="K1960" s="39"/>
      <c r="L1960" s="78"/>
      <c r="M1960" s="19"/>
      <c r="N1960" s="10"/>
    </row>
    <row r="1961" spans="7:14" x14ac:dyDescent="0.75">
      <c r="G1961" s="10"/>
      <c r="H1961" s="10"/>
      <c r="I1961" s="39"/>
      <c r="J1961" s="103"/>
      <c r="K1961" s="39"/>
      <c r="L1961" s="78"/>
      <c r="M1961" s="19"/>
      <c r="N1961" s="10"/>
    </row>
    <row r="1962" spans="7:14" x14ac:dyDescent="0.75">
      <c r="G1962" s="10"/>
      <c r="H1962" s="10"/>
      <c r="I1962" s="39"/>
      <c r="J1962" s="103"/>
      <c r="K1962" s="39"/>
      <c r="L1962" s="78"/>
      <c r="M1962" s="19"/>
      <c r="N1962" s="10"/>
    </row>
    <row r="1963" spans="7:14" x14ac:dyDescent="0.75">
      <c r="G1963" s="10"/>
      <c r="H1963" s="10"/>
      <c r="I1963" s="39"/>
      <c r="J1963" s="103"/>
      <c r="K1963" s="39"/>
      <c r="L1963" s="78"/>
      <c r="M1963" s="19"/>
      <c r="N1963" s="10"/>
    </row>
    <row r="1964" spans="7:14" x14ac:dyDescent="0.75">
      <c r="G1964" s="10"/>
      <c r="H1964" s="10"/>
      <c r="I1964" s="39"/>
      <c r="J1964" s="103"/>
      <c r="K1964" s="39"/>
      <c r="L1964" s="78"/>
      <c r="M1964" s="19"/>
      <c r="N1964" s="10"/>
    </row>
    <row r="1965" spans="7:14" x14ac:dyDescent="0.75">
      <c r="G1965" s="10"/>
      <c r="H1965" s="10"/>
      <c r="I1965" s="39"/>
      <c r="J1965" s="103"/>
      <c r="K1965" s="39"/>
      <c r="L1965" s="78"/>
      <c r="M1965" s="19"/>
      <c r="N1965" s="10"/>
    </row>
    <row r="1966" spans="7:14" x14ac:dyDescent="0.75">
      <c r="G1966" s="10"/>
      <c r="H1966" s="10"/>
      <c r="I1966" s="39"/>
      <c r="J1966" s="103"/>
      <c r="K1966" s="39"/>
      <c r="L1966" s="78"/>
      <c r="M1966" s="19"/>
      <c r="N1966" s="10"/>
    </row>
    <row r="1967" spans="7:14" x14ac:dyDescent="0.75">
      <c r="G1967" s="10"/>
      <c r="H1967" s="10"/>
      <c r="I1967" s="39"/>
      <c r="J1967" s="103"/>
      <c r="K1967" s="39"/>
      <c r="L1967" s="78"/>
      <c r="M1967" s="19"/>
      <c r="N1967" s="10"/>
    </row>
    <row r="1968" spans="7:14" x14ac:dyDescent="0.75">
      <c r="G1968" s="10"/>
      <c r="H1968" s="10"/>
      <c r="I1968" s="39"/>
      <c r="J1968" s="103"/>
      <c r="K1968" s="39"/>
      <c r="L1968" s="78"/>
      <c r="M1968" s="19"/>
      <c r="N1968" s="10"/>
    </row>
    <row r="1969" spans="7:14" x14ac:dyDescent="0.75">
      <c r="G1969" s="10"/>
      <c r="H1969" s="10"/>
      <c r="I1969" s="39"/>
      <c r="J1969" s="103"/>
      <c r="K1969" s="39"/>
      <c r="L1969" s="78"/>
      <c r="M1969" s="19"/>
      <c r="N1969" s="10"/>
    </row>
    <row r="1970" spans="7:14" x14ac:dyDescent="0.75">
      <c r="G1970" s="10"/>
      <c r="H1970" s="10"/>
      <c r="I1970" s="39"/>
      <c r="J1970" s="103"/>
      <c r="K1970" s="39"/>
      <c r="L1970" s="78"/>
      <c r="M1970" s="19"/>
      <c r="N1970" s="10"/>
    </row>
    <row r="1971" spans="7:14" x14ac:dyDescent="0.75">
      <c r="G1971" s="10"/>
      <c r="H1971" s="10"/>
      <c r="I1971" s="39"/>
      <c r="J1971" s="103"/>
      <c r="K1971" s="39"/>
      <c r="L1971" s="10"/>
      <c r="M1971" s="19"/>
      <c r="N1971" s="10"/>
    </row>
    <row r="1972" spans="7:14" x14ac:dyDescent="0.75">
      <c r="G1972" s="10"/>
      <c r="H1972" s="10"/>
      <c r="I1972" s="39"/>
      <c r="J1972" s="103"/>
      <c r="K1972" s="39"/>
      <c r="L1972" s="78"/>
      <c r="M1972" s="19"/>
      <c r="N1972" s="10"/>
    </row>
    <row r="1973" spans="7:14" x14ac:dyDescent="0.75">
      <c r="G1973" s="10"/>
      <c r="H1973" s="10"/>
      <c r="I1973" s="39"/>
      <c r="J1973" s="103"/>
      <c r="K1973" s="39"/>
      <c r="L1973" s="78"/>
      <c r="M1973" s="19"/>
      <c r="N1973" s="10"/>
    </row>
    <row r="1974" spans="7:14" x14ac:dyDescent="0.75">
      <c r="G1974" s="10"/>
      <c r="H1974" s="10"/>
      <c r="I1974" s="39"/>
      <c r="J1974" s="103"/>
      <c r="K1974" s="39"/>
      <c r="L1974" s="78"/>
      <c r="M1974" s="19"/>
      <c r="N1974" s="10"/>
    </row>
    <row r="1975" spans="7:14" x14ac:dyDescent="0.75">
      <c r="G1975" s="10"/>
      <c r="H1975" s="10"/>
      <c r="I1975" s="39"/>
      <c r="J1975" s="103"/>
      <c r="K1975" s="39"/>
      <c r="L1975" s="78"/>
      <c r="M1975" s="19"/>
      <c r="N1975" s="10"/>
    </row>
    <row r="1976" spans="7:14" x14ac:dyDescent="0.75">
      <c r="G1976" s="10"/>
      <c r="H1976" s="10"/>
      <c r="I1976" s="39"/>
      <c r="J1976" s="103"/>
      <c r="K1976" s="39"/>
      <c r="L1976" s="78"/>
      <c r="M1976" s="19"/>
      <c r="N1976" s="10"/>
    </row>
    <row r="1977" spans="7:14" x14ac:dyDescent="0.75">
      <c r="G1977" s="10"/>
      <c r="H1977" s="10"/>
      <c r="I1977" s="39"/>
      <c r="J1977" s="103"/>
      <c r="K1977" s="39"/>
      <c r="L1977" s="78"/>
      <c r="M1977" s="19"/>
      <c r="N1977" s="10"/>
    </row>
    <row r="1978" spans="7:14" x14ac:dyDescent="0.75">
      <c r="G1978" s="10"/>
      <c r="H1978" s="10"/>
      <c r="I1978" s="39"/>
      <c r="J1978" s="103"/>
      <c r="K1978" s="39"/>
      <c r="L1978" s="78"/>
      <c r="M1978" s="19"/>
      <c r="N1978" s="10"/>
    </row>
    <row r="1979" spans="7:14" x14ac:dyDescent="0.75">
      <c r="G1979" s="10"/>
      <c r="H1979" s="10"/>
      <c r="I1979" s="39"/>
      <c r="J1979" s="103"/>
      <c r="K1979" s="39"/>
      <c r="L1979" s="78"/>
      <c r="M1979" s="19"/>
      <c r="N1979" s="10"/>
    </row>
    <row r="1980" spans="7:14" x14ac:dyDescent="0.75">
      <c r="G1980" s="10"/>
      <c r="H1980" s="10"/>
      <c r="I1980" s="39"/>
      <c r="J1980" s="103"/>
      <c r="K1980" s="39"/>
      <c r="L1980" s="78"/>
      <c r="M1980" s="19"/>
      <c r="N1980" s="10"/>
    </row>
    <row r="1981" spans="7:14" x14ac:dyDescent="0.75">
      <c r="G1981" s="10"/>
      <c r="H1981" s="10"/>
      <c r="I1981" s="39"/>
      <c r="J1981" s="103"/>
      <c r="K1981" s="39"/>
      <c r="L1981" s="78"/>
      <c r="M1981" s="19"/>
      <c r="N1981" s="10"/>
    </row>
    <row r="1982" spans="7:14" x14ac:dyDescent="0.75">
      <c r="G1982" s="10"/>
      <c r="H1982" s="10"/>
      <c r="I1982" s="39"/>
      <c r="J1982" s="103"/>
      <c r="K1982" s="39"/>
      <c r="L1982" s="78"/>
      <c r="M1982" s="19"/>
      <c r="N1982" s="10"/>
    </row>
    <row r="1983" spans="7:14" x14ac:dyDescent="0.75">
      <c r="G1983" s="10"/>
      <c r="H1983" s="10"/>
      <c r="I1983" s="39"/>
      <c r="J1983" s="103"/>
      <c r="K1983" s="39"/>
      <c r="L1983" s="78"/>
      <c r="M1983" s="19"/>
      <c r="N1983" s="10"/>
    </row>
    <row r="1984" spans="7:14" x14ac:dyDescent="0.75">
      <c r="G1984" s="10"/>
      <c r="H1984" s="10"/>
      <c r="I1984" s="39"/>
      <c r="J1984" s="103"/>
      <c r="K1984" s="39"/>
      <c r="L1984" s="78"/>
      <c r="M1984" s="19"/>
      <c r="N1984" s="10"/>
    </row>
    <row r="1985" spans="7:14" x14ac:dyDescent="0.75">
      <c r="G1985" s="10"/>
      <c r="H1985" s="10"/>
      <c r="I1985" s="39"/>
      <c r="J1985" s="103"/>
      <c r="K1985" s="39"/>
      <c r="L1985" s="78"/>
      <c r="M1985" s="19"/>
      <c r="N1985" s="10"/>
    </row>
    <row r="1986" spans="7:14" x14ac:dyDescent="0.75">
      <c r="G1986" s="10"/>
      <c r="H1986" s="10"/>
      <c r="I1986" s="39"/>
      <c r="J1986" s="103"/>
      <c r="K1986" s="39"/>
      <c r="L1986" s="78"/>
      <c r="M1986" s="19"/>
      <c r="N1986" s="10"/>
    </row>
    <row r="1987" spans="7:14" x14ac:dyDescent="0.75">
      <c r="G1987" s="10"/>
      <c r="H1987" s="10"/>
      <c r="I1987" s="39"/>
      <c r="J1987" s="103"/>
      <c r="K1987" s="39"/>
      <c r="L1987" s="78"/>
      <c r="M1987" s="19"/>
      <c r="N1987" s="10"/>
    </row>
    <row r="1988" spans="7:14" x14ac:dyDescent="0.75">
      <c r="G1988" s="10"/>
      <c r="H1988" s="10"/>
      <c r="I1988" s="39"/>
      <c r="J1988" s="103"/>
      <c r="K1988" s="39"/>
      <c r="L1988" s="78"/>
      <c r="M1988" s="19"/>
      <c r="N1988" s="10"/>
    </row>
    <row r="1989" spans="7:14" x14ac:dyDescent="0.75">
      <c r="G1989" s="10"/>
      <c r="H1989" s="10"/>
      <c r="I1989" s="39"/>
      <c r="J1989" s="103"/>
      <c r="K1989" s="39"/>
      <c r="L1989" s="78"/>
      <c r="M1989" s="19"/>
      <c r="N1989" s="10"/>
    </row>
    <row r="1990" spans="7:14" x14ac:dyDescent="0.75">
      <c r="G1990" s="10"/>
      <c r="H1990" s="10"/>
      <c r="I1990" s="39"/>
      <c r="J1990" s="103"/>
      <c r="K1990" s="39"/>
      <c r="L1990" s="78"/>
      <c r="M1990" s="19"/>
      <c r="N1990" s="10"/>
    </row>
    <row r="1991" spans="7:14" x14ac:dyDescent="0.75">
      <c r="G1991" s="10"/>
      <c r="H1991" s="10"/>
      <c r="I1991" s="39"/>
      <c r="J1991" s="103"/>
      <c r="K1991" s="39"/>
      <c r="L1991" s="78"/>
      <c r="M1991" s="19"/>
      <c r="N1991" s="10"/>
    </row>
    <row r="1992" spans="7:14" x14ac:dyDescent="0.75">
      <c r="G1992" s="10"/>
      <c r="H1992" s="10"/>
      <c r="I1992" s="39"/>
      <c r="J1992" s="103"/>
      <c r="K1992" s="39"/>
      <c r="L1992" s="78"/>
      <c r="M1992" s="19"/>
      <c r="N1992" s="10"/>
    </row>
    <row r="1993" spans="7:14" x14ac:dyDescent="0.75">
      <c r="G1993" s="10"/>
      <c r="H1993" s="10"/>
      <c r="I1993" s="39"/>
      <c r="J1993" s="103"/>
      <c r="K1993" s="39"/>
      <c r="L1993" s="78"/>
      <c r="M1993" s="19"/>
      <c r="N1993" s="10"/>
    </row>
    <row r="1994" spans="7:14" x14ac:dyDescent="0.75">
      <c r="G1994" s="10"/>
      <c r="H1994" s="10"/>
      <c r="I1994" s="39"/>
      <c r="J1994" s="103"/>
      <c r="K1994" s="39"/>
      <c r="L1994" s="78"/>
      <c r="M1994" s="19"/>
      <c r="N1994" s="10"/>
    </row>
    <row r="1995" spans="7:14" x14ac:dyDescent="0.75">
      <c r="G1995" s="10"/>
      <c r="H1995" s="10"/>
      <c r="I1995" s="39"/>
      <c r="J1995" s="103"/>
      <c r="K1995" s="39"/>
      <c r="L1995" s="78"/>
      <c r="M1995" s="19"/>
      <c r="N1995" s="10"/>
    </row>
    <row r="1996" spans="7:14" x14ac:dyDescent="0.75">
      <c r="G1996" s="10"/>
      <c r="H1996" s="10"/>
      <c r="I1996" s="39"/>
      <c r="J1996" s="103"/>
      <c r="K1996" s="39"/>
      <c r="L1996" s="78"/>
      <c r="M1996" s="19"/>
      <c r="N1996" s="10"/>
    </row>
    <row r="1997" spans="7:14" x14ac:dyDescent="0.75">
      <c r="G1997" s="10"/>
      <c r="H1997" s="10"/>
      <c r="I1997" s="39"/>
      <c r="J1997" s="103"/>
      <c r="K1997" s="39"/>
      <c r="L1997" s="78"/>
      <c r="M1997" s="19"/>
      <c r="N1997" s="10"/>
    </row>
    <row r="1998" spans="7:14" x14ac:dyDescent="0.75">
      <c r="G1998" s="10"/>
      <c r="H1998" s="10"/>
      <c r="I1998" s="39"/>
      <c r="J1998" s="103"/>
      <c r="K1998" s="39"/>
      <c r="L1998" s="78"/>
      <c r="M1998" s="19"/>
      <c r="N1998" s="10"/>
    </row>
    <row r="1999" spans="7:14" x14ac:dyDescent="0.75">
      <c r="G1999" s="10"/>
      <c r="H1999" s="10"/>
      <c r="I1999" s="39"/>
      <c r="J1999" s="103"/>
      <c r="K1999" s="39"/>
      <c r="L1999" s="78"/>
      <c r="M1999" s="19"/>
      <c r="N1999" s="10"/>
    </row>
    <row r="2000" spans="7:14" x14ac:dyDescent="0.75">
      <c r="G2000" s="10"/>
      <c r="H2000" s="10"/>
      <c r="I2000" s="39"/>
      <c r="J2000" s="103"/>
      <c r="K2000" s="39"/>
      <c r="L2000" s="78"/>
      <c r="M2000" s="19"/>
      <c r="N2000" s="10"/>
    </row>
    <row r="2001" spans="7:14" x14ac:dyDescent="0.75">
      <c r="G2001" s="10"/>
      <c r="H2001" s="10"/>
      <c r="I2001" s="39"/>
      <c r="J2001" s="103"/>
      <c r="K2001" s="39"/>
      <c r="L2001" s="78"/>
      <c r="M2001" s="19"/>
      <c r="N2001" s="10"/>
    </row>
    <row r="2002" spans="7:14" x14ac:dyDescent="0.75">
      <c r="G2002" s="10"/>
      <c r="H2002" s="10"/>
      <c r="I2002" s="39"/>
      <c r="J2002" s="103"/>
      <c r="K2002" s="39"/>
      <c r="L2002" s="78"/>
      <c r="M2002" s="19"/>
      <c r="N2002" s="10"/>
    </row>
    <row r="2003" spans="7:14" x14ac:dyDescent="0.75">
      <c r="G2003" s="10"/>
      <c r="H2003" s="10"/>
      <c r="I2003" s="39"/>
      <c r="J2003" s="103"/>
      <c r="K2003" s="39"/>
      <c r="L2003" s="78"/>
      <c r="M2003" s="19"/>
      <c r="N2003" s="10"/>
    </row>
    <row r="2004" spans="7:14" x14ac:dyDescent="0.75">
      <c r="G2004" s="10"/>
      <c r="H2004" s="10"/>
      <c r="I2004" s="39"/>
      <c r="J2004" s="103"/>
      <c r="K2004" s="39"/>
      <c r="L2004" s="78"/>
      <c r="M2004" s="19"/>
      <c r="N2004" s="10"/>
    </row>
    <row r="2005" spans="7:14" x14ac:dyDescent="0.75">
      <c r="G2005" s="10"/>
      <c r="H2005" s="10"/>
      <c r="I2005" s="39"/>
      <c r="J2005" s="103"/>
      <c r="K2005" s="39"/>
      <c r="L2005" s="78"/>
      <c r="M2005" s="19"/>
      <c r="N2005" s="10"/>
    </row>
    <row r="2006" spans="7:14" x14ac:dyDescent="0.75">
      <c r="G2006" s="10"/>
      <c r="H2006" s="10"/>
      <c r="I2006" s="39"/>
      <c r="J2006" s="103"/>
      <c r="K2006" s="39"/>
      <c r="L2006" s="78"/>
      <c r="M2006" s="19"/>
      <c r="N2006" s="10"/>
    </row>
    <row r="2007" spans="7:14" x14ac:dyDescent="0.75">
      <c r="G2007" s="10"/>
      <c r="H2007" s="10"/>
      <c r="I2007" s="39"/>
      <c r="J2007" s="103"/>
      <c r="K2007" s="39"/>
      <c r="L2007" s="78"/>
      <c r="M2007" s="19"/>
      <c r="N2007" s="10"/>
    </row>
    <row r="2008" spans="7:14" x14ac:dyDescent="0.75">
      <c r="G2008" s="10"/>
      <c r="H2008" s="10"/>
      <c r="I2008" s="39"/>
      <c r="J2008" s="103"/>
      <c r="K2008" s="39"/>
      <c r="L2008" s="78"/>
      <c r="M2008" s="19"/>
      <c r="N2008" s="10"/>
    </row>
    <row r="2009" spans="7:14" x14ac:dyDescent="0.75">
      <c r="G2009" s="10"/>
      <c r="H2009" s="10"/>
      <c r="I2009" s="39"/>
      <c r="J2009" s="103"/>
      <c r="K2009" s="39"/>
      <c r="L2009" s="78"/>
      <c r="M2009" s="19"/>
      <c r="N2009" s="10"/>
    </row>
    <row r="2010" spans="7:14" x14ac:dyDescent="0.75">
      <c r="G2010" s="10"/>
      <c r="H2010" s="10"/>
      <c r="I2010" s="39"/>
      <c r="J2010" s="103"/>
      <c r="K2010" s="39"/>
      <c r="L2010" s="78"/>
      <c r="M2010" s="19"/>
      <c r="N2010" s="10"/>
    </row>
    <row r="2011" spans="7:14" x14ac:dyDescent="0.75">
      <c r="G2011" s="10"/>
      <c r="H2011" s="10"/>
      <c r="I2011" s="39"/>
      <c r="J2011" s="103"/>
      <c r="K2011" s="39"/>
      <c r="L2011" s="78"/>
      <c r="M2011" s="19"/>
      <c r="N2011" s="10"/>
    </row>
    <row r="2012" spans="7:14" x14ac:dyDescent="0.75">
      <c r="G2012" s="10"/>
      <c r="H2012" s="10"/>
      <c r="I2012" s="39"/>
      <c r="J2012" s="103"/>
      <c r="K2012" s="39"/>
      <c r="L2012" s="78"/>
      <c r="M2012" s="19"/>
      <c r="N2012" s="10"/>
    </row>
    <row r="2013" spans="7:14" x14ac:dyDescent="0.75">
      <c r="G2013" s="10"/>
      <c r="H2013" s="10"/>
      <c r="I2013" s="39"/>
      <c r="J2013" s="103"/>
      <c r="K2013" s="39"/>
      <c r="L2013" s="10"/>
      <c r="M2013" s="19"/>
      <c r="N2013" s="10"/>
    </row>
    <row r="2014" spans="7:14" x14ac:dyDescent="0.75">
      <c r="G2014" s="10"/>
      <c r="H2014" s="10"/>
      <c r="I2014" s="39"/>
      <c r="J2014" s="103"/>
      <c r="K2014" s="39"/>
      <c r="L2014" s="78"/>
      <c r="M2014" s="19"/>
      <c r="N2014" s="10"/>
    </row>
    <row r="2015" spans="7:14" x14ac:dyDescent="0.75">
      <c r="G2015" s="10"/>
      <c r="H2015" s="10"/>
      <c r="I2015" s="39"/>
      <c r="J2015" s="103"/>
      <c r="K2015" s="39"/>
      <c r="L2015" s="78"/>
      <c r="M2015" s="19"/>
      <c r="N2015" s="10"/>
    </row>
    <row r="2016" spans="7:14" x14ac:dyDescent="0.75">
      <c r="G2016" s="10"/>
      <c r="H2016" s="10"/>
      <c r="I2016" s="39"/>
      <c r="J2016" s="103"/>
      <c r="K2016" s="39"/>
      <c r="L2016" s="78"/>
      <c r="M2016" s="19"/>
      <c r="N2016" s="10"/>
    </row>
    <row r="2017" spans="7:14" x14ac:dyDescent="0.75">
      <c r="G2017" s="10"/>
      <c r="H2017" s="10"/>
      <c r="I2017" s="39"/>
      <c r="J2017" s="103"/>
      <c r="K2017" s="39"/>
      <c r="L2017" s="78"/>
      <c r="M2017" s="19"/>
      <c r="N2017" s="10"/>
    </row>
    <row r="2018" spans="7:14" x14ac:dyDescent="0.75">
      <c r="G2018" s="10"/>
      <c r="H2018" s="10"/>
      <c r="I2018" s="39"/>
      <c r="J2018" s="103"/>
      <c r="K2018" s="39"/>
      <c r="L2018" s="78"/>
      <c r="M2018" s="19"/>
      <c r="N2018" s="10"/>
    </row>
    <row r="2019" spans="7:14" x14ac:dyDescent="0.75">
      <c r="G2019" s="10"/>
      <c r="H2019" s="10"/>
      <c r="I2019" s="39"/>
      <c r="J2019" s="103"/>
      <c r="K2019" s="39"/>
      <c r="L2019" s="78"/>
      <c r="M2019" s="19"/>
      <c r="N2019" s="10"/>
    </row>
    <row r="2020" spans="7:14" x14ac:dyDescent="0.75">
      <c r="G2020" s="10"/>
      <c r="H2020" s="10"/>
      <c r="I2020" s="39"/>
      <c r="J2020" s="103"/>
      <c r="K2020" s="39"/>
      <c r="L2020" s="78"/>
      <c r="M2020" s="19"/>
      <c r="N2020" s="10"/>
    </row>
    <row r="2021" spans="7:14" x14ac:dyDescent="0.75">
      <c r="G2021" s="10"/>
      <c r="H2021" s="10"/>
      <c r="I2021" s="39"/>
      <c r="J2021" s="103"/>
      <c r="K2021" s="39"/>
      <c r="L2021" s="78"/>
      <c r="M2021" s="19"/>
      <c r="N2021" s="10"/>
    </row>
    <row r="2022" spans="7:14" x14ac:dyDescent="0.75">
      <c r="G2022" s="10"/>
      <c r="H2022" s="10"/>
      <c r="I2022" s="39"/>
      <c r="J2022" s="103"/>
      <c r="K2022" s="39"/>
      <c r="L2022" s="78"/>
      <c r="M2022" s="19"/>
      <c r="N2022" s="10"/>
    </row>
    <row r="2023" spans="7:14" x14ac:dyDescent="0.75">
      <c r="G2023" s="10"/>
      <c r="H2023" s="10"/>
      <c r="I2023" s="39"/>
      <c r="J2023" s="103"/>
      <c r="K2023" s="39"/>
      <c r="L2023" s="78"/>
      <c r="M2023" s="19"/>
      <c r="N2023" s="10"/>
    </row>
    <row r="2024" spans="7:14" x14ac:dyDescent="0.75">
      <c r="G2024" s="10"/>
      <c r="H2024" s="10"/>
      <c r="I2024" s="39"/>
      <c r="J2024" s="103"/>
      <c r="K2024" s="39"/>
      <c r="L2024" s="78"/>
      <c r="M2024" s="19"/>
      <c r="N2024" s="10"/>
    </row>
    <row r="2025" spans="7:14" x14ac:dyDescent="0.75">
      <c r="G2025" s="10"/>
      <c r="H2025" s="10"/>
      <c r="I2025" s="39"/>
      <c r="J2025" s="103"/>
      <c r="K2025" s="39"/>
      <c r="L2025" s="78"/>
      <c r="M2025" s="19"/>
      <c r="N2025" s="10"/>
    </row>
    <row r="2026" spans="7:14" x14ac:dyDescent="0.75">
      <c r="G2026" s="10"/>
      <c r="H2026" s="10"/>
      <c r="I2026" s="39"/>
      <c r="J2026" s="103"/>
      <c r="K2026" s="39"/>
      <c r="L2026" s="78"/>
      <c r="M2026" s="19"/>
      <c r="N2026" s="10"/>
    </row>
    <row r="2027" spans="7:14" x14ac:dyDescent="0.75">
      <c r="G2027" s="10"/>
      <c r="H2027" s="10"/>
      <c r="I2027" s="39"/>
      <c r="J2027" s="103"/>
      <c r="K2027" s="39"/>
      <c r="L2027" s="78"/>
      <c r="M2027" s="19"/>
      <c r="N2027" s="10"/>
    </row>
    <row r="2028" spans="7:14" x14ac:dyDescent="0.75">
      <c r="G2028" s="10"/>
      <c r="H2028" s="10"/>
      <c r="I2028" s="39"/>
      <c r="J2028" s="103"/>
      <c r="K2028" s="39"/>
      <c r="L2028" s="78"/>
      <c r="M2028" s="19"/>
      <c r="N2028" s="10"/>
    </row>
    <row r="2029" spans="7:14" x14ac:dyDescent="0.75">
      <c r="G2029" s="10"/>
      <c r="H2029" s="10"/>
      <c r="I2029" s="39"/>
      <c r="J2029" s="103"/>
      <c r="K2029" s="39"/>
      <c r="L2029" s="78"/>
      <c r="M2029" s="19"/>
      <c r="N2029" s="10"/>
    </row>
    <row r="2030" spans="7:14" x14ac:dyDescent="0.75">
      <c r="G2030" s="10"/>
      <c r="H2030" s="10"/>
      <c r="I2030" s="39"/>
      <c r="J2030" s="103"/>
      <c r="K2030" s="39"/>
      <c r="L2030" s="78"/>
      <c r="M2030" s="19"/>
      <c r="N2030" s="10"/>
    </row>
    <row r="2031" spans="7:14" x14ac:dyDescent="0.75">
      <c r="G2031" s="10"/>
      <c r="H2031" s="10"/>
      <c r="I2031" s="39"/>
      <c r="J2031" s="103"/>
      <c r="K2031" s="39"/>
      <c r="L2031" s="78"/>
      <c r="M2031" s="19"/>
      <c r="N2031" s="10"/>
    </row>
    <row r="2032" spans="7:14" x14ac:dyDescent="0.75">
      <c r="G2032" s="10"/>
      <c r="H2032" s="10"/>
      <c r="I2032" s="39"/>
      <c r="J2032" s="103"/>
      <c r="K2032" s="39"/>
      <c r="L2032" s="78"/>
      <c r="M2032" s="19"/>
      <c r="N2032" s="10"/>
    </row>
    <row r="2033" spans="7:14" x14ac:dyDescent="0.75">
      <c r="G2033" s="10"/>
      <c r="H2033" s="10"/>
      <c r="I2033" s="39"/>
      <c r="J2033" s="103"/>
      <c r="K2033" s="39"/>
      <c r="L2033" s="78"/>
      <c r="M2033" s="19"/>
      <c r="N2033" s="10"/>
    </row>
    <row r="2034" spans="7:14" x14ac:dyDescent="0.75">
      <c r="G2034" s="10"/>
      <c r="H2034" s="10"/>
      <c r="I2034" s="39"/>
      <c r="J2034" s="103"/>
      <c r="K2034" s="39"/>
      <c r="L2034" s="10"/>
      <c r="M2034" s="19"/>
      <c r="N2034" s="10"/>
    </row>
    <row r="2035" spans="7:14" x14ac:dyDescent="0.75">
      <c r="G2035" s="10"/>
      <c r="H2035" s="10"/>
      <c r="I2035" s="39"/>
      <c r="J2035" s="103"/>
      <c r="K2035" s="39"/>
      <c r="L2035" s="78"/>
      <c r="M2035" s="19"/>
      <c r="N2035" s="10"/>
    </row>
    <row r="2036" spans="7:14" x14ac:dyDescent="0.75">
      <c r="G2036" s="10"/>
      <c r="H2036" s="10"/>
      <c r="I2036" s="39"/>
      <c r="J2036" s="103"/>
      <c r="K2036" s="39"/>
      <c r="L2036" s="78"/>
      <c r="M2036" s="19"/>
      <c r="N2036" s="10"/>
    </row>
    <row r="2037" spans="7:14" x14ac:dyDescent="0.75">
      <c r="G2037" s="10"/>
      <c r="H2037" s="10"/>
      <c r="I2037" s="39"/>
      <c r="J2037" s="103"/>
      <c r="K2037" s="39"/>
      <c r="L2037" s="78"/>
      <c r="M2037" s="19"/>
      <c r="N2037" s="10"/>
    </row>
    <row r="2038" spans="7:14" x14ac:dyDescent="0.75">
      <c r="G2038" s="10"/>
      <c r="H2038" s="10"/>
      <c r="I2038" s="39"/>
      <c r="J2038" s="103"/>
      <c r="K2038" s="39"/>
      <c r="L2038" s="78"/>
      <c r="M2038" s="19"/>
      <c r="N2038" s="10"/>
    </row>
    <row r="2039" spans="7:14" x14ac:dyDescent="0.75">
      <c r="G2039" s="10"/>
      <c r="H2039" s="10"/>
      <c r="I2039" s="39"/>
      <c r="J2039" s="103"/>
      <c r="K2039" s="39"/>
      <c r="L2039" s="78"/>
      <c r="M2039" s="19"/>
      <c r="N2039" s="10"/>
    </row>
    <row r="2040" spans="7:14" x14ac:dyDescent="0.75">
      <c r="G2040" s="10"/>
      <c r="H2040" s="10"/>
      <c r="I2040" s="39"/>
      <c r="J2040" s="103"/>
      <c r="K2040" s="39"/>
      <c r="L2040" s="78"/>
      <c r="M2040" s="19"/>
      <c r="N2040" s="10"/>
    </row>
    <row r="2041" spans="7:14" x14ac:dyDescent="0.75">
      <c r="G2041" s="10"/>
      <c r="H2041" s="10"/>
      <c r="I2041" s="39"/>
      <c r="J2041" s="103"/>
      <c r="K2041" s="39"/>
      <c r="L2041" s="78"/>
      <c r="M2041" s="19"/>
      <c r="N2041" s="10"/>
    </row>
    <row r="2042" spans="7:14" x14ac:dyDescent="0.75">
      <c r="G2042" s="10"/>
      <c r="H2042" s="10"/>
      <c r="I2042" s="39"/>
      <c r="J2042" s="103"/>
      <c r="K2042" s="39"/>
      <c r="L2042" s="78"/>
      <c r="M2042" s="19"/>
      <c r="N2042" s="10"/>
    </row>
    <row r="2043" spans="7:14" x14ac:dyDescent="0.75">
      <c r="G2043" s="10"/>
      <c r="H2043" s="10"/>
      <c r="I2043" s="39"/>
      <c r="J2043" s="103"/>
      <c r="K2043" s="39"/>
      <c r="L2043" s="78"/>
      <c r="M2043" s="19"/>
      <c r="N2043" s="10"/>
    </row>
    <row r="2044" spans="7:14" x14ac:dyDescent="0.75">
      <c r="G2044" s="10"/>
      <c r="H2044" s="10"/>
      <c r="I2044" s="39"/>
      <c r="J2044" s="103"/>
      <c r="K2044" s="39"/>
      <c r="L2044" s="78"/>
      <c r="M2044" s="19"/>
      <c r="N2044" s="10"/>
    </row>
    <row r="2045" spans="7:14" x14ac:dyDescent="0.75">
      <c r="G2045" s="10"/>
      <c r="H2045" s="10"/>
      <c r="I2045" s="39"/>
      <c r="J2045" s="103"/>
      <c r="K2045" s="39"/>
      <c r="L2045" s="78"/>
      <c r="M2045" s="19"/>
      <c r="N2045" s="10"/>
    </row>
    <row r="2046" spans="7:14" x14ac:dyDescent="0.75">
      <c r="G2046" s="10"/>
      <c r="H2046" s="10"/>
      <c r="I2046" s="39"/>
      <c r="J2046" s="103"/>
      <c r="K2046" s="39"/>
      <c r="L2046" s="78"/>
      <c r="M2046" s="19"/>
      <c r="N2046" s="10"/>
    </row>
    <row r="2047" spans="7:14" x14ac:dyDescent="0.75">
      <c r="G2047" s="10"/>
      <c r="H2047" s="10"/>
      <c r="I2047" s="39"/>
      <c r="J2047" s="103"/>
      <c r="K2047" s="39"/>
      <c r="L2047" s="78"/>
      <c r="M2047" s="19"/>
      <c r="N2047" s="10"/>
    </row>
    <row r="2048" spans="7:14" x14ac:dyDescent="0.75">
      <c r="G2048" s="10"/>
      <c r="H2048" s="10"/>
      <c r="I2048" s="39"/>
      <c r="J2048" s="103"/>
      <c r="K2048" s="39"/>
      <c r="L2048" s="78"/>
      <c r="M2048" s="19"/>
      <c r="N2048" s="10"/>
    </row>
    <row r="2049" spans="7:14" x14ac:dyDescent="0.75">
      <c r="G2049" s="10"/>
      <c r="H2049" s="10"/>
      <c r="I2049" s="39"/>
      <c r="J2049" s="103"/>
      <c r="K2049" s="39"/>
      <c r="L2049" s="78"/>
      <c r="M2049" s="19"/>
      <c r="N2049" s="10"/>
    </row>
    <row r="2050" spans="7:14" x14ac:dyDescent="0.75">
      <c r="G2050" s="10"/>
      <c r="H2050" s="10"/>
      <c r="I2050" s="39"/>
      <c r="J2050" s="103"/>
      <c r="K2050" s="39"/>
      <c r="L2050" s="78"/>
      <c r="M2050" s="19"/>
      <c r="N2050" s="10"/>
    </row>
    <row r="2051" spans="7:14" x14ac:dyDescent="0.75">
      <c r="G2051" s="10"/>
      <c r="H2051" s="10"/>
      <c r="I2051" s="39"/>
      <c r="J2051" s="103"/>
      <c r="K2051" s="39"/>
      <c r="L2051" s="78"/>
      <c r="M2051" s="19"/>
      <c r="N2051" s="10"/>
    </row>
    <row r="2052" spans="7:14" x14ac:dyDescent="0.75">
      <c r="G2052" s="10"/>
      <c r="H2052" s="10"/>
      <c r="I2052" s="39"/>
      <c r="J2052" s="103"/>
      <c r="K2052" s="39"/>
      <c r="L2052" s="78"/>
      <c r="M2052" s="19"/>
      <c r="N2052" s="10"/>
    </row>
    <row r="2053" spans="7:14" x14ac:dyDescent="0.75">
      <c r="G2053" s="10"/>
      <c r="H2053" s="10"/>
      <c r="I2053" s="39"/>
      <c r="J2053" s="103"/>
      <c r="K2053" s="39"/>
      <c r="L2053" s="78"/>
      <c r="M2053" s="19"/>
      <c r="N2053" s="10"/>
    </row>
    <row r="2054" spans="7:14" x14ac:dyDescent="0.75">
      <c r="G2054" s="10"/>
      <c r="H2054" s="10"/>
      <c r="I2054" s="39"/>
      <c r="J2054" s="103"/>
      <c r="K2054" s="39"/>
      <c r="L2054" s="78"/>
      <c r="M2054" s="19"/>
      <c r="N2054" s="10"/>
    </row>
    <row r="2055" spans="7:14" x14ac:dyDescent="0.75">
      <c r="G2055" s="10"/>
      <c r="H2055" s="10"/>
      <c r="I2055" s="39"/>
      <c r="J2055" s="103"/>
      <c r="K2055" s="39"/>
      <c r="L2055" s="78"/>
      <c r="M2055" s="19"/>
      <c r="N2055" s="10"/>
    </row>
    <row r="2056" spans="7:14" x14ac:dyDescent="0.75">
      <c r="G2056" s="10"/>
      <c r="H2056" s="10"/>
      <c r="I2056" s="39"/>
      <c r="J2056" s="103"/>
      <c r="K2056" s="39"/>
      <c r="L2056" s="78"/>
      <c r="M2056" s="19"/>
      <c r="N2056" s="10"/>
    </row>
    <row r="2057" spans="7:14" x14ac:dyDescent="0.75">
      <c r="G2057" s="10"/>
      <c r="H2057" s="10"/>
      <c r="I2057" s="39"/>
      <c r="J2057" s="103"/>
      <c r="K2057" s="39"/>
      <c r="L2057" s="78"/>
      <c r="M2057" s="19"/>
      <c r="N2057" s="10"/>
    </row>
    <row r="2058" spans="7:14" x14ac:dyDescent="0.75">
      <c r="G2058" s="10"/>
      <c r="H2058" s="10"/>
      <c r="I2058" s="39"/>
      <c r="J2058" s="103"/>
      <c r="K2058" s="39"/>
      <c r="L2058" s="10"/>
      <c r="M2058" s="19"/>
      <c r="N2058" s="10"/>
    </row>
    <row r="2059" spans="7:14" x14ac:dyDescent="0.75">
      <c r="G2059" s="10"/>
      <c r="H2059" s="10"/>
      <c r="I2059" s="39"/>
      <c r="J2059" s="103"/>
      <c r="K2059" s="39"/>
      <c r="L2059" s="10"/>
      <c r="M2059" s="19"/>
      <c r="N2059" s="10"/>
    </row>
    <row r="2060" spans="7:14" x14ac:dyDescent="0.75">
      <c r="G2060" s="10"/>
      <c r="H2060" s="10"/>
      <c r="I2060" s="39"/>
      <c r="J2060" s="103"/>
      <c r="K2060" s="39"/>
      <c r="L2060" s="10"/>
      <c r="M2060" s="19"/>
      <c r="N2060" s="10"/>
    </row>
    <row r="2061" spans="7:14" x14ac:dyDescent="0.75">
      <c r="G2061" s="10"/>
      <c r="H2061" s="10"/>
      <c r="I2061" s="39"/>
      <c r="J2061" s="103"/>
      <c r="K2061" s="39"/>
      <c r="L2061" s="78"/>
      <c r="M2061" s="19"/>
      <c r="N2061" s="10"/>
    </row>
    <row r="2062" spans="7:14" x14ac:dyDescent="0.75">
      <c r="G2062" s="10"/>
      <c r="H2062" s="10"/>
      <c r="I2062" s="39"/>
      <c r="J2062" s="103"/>
      <c r="K2062" s="39"/>
      <c r="L2062" s="78"/>
      <c r="M2062" s="19"/>
      <c r="N2062" s="10"/>
    </row>
    <row r="2063" spans="7:14" x14ac:dyDescent="0.75">
      <c r="G2063" s="10"/>
      <c r="H2063" s="10"/>
      <c r="I2063" s="39"/>
      <c r="J2063" s="103"/>
      <c r="K2063" s="39"/>
      <c r="L2063" s="78"/>
      <c r="M2063" s="19"/>
      <c r="N2063" s="10"/>
    </row>
    <row r="2064" spans="7:14" x14ac:dyDescent="0.75">
      <c r="G2064" s="10"/>
      <c r="H2064" s="10"/>
      <c r="I2064" s="39"/>
      <c r="J2064" s="103"/>
      <c r="K2064" s="39"/>
      <c r="L2064" s="78"/>
      <c r="M2064" s="19"/>
      <c r="N2064" s="10"/>
    </row>
    <row r="2065" spans="7:14" x14ac:dyDescent="0.75">
      <c r="G2065" s="10"/>
      <c r="H2065" s="10"/>
      <c r="I2065" s="39"/>
      <c r="J2065" s="103"/>
      <c r="K2065" s="39"/>
      <c r="L2065" s="78"/>
      <c r="M2065" s="19"/>
      <c r="N2065" s="10"/>
    </row>
    <row r="2066" spans="7:14" x14ac:dyDescent="0.75">
      <c r="G2066" s="10"/>
      <c r="H2066" s="10"/>
      <c r="I2066" s="39"/>
      <c r="J2066" s="103"/>
      <c r="K2066" s="39"/>
      <c r="L2066" s="78"/>
      <c r="M2066" s="19"/>
      <c r="N2066" s="10"/>
    </row>
    <row r="2067" spans="7:14" x14ac:dyDescent="0.75">
      <c r="G2067" s="10"/>
      <c r="H2067" s="10"/>
      <c r="I2067" s="39"/>
      <c r="J2067" s="103"/>
      <c r="K2067" s="39"/>
      <c r="L2067" s="78"/>
      <c r="M2067" s="19"/>
      <c r="N2067" s="10"/>
    </row>
    <row r="2068" spans="7:14" x14ac:dyDescent="0.75">
      <c r="G2068" s="10"/>
      <c r="H2068" s="10"/>
      <c r="I2068" s="39"/>
      <c r="J2068" s="103"/>
      <c r="K2068" s="39"/>
      <c r="L2068" s="78"/>
      <c r="M2068" s="19"/>
      <c r="N2068" s="10"/>
    </row>
    <row r="2069" spans="7:14" x14ac:dyDescent="0.75">
      <c r="G2069" s="10"/>
      <c r="H2069" s="10"/>
      <c r="I2069" s="39"/>
      <c r="J2069" s="103"/>
      <c r="K2069" s="39"/>
      <c r="L2069" s="78"/>
      <c r="M2069" s="19"/>
      <c r="N2069" s="10"/>
    </row>
    <row r="2070" spans="7:14" x14ac:dyDescent="0.75">
      <c r="G2070" s="10"/>
      <c r="H2070" s="10"/>
      <c r="I2070" s="39"/>
      <c r="J2070" s="103"/>
      <c r="K2070" s="39"/>
      <c r="L2070" s="78"/>
      <c r="M2070" s="19"/>
      <c r="N2070" s="10"/>
    </row>
    <row r="2071" spans="7:14" x14ac:dyDescent="0.75">
      <c r="G2071" s="10"/>
      <c r="H2071" s="10"/>
      <c r="I2071" s="39"/>
      <c r="J2071" s="103"/>
      <c r="K2071" s="39"/>
      <c r="L2071" s="78"/>
      <c r="M2071" s="19"/>
      <c r="N2071" s="10"/>
    </row>
    <row r="2072" spans="7:14" x14ac:dyDescent="0.75">
      <c r="G2072" s="10"/>
      <c r="H2072" s="10"/>
      <c r="I2072" s="39"/>
      <c r="J2072" s="103"/>
      <c r="K2072" s="39"/>
      <c r="L2072" s="78"/>
      <c r="M2072" s="19"/>
      <c r="N2072" s="10"/>
    </row>
    <row r="2073" spans="7:14" x14ac:dyDescent="0.75">
      <c r="G2073" s="10"/>
      <c r="H2073" s="10"/>
      <c r="I2073" s="39"/>
      <c r="J2073" s="103"/>
      <c r="K2073" s="39"/>
      <c r="L2073" s="78"/>
      <c r="M2073" s="19"/>
      <c r="N2073" s="10"/>
    </row>
    <row r="2074" spans="7:14" x14ac:dyDescent="0.75">
      <c r="G2074" s="10"/>
      <c r="H2074" s="10"/>
      <c r="I2074" s="39"/>
      <c r="J2074" s="103"/>
      <c r="K2074" s="39"/>
      <c r="L2074" s="78"/>
      <c r="M2074" s="19"/>
      <c r="N2074" s="10"/>
    </row>
    <row r="2075" spans="7:14" x14ac:dyDescent="0.75">
      <c r="G2075" s="10"/>
      <c r="H2075" s="10"/>
      <c r="I2075" s="39"/>
      <c r="J2075" s="103"/>
      <c r="K2075" s="39"/>
      <c r="L2075" s="78"/>
      <c r="M2075" s="19"/>
      <c r="N2075" s="10"/>
    </row>
    <row r="2076" spans="7:14" x14ac:dyDescent="0.75">
      <c r="G2076" s="10"/>
      <c r="H2076" s="10"/>
      <c r="I2076" s="39"/>
      <c r="J2076" s="103"/>
      <c r="K2076" s="39"/>
      <c r="L2076" s="78"/>
      <c r="M2076" s="19"/>
      <c r="N2076" s="10"/>
    </row>
    <row r="2077" spans="7:14" x14ac:dyDescent="0.75">
      <c r="G2077" s="10"/>
      <c r="H2077" s="10"/>
      <c r="I2077" s="39"/>
      <c r="J2077" s="103"/>
      <c r="K2077" s="39"/>
      <c r="L2077" s="10"/>
      <c r="M2077" s="19"/>
      <c r="N2077" s="10"/>
    </row>
    <row r="2078" spans="7:14" x14ac:dyDescent="0.75">
      <c r="G2078" s="10"/>
      <c r="H2078" s="10"/>
      <c r="I2078" s="39"/>
      <c r="J2078" s="103"/>
      <c r="K2078" s="39"/>
      <c r="L2078" s="78"/>
      <c r="M2078" s="19"/>
      <c r="N2078" s="10"/>
    </row>
    <row r="2079" spans="7:14" x14ac:dyDescent="0.75">
      <c r="G2079" s="10"/>
      <c r="H2079" s="10"/>
      <c r="I2079" s="39"/>
      <c r="J2079" s="103"/>
      <c r="K2079" s="39"/>
      <c r="L2079" s="10"/>
      <c r="M2079" s="19"/>
      <c r="N2079" s="10"/>
    </row>
    <row r="2080" spans="7:14" x14ac:dyDescent="0.75">
      <c r="G2080" s="10"/>
      <c r="H2080" s="10"/>
      <c r="I2080" s="39"/>
      <c r="J2080" s="103"/>
      <c r="K2080" s="39"/>
      <c r="L2080" s="10"/>
      <c r="M2080" s="19"/>
      <c r="N2080" s="10"/>
    </row>
    <row r="2081" spans="7:14" x14ac:dyDescent="0.75">
      <c r="G2081" s="10"/>
      <c r="H2081" s="10"/>
      <c r="I2081" s="39"/>
      <c r="J2081" s="103"/>
      <c r="K2081" s="39"/>
      <c r="L2081" s="10"/>
      <c r="M2081" s="19"/>
      <c r="N2081" s="10"/>
    </row>
    <row r="2082" spans="7:14" x14ac:dyDescent="0.75">
      <c r="G2082" s="10"/>
      <c r="H2082" s="10"/>
      <c r="I2082" s="39"/>
      <c r="J2082" s="103"/>
      <c r="K2082" s="39"/>
      <c r="L2082" s="10"/>
      <c r="M2082" s="19"/>
      <c r="N2082" s="10"/>
    </row>
    <row r="2083" spans="7:14" x14ac:dyDescent="0.75">
      <c r="G2083" s="10"/>
      <c r="H2083" s="10"/>
      <c r="I2083" s="39"/>
      <c r="J2083" s="103"/>
      <c r="K2083" s="39"/>
      <c r="L2083" s="78"/>
      <c r="M2083" s="19"/>
      <c r="N2083" s="10"/>
    </row>
    <row r="2084" spans="7:14" x14ac:dyDescent="0.75">
      <c r="G2084" s="10"/>
      <c r="H2084" s="10"/>
      <c r="I2084" s="39"/>
      <c r="J2084" s="103"/>
      <c r="K2084" s="39"/>
      <c r="L2084" s="78"/>
      <c r="M2084" s="19"/>
      <c r="N2084" s="10"/>
    </row>
    <row r="2085" spans="7:14" x14ac:dyDescent="0.75">
      <c r="G2085" s="10"/>
      <c r="H2085" s="10"/>
      <c r="I2085" s="39"/>
      <c r="J2085" s="103"/>
      <c r="K2085" s="39"/>
      <c r="L2085" s="78"/>
      <c r="M2085" s="19"/>
      <c r="N2085" s="10"/>
    </row>
    <row r="2086" spans="7:14" x14ac:dyDescent="0.75">
      <c r="G2086" s="10"/>
      <c r="H2086" s="10"/>
      <c r="I2086" s="39"/>
      <c r="J2086" s="103"/>
      <c r="K2086" s="39"/>
      <c r="L2086" s="78"/>
      <c r="M2086" s="19"/>
      <c r="N2086" s="10"/>
    </row>
    <row r="2087" spans="7:14" x14ac:dyDescent="0.75">
      <c r="G2087" s="10"/>
      <c r="H2087" s="10"/>
      <c r="I2087" s="39"/>
      <c r="J2087" s="103"/>
      <c r="K2087" s="39"/>
      <c r="L2087" s="78"/>
      <c r="M2087" s="19"/>
      <c r="N2087" s="10"/>
    </row>
    <row r="2088" spans="7:14" x14ac:dyDescent="0.75">
      <c r="G2088" s="10"/>
      <c r="H2088" s="10"/>
      <c r="I2088" s="39"/>
      <c r="J2088" s="103"/>
      <c r="K2088" s="39"/>
      <c r="L2088" s="78"/>
      <c r="M2088" s="19"/>
      <c r="N2088" s="10"/>
    </row>
    <row r="2089" spans="7:14" x14ac:dyDescent="0.75">
      <c r="G2089" s="10"/>
      <c r="H2089" s="10"/>
      <c r="I2089" s="39"/>
      <c r="J2089" s="103"/>
      <c r="K2089" s="39"/>
      <c r="L2089" s="78"/>
      <c r="M2089" s="19"/>
      <c r="N2089" s="10"/>
    </row>
    <row r="2090" spans="7:14" x14ac:dyDescent="0.75">
      <c r="G2090" s="10"/>
      <c r="H2090" s="10"/>
      <c r="I2090" s="39"/>
      <c r="J2090" s="103"/>
      <c r="K2090" s="39"/>
      <c r="L2090" s="78"/>
      <c r="M2090" s="19"/>
      <c r="N2090" s="10"/>
    </row>
    <row r="2091" spans="7:14" x14ac:dyDescent="0.75">
      <c r="G2091" s="10"/>
      <c r="H2091" s="10"/>
      <c r="I2091" s="39"/>
      <c r="J2091" s="103"/>
      <c r="K2091" s="39"/>
      <c r="L2091" s="78"/>
      <c r="M2091" s="19"/>
      <c r="N2091" s="10"/>
    </row>
    <row r="2092" spans="7:14" x14ac:dyDescent="0.75">
      <c r="G2092" s="10"/>
      <c r="H2092" s="10"/>
      <c r="I2092" s="39"/>
      <c r="J2092" s="103"/>
      <c r="K2092" s="39"/>
      <c r="L2092" s="78"/>
      <c r="M2092" s="19"/>
      <c r="N2092" s="10"/>
    </row>
    <row r="2093" spans="7:14" x14ac:dyDescent="0.75">
      <c r="G2093" s="10"/>
      <c r="H2093" s="10"/>
      <c r="I2093" s="39"/>
      <c r="J2093" s="103"/>
      <c r="K2093" s="39"/>
      <c r="L2093" s="78"/>
      <c r="M2093" s="19"/>
      <c r="N2093" s="10"/>
    </row>
    <row r="2094" spans="7:14" x14ac:dyDescent="0.75">
      <c r="G2094" s="10"/>
      <c r="H2094" s="10"/>
      <c r="I2094" s="39"/>
      <c r="J2094" s="103"/>
      <c r="K2094" s="39"/>
      <c r="L2094" s="78"/>
      <c r="M2094" s="19"/>
      <c r="N2094" s="10"/>
    </row>
    <row r="2095" spans="7:14" x14ac:dyDescent="0.75">
      <c r="G2095" s="10"/>
      <c r="H2095" s="10"/>
      <c r="I2095" s="39"/>
      <c r="J2095" s="103"/>
      <c r="K2095" s="39"/>
      <c r="L2095" s="78"/>
      <c r="M2095" s="19"/>
      <c r="N2095" s="10"/>
    </row>
    <row r="2096" spans="7:14" x14ac:dyDescent="0.75">
      <c r="G2096" s="10"/>
      <c r="H2096" s="10"/>
      <c r="I2096" s="39"/>
      <c r="J2096" s="103"/>
      <c r="K2096" s="39"/>
      <c r="L2096" s="10"/>
      <c r="M2096" s="19"/>
      <c r="N2096" s="10"/>
    </row>
    <row r="2097" spans="7:14" x14ac:dyDescent="0.75">
      <c r="G2097" s="10"/>
      <c r="H2097" s="10"/>
      <c r="I2097" s="39"/>
      <c r="J2097" s="103"/>
      <c r="K2097" s="39"/>
      <c r="L2097" s="10"/>
      <c r="M2097" s="19"/>
      <c r="N2097" s="10"/>
    </row>
    <row r="2098" spans="7:14" x14ac:dyDescent="0.75">
      <c r="G2098" s="10"/>
      <c r="H2098" s="10"/>
      <c r="I2098" s="39"/>
      <c r="J2098" s="103"/>
      <c r="K2098" s="39"/>
      <c r="L2098" s="78"/>
      <c r="M2098" s="19"/>
      <c r="N2098" s="10"/>
    </row>
    <row r="2099" spans="7:14" x14ac:dyDescent="0.75">
      <c r="G2099" s="10"/>
      <c r="H2099" s="10"/>
      <c r="I2099" s="39"/>
      <c r="J2099" s="103"/>
      <c r="K2099" s="39"/>
      <c r="L2099" s="78"/>
      <c r="M2099" s="19"/>
      <c r="N2099" s="10"/>
    </row>
    <row r="2100" spans="7:14" x14ac:dyDescent="0.75">
      <c r="G2100" s="10"/>
      <c r="H2100" s="10"/>
      <c r="I2100" s="39"/>
      <c r="J2100" s="103"/>
      <c r="K2100" s="39"/>
      <c r="L2100" s="78"/>
      <c r="M2100" s="19"/>
      <c r="N2100" s="10"/>
    </row>
    <row r="2101" spans="7:14" x14ac:dyDescent="0.75">
      <c r="G2101" s="10"/>
      <c r="H2101" s="10"/>
      <c r="I2101" s="39"/>
      <c r="J2101" s="103"/>
      <c r="K2101" s="39"/>
      <c r="L2101" s="78"/>
      <c r="M2101" s="19"/>
      <c r="N2101" s="10"/>
    </row>
    <row r="2102" spans="7:14" x14ac:dyDescent="0.75">
      <c r="G2102" s="10"/>
      <c r="H2102" s="10"/>
      <c r="I2102" s="39"/>
      <c r="J2102" s="103"/>
      <c r="K2102" s="39"/>
      <c r="L2102" s="78"/>
      <c r="M2102" s="19"/>
      <c r="N2102" s="10"/>
    </row>
    <row r="2103" spans="7:14" x14ac:dyDescent="0.75">
      <c r="G2103" s="10"/>
      <c r="H2103" s="10"/>
      <c r="I2103" s="39"/>
      <c r="J2103" s="103"/>
      <c r="K2103" s="39"/>
      <c r="L2103" s="78"/>
      <c r="M2103" s="19"/>
      <c r="N2103" s="10"/>
    </row>
    <row r="2104" spans="7:14" x14ac:dyDescent="0.75">
      <c r="G2104" s="10"/>
      <c r="H2104" s="10"/>
      <c r="I2104" s="39"/>
      <c r="J2104" s="103"/>
      <c r="K2104" s="39"/>
      <c r="L2104" s="78"/>
      <c r="M2104" s="19"/>
      <c r="N2104" s="10"/>
    </row>
    <row r="2105" spans="7:14" x14ac:dyDescent="0.75">
      <c r="G2105" s="10"/>
      <c r="H2105" s="10"/>
      <c r="I2105" s="39"/>
      <c r="J2105" s="103"/>
      <c r="K2105" s="39"/>
      <c r="L2105" s="78"/>
      <c r="M2105" s="19"/>
      <c r="N2105" s="10"/>
    </row>
    <row r="2106" spans="7:14" x14ac:dyDescent="0.75">
      <c r="G2106" s="10"/>
      <c r="H2106" s="10"/>
      <c r="I2106" s="39"/>
      <c r="J2106" s="103"/>
      <c r="K2106" s="39"/>
      <c r="L2106" s="78"/>
      <c r="M2106" s="19"/>
      <c r="N2106" s="10"/>
    </row>
    <row r="2107" spans="7:14" x14ac:dyDescent="0.75">
      <c r="G2107" s="10"/>
      <c r="H2107" s="10"/>
      <c r="I2107" s="39"/>
      <c r="J2107" s="103"/>
      <c r="K2107" s="39"/>
      <c r="L2107" s="78"/>
      <c r="M2107" s="19"/>
      <c r="N2107" s="10"/>
    </row>
    <row r="2108" spans="7:14" x14ac:dyDescent="0.75">
      <c r="G2108" s="10"/>
      <c r="H2108" s="10"/>
      <c r="I2108" s="39"/>
      <c r="J2108" s="103"/>
      <c r="K2108" s="39"/>
      <c r="L2108" s="78"/>
      <c r="M2108" s="19"/>
      <c r="N2108" s="10"/>
    </row>
    <row r="2109" spans="7:14" x14ac:dyDescent="0.75">
      <c r="G2109" s="10"/>
      <c r="H2109" s="10"/>
      <c r="I2109" s="39"/>
      <c r="J2109" s="103"/>
      <c r="K2109" s="39"/>
      <c r="L2109" s="78"/>
      <c r="M2109" s="19"/>
      <c r="N2109" s="10"/>
    </row>
    <row r="2110" spans="7:14" x14ac:dyDescent="0.75">
      <c r="G2110" s="10"/>
      <c r="H2110" s="10"/>
      <c r="I2110" s="39"/>
      <c r="J2110" s="103"/>
      <c r="K2110" s="39"/>
      <c r="L2110" s="10"/>
      <c r="M2110" s="19"/>
      <c r="N2110" s="10"/>
    </row>
    <row r="2111" spans="7:14" x14ac:dyDescent="0.75">
      <c r="G2111" s="10"/>
      <c r="H2111" s="10"/>
      <c r="I2111" s="39"/>
      <c r="J2111" s="103"/>
      <c r="K2111" s="39"/>
      <c r="L2111" s="78"/>
      <c r="M2111" s="19"/>
      <c r="N2111" s="10"/>
    </row>
    <row r="2112" spans="7:14" x14ac:dyDescent="0.75">
      <c r="G2112" s="10"/>
      <c r="H2112" s="10"/>
      <c r="I2112" s="39"/>
      <c r="J2112" s="103"/>
      <c r="K2112" s="39"/>
      <c r="L2112" s="78"/>
      <c r="M2112" s="19"/>
      <c r="N2112" s="10"/>
    </row>
    <row r="2113" spans="7:14" x14ac:dyDescent="0.75">
      <c r="G2113" s="10"/>
      <c r="H2113" s="10"/>
      <c r="I2113" s="39"/>
      <c r="J2113" s="103"/>
      <c r="K2113" s="39"/>
      <c r="L2113" s="78"/>
      <c r="M2113" s="19"/>
      <c r="N2113" s="10"/>
    </row>
    <row r="2114" spans="7:14" x14ac:dyDescent="0.75">
      <c r="G2114" s="10"/>
      <c r="H2114" s="10"/>
      <c r="I2114" s="39"/>
      <c r="J2114" s="103"/>
      <c r="K2114" s="39"/>
      <c r="L2114" s="78"/>
      <c r="M2114" s="19"/>
      <c r="N2114" s="10"/>
    </row>
    <row r="2115" spans="7:14" x14ac:dyDescent="0.75">
      <c r="G2115" s="10"/>
      <c r="H2115" s="10"/>
      <c r="I2115" s="39"/>
      <c r="J2115" s="103"/>
      <c r="K2115" s="39"/>
      <c r="L2115" s="78"/>
      <c r="M2115" s="19"/>
      <c r="N2115" s="10"/>
    </row>
    <row r="2116" spans="7:14" x14ac:dyDescent="0.75">
      <c r="G2116" s="10"/>
      <c r="H2116" s="10"/>
      <c r="I2116" s="39"/>
      <c r="J2116" s="103"/>
      <c r="K2116" s="39"/>
      <c r="L2116" s="78"/>
      <c r="M2116" s="19"/>
      <c r="N2116" s="10"/>
    </row>
    <row r="2117" spans="7:14" x14ac:dyDescent="0.75">
      <c r="G2117" s="10"/>
      <c r="H2117" s="10"/>
      <c r="I2117" s="39"/>
      <c r="J2117" s="103"/>
      <c r="K2117" s="39"/>
      <c r="L2117" s="78"/>
      <c r="M2117" s="19"/>
      <c r="N2117" s="10"/>
    </row>
    <row r="2118" spans="7:14" x14ac:dyDescent="0.75">
      <c r="G2118" s="10"/>
      <c r="H2118" s="10"/>
      <c r="I2118" s="39"/>
      <c r="J2118" s="103"/>
      <c r="K2118" s="39"/>
      <c r="L2118" s="78"/>
      <c r="M2118" s="19"/>
      <c r="N2118" s="10"/>
    </row>
    <row r="2119" spans="7:14" x14ac:dyDescent="0.75">
      <c r="G2119" s="10"/>
      <c r="H2119" s="10"/>
      <c r="I2119" s="39"/>
      <c r="J2119" s="103"/>
      <c r="K2119" s="39"/>
      <c r="L2119" s="78"/>
      <c r="M2119" s="19"/>
      <c r="N2119" s="10"/>
    </row>
    <row r="2120" spans="7:14" x14ac:dyDescent="0.75">
      <c r="G2120" s="10"/>
      <c r="H2120" s="10"/>
      <c r="I2120" s="39"/>
      <c r="J2120" s="103"/>
      <c r="K2120" s="39"/>
      <c r="L2120" s="78"/>
      <c r="M2120" s="19"/>
      <c r="N2120" s="10"/>
    </row>
    <row r="2121" spans="7:14" x14ac:dyDescent="0.75">
      <c r="G2121" s="10"/>
      <c r="H2121" s="10"/>
      <c r="I2121" s="39"/>
      <c r="J2121" s="103"/>
      <c r="K2121" s="39"/>
      <c r="L2121" s="78"/>
      <c r="M2121" s="19"/>
      <c r="N2121" s="10"/>
    </row>
    <row r="2122" spans="7:14" x14ac:dyDescent="0.75">
      <c r="G2122" s="10"/>
      <c r="H2122" s="10"/>
      <c r="I2122" s="39"/>
      <c r="J2122" s="103"/>
      <c r="K2122" s="39"/>
      <c r="L2122" s="78"/>
      <c r="M2122" s="19"/>
      <c r="N2122" s="10"/>
    </row>
    <row r="2123" spans="7:14" x14ac:dyDescent="0.75">
      <c r="G2123" s="10"/>
      <c r="H2123" s="10"/>
      <c r="I2123" s="39"/>
      <c r="J2123" s="103"/>
      <c r="K2123" s="39"/>
      <c r="L2123" s="78"/>
      <c r="M2123" s="19"/>
      <c r="N2123" s="10"/>
    </row>
    <row r="2124" spans="7:14" x14ac:dyDescent="0.75">
      <c r="G2124" s="10"/>
      <c r="H2124" s="10"/>
      <c r="I2124" s="39"/>
      <c r="J2124" s="103"/>
      <c r="K2124" s="39"/>
      <c r="L2124" s="78"/>
      <c r="M2124" s="19"/>
      <c r="N2124" s="10"/>
    </row>
    <row r="2125" spans="7:14" x14ac:dyDescent="0.75">
      <c r="G2125" s="10"/>
      <c r="H2125" s="10"/>
      <c r="I2125" s="39"/>
      <c r="J2125" s="103"/>
      <c r="K2125" s="39"/>
      <c r="L2125" s="78"/>
      <c r="M2125" s="19"/>
      <c r="N2125" s="10"/>
    </row>
    <row r="2126" spans="7:14" x14ac:dyDescent="0.75">
      <c r="G2126" s="10"/>
      <c r="H2126" s="10"/>
      <c r="I2126" s="39"/>
      <c r="J2126" s="103"/>
      <c r="K2126" s="39"/>
      <c r="L2126" s="78"/>
      <c r="M2126" s="19"/>
      <c r="N2126" s="10"/>
    </row>
    <row r="2127" spans="7:14" x14ac:dyDescent="0.75">
      <c r="G2127" s="10"/>
      <c r="H2127" s="10"/>
      <c r="I2127" s="39"/>
      <c r="J2127" s="103"/>
      <c r="K2127" s="39"/>
      <c r="L2127" s="78"/>
      <c r="M2127" s="19"/>
      <c r="N2127" s="10"/>
    </row>
    <row r="2128" spans="7:14" x14ac:dyDescent="0.75">
      <c r="G2128" s="10"/>
      <c r="H2128" s="10"/>
      <c r="I2128" s="39"/>
      <c r="J2128" s="103"/>
      <c r="K2128" s="39"/>
      <c r="L2128" s="10"/>
      <c r="M2128" s="19"/>
      <c r="N2128" s="10"/>
    </row>
    <row r="2129" spans="7:14" x14ac:dyDescent="0.75">
      <c r="G2129" s="10"/>
      <c r="H2129" s="10"/>
      <c r="I2129" s="39"/>
      <c r="J2129" s="103"/>
      <c r="K2129" s="39"/>
      <c r="L2129" s="10"/>
      <c r="M2129" s="19"/>
      <c r="N2129" s="10"/>
    </row>
    <row r="2130" spans="7:14" x14ac:dyDescent="0.75">
      <c r="G2130" s="10"/>
      <c r="H2130" s="10"/>
      <c r="I2130" s="39"/>
      <c r="J2130" s="103"/>
      <c r="K2130" s="39"/>
      <c r="L2130" s="10"/>
      <c r="M2130" s="19"/>
      <c r="N2130" s="10"/>
    </row>
    <row r="2131" spans="7:14" x14ac:dyDescent="0.75">
      <c r="G2131" s="10"/>
      <c r="H2131" s="10"/>
      <c r="I2131" s="39"/>
      <c r="J2131" s="103"/>
      <c r="K2131" s="39"/>
      <c r="L2131" s="78"/>
      <c r="M2131" s="19"/>
      <c r="N2131" s="10"/>
    </row>
    <row r="2132" spans="7:14" x14ac:dyDescent="0.75">
      <c r="G2132" s="10"/>
      <c r="H2132" s="10"/>
      <c r="I2132" s="39"/>
      <c r="J2132" s="103"/>
      <c r="K2132" s="39"/>
      <c r="L2132" s="10"/>
      <c r="M2132" s="19"/>
      <c r="N2132" s="10"/>
    </row>
    <row r="2133" spans="7:14" x14ac:dyDescent="0.75">
      <c r="G2133" s="10"/>
      <c r="H2133" s="10"/>
      <c r="I2133" s="39"/>
      <c r="J2133" s="103"/>
      <c r="K2133" s="39"/>
      <c r="L2133" s="78"/>
      <c r="M2133" s="19"/>
      <c r="N2133" s="10"/>
    </row>
    <row r="2134" spans="7:14" x14ac:dyDescent="0.75">
      <c r="G2134" s="10"/>
      <c r="H2134" s="10"/>
      <c r="I2134" s="39"/>
      <c r="J2134" s="103"/>
      <c r="K2134" s="39"/>
      <c r="L2134" s="10"/>
      <c r="M2134" s="19"/>
      <c r="N2134" s="10"/>
    </row>
    <row r="2135" spans="7:14" x14ac:dyDescent="0.75">
      <c r="G2135" s="10"/>
      <c r="H2135" s="10"/>
      <c r="I2135" s="39"/>
      <c r="J2135" s="103"/>
      <c r="K2135" s="39"/>
      <c r="L2135" s="10"/>
      <c r="M2135" s="19"/>
      <c r="N2135" s="10"/>
    </row>
    <row r="2136" spans="7:14" x14ac:dyDescent="0.75">
      <c r="G2136" s="10"/>
      <c r="H2136" s="10"/>
      <c r="I2136" s="39"/>
      <c r="J2136" s="103"/>
      <c r="K2136" s="39"/>
      <c r="L2136" s="10"/>
      <c r="M2136" s="19"/>
      <c r="N2136" s="10"/>
    </row>
    <row r="2137" spans="7:14" x14ac:dyDescent="0.75">
      <c r="G2137" s="10"/>
      <c r="H2137" s="10"/>
      <c r="I2137" s="39"/>
      <c r="J2137" s="103"/>
      <c r="K2137" s="39"/>
      <c r="L2137" s="10"/>
      <c r="M2137" s="19"/>
      <c r="N2137" s="10"/>
    </row>
    <row r="2138" spans="7:14" x14ac:dyDescent="0.75">
      <c r="G2138" s="10"/>
      <c r="H2138" s="10"/>
      <c r="I2138" s="39"/>
      <c r="J2138" s="103"/>
      <c r="K2138" s="39"/>
      <c r="L2138" s="78"/>
      <c r="M2138" s="19"/>
      <c r="N2138" s="10"/>
    </row>
    <row r="2139" spans="7:14" x14ac:dyDescent="0.75">
      <c r="G2139" s="10"/>
      <c r="H2139" s="10"/>
      <c r="I2139" s="39"/>
      <c r="J2139" s="103"/>
      <c r="K2139" s="39"/>
      <c r="L2139" s="78"/>
      <c r="M2139" s="19"/>
      <c r="N2139" s="10"/>
    </row>
    <row r="2140" spans="7:14" x14ac:dyDescent="0.75">
      <c r="G2140" s="10"/>
      <c r="H2140" s="10"/>
      <c r="I2140" s="39"/>
      <c r="J2140" s="103"/>
      <c r="K2140" s="39"/>
      <c r="L2140" s="78"/>
      <c r="M2140" s="19"/>
      <c r="N2140" s="10"/>
    </row>
    <row r="2141" spans="7:14" x14ac:dyDescent="0.75">
      <c r="G2141" s="10"/>
      <c r="H2141" s="10"/>
      <c r="I2141" s="39"/>
      <c r="J2141" s="103"/>
      <c r="K2141" s="39"/>
      <c r="L2141" s="78"/>
      <c r="M2141" s="19"/>
      <c r="N2141" s="10"/>
    </row>
    <row r="2142" spans="7:14" x14ac:dyDescent="0.75">
      <c r="G2142" s="10"/>
      <c r="H2142" s="10"/>
      <c r="I2142" s="39"/>
      <c r="J2142" s="103"/>
      <c r="K2142" s="39"/>
      <c r="L2142" s="78"/>
      <c r="M2142" s="19"/>
      <c r="N2142" s="10"/>
    </row>
    <row r="2143" spans="7:14" x14ac:dyDescent="0.75">
      <c r="G2143" s="10"/>
      <c r="H2143" s="10"/>
      <c r="I2143" s="39"/>
      <c r="J2143" s="103"/>
      <c r="K2143" s="39"/>
      <c r="L2143" s="78"/>
      <c r="M2143" s="19"/>
      <c r="N2143" s="10"/>
    </row>
    <row r="2144" spans="7:14" x14ac:dyDescent="0.75">
      <c r="G2144" s="10"/>
      <c r="H2144" s="10"/>
      <c r="I2144" s="39"/>
      <c r="J2144" s="103"/>
      <c r="K2144" s="39"/>
      <c r="L2144" s="78"/>
      <c r="M2144" s="19"/>
      <c r="N2144" s="10"/>
    </row>
    <row r="2145" spans="7:14" x14ac:dyDescent="0.75">
      <c r="G2145" s="10"/>
      <c r="H2145" s="10"/>
      <c r="I2145" s="39"/>
      <c r="J2145" s="103"/>
      <c r="K2145" s="39"/>
      <c r="L2145" s="10"/>
      <c r="M2145" s="19"/>
      <c r="N2145" s="10"/>
    </row>
    <row r="2146" spans="7:14" x14ac:dyDescent="0.75">
      <c r="G2146" s="10"/>
      <c r="H2146" s="10"/>
      <c r="I2146" s="39"/>
      <c r="J2146" s="103"/>
      <c r="K2146" s="39"/>
      <c r="L2146" s="10"/>
      <c r="M2146" s="19"/>
      <c r="N2146" s="10"/>
    </row>
    <row r="2147" spans="7:14" x14ac:dyDescent="0.75">
      <c r="G2147" s="10"/>
      <c r="H2147" s="10"/>
      <c r="I2147" s="39"/>
      <c r="J2147" s="103"/>
      <c r="K2147" s="39"/>
      <c r="L2147" s="10"/>
      <c r="M2147" s="19"/>
      <c r="N2147" s="10"/>
    </row>
    <row r="2148" spans="7:14" x14ac:dyDescent="0.75">
      <c r="G2148" s="10"/>
      <c r="H2148" s="10"/>
      <c r="I2148" s="39"/>
      <c r="J2148" s="103"/>
      <c r="K2148" s="39"/>
      <c r="L2148" s="78"/>
      <c r="M2148" s="19"/>
      <c r="N2148" s="10"/>
    </row>
    <row r="2149" spans="7:14" x14ac:dyDescent="0.75">
      <c r="G2149" s="10"/>
      <c r="H2149" s="10"/>
      <c r="I2149" s="39"/>
      <c r="J2149" s="103"/>
      <c r="K2149" s="39"/>
      <c r="L2149" s="78"/>
      <c r="M2149" s="19"/>
      <c r="N2149" s="10"/>
    </row>
    <row r="2150" spans="7:14" x14ac:dyDescent="0.75">
      <c r="G2150" s="10"/>
      <c r="H2150" s="10"/>
      <c r="I2150" s="39"/>
      <c r="J2150" s="103"/>
      <c r="K2150" s="39"/>
      <c r="L2150" s="78"/>
      <c r="M2150" s="19"/>
      <c r="N2150" s="10"/>
    </row>
    <row r="2151" spans="7:14" x14ac:dyDescent="0.75">
      <c r="G2151" s="10"/>
      <c r="H2151" s="10"/>
      <c r="I2151" s="39"/>
      <c r="J2151" s="103"/>
      <c r="K2151" s="39"/>
      <c r="L2151" s="78"/>
      <c r="M2151" s="19"/>
      <c r="N2151" s="10"/>
    </row>
    <row r="2152" spans="7:14" x14ac:dyDescent="0.75">
      <c r="G2152" s="10"/>
      <c r="H2152" s="10"/>
      <c r="I2152" s="39"/>
      <c r="J2152" s="103"/>
      <c r="K2152" s="39"/>
      <c r="L2152" s="78"/>
      <c r="M2152" s="19"/>
      <c r="N2152" s="10"/>
    </row>
    <row r="2153" spans="7:14" x14ac:dyDescent="0.75">
      <c r="G2153" s="10"/>
      <c r="H2153" s="10"/>
      <c r="I2153" s="39"/>
      <c r="J2153" s="103"/>
      <c r="K2153" s="39"/>
      <c r="L2153" s="78"/>
      <c r="M2153" s="19"/>
      <c r="N2153" s="10"/>
    </row>
    <row r="2154" spans="7:14" x14ac:dyDescent="0.75">
      <c r="G2154" s="10"/>
      <c r="H2154" s="10"/>
      <c r="I2154" s="39"/>
      <c r="J2154" s="103"/>
      <c r="K2154" s="39"/>
      <c r="L2154" s="78"/>
      <c r="M2154" s="19"/>
      <c r="N2154" s="10"/>
    </row>
    <row r="2155" spans="7:14" x14ac:dyDescent="0.75">
      <c r="G2155" s="10"/>
      <c r="H2155" s="10"/>
      <c r="I2155" s="39"/>
      <c r="J2155" s="103"/>
      <c r="K2155" s="39"/>
      <c r="L2155" s="78"/>
      <c r="M2155" s="19"/>
      <c r="N2155" s="10"/>
    </row>
    <row r="2156" spans="7:14" x14ac:dyDescent="0.75">
      <c r="G2156" s="10"/>
      <c r="H2156" s="10"/>
      <c r="I2156" s="39"/>
      <c r="J2156" s="103"/>
      <c r="K2156" s="39"/>
      <c r="L2156" s="78"/>
      <c r="M2156" s="19"/>
      <c r="N2156" s="10"/>
    </row>
    <row r="2157" spans="7:14" x14ac:dyDescent="0.75">
      <c r="G2157" s="10"/>
      <c r="H2157" s="10"/>
      <c r="I2157" s="39"/>
      <c r="J2157" s="103"/>
      <c r="K2157" s="39"/>
      <c r="L2157" s="78"/>
      <c r="M2157" s="19"/>
      <c r="N2157" s="10"/>
    </row>
    <row r="2158" spans="7:14" x14ac:dyDescent="0.75">
      <c r="G2158" s="10"/>
      <c r="H2158" s="10"/>
      <c r="I2158" s="39"/>
      <c r="J2158" s="103"/>
      <c r="K2158" s="39"/>
      <c r="L2158" s="78"/>
      <c r="M2158" s="19"/>
      <c r="N2158" s="10"/>
    </row>
    <row r="2159" spans="7:14" x14ac:dyDescent="0.75">
      <c r="G2159" s="10"/>
      <c r="H2159" s="10"/>
      <c r="I2159" s="39"/>
      <c r="J2159" s="103"/>
      <c r="K2159" s="39"/>
      <c r="L2159" s="78"/>
      <c r="M2159" s="19"/>
      <c r="N2159" s="10"/>
    </row>
    <row r="2160" spans="7:14" x14ac:dyDescent="0.75">
      <c r="G2160" s="10"/>
      <c r="H2160" s="10"/>
      <c r="I2160" s="39"/>
      <c r="J2160" s="103"/>
      <c r="K2160" s="39"/>
      <c r="L2160" s="78"/>
      <c r="M2160" s="19"/>
      <c r="N2160" s="10"/>
    </row>
    <row r="2161" spans="7:14" x14ac:dyDescent="0.75">
      <c r="G2161" s="10"/>
      <c r="H2161" s="10"/>
      <c r="I2161" s="39"/>
      <c r="J2161" s="103"/>
      <c r="K2161" s="39"/>
      <c r="L2161" s="78"/>
      <c r="M2161" s="19"/>
      <c r="N2161" s="10"/>
    </row>
    <row r="2162" spans="7:14" x14ac:dyDescent="0.75">
      <c r="G2162" s="10"/>
      <c r="H2162" s="10"/>
      <c r="I2162" s="39"/>
      <c r="J2162" s="103"/>
      <c r="K2162" s="39"/>
      <c r="L2162" s="78"/>
      <c r="M2162" s="19"/>
      <c r="N2162" s="10"/>
    </row>
    <row r="2163" spans="7:14" x14ac:dyDescent="0.75">
      <c r="G2163" s="10"/>
      <c r="H2163" s="10"/>
      <c r="I2163" s="39"/>
      <c r="J2163" s="103"/>
      <c r="K2163" s="39"/>
      <c r="L2163" s="78"/>
      <c r="M2163" s="19"/>
      <c r="N2163" s="10"/>
    </row>
    <row r="2164" spans="7:14" x14ac:dyDescent="0.75">
      <c r="G2164" s="10"/>
      <c r="H2164" s="10"/>
      <c r="I2164" s="39"/>
      <c r="J2164" s="103"/>
      <c r="K2164" s="39"/>
      <c r="L2164" s="78"/>
      <c r="M2164" s="19"/>
      <c r="N2164" s="10"/>
    </row>
    <row r="2165" spans="7:14" x14ac:dyDescent="0.75">
      <c r="G2165" s="10"/>
      <c r="H2165" s="10"/>
      <c r="I2165" s="39"/>
      <c r="J2165" s="103"/>
      <c r="K2165" s="39"/>
      <c r="L2165" s="78"/>
      <c r="M2165" s="19"/>
      <c r="N2165" s="10"/>
    </row>
    <row r="2166" spans="7:14" x14ac:dyDescent="0.75">
      <c r="G2166" s="10"/>
      <c r="H2166" s="10"/>
      <c r="I2166" s="39"/>
      <c r="J2166" s="103"/>
      <c r="K2166" s="39"/>
      <c r="L2166" s="78"/>
      <c r="M2166" s="19"/>
      <c r="N2166" s="10"/>
    </row>
    <row r="2167" spans="7:14" x14ac:dyDescent="0.75">
      <c r="G2167" s="10"/>
      <c r="H2167" s="10"/>
      <c r="I2167" s="39"/>
      <c r="J2167" s="103"/>
      <c r="K2167" s="39"/>
      <c r="L2167" s="78"/>
      <c r="M2167" s="19"/>
      <c r="N2167" s="10"/>
    </row>
    <row r="2168" spans="7:14" x14ac:dyDescent="0.75">
      <c r="G2168" s="10"/>
      <c r="H2168" s="10"/>
      <c r="I2168" s="39"/>
      <c r="J2168" s="103"/>
      <c r="K2168" s="39"/>
      <c r="L2168" s="78"/>
      <c r="M2168" s="19"/>
      <c r="N2168" s="10"/>
    </row>
    <row r="2169" spans="7:14" x14ac:dyDescent="0.75">
      <c r="G2169" s="10"/>
      <c r="H2169" s="10"/>
      <c r="I2169" s="39"/>
      <c r="J2169" s="103"/>
      <c r="K2169" s="39"/>
      <c r="L2169" s="78"/>
      <c r="M2169" s="19"/>
      <c r="N2169" s="10"/>
    </row>
    <row r="2170" spans="7:14" x14ac:dyDescent="0.75">
      <c r="G2170" s="10"/>
      <c r="H2170" s="10"/>
      <c r="I2170" s="39"/>
      <c r="J2170" s="103"/>
      <c r="K2170" s="39"/>
      <c r="L2170" s="10"/>
      <c r="M2170" s="19"/>
      <c r="N2170" s="10"/>
    </row>
    <row r="2171" spans="7:14" x14ac:dyDescent="0.75">
      <c r="G2171" s="10"/>
      <c r="H2171" s="10"/>
      <c r="I2171" s="39"/>
      <c r="J2171" s="103"/>
      <c r="K2171" s="39"/>
      <c r="L2171" s="10"/>
      <c r="M2171" s="19"/>
      <c r="N2171" s="10"/>
    </row>
    <row r="2172" spans="7:14" x14ac:dyDescent="0.75">
      <c r="G2172" s="10"/>
      <c r="H2172" s="10"/>
      <c r="I2172" s="39"/>
      <c r="J2172" s="103"/>
      <c r="K2172" s="39"/>
      <c r="L2172" s="10"/>
      <c r="M2172" s="19"/>
      <c r="N2172" s="10"/>
    </row>
    <row r="2173" spans="7:14" x14ac:dyDescent="0.75">
      <c r="G2173" s="10"/>
      <c r="H2173" s="10"/>
      <c r="I2173" s="39"/>
      <c r="J2173" s="103"/>
      <c r="K2173" s="39"/>
      <c r="L2173" s="78"/>
      <c r="M2173" s="19"/>
      <c r="N2173" s="10"/>
    </row>
    <row r="2174" spans="7:14" x14ac:dyDescent="0.75">
      <c r="G2174" s="10"/>
      <c r="H2174" s="10"/>
      <c r="I2174" s="39"/>
      <c r="J2174" s="103"/>
      <c r="K2174" s="39"/>
      <c r="L2174" s="78"/>
      <c r="M2174" s="19"/>
      <c r="N2174" s="10"/>
    </row>
    <row r="2175" spans="7:14" x14ac:dyDescent="0.75">
      <c r="G2175" s="10"/>
      <c r="H2175" s="10"/>
      <c r="I2175" s="39"/>
      <c r="J2175" s="103"/>
      <c r="K2175" s="39"/>
      <c r="L2175" s="78"/>
      <c r="M2175" s="19"/>
      <c r="N2175" s="10"/>
    </row>
    <row r="2176" spans="7:14" x14ac:dyDescent="0.75">
      <c r="G2176" s="10"/>
      <c r="H2176" s="10"/>
      <c r="I2176" s="39"/>
      <c r="J2176" s="103"/>
      <c r="K2176" s="39"/>
      <c r="L2176" s="10"/>
      <c r="M2176" s="19"/>
      <c r="N2176" s="10"/>
    </row>
    <row r="2177" spans="7:14" x14ac:dyDescent="0.75">
      <c r="G2177" s="10"/>
      <c r="H2177" s="10"/>
      <c r="I2177" s="39"/>
      <c r="J2177" s="103"/>
      <c r="K2177" s="39"/>
      <c r="L2177" s="78"/>
      <c r="M2177" s="19"/>
      <c r="N2177" s="10"/>
    </row>
    <row r="2178" spans="7:14" x14ac:dyDescent="0.75">
      <c r="G2178" s="10"/>
      <c r="H2178" s="10"/>
      <c r="I2178" s="39"/>
      <c r="J2178" s="103"/>
      <c r="K2178" s="39"/>
      <c r="L2178" s="78"/>
      <c r="M2178" s="19"/>
      <c r="N2178" s="10"/>
    </row>
    <row r="2179" spans="7:14" x14ac:dyDescent="0.75">
      <c r="G2179" s="10"/>
      <c r="H2179" s="10"/>
      <c r="I2179" s="39"/>
      <c r="J2179" s="103"/>
      <c r="K2179" s="39"/>
      <c r="L2179" s="78"/>
      <c r="M2179" s="19"/>
      <c r="N2179" s="10"/>
    </row>
    <row r="2180" spans="7:14" x14ac:dyDescent="0.75">
      <c r="G2180" s="10"/>
      <c r="H2180" s="10"/>
      <c r="I2180" s="39"/>
      <c r="J2180" s="103"/>
      <c r="K2180" s="39"/>
      <c r="L2180" s="78"/>
      <c r="M2180" s="19"/>
      <c r="N2180" s="10"/>
    </row>
    <row r="2181" spans="7:14" x14ac:dyDescent="0.75">
      <c r="G2181" s="10"/>
      <c r="H2181" s="10"/>
      <c r="I2181" s="39"/>
      <c r="J2181" s="103"/>
      <c r="K2181" s="39"/>
      <c r="L2181" s="10"/>
      <c r="M2181" s="19"/>
      <c r="N2181" s="10"/>
    </row>
    <row r="2182" spans="7:14" x14ac:dyDescent="0.75">
      <c r="G2182" s="10"/>
      <c r="H2182" s="10"/>
      <c r="I2182" s="39"/>
      <c r="J2182" s="103"/>
      <c r="K2182" s="39"/>
      <c r="L2182" s="78"/>
      <c r="M2182" s="19"/>
      <c r="N2182" s="10"/>
    </row>
    <row r="2183" spans="7:14" x14ac:dyDescent="0.75">
      <c r="G2183" s="10"/>
      <c r="H2183" s="10"/>
      <c r="I2183" s="39"/>
      <c r="J2183" s="103"/>
      <c r="K2183" s="39"/>
      <c r="L2183" s="78"/>
      <c r="M2183" s="19"/>
      <c r="N2183" s="10"/>
    </row>
    <row r="2184" spans="7:14" x14ac:dyDescent="0.75">
      <c r="G2184" s="10"/>
      <c r="H2184" s="10"/>
      <c r="I2184" s="39"/>
      <c r="J2184" s="103"/>
      <c r="K2184" s="39"/>
      <c r="L2184" s="78"/>
      <c r="M2184" s="19"/>
      <c r="N2184" s="10"/>
    </row>
    <row r="2185" spans="7:14" x14ac:dyDescent="0.75">
      <c r="G2185" s="10"/>
      <c r="H2185" s="10"/>
      <c r="I2185" s="39"/>
      <c r="J2185" s="103"/>
      <c r="K2185" s="39"/>
      <c r="L2185" s="78"/>
      <c r="M2185" s="19"/>
      <c r="N2185" s="10"/>
    </row>
    <row r="2186" spans="7:14" x14ac:dyDescent="0.75">
      <c r="G2186" s="10"/>
      <c r="H2186" s="10"/>
      <c r="I2186" s="39"/>
      <c r="J2186" s="103"/>
      <c r="K2186" s="39"/>
      <c r="L2186" s="78"/>
      <c r="M2186" s="19"/>
      <c r="N2186" s="10"/>
    </row>
    <row r="2187" spans="7:14" x14ac:dyDescent="0.75">
      <c r="G2187" s="10"/>
      <c r="H2187" s="10"/>
      <c r="I2187" s="39"/>
      <c r="J2187" s="103"/>
      <c r="K2187" s="39"/>
      <c r="L2187" s="78"/>
      <c r="M2187" s="19"/>
      <c r="N2187" s="10"/>
    </row>
    <row r="2188" spans="7:14" x14ac:dyDescent="0.75">
      <c r="G2188" s="10"/>
      <c r="H2188" s="10"/>
      <c r="I2188" s="39"/>
      <c r="J2188" s="103"/>
      <c r="K2188" s="39"/>
      <c r="L2188" s="78"/>
      <c r="M2188" s="19"/>
      <c r="N2188" s="10"/>
    </row>
    <row r="2189" spans="7:14" x14ac:dyDescent="0.75">
      <c r="G2189" s="10"/>
      <c r="H2189" s="10"/>
      <c r="I2189" s="39"/>
      <c r="J2189" s="103"/>
      <c r="K2189" s="39"/>
      <c r="L2189" s="78"/>
      <c r="M2189" s="19"/>
      <c r="N2189" s="10"/>
    </row>
    <row r="2190" spans="7:14" x14ac:dyDescent="0.75">
      <c r="G2190" s="10"/>
      <c r="H2190" s="10"/>
      <c r="I2190" s="39"/>
      <c r="J2190" s="103"/>
      <c r="K2190" s="39"/>
      <c r="L2190" s="78"/>
      <c r="M2190" s="19"/>
      <c r="N2190" s="10"/>
    </row>
    <row r="2191" spans="7:14" x14ac:dyDescent="0.75">
      <c r="G2191" s="10"/>
      <c r="H2191" s="10"/>
      <c r="I2191" s="39"/>
      <c r="J2191" s="103"/>
      <c r="K2191" s="39"/>
      <c r="L2191" s="78"/>
      <c r="M2191" s="19"/>
      <c r="N2191" s="10"/>
    </row>
    <row r="2192" spans="7:14" x14ac:dyDescent="0.75">
      <c r="G2192" s="10"/>
      <c r="H2192" s="10"/>
      <c r="I2192" s="39"/>
      <c r="J2192" s="103"/>
      <c r="K2192" s="39"/>
      <c r="L2192" s="78"/>
      <c r="M2192" s="19"/>
      <c r="N2192" s="10"/>
    </row>
    <row r="2193" spans="7:14" x14ac:dyDescent="0.75">
      <c r="G2193" s="10"/>
      <c r="H2193" s="10"/>
      <c r="I2193" s="39"/>
      <c r="J2193" s="103"/>
      <c r="K2193" s="39"/>
      <c r="L2193" s="78"/>
      <c r="M2193" s="19"/>
      <c r="N2193" s="10"/>
    </row>
    <row r="2194" spans="7:14" x14ac:dyDescent="0.75">
      <c r="G2194" s="10"/>
      <c r="H2194" s="10"/>
      <c r="I2194" s="39"/>
      <c r="J2194" s="103"/>
      <c r="K2194" s="39"/>
      <c r="L2194" s="78"/>
      <c r="M2194" s="19"/>
      <c r="N2194" s="10"/>
    </row>
    <row r="2195" spans="7:14" x14ac:dyDescent="0.75">
      <c r="G2195" s="10"/>
      <c r="H2195" s="10"/>
      <c r="I2195" s="39"/>
      <c r="J2195" s="103"/>
      <c r="K2195" s="39"/>
      <c r="L2195" s="78"/>
      <c r="M2195" s="19"/>
      <c r="N2195" s="10"/>
    </row>
    <row r="2196" spans="7:14" x14ac:dyDescent="0.75">
      <c r="G2196" s="10"/>
      <c r="H2196" s="10"/>
      <c r="I2196" s="39"/>
      <c r="J2196" s="103"/>
      <c r="K2196" s="39"/>
      <c r="L2196" s="78"/>
      <c r="M2196" s="19"/>
      <c r="N2196" s="10"/>
    </row>
    <row r="2197" spans="7:14" x14ac:dyDescent="0.75">
      <c r="G2197" s="10"/>
      <c r="H2197" s="10"/>
      <c r="I2197" s="39"/>
      <c r="J2197" s="103"/>
      <c r="K2197" s="39"/>
      <c r="L2197" s="78"/>
      <c r="M2197" s="19"/>
      <c r="N2197" s="10"/>
    </row>
    <row r="2198" spans="7:14" x14ac:dyDescent="0.75">
      <c r="G2198" s="10"/>
      <c r="H2198" s="10"/>
      <c r="I2198" s="39"/>
      <c r="J2198" s="103"/>
      <c r="K2198" s="39"/>
      <c r="L2198" s="78"/>
      <c r="M2198" s="19"/>
      <c r="N2198" s="10"/>
    </row>
    <row r="2199" spans="7:14" x14ac:dyDescent="0.75">
      <c r="G2199" s="10"/>
      <c r="H2199" s="10"/>
      <c r="I2199" s="39"/>
      <c r="J2199" s="103"/>
      <c r="K2199" s="39"/>
      <c r="L2199" s="78"/>
      <c r="M2199" s="19"/>
      <c r="N2199" s="10"/>
    </row>
    <row r="2200" spans="7:14" x14ac:dyDescent="0.75">
      <c r="G2200" s="10"/>
      <c r="H2200" s="10"/>
      <c r="I2200" s="39"/>
      <c r="J2200" s="103"/>
      <c r="K2200" s="39"/>
      <c r="L2200" s="78"/>
      <c r="M2200" s="19"/>
      <c r="N2200" s="10"/>
    </row>
    <row r="2201" spans="7:14" x14ac:dyDescent="0.75">
      <c r="G2201" s="10"/>
      <c r="H2201" s="10"/>
      <c r="I2201" s="39"/>
      <c r="J2201" s="103"/>
      <c r="K2201" s="39"/>
      <c r="L2201" s="78"/>
      <c r="M2201" s="19"/>
      <c r="N2201" s="10"/>
    </row>
    <row r="2202" spans="7:14" x14ac:dyDescent="0.75">
      <c r="G2202" s="10"/>
      <c r="H2202" s="10"/>
      <c r="I2202" s="39"/>
      <c r="J2202" s="103"/>
      <c r="K2202" s="39"/>
      <c r="L2202" s="78"/>
      <c r="M2202" s="19"/>
      <c r="N2202" s="10"/>
    </row>
    <row r="2203" spans="7:14" x14ac:dyDescent="0.75">
      <c r="G2203" s="10"/>
      <c r="H2203" s="10"/>
      <c r="I2203" s="39"/>
      <c r="J2203" s="103"/>
      <c r="K2203" s="39"/>
      <c r="L2203" s="78"/>
      <c r="M2203" s="19"/>
      <c r="N2203" s="10"/>
    </row>
    <row r="2204" spans="7:14" x14ac:dyDescent="0.75">
      <c r="G2204" s="10"/>
      <c r="H2204" s="10"/>
      <c r="I2204" s="39"/>
      <c r="J2204" s="103"/>
      <c r="K2204" s="39"/>
      <c r="L2204" s="78"/>
      <c r="M2204" s="19"/>
      <c r="N2204" s="10"/>
    </row>
    <row r="2205" spans="7:14" x14ac:dyDescent="0.75">
      <c r="G2205" s="10"/>
      <c r="H2205" s="10"/>
      <c r="I2205" s="39"/>
      <c r="J2205" s="103"/>
      <c r="K2205" s="39"/>
      <c r="L2205" s="78"/>
      <c r="M2205" s="19"/>
      <c r="N2205" s="10"/>
    </row>
    <row r="2206" spans="7:14" x14ac:dyDescent="0.75">
      <c r="G2206" s="10"/>
      <c r="H2206" s="10"/>
      <c r="I2206" s="39"/>
      <c r="J2206" s="103"/>
      <c r="K2206" s="39"/>
      <c r="L2206" s="78"/>
      <c r="M2206" s="19"/>
      <c r="N2206" s="10"/>
    </row>
    <row r="2207" spans="7:14" x14ac:dyDescent="0.75">
      <c r="G2207" s="10"/>
      <c r="H2207" s="10"/>
      <c r="I2207" s="39"/>
      <c r="J2207" s="103"/>
      <c r="K2207" s="39"/>
      <c r="L2207" s="78"/>
      <c r="M2207" s="19"/>
      <c r="N2207" s="10"/>
    </row>
    <row r="2208" spans="7:14" x14ac:dyDescent="0.75">
      <c r="G2208" s="10"/>
      <c r="H2208" s="10"/>
      <c r="I2208" s="39"/>
      <c r="J2208" s="103"/>
      <c r="K2208" s="39"/>
      <c r="L2208" s="78"/>
      <c r="M2208" s="19"/>
      <c r="N2208" s="10"/>
    </row>
    <row r="2209" spans="7:14" x14ac:dyDescent="0.75">
      <c r="G2209" s="10"/>
      <c r="H2209" s="10"/>
      <c r="I2209" s="39"/>
      <c r="J2209" s="103"/>
      <c r="K2209" s="39"/>
      <c r="L2209" s="78"/>
      <c r="M2209" s="19"/>
      <c r="N2209" s="10"/>
    </row>
    <row r="2210" spans="7:14" x14ac:dyDescent="0.75">
      <c r="G2210" s="10"/>
      <c r="H2210" s="10"/>
      <c r="I2210" s="39"/>
      <c r="J2210" s="103"/>
      <c r="K2210" s="39"/>
      <c r="L2210" s="78"/>
      <c r="M2210" s="19"/>
      <c r="N2210" s="10"/>
    </row>
    <row r="2211" spans="7:14" x14ac:dyDescent="0.75">
      <c r="G2211" s="10"/>
      <c r="H2211" s="10"/>
      <c r="I2211" s="39"/>
      <c r="J2211" s="103"/>
      <c r="K2211" s="39"/>
      <c r="L2211" s="78"/>
      <c r="M2211" s="19"/>
      <c r="N2211" s="10"/>
    </row>
    <row r="2212" spans="7:14" x14ac:dyDescent="0.75">
      <c r="G2212" s="10"/>
      <c r="H2212" s="10"/>
      <c r="I2212" s="39"/>
      <c r="J2212" s="103"/>
      <c r="K2212" s="39"/>
      <c r="L2212" s="78"/>
      <c r="M2212" s="19"/>
      <c r="N2212" s="10"/>
    </row>
    <row r="2213" spans="7:14" x14ac:dyDescent="0.75">
      <c r="G2213" s="10"/>
      <c r="H2213" s="10"/>
      <c r="I2213" s="39"/>
      <c r="J2213" s="103"/>
      <c r="K2213" s="39"/>
      <c r="L2213" s="78"/>
      <c r="M2213" s="19"/>
      <c r="N2213" s="10"/>
    </row>
    <row r="2214" spans="7:14" x14ac:dyDescent="0.75">
      <c r="G2214" s="10"/>
      <c r="H2214" s="10"/>
      <c r="I2214" s="39"/>
      <c r="J2214" s="103"/>
      <c r="K2214" s="39"/>
      <c r="L2214" s="78"/>
      <c r="M2214" s="19"/>
      <c r="N2214" s="10"/>
    </row>
    <row r="2215" spans="7:14" x14ac:dyDescent="0.75">
      <c r="G2215" s="10"/>
      <c r="H2215" s="10"/>
      <c r="I2215" s="39"/>
      <c r="J2215" s="103"/>
      <c r="K2215" s="39"/>
      <c r="L2215" s="78"/>
      <c r="M2215" s="19"/>
      <c r="N2215" s="10"/>
    </row>
    <row r="2216" spans="7:14" x14ac:dyDescent="0.75">
      <c r="G2216" s="10"/>
      <c r="H2216" s="10"/>
      <c r="I2216" s="39"/>
      <c r="J2216" s="103"/>
      <c r="K2216" s="39"/>
      <c r="L2216" s="78"/>
      <c r="M2216" s="19"/>
      <c r="N2216" s="10"/>
    </row>
    <row r="2217" spans="7:14" x14ac:dyDescent="0.75">
      <c r="G2217" s="10"/>
      <c r="H2217" s="10"/>
      <c r="I2217" s="39"/>
      <c r="J2217" s="103"/>
      <c r="K2217" s="39"/>
      <c r="L2217" s="78"/>
      <c r="M2217" s="19"/>
      <c r="N2217" s="10"/>
    </row>
    <row r="2218" spans="7:14" x14ac:dyDescent="0.75">
      <c r="G2218" s="10"/>
      <c r="H2218" s="10"/>
      <c r="I2218" s="39"/>
      <c r="J2218" s="103"/>
      <c r="K2218" s="39"/>
      <c r="L2218" s="78"/>
      <c r="M2218" s="19"/>
      <c r="N2218" s="10"/>
    </row>
    <row r="2219" spans="7:14" x14ac:dyDescent="0.75">
      <c r="G2219" s="10"/>
      <c r="H2219" s="10"/>
      <c r="I2219" s="39"/>
      <c r="J2219" s="103"/>
      <c r="K2219" s="39"/>
      <c r="L2219" s="78"/>
      <c r="M2219" s="19"/>
      <c r="N2219" s="10"/>
    </row>
    <row r="2220" spans="7:14" x14ac:dyDescent="0.75">
      <c r="G2220" s="10"/>
      <c r="H2220" s="10"/>
      <c r="I2220" s="39"/>
      <c r="J2220" s="103"/>
      <c r="K2220" s="39"/>
      <c r="L2220" s="78"/>
      <c r="M2220" s="19"/>
      <c r="N2220" s="10"/>
    </row>
    <row r="2221" spans="7:14" x14ac:dyDescent="0.75">
      <c r="G2221" s="10"/>
      <c r="H2221" s="10"/>
      <c r="I2221" s="39"/>
      <c r="J2221" s="103"/>
      <c r="K2221" s="39"/>
      <c r="L2221" s="78"/>
      <c r="M2221" s="19"/>
      <c r="N2221" s="10"/>
    </row>
    <row r="2222" spans="7:14" x14ac:dyDescent="0.75">
      <c r="G2222" s="10"/>
      <c r="H2222" s="10"/>
      <c r="I2222" s="39"/>
      <c r="J2222" s="103"/>
      <c r="K2222" s="39"/>
      <c r="L2222" s="10"/>
      <c r="M2222" s="19"/>
      <c r="N2222" s="10"/>
    </row>
    <row r="2223" spans="7:14" x14ac:dyDescent="0.75">
      <c r="G2223" s="10"/>
      <c r="H2223" s="10"/>
      <c r="I2223" s="39"/>
      <c r="J2223" s="103"/>
      <c r="K2223" s="39"/>
      <c r="L2223" s="78"/>
      <c r="M2223" s="19"/>
      <c r="N2223" s="10"/>
    </row>
    <row r="2224" spans="7:14" x14ac:dyDescent="0.75">
      <c r="G2224" s="10"/>
      <c r="H2224" s="10"/>
      <c r="I2224" s="39"/>
      <c r="J2224" s="103"/>
      <c r="K2224" s="39"/>
      <c r="L2224" s="78"/>
      <c r="M2224" s="19"/>
      <c r="N2224" s="10"/>
    </row>
    <row r="2225" spans="7:14" x14ac:dyDescent="0.75">
      <c r="G2225" s="10"/>
      <c r="H2225" s="10"/>
      <c r="I2225" s="39"/>
      <c r="J2225" s="103"/>
      <c r="K2225" s="39"/>
      <c r="L2225" s="78"/>
      <c r="M2225" s="19"/>
      <c r="N2225" s="10"/>
    </row>
    <row r="2226" spans="7:14" x14ac:dyDescent="0.75">
      <c r="G2226" s="10"/>
      <c r="H2226" s="10"/>
      <c r="I2226" s="39"/>
      <c r="J2226" s="103"/>
      <c r="K2226" s="39"/>
      <c r="L2226" s="78"/>
      <c r="M2226" s="19"/>
      <c r="N2226" s="10"/>
    </row>
    <row r="2227" spans="7:14" x14ac:dyDescent="0.75">
      <c r="G2227" s="10"/>
      <c r="H2227" s="10"/>
      <c r="I2227" s="39"/>
      <c r="J2227" s="103"/>
      <c r="K2227" s="39"/>
      <c r="L2227" s="78"/>
      <c r="M2227" s="19"/>
      <c r="N2227" s="10"/>
    </row>
    <row r="2228" spans="7:14" x14ac:dyDescent="0.75">
      <c r="G2228" s="10"/>
      <c r="H2228" s="10"/>
      <c r="I2228" s="39"/>
      <c r="J2228" s="103"/>
      <c r="K2228" s="39"/>
      <c r="L2228" s="78"/>
      <c r="M2228" s="19"/>
      <c r="N2228" s="10"/>
    </row>
    <row r="2229" spans="7:14" x14ac:dyDescent="0.75">
      <c r="G2229" s="10"/>
      <c r="H2229" s="10"/>
      <c r="I2229" s="39"/>
      <c r="J2229" s="103"/>
      <c r="K2229" s="39"/>
      <c r="L2229" s="78"/>
      <c r="M2229" s="19"/>
      <c r="N2229" s="10"/>
    </row>
    <row r="2230" spans="7:14" x14ac:dyDescent="0.75">
      <c r="G2230" s="10"/>
      <c r="H2230" s="10"/>
      <c r="I2230" s="39"/>
      <c r="J2230" s="103"/>
      <c r="K2230" s="39"/>
      <c r="L2230" s="78"/>
      <c r="M2230" s="19"/>
      <c r="N2230" s="10"/>
    </row>
    <row r="2231" spans="7:14" x14ac:dyDescent="0.75">
      <c r="G2231" s="10"/>
      <c r="H2231" s="10"/>
      <c r="I2231" s="39"/>
      <c r="J2231" s="103"/>
      <c r="K2231" s="39"/>
      <c r="L2231" s="78"/>
      <c r="M2231" s="19"/>
      <c r="N2231" s="10"/>
    </row>
    <row r="2232" spans="7:14" x14ac:dyDescent="0.75">
      <c r="G2232" s="10"/>
      <c r="H2232" s="10"/>
      <c r="I2232" s="39"/>
      <c r="J2232" s="103"/>
      <c r="K2232" s="39"/>
      <c r="L2232" s="78"/>
      <c r="M2232" s="19"/>
      <c r="N2232" s="10"/>
    </row>
    <row r="2233" spans="7:14" x14ac:dyDescent="0.75">
      <c r="G2233" s="10"/>
      <c r="H2233" s="10"/>
      <c r="I2233" s="39"/>
      <c r="J2233" s="103"/>
      <c r="K2233" s="39"/>
      <c r="L2233" s="78"/>
      <c r="M2233" s="19"/>
      <c r="N2233" s="10"/>
    </row>
    <row r="2234" spans="7:14" x14ac:dyDescent="0.75">
      <c r="G2234" s="10"/>
      <c r="H2234" s="10"/>
      <c r="I2234" s="39"/>
      <c r="J2234" s="103"/>
      <c r="K2234" s="39"/>
      <c r="L2234" s="78"/>
      <c r="M2234" s="19"/>
      <c r="N2234" s="10"/>
    </row>
    <row r="2235" spans="7:14" x14ac:dyDescent="0.75">
      <c r="G2235" s="10"/>
      <c r="H2235" s="10"/>
      <c r="I2235" s="39"/>
      <c r="J2235" s="103"/>
      <c r="K2235" s="39"/>
      <c r="L2235" s="78"/>
      <c r="M2235" s="19"/>
      <c r="N2235" s="10"/>
    </row>
    <row r="2236" spans="7:14" x14ac:dyDescent="0.75">
      <c r="G2236" s="10"/>
      <c r="H2236" s="10"/>
      <c r="I2236" s="39"/>
      <c r="J2236" s="103"/>
      <c r="K2236" s="39"/>
      <c r="L2236" s="78"/>
      <c r="M2236" s="19"/>
      <c r="N2236" s="10"/>
    </row>
    <row r="2237" spans="7:14" x14ac:dyDescent="0.75">
      <c r="G2237" s="10"/>
      <c r="H2237" s="10"/>
      <c r="I2237" s="39"/>
      <c r="J2237" s="103"/>
      <c r="K2237" s="39"/>
      <c r="L2237" s="78"/>
      <c r="M2237" s="19"/>
      <c r="N2237" s="10"/>
    </row>
    <row r="2238" spans="7:14" x14ac:dyDescent="0.75">
      <c r="G2238" s="10"/>
      <c r="H2238" s="10"/>
      <c r="I2238" s="39"/>
      <c r="J2238" s="103"/>
      <c r="K2238" s="39"/>
      <c r="L2238" s="10"/>
      <c r="M2238" s="19"/>
      <c r="N2238" s="10"/>
    </row>
    <row r="2239" spans="7:14" x14ac:dyDescent="0.75">
      <c r="G2239" s="10"/>
      <c r="H2239" s="10"/>
      <c r="I2239" s="39"/>
      <c r="J2239" s="103"/>
      <c r="K2239" s="39"/>
      <c r="L2239" s="78"/>
      <c r="M2239" s="19"/>
      <c r="N2239" s="10"/>
    </row>
    <row r="2240" spans="7:14" x14ac:dyDescent="0.75">
      <c r="G2240" s="10"/>
      <c r="H2240" s="10"/>
      <c r="I2240" s="39"/>
      <c r="J2240" s="103"/>
      <c r="K2240" s="39"/>
      <c r="L2240" s="78"/>
      <c r="M2240" s="19"/>
      <c r="N2240" s="10"/>
    </row>
    <row r="2241" spans="7:14" x14ac:dyDescent="0.75">
      <c r="G2241" s="10"/>
      <c r="H2241" s="10"/>
      <c r="I2241" s="39"/>
      <c r="J2241" s="103"/>
      <c r="K2241" s="39"/>
      <c r="L2241" s="78"/>
      <c r="M2241" s="19"/>
      <c r="N2241" s="10"/>
    </row>
    <row r="2242" spans="7:14" x14ac:dyDescent="0.75">
      <c r="G2242" s="10"/>
      <c r="H2242" s="10"/>
      <c r="I2242" s="39"/>
      <c r="J2242" s="103"/>
      <c r="K2242" s="39"/>
      <c r="L2242" s="78"/>
      <c r="M2242" s="19"/>
      <c r="N2242" s="10"/>
    </row>
    <row r="2243" spans="7:14" x14ac:dyDescent="0.75">
      <c r="G2243" s="10"/>
      <c r="H2243" s="10"/>
      <c r="I2243" s="39"/>
      <c r="J2243" s="103"/>
      <c r="K2243" s="39"/>
      <c r="L2243" s="78"/>
      <c r="M2243" s="19"/>
      <c r="N2243" s="10"/>
    </row>
    <row r="2244" spans="7:14" x14ac:dyDescent="0.75">
      <c r="G2244" s="10"/>
      <c r="H2244" s="10"/>
      <c r="I2244" s="39"/>
      <c r="J2244" s="103"/>
      <c r="K2244" s="39"/>
      <c r="L2244" s="78"/>
      <c r="M2244" s="19"/>
      <c r="N2244" s="10"/>
    </row>
    <row r="2245" spans="7:14" x14ac:dyDescent="0.75">
      <c r="G2245" s="10"/>
      <c r="H2245" s="10"/>
      <c r="I2245" s="39"/>
      <c r="J2245" s="103"/>
      <c r="K2245" s="39"/>
      <c r="L2245" s="78"/>
      <c r="M2245" s="19"/>
      <c r="N2245" s="10"/>
    </row>
    <row r="2246" spans="7:14" x14ac:dyDescent="0.75">
      <c r="G2246" s="10"/>
      <c r="H2246" s="10"/>
      <c r="I2246" s="39"/>
      <c r="J2246" s="103"/>
      <c r="K2246" s="39"/>
      <c r="L2246" s="78"/>
      <c r="M2246" s="19"/>
      <c r="N2246" s="10"/>
    </row>
    <row r="2247" spans="7:14" x14ac:dyDescent="0.75">
      <c r="G2247" s="10"/>
      <c r="H2247" s="10"/>
      <c r="I2247" s="39"/>
      <c r="J2247" s="103"/>
      <c r="K2247" s="39"/>
      <c r="L2247" s="78"/>
      <c r="M2247" s="19"/>
      <c r="N2247" s="10"/>
    </row>
    <row r="2248" spans="7:14" x14ac:dyDescent="0.75">
      <c r="G2248" s="10"/>
      <c r="H2248" s="10"/>
      <c r="I2248" s="39"/>
      <c r="J2248" s="103"/>
      <c r="K2248" s="39"/>
      <c r="L2248" s="78"/>
      <c r="M2248" s="19"/>
      <c r="N2248" s="10"/>
    </row>
    <row r="2249" spans="7:14" x14ac:dyDescent="0.75">
      <c r="G2249" s="10"/>
      <c r="H2249" s="10"/>
      <c r="I2249" s="39"/>
      <c r="J2249" s="103"/>
      <c r="K2249" s="39"/>
      <c r="L2249" s="78"/>
      <c r="M2249" s="19"/>
      <c r="N2249" s="10"/>
    </row>
    <row r="2250" spans="7:14" x14ac:dyDescent="0.75">
      <c r="G2250" s="10"/>
      <c r="H2250" s="10"/>
      <c r="I2250" s="39"/>
      <c r="J2250" s="103"/>
      <c r="K2250" s="39"/>
      <c r="L2250" s="78"/>
      <c r="M2250" s="19"/>
      <c r="N2250" s="10"/>
    </row>
    <row r="2251" spans="7:14" x14ac:dyDescent="0.75">
      <c r="G2251" s="10"/>
      <c r="H2251" s="10"/>
      <c r="I2251" s="39"/>
      <c r="J2251" s="103"/>
      <c r="K2251" s="39"/>
      <c r="L2251" s="78"/>
      <c r="M2251" s="19"/>
      <c r="N2251" s="10"/>
    </row>
    <row r="2252" spans="7:14" x14ac:dyDescent="0.75">
      <c r="G2252" s="10"/>
      <c r="H2252" s="10"/>
      <c r="I2252" s="39"/>
      <c r="J2252" s="103"/>
      <c r="K2252" s="39"/>
      <c r="L2252" s="78"/>
      <c r="M2252" s="19"/>
      <c r="N2252" s="10"/>
    </row>
    <row r="2253" spans="7:14" x14ac:dyDescent="0.75">
      <c r="G2253" s="10"/>
      <c r="H2253" s="10"/>
      <c r="I2253" s="39"/>
      <c r="J2253" s="103"/>
      <c r="K2253" s="39"/>
      <c r="L2253" s="78"/>
      <c r="M2253" s="19"/>
      <c r="N2253" s="10"/>
    </row>
    <row r="2254" spans="7:14" x14ac:dyDescent="0.75">
      <c r="G2254" s="10"/>
      <c r="H2254" s="10"/>
      <c r="I2254" s="39"/>
      <c r="J2254" s="103"/>
      <c r="K2254" s="39"/>
      <c r="L2254" s="78"/>
      <c r="M2254" s="19"/>
      <c r="N2254" s="10"/>
    </row>
    <row r="2255" spans="7:14" x14ac:dyDescent="0.75">
      <c r="G2255" s="10"/>
      <c r="H2255" s="10"/>
      <c r="I2255" s="39"/>
      <c r="J2255" s="103"/>
      <c r="K2255" s="39"/>
      <c r="L2255" s="78"/>
      <c r="M2255" s="19"/>
      <c r="N2255" s="10"/>
    </row>
    <row r="2256" spans="7:14" x14ac:dyDescent="0.75">
      <c r="G2256" s="10"/>
      <c r="H2256" s="10"/>
      <c r="I2256" s="39"/>
      <c r="J2256" s="103"/>
      <c r="K2256" s="39"/>
      <c r="L2256" s="78"/>
      <c r="M2256" s="19"/>
      <c r="N2256" s="10"/>
    </row>
    <row r="2257" spans="7:14" x14ac:dyDescent="0.75">
      <c r="G2257" s="10"/>
      <c r="H2257" s="10"/>
      <c r="I2257" s="39"/>
      <c r="J2257" s="103"/>
      <c r="K2257" s="39"/>
      <c r="L2257" s="78"/>
      <c r="M2257" s="19"/>
      <c r="N2257" s="10"/>
    </row>
    <row r="2258" spans="7:14" x14ac:dyDescent="0.75">
      <c r="G2258" s="10"/>
      <c r="H2258" s="10"/>
      <c r="I2258" s="39"/>
      <c r="J2258" s="103"/>
      <c r="K2258" s="39"/>
      <c r="L2258" s="78"/>
      <c r="M2258" s="19"/>
      <c r="N2258" s="10"/>
    </row>
    <row r="2259" spans="7:14" x14ac:dyDescent="0.75">
      <c r="G2259" s="10"/>
      <c r="H2259" s="10"/>
      <c r="I2259" s="39"/>
      <c r="J2259" s="103"/>
      <c r="K2259" s="39"/>
      <c r="L2259" s="10"/>
      <c r="M2259" s="19"/>
      <c r="N2259" s="10"/>
    </row>
    <row r="2260" spans="7:14" x14ac:dyDescent="0.75">
      <c r="G2260" s="10"/>
      <c r="H2260" s="10"/>
      <c r="I2260" s="39"/>
      <c r="J2260" s="103"/>
      <c r="K2260" s="39"/>
      <c r="L2260" s="78"/>
      <c r="M2260" s="19"/>
      <c r="N2260" s="10"/>
    </row>
    <row r="2261" spans="7:14" x14ac:dyDescent="0.75">
      <c r="G2261" s="10"/>
      <c r="H2261" s="10"/>
      <c r="I2261" s="39"/>
      <c r="J2261" s="103"/>
      <c r="K2261" s="39"/>
      <c r="L2261" s="78"/>
      <c r="M2261" s="19"/>
      <c r="N2261" s="10"/>
    </row>
    <row r="2262" spans="7:14" x14ac:dyDescent="0.75">
      <c r="G2262" s="10"/>
      <c r="H2262" s="10"/>
      <c r="I2262" s="39"/>
      <c r="J2262" s="103"/>
      <c r="K2262" s="39"/>
      <c r="L2262" s="78"/>
      <c r="M2262" s="19"/>
      <c r="N2262" s="10"/>
    </row>
    <row r="2263" spans="7:14" x14ac:dyDescent="0.75">
      <c r="G2263" s="10"/>
      <c r="H2263" s="10"/>
      <c r="I2263" s="39"/>
      <c r="J2263" s="103"/>
      <c r="K2263" s="39"/>
      <c r="L2263" s="78"/>
      <c r="M2263" s="19"/>
      <c r="N2263" s="10"/>
    </row>
    <row r="2264" spans="7:14" x14ac:dyDescent="0.75">
      <c r="G2264" s="10"/>
      <c r="H2264" s="10"/>
      <c r="I2264" s="39"/>
      <c r="J2264" s="103"/>
      <c r="K2264" s="39"/>
      <c r="L2264" s="78"/>
      <c r="M2264" s="19"/>
      <c r="N2264" s="10"/>
    </row>
    <row r="2265" spans="7:14" x14ac:dyDescent="0.75">
      <c r="G2265" s="10"/>
      <c r="H2265" s="10"/>
      <c r="I2265" s="39"/>
      <c r="J2265" s="103"/>
      <c r="K2265" s="39"/>
      <c r="L2265" s="78"/>
      <c r="M2265" s="19"/>
      <c r="N2265" s="10"/>
    </row>
    <row r="2266" spans="7:14" x14ac:dyDescent="0.75">
      <c r="G2266" s="10"/>
      <c r="H2266" s="10"/>
      <c r="I2266" s="39"/>
      <c r="J2266" s="103"/>
      <c r="K2266" s="39"/>
      <c r="L2266" s="10"/>
      <c r="M2266" s="19"/>
      <c r="N2266" s="10"/>
    </row>
    <row r="2267" spans="7:14" x14ac:dyDescent="0.75">
      <c r="G2267" s="10"/>
      <c r="H2267" s="10"/>
      <c r="I2267" s="39"/>
      <c r="J2267" s="103"/>
      <c r="K2267" s="39"/>
      <c r="L2267" s="78"/>
      <c r="M2267" s="19"/>
      <c r="N2267" s="10"/>
    </row>
    <row r="2268" spans="7:14" x14ac:dyDescent="0.75">
      <c r="G2268" s="10"/>
      <c r="H2268" s="10"/>
      <c r="I2268" s="39"/>
      <c r="J2268" s="103"/>
      <c r="K2268" s="39"/>
      <c r="L2268" s="78"/>
      <c r="M2268" s="19"/>
      <c r="N2268" s="10"/>
    </row>
    <row r="2269" spans="7:14" x14ac:dyDescent="0.75">
      <c r="G2269" s="10"/>
      <c r="H2269" s="10"/>
      <c r="I2269" s="39"/>
      <c r="J2269" s="103"/>
      <c r="K2269" s="39"/>
      <c r="L2269" s="78"/>
      <c r="M2269" s="19"/>
      <c r="N2269" s="10"/>
    </row>
    <row r="2270" spans="7:14" x14ac:dyDescent="0.75">
      <c r="G2270" s="10"/>
      <c r="H2270" s="10"/>
      <c r="I2270" s="39"/>
      <c r="J2270" s="103"/>
      <c r="K2270" s="39"/>
      <c r="L2270" s="78"/>
      <c r="M2270" s="19"/>
      <c r="N2270" s="10"/>
    </row>
    <row r="2271" spans="7:14" x14ac:dyDescent="0.75">
      <c r="G2271" s="10"/>
      <c r="H2271" s="10"/>
      <c r="I2271" s="39"/>
      <c r="J2271" s="103"/>
      <c r="K2271" s="39"/>
      <c r="L2271" s="78"/>
      <c r="M2271" s="19"/>
      <c r="N2271" s="10"/>
    </row>
    <row r="2272" spans="7:14" x14ac:dyDescent="0.75">
      <c r="G2272" s="10"/>
      <c r="H2272" s="10"/>
      <c r="I2272" s="39"/>
      <c r="J2272" s="103"/>
      <c r="K2272" s="39"/>
      <c r="L2272" s="78"/>
      <c r="M2272" s="19"/>
      <c r="N2272" s="10"/>
    </row>
    <row r="2273" spans="7:14" x14ac:dyDescent="0.75">
      <c r="G2273" s="10"/>
      <c r="H2273" s="10"/>
      <c r="I2273" s="39"/>
      <c r="J2273" s="103"/>
      <c r="K2273" s="39"/>
      <c r="L2273" s="78"/>
      <c r="M2273" s="19"/>
      <c r="N2273" s="10"/>
    </row>
    <row r="2274" spans="7:14" x14ac:dyDescent="0.75">
      <c r="G2274" s="10"/>
      <c r="H2274" s="10"/>
      <c r="I2274" s="39"/>
      <c r="J2274" s="103"/>
      <c r="K2274" s="39"/>
      <c r="L2274" s="78"/>
      <c r="M2274" s="19"/>
      <c r="N2274" s="10"/>
    </row>
    <row r="2275" spans="7:14" x14ac:dyDescent="0.75">
      <c r="G2275" s="10"/>
      <c r="H2275" s="10"/>
      <c r="I2275" s="39"/>
      <c r="J2275" s="103"/>
      <c r="K2275" s="39"/>
      <c r="L2275" s="10"/>
      <c r="M2275" s="19"/>
      <c r="N2275" s="10"/>
    </row>
    <row r="2276" spans="7:14" x14ac:dyDescent="0.75">
      <c r="G2276" s="10"/>
      <c r="H2276" s="10"/>
      <c r="I2276" s="39"/>
      <c r="J2276" s="103"/>
      <c r="K2276" s="39"/>
      <c r="L2276" s="10"/>
      <c r="M2276" s="19"/>
      <c r="N2276" s="10"/>
    </row>
    <row r="2277" spans="7:14" x14ac:dyDescent="0.75">
      <c r="G2277" s="10"/>
      <c r="H2277" s="10"/>
      <c r="I2277" s="39"/>
      <c r="J2277" s="103"/>
      <c r="K2277" s="39"/>
      <c r="L2277" s="10"/>
      <c r="M2277" s="19"/>
      <c r="N2277" s="10"/>
    </row>
    <row r="2278" spans="7:14" x14ac:dyDescent="0.75">
      <c r="G2278" s="10"/>
      <c r="H2278" s="10"/>
      <c r="I2278" s="39"/>
      <c r="J2278" s="103"/>
      <c r="K2278" s="39"/>
      <c r="L2278" s="78"/>
      <c r="M2278" s="19"/>
      <c r="N2278" s="10"/>
    </row>
    <row r="2279" spans="7:14" x14ac:dyDescent="0.75">
      <c r="G2279" s="10"/>
      <c r="H2279" s="10"/>
      <c r="I2279" s="39"/>
      <c r="J2279" s="103"/>
      <c r="K2279" s="39"/>
      <c r="L2279" s="78"/>
      <c r="M2279" s="19"/>
      <c r="N2279" s="10"/>
    </row>
    <row r="2280" spans="7:14" x14ac:dyDescent="0.75">
      <c r="G2280" s="10"/>
      <c r="H2280" s="10"/>
      <c r="I2280" s="39"/>
      <c r="J2280" s="103"/>
      <c r="K2280" s="39"/>
      <c r="L2280" s="78"/>
      <c r="M2280" s="19"/>
      <c r="N2280" s="10"/>
    </row>
    <row r="2281" spans="7:14" x14ac:dyDescent="0.75">
      <c r="G2281" s="10"/>
      <c r="H2281" s="10"/>
      <c r="I2281" s="39"/>
      <c r="J2281" s="103"/>
      <c r="K2281" s="39"/>
      <c r="L2281" s="78"/>
      <c r="M2281" s="19"/>
      <c r="N2281" s="10"/>
    </row>
    <row r="2282" spans="7:14" x14ac:dyDescent="0.75">
      <c r="G2282" s="10"/>
      <c r="H2282" s="10"/>
      <c r="I2282" s="39"/>
      <c r="J2282" s="103"/>
      <c r="K2282" s="39"/>
      <c r="L2282" s="78"/>
      <c r="M2282" s="19"/>
      <c r="N2282" s="10"/>
    </row>
    <row r="2283" spans="7:14" x14ac:dyDescent="0.75">
      <c r="G2283" s="10"/>
      <c r="H2283" s="10"/>
      <c r="I2283" s="39"/>
      <c r="J2283" s="103"/>
      <c r="K2283" s="39"/>
      <c r="L2283" s="78"/>
      <c r="M2283" s="19"/>
      <c r="N2283" s="10"/>
    </row>
    <row r="2284" spans="7:14" x14ac:dyDescent="0.75">
      <c r="G2284" s="10"/>
      <c r="H2284" s="10"/>
      <c r="I2284" s="39"/>
      <c r="J2284" s="103"/>
      <c r="K2284" s="39"/>
      <c r="L2284" s="78"/>
      <c r="M2284" s="19"/>
      <c r="N2284" s="10"/>
    </row>
    <row r="2285" spans="7:14" x14ac:dyDescent="0.75">
      <c r="G2285" s="10"/>
      <c r="H2285" s="10"/>
      <c r="I2285" s="39"/>
      <c r="J2285" s="103"/>
      <c r="K2285" s="39"/>
      <c r="L2285" s="78"/>
      <c r="M2285" s="19"/>
      <c r="N2285" s="10"/>
    </row>
    <row r="2286" spans="7:14" x14ac:dyDescent="0.75">
      <c r="G2286" s="10"/>
      <c r="H2286" s="10"/>
      <c r="I2286" s="39"/>
      <c r="J2286" s="103"/>
      <c r="K2286" s="39"/>
      <c r="L2286" s="78"/>
      <c r="M2286" s="19"/>
      <c r="N2286" s="10"/>
    </row>
    <row r="2287" spans="7:14" x14ac:dyDescent="0.75">
      <c r="G2287" s="10"/>
      <c r="H2287" s="10"/>
      <c r="I2287" s="39"/>
      <c r="J2287" s="103"/>
      <c r="K2287" s="39"/>
      <c r="L2287" s="78"/>
      <c r="M2287" s="19"/>
      <c r="N2287" s="10"/>
    </row>
    <row r="2288" spans="7:14" x14ac:dyDescent="0.75">
      <c r="G2288" s="10"/>
      <c r="H2288" s="10"/>
      <c r="I2288" s="39"/>
      <c r="J2288" s="103"/>
      <c r="K2288" s="39"/>
      <c r="L2288" s="78"/>
      <c r="M2288" s="19"/>
      <c r="N2288" s="10"/>
    </row>
    <row r="2289" spans="7:14" x14ac:dyDescent="0.75">
      <c r="G2289" s="10"/>
      <c r="H2289" s="10"/>
      <c r="I2289" s="39"/>
      <c r="J2289" s="103"/>
      <c r="K2289" s="39"/>
      <c r="L2289" s="78"/>
      <c r="M2289" s="19"/>
      <c r="N2289" s="10"/>
    </row>
    <row r="2290" spans="7:14" x14ac:dyDescent="0.75">
      <c r="G2290" s="10"/>
      <c r="H2290" s="10"/>
      <c r="I2290" s="39"/>
      <c r="J2290" s="103"/>
      <c r="K2290" s="39"/>
      <c r="L2290" s="78"/>
      <c r="M2290" s="19"/>
      <c r="N2290" s="10"/>
    </row>
    <row r="2291" spans="7:14" x14ac:dyDescent="0.75">
      <c r="G2291" s="10"/>
      <c r="H2291" s="10"/>
      <c r="I2291" s="39"/>
      <c r="J2291" s="103"/>
      <c r="K2291" s="39"/>
      <c r="L2291" s="78"/>
      <c r="M2291" s="19"/>
      <c r="N2291" s="10"/>
    </row>
    <row r="2292" spans="7:14" x14ac:dyDescent="0.75">
      <c r="G2292" s="10"/>
      <c r="H2292" s="10"/>
      <c r="I2292" s="39"/>
      <c r="J2292" s="103"/>
      <c r="K2292" s="39"/>
      <c r="L2292" s="78"/>
      <c r="M2292" s="19"/>
      <c r="N2292" s="10"/>
    </row>
    <row r="2293" spans="7:14" x14ac:dyDescent="0.75">
      <c r="G2293" s="10"/>
      <c r="H2293" s="10"/>
      <c r="I2293" s="39"/>
      <c r="J2293" s="103"/>
      <c r="K2293" s="39"/>
      <c r="L2293" s="78"/>
      <c r="M2293" s="19"/>
      <c r="N2293" s="10"/>
    </row>
    <row r="2294" spans="7:14" x14ac:dyDescent="0.75">
      <c r="G2294" s="10"/>
      <c r="H2294" s="10"/>
      <c r="I2294" s="39"/>
      <c r="J2294" s="103"/>
      <c r="K2294" s="39"/>
      <c r="L2294" s="78"/>
      <c r="M2294" s="19"/>
      <c r="N2294" s="10"/>
    </row>
    <row r="2295" spans="7:14" x14ac:dyDescent="0.75">
      <c r="G2295" s="10"/>
      <c r="H2295" s="10"/>
      <c r="I2295" s="39"/>
      <c r="J2295" s="103"/>
      <c r="K2295" s="39"/>
      <c r="L2295" s="78"/>
      <c r="M2295" s="19"/>
      <c r="N2295" s="10"/>
    </row>
    <row r="2296" spans="7:14" x14ac:dyDescent="0.75">
      <c r="G2296" s="10"/>
      <c r="H2296" s="10"/>
      <c r="I2296" s="39"/>
      <c r="J2296" s="103"/>
      <c r="K2296" s="39"/>
      <c r="L2296" s="78"/>
      <c r="M2296" s="19"/>
      <c r="N2296" s="10"/>
    </row>
    <row r="2297" spans="7:14" x14ac:dyDescent="0.75">
      <c r="G2297" s="10"/>
      <c r="H2297" s="10"/>
      <c r="I2297" s="39"/>
      <c r="J2297" s="103"/>
      <c r="K2297" s="39"/>
      <c r="L2297" s="78"/>
      <c r="M2297" s="19"/>
      <c r="N2297" s="10"/>
    </row>
    <row r="2298" spans="7:14" x14ac:dyDescent="0.75">
      <c r="G2298" s="10"/>
      <c r="H2298" s="10"/>
      <c r="I2298" s="39"/>
      <c r="J2298" s="103"/>
      <c r="K2298" s="39"/>
      <c r="L2298" s="78"/>
      <c r="M2298" s="19"/>
      <c r="N2298" s="10"/>
    </row>
    <row r="2299" spans="7:14" x14ac:dyDescent="0.75">
      <c r="G2299" s="10"/>
      <c r="H2299" s="10"/>
      <c r="I2299" s="39"/>
      <c r="J2299" s="103"/>
      <c r="K2299" s="39"/>
      <c r="L2299" s="78"/>
      <c r="M2299" s="19"/>
      <c r="N2299" s="10"/>
    </row>
    <row r="2300" spans="7:14" x14ac:dyDescent="0.75">
      <c r="G2300" s="10"/>
      <c r="H2300" s="10"/>
      <c r="I2300" s="39"/>
      <c r="J2300" s="103"/>
      <c r="K2300" s="39"/>
      <c r="L2300" s="78"/>
      <c r="M2300" s="19"/>
      <c r="N2300" s="10"/>
    </row>
    <row r="2301" spans="7:14" x14ac:dyDescent="0.75">
      <c r="G2301" s="10"/>
      <c r="H2301" s="10"/>
      <c r="I2301" s="39"/>
      <c r="J2301" s="103"/>
      <c r="K2301" s="39"/>
      <c r="L2301" s="78"/>
      <c r="M2301" s="19"/>
      <c r="N2301" s="10"/>
    </row>
    <row r="2302" spans="7:14" x14ac:dyDescent="0.75">
      <c r="G2302" s="10"/>
      <c r="H2302" s="10"/>
      <c r="I2302" s="39"/>
      <c r="J2302" s="103"/>
      <c r="K2302" s="39"/>
      <c r="L2302" s="78"/>
      <c r="M2302" s="19"/>
      <c r="N2302" s="10"/>
    </row>
    <row r="2303" spans="7:14" x14ac:dyDescent="0.75">
      <c r="G2303" s="10"/>
      <c r="H2303" s="10"/>
      <c r="I2303" s="39"/>
      <c r="J2303" s="103"/>
      <c r="K2303" s="39"/>
      <c r="L2303" s="78"/>
      <c r="M2303" s="19"/>
      <c r="N2303" s="10"/>
    </row>
    <row r="2304" spans="7:14" x14ac:dyDescent="0.75">
      <c r="G2304" s="10"/>
      <c r="H2304" s="10"/>
      <c r="I2304" s="39"/>
      <c r="J2304" s="103"/>
      <c r="K2304" s="39"/>
      <c r="L2304" s="78"/>
      <c r="M2304" s="19"/>
      <c r="N2304" s="10"/>
    </row>
    <row r="2305" spans="7:14" x14ac:dyDescent="0.75">
      <c r="G2305" s="10"/>
      <c r="H2305" s="10"/>
      <c r="I2305" s="39"/>
      <c r="J2305" s="103"/>
      <c r="K2305" s="39"/>
      <c r="L2305" s="78"/>
      <c r="M2305" s="19"/>
      <c r="N2305" s="10"/>
    </row>
    <row r="2306" spans="7:14" x14ac:dyDescent="0.75">
      <c r="G2306" s="10"/>
      <c r="H2306" s="10"/>
      <c r="I2306" s="39"/>
      <c r="J2306" s="103"/>
      <c r="K2306" s="39"/>
      <c r="L2306" s="78"/>
      <c r="M2306" s="19"/>
      <c r="N2306" s="10"/>
    </row>
    <row r="2307" spans="7:14" x14ac:dyDescent="0.75">
      <c r="G2307" s="10"/>
      <c r="H2307" s="10"/>
      <c r="I2307" s="39"/>
      <c r="J2307" s="103"/>
      <c r="K2307" s="39"/>
      <c r="L2307" s="10"/>
      <c r="M2307" s="19"/>
      <c r="N2307" s="10"/>
    </row>
    <row r="2308" spans="7:14" x14ac:dyDescent="0.75">
      <c r="G2308" s="10"/>
      <c r="H2308" s="10"/>
      <c r="I2308" s="39"/>
      <c r="J2308" s="103"/>
      <c r="K2308" s="39"/>
      <c r="L2308" s="78"/>
      <c r="M2308" s="19"/>
      <c r="N2308" s="10"/>
    </row>
    <row r="2309" spans="7:14" x14ac:dyDescent="0.75">
      <c r="G2309" s="10"/>
      <c r="H2309" s="10"/>
      <c r="I2309" s="39"/>
      <c r="J2309" s="103"/>
      <c r="K2309" s="39"/>
      <c r="L2309" s="78"/>
      <c r="M2309" s="19"/>
      <c r="N2309" s="10"/>
    </row>
    <row r="2310" spans="7:14" x14ac:dyDescent="0.75">
      <c r="G2310" s="10"/>
      <c r="H2310" s="10"/>
      <c r="I2310" s="39"/>
      <c r="J2310" s="103"/>
      <c r="K2310" s="39"/>
      <c r="L2310" s="10"/>
      <c r="M2310" s="19"/>
      <c r="N2310" s="10"/>
    </row>
    <row r="2311" spans="7:14" x14ac:dyDescent="0.75">
      <c r="G2311" s="10"/>
      <c r="H2311" s="10"/>
      <c r="I2311" s="39"/>
      <c r="J2311" s="103"/>
      <c r="K2311" s="39"/>
      <c r="L2311" s="10"/>
      <c r="M2311" s="19"/>
      <c r="N2311" s="10"/>
    </row>
    <row r="2312" spans="7:14" x14ac:dyDescent="0.75">
      <c r="G2312" s="10"/>
      <c r="H2312" s="10"/>
      <c r="I2312" s="39"/>
      <c r="J2312" s="103"/>
      <c r="K2312" s="39"/>
      <c r="L2312" s="10"/>
      <c r="M2312" s="19"/>
      <c r="N2312" s="10"/>
    </row>
    <row r="2313" spans="7:14" x14ac:dyDescent="0.75">
      <c r="G2313" s="10"/>
      <c r="H2313" s="10"/>
      <c r="I2313" s="39"/>
      <c r="J2313" s="103"/>
      <c r="K2313" s="39"/>
      <c r="L2313" s="78"/>
      <c r="M2313" s="19"/>
      <c r="N2313" s="10"/>
    </row>
    <row r="2314" spans="7:14" x14ac:dyDescent="0.75">
      <c r="G2314" s="10"/>
      <c r="H2314" s="10"/>
      <c r="I2314" s="39"/>
      <c r="J2314" s="103"/>
      <c r="K2314" s="39"/>
      <c r="L2314" s="78"/>
      <c r="M2314" s="19"/>
      <c r="N2314" s="10"/>
    </row>
    <row r="2315" spans="7:14" x14ac:dyDescent="0.75">
      <c r="G2315" s="10"/>
      <c r="H2315" s="10"/>
      <c r="I2315" s="39"/>
      <c r="J2315" s="103"/>
      <c r="K2315" s="39"/>
      <c r="L2315" s="78"/>
      <c r="M2315" s="19"/>
      <c r="N2315" s="10"/>
    </row>
    <row r="2316" spans="7:14" x14ac:dyDescent="0.75">
      <c r="G2316" s="10"/>
      <c r="H2316" s="10"/>
      <c r="I2316" s="39"/>
      <c r="J2316" s="103"/>
      <c r="K2316" s="39"/>
      <c r="L2316" s="78"/>
      <c r="M2316" s="19"/>
      <c r="N2316" s="10"/>
    </row>
    <row r="2317" spans="7:14" x14ac:dyDescent="0.75">
      <c r="G2317" s="10"/>
      <c r="H2317" s="10"/>
      <c r="I2317" s="39"/>
      <c r="J2317" s="103"/>
      <c r="K2317" s="39"/>
      <c r="L2317" s="78"/>
      <c r="M2317" s="19"/>
      <c r="N2317" s="10"/>
    </row>
    <row r="2318" spans="7:14" x14ac:dyDescent="0.75">
      <c r="G2318" s="10"/>
      <c r="H2318" s="10"/>
      <c r="I2318" s="39"/>
      <c r="J2318" s="103"/>
      <c r="K2318" s="39"/>
      <c r="L2318" s="78"/>
      <c r="M2318" s="19"/>
      <c r="N2318" s="10"/>
    </row>
    <row r="2319" spans="7:14" x14ac:dyDescent="0.75">
      <c r="G2319" s="10"/>
      <c r="H2319" s="10"/>
      <c r="I2319" s="39"/>
      <c r="J2319" s="103"/>
      <c r="K2319" s="39"/>
      <c r="L2319" s="78"/>
      <c r="M2319" s="19"/>
      <c r="N2319" s="10"/>
    </row>
    <row r="2320" spans="7:14" x14ac:dyDescent="0.75">
      <c r="G2320" s="10"/>
      <c r="H2320" s="10"/>
      <c r="I2320" s="39"/>
      <c r="J2320" s="103"/>
      <c r="K2320" s="39"/>
      <c r="L2320" s="78"/>
      <c r="M2320" s="19"/>
      <c r="N2320" s="10"/>
    </row>
    <row r="2321" spans="7:14" x14ac:dyDescent="0.75">
      <c r="G2321" s="10"/>
      <c r="H2321" s="10"/>
      <c r="I2321" s="39"/>
      <c r="J2321" s="103"/>
      <c r="K2321" s="39"/>
      <c r="L2321" s="10"/>
      <c r="M2321" s="19"/>
      <c r="N2321" s="10"/>
    </row>
    <row r="2322" spans="7:14" x14ac:dyDescent="0.75">
      <c r="G2322" s="10"/>
      <c r="H2322" s="10"/>
      <c r="I2322" s="39"/>
      <c r="J2322" s="103"/>
      <c r="K2322" s="39"/>
      <c r="L2322" s="78"/>
      <c r="M2322" s="19"/>
      <c r="N2322" s="10"/>
    </row>
    <row r="2323" spans="7:14" x14ac:dyDescent="0.75">
      <c r="G2323" s="10"/>
      <c r="H2323" s="10"/>
      <c r="I2323" s="39"/>
      <c r="J2323" s="103"/>
      <c r="K2323" s="39"/>
      <c r="L2323" s="78"/>
      <c r="M2323" s="19"/>
      <c r="N2323" s="10"/>
    </row>
    <row r="2324" spans="7:14" x14ac:dyDescent="0.75">
      <c r="G2324" s="10"/>
      <c r="H2324" s="10"/>
      <c r="I2324" s="39"/>
      <c r="J2324" s="103"/>
      <c r="K2324" s="39"/>
      <c r="L2324" s="78"/>
      <c r="M2324" s="19"/>
      <c r="N2324" s="10"/>
    </row>
    <row r="2325" spans="7:14" x14ac:dyDescent="0.75">
      <c r="G2325" s="10"/>
      <c r="H2325" s="10"/>
      <c r="I2325" s="39"/>
      <c r="J2325" s="103"/>
      <c r="K2325" s="39"/>
      <c r="L2325" s="78"/>
      <c r="M2325" s="19"/>
      <c r="N2325" s="10"/>
    </row>
    <row r="2326" spans="7:14" x14ac:dyDescent="0.75">
      <c r="G2326" s="10"/>
      <c r="H2326" s="10"/>
      <c r="I2326" s="39"/>
      <c r="J2326" s="103"/>
      <c r="K2326" s="39"/>
      <c r="L2326" s="78"/>
      <c r="M2326" s="19"/>
      <c r="N2326" s="10"/>
    </row>
    <row r="2327" spans="7:14" x14ac:dyDescent="0.75">
      <c r="G2327" s="10"/>
      <c r="H2327" s="10"/>
      <c r="I2327" s="39"/>
      <c r="J2327" s="103"/>
      <c r="K2327" s="39"/>
      <c r="L2327" s="78"/>
      <c r="M2327" s="19"/>
      <c r="N2327" s="10"/>
    </row>
    <row r="2328" spans="7:14" x14ac:dyDescent="0.75">
      <c r="G2328" s="10"/>
      <c r="H2328" s="10"/>
      <c r="I2328" s="39"/>
      <c r="J2328" s="103"/>
      <c r="K2328" s="39"/>
      <c r="L2328" s="78"/>
      <c r="M2328" s="19"/>
      <c r="N2328" s="10"/>
    </row>
    <row r="2329" spans="7:14" x14ac:dyDescent="0.75">
      <c r="G2329" s="10"/>
      <c r="H2329" s="10"/>
      <c r="I2329" s="39"/>
      <c r="J2329" s="103"/>
      <c r="K2329" s="39"/>
      <c r="L2329" s="78"/>
      <c r="M2329" s="19"/>
      <c r="N2329" s="10"/>
    </row>
    <row r="2330" spans="7:14" x14ac:dyDescent="0.75">
      <c r="G2330" s="10"/>
      <c r="H2330" s="10"/>
      <c r="I2330" s="39"/>
      <c r="J2330" s="103"/>
      <c r="K2330" s="39"/>
      <c r="L2330" s="78"/>
      <c r="M2330" s="19"/>
      <c r="N2330" s="10"/>
    </row>
    <row r="2331" spans="7:14" x14ac:dyDescent="0.75">
      <c r="G2331" s="10"/>
      <c r="H2331" s="10"/>
      <c r="I2331" s="39"/>
      <c r="J2331" s="103"/>
      <c r="K2331" s="39"/>
      <c r="L2331" s="78"/>
      <c r="M2331" s="19"/>
      <c r="N2331" s="10"/>
    </row>
    <row r="2332" spans="7:14" x14ac:dyDescent="0.75">
      <c r="G2332" s="10"/>
      <c r="H2332" s="10"/>
      <c r="I2332" s="39"/>
      <c r="J2332" s="103"/>
      <c r="K2332" s="39"/>
      <c r="L2332" s="78"/>
      <c r="M2332" s="19"/>
      <c r="N2332" s="10"/>
    </row>
    <row r="2333" spans="7:14" x14ac:dyDescent="0.75">
      <c r="G2333" s="10"/>
      <c r="H2333" s="10"/>
      <c r="I2333" s="39"/>
      <c r="J2333" s="103"/>
      <c r="K2333" s="39"/>
      <c r="L2333" s="78"/>
      <c r="M2333" s="19"/>
      <c r="N2333" s="10"/>
    </row>
    <row r="2334" spans="7:14" x14ac:dyDescent="0.75">
      <c r="G2334" s="10"/>
      <c r="H2334" s="10"/>
      <c r="I2334" s="39"/>
      <c r="J2334" s="103"/>
      <c r="K2334" s="39"/>
      <c r="L2334" s="78"/>
      <c r="M2334" s="19"/>
      <c r="N2334" s="10"/>
    </row>
    <row r="2335" spans="7:14" x14ac:dyDescent="0.75">
      <c r="G2335" s="10"/>
      <c r="H2335" s="10"/>
      <c r="I2335" s="39"/>
      <c r="J2335" s="103"/>
      <c r="K2335" s="39"/>
      <c r="L2335" s="78"/>
      <c r="M2335" s="19"/>
      <c r="N2335" s="10"/>
    </row>
    <row r="2336" spans="7:14" x14ac:dyDescent="0.75">
      <c r="G2336" s="10"/>
      <c r="H2336" s="10"/>
      <c r="I2336" s="39"/>
      <c r="J2336" s="103"/>
      <c r="K2336" s="39"/>
      <c r="L2336" s="10"/>
      <c r="M2336" s="19"/>
      <c r="N2336" s="10"/>
    </row>
    <row r="2337" spans="7:14" x14ac:dyDescent="0.75">
      <c r="G2337" s="10"/>
      <c r="H2337" s="10"/>
      <c r="I2337" s="39"/>
      <c r="J2337" s="103"/>
      <c r="K2337" s="39"/>
      <c r="L2337" s="78"/>
      <c r="M2337" s="19"/>
      <c r="N2337" s="10"/>
    </row>
    <row r="2338" spans="7:14" x14ac:dyDescent="0.75">
      <c r="G2338" s="10"/>
      <c r="H2338" s="10"/>
      <c r="I2338" s="39"/>
      <c r="J2338" s="103"/>
      <c r="K2338" s="39"/>
      <c r="L2338" s="78"/>
      <c r="M2338" s="19"/>
      <c r="N2338" s="10"/>
    </row>
    <row r="2339" spans="7:14" x14ac:dyDescent="0.75">
      <c r="G2339" s="10"/>
      <c r="H2339" s="10"/>
      <c r="I2339" s="39"/>
      <c r="J2339" s="103"/>
      <c r="K2339" s="39"/>
      <c r="L2339" s="78"/>
      <c r="M2339" s="19"/>
      <c r="N2339" s="10"/>
    </row>
    <row r="2340" spans="7:14" x14ac:dyDescent="0.75">
      <c r="G2340" s="10"/>
      <c r="H2340" s="10"/>
      <c r="I2340" s="39"/>
      <c r="J2340" s="103"/>
      <c r="K2340" s="39"/>
      <c r="L2340" s="78"/>
      <c r="M2340" s="19"/>
      <c r="N2340" s="10"/>
    </row>
    <row r="2341" spans="7:14" x14ac:dyDescent="0.75">
      <c r="G2341" s="10"/>
      <c r="H2341" s="10"/>
      <c r="I2341" s="39"/>
      <c r="J2341" s="103"/>
      <c r="K2341" s="39"/>
      <c r="L2341" s="78"/>
      <c r="M2341" s="19"/>
      <c r="N2341" s="10"/>
    </row>
    <row r="2342" spans="7:14" x14ac:dyDescent="0.75">
      <c r="G2342" s="10"/>
      <c r="H2342" s="10"/>
      <c r="I2342" s="39"/>
      <c r="J2342" s="103"/>
      <c r="K2342" s="39"/>
      <c r="L2342" s="78"/>
      <c r="M2342" s="19"/>
      <c r="N2342" s="10"/>
    </row>
    <row r="2343" spans="7:14" x14ac:dyDescent="0.75">
      <c r="G2343" s="10"/>
      <c r="H2343" s="10"/>
      <c r="I2343" s="39"/>
      <c r="J2343" s="103"/>
      <c r="K2343" s="39"/>
      <c r="L2343" s="78"/>
      <c r="M2343" s="19"/>
      <c r="N2343" s="10"/>
    </row>
    <row r="2344" spans="7:14" x14ac:dyDescent="0.75">
      <c r="G2344" s="10"/>
      <c r="H2344" s="10"/>
      <c r="I2344" s="39"/>
      <c r="J2344" s="103"/>
      <c r="K2344" s="39"/>
      <c r="L2344" s="78"/>
      <c r="M2344" s="19"/>
      <c r="N2344" s="10"/>
    </row>
    <row r="2345" spans="7:14" x14ac:dyDescent="0.75">
      <c r="G2345" s="10"/>
      <c r="H2345" s="10"/>
      <c r="I2345" s="39"/>
      <c r="J2345" s="103"/>
      <c r="K2345" s="39"/>
      <c r="L2345" s="78"/>
      <c r="M2345" s="19"/>
      <c r="N2345" s="10"/>
    </row>
    <row r="2346" spans="7:14" x14ac:dyDescent="0.75">
      <c r="G2346" s="10"/>
      <c r="H2346" s="10"/>
      <c r="I2346" s="39"/>
      <c r="J2346" s="103"/>
      <c r="K2346" s="39"/>
      <c r="L2346" s="78"/>
      <c r="M2346" s="19"/>
      <c r="N2346" s="10"/>
    </row>
    <row r="2347" spans="7:14" x14ac:dyDescent="0.75">
      <c r="G2347" s="10"/>
      <c r="H2347" s="10"/>
      <c r="I2347" s="39"/>
      <c r="J2347" s="103"/>
      <c r="K2347" s="39"/>
      <c r="L2347" s="78"/>
      <c r="M2347" s="19"/>
      <c r="N2347" s="10"/>
    </row>
    <row r="2348" spans="7:14" x14ac:dyDescent="0.75">
      <c r="G2348" s="10"/>
      <c r="H2348" s="10"/>
      <c r="I2348" s="39"/>
      <c r="J2348" s="103"/>
      <c r="K2348" s="39"/>
      <c r="L2348" s="78"/>
      <c r="M2348" s="19"/>
      <c r="N2348" s="10"/>
    </row>
    <row r="2349" spans="7:14" x14ac:dyDescent="0.75">
      <c r="G2349" s="10"/>
      <c r="H2349" s="10"/>
      <c r="I2349" s="39"/>
      <c r="J2349" s="103"/>
      <c r="K2349" s="39"/>
      <c r="L2349" s="78"/>
      <c r="M2349" s="19"/>
      <c r="N2349" s="10"/>
    </row>
    <row r="2350" spans="7:14" x14ac:dyDescent="0.75">
      <c r="G2350" s="10"/>
      <c r="H2350" s="10"/>
      <c r="I2350" s="39"/>
      <c r="J2350" s="103"/>
      <c r="K2350" s="39"/>
      <c r="L2350" s="10"/>
      <c r="M2350" s="19"/>
      <c r="N2350" s="10"/>
    </row>
    <row r="2351" spans="7:14" x14ac:dyDescent="0.75">
      <c r="G2351" s="10"/>
      <c r="H2351" s="10"/>
      <c r="I2351" s="39"/>
      <c r="J2351" s="103"/>
      <c r="K2351" s="39"/>
      <c r="L2351" s="78"/>
      <c r="M2351" s="19"/>
      <c r="N2351" s="10"/>
    </row>
    <row r="2352" spans="7:14" x14ac:dyDescent="0.75">
      <c r="G2352" s="10"/>
      <c r="H2352" s="10"/>
      <c r="I2352" s="39"/>
      <c r="J2352" s="103"/>
      <c r="K2352" s="39"/>
      <c r="L2352" s="78"/>
      <c r="M2352" s="19"/>
      <c r="N2352" s="10"/>
    </row>
    <row r="2353" spans="7:14" x14ac:dyDescent="0.75">
      <c r="G2353" s="10"/>
      <c r="H2353" s="10"/>
      <c r="I2353" s="39"/>
      <c r="J2353" s="103"/>
      <c r="K2353" s="39"/>
      <c r="L2353" s="78"/>
      <c r="M2353" s="19"/>
      <c r="N2353" s="10"/>
    </row>
    <row r="2354" spans="7:14" x14ac:dyDescent="0.75">
      <c r="G2354" s="10"/>
      <c r="H2354" s="10"/>
      <c r="I2354" s="39"/>
      <c r="J2354" s="103"/>
      <c r="K2354" s="39"/>
      <c r="L2354" s="78"/>
      <c r="M2354" s="19"/>
      <c r="N2354" s="10"/>
    </row>
    <row r="2355" spans="7:14" x14ac:dyDescent="0.75">
      <c r="G2355" s="10"/>
      <c r="H2355" s="10"/>
      <c r="I2355" s="39"/>
      <c r="J2355" s="103"/>
      <c r="K2355" s="39"/>
      <c r="L2355" s="78"/>
      <c r="M2355" s="19"/>
      <c r="N2355" s="10"/>
    </row>
    <row r="2356" spans="7:14" x14ac:dyDescent="0.75">
      <c r="G2356" s="10"/>
      <c r="H2356" s="10"/>
      <c r="I2356" s="39"/>
      <c r="J2356" s="103"/>
      <c r="K2356" s="39"/>
      <c r="L2356" s="78"/>
      <c r="M2356" s="19"/>
      <c r="N2356" s="10"/>
    </row>
    <row r="2357" spans="7:14" x14ac:dyDescent="0.75">
      <c r="G2357" s="10"/>
      <c r="H2357" s="10"/>
      <c r="I2357" s="39"/>
      <c r="J2357" s="103"/>
      <c r="K2357" s="39"/>
      <c r="L2357" s="78"/>
      <c r="M2357" s="19"/>
      <c r="N2357" s="10"/>
    </row>
    <row r="2358" spans="7:14" x14ac:dyDescent="0.75">
      <c r="G2358" s="10"/>
      <c r="H2358" s="10"/>
      <c r="I2358" s="39"/>
      <c r="J2358" s="103"/>
      <c r="K2358" s="39"/>
      <c r="L2358" s="78"/>
      <c r="M2358" s="19"/>
      <c r="N2358" s="10"/>
    </row>
    <row r="2359" spans="7:14" x14ac:dyDescent="0.75">
      <c r="G2359" s="10"/>
      <c r="H2359" s="10"/>
      <c r="I2359" s="39"/>
      <c r="J2359" s="103"/>
      <c r="K2359" s="39"/>
      <c r="L2359" s="78"/>
      <c r="M2359" s="19"/>
      <c r="N2359" s="10"/>
    </row>
    <row r="2360" spans="7:14" x14ac:dyDescent="0.75">
      <c r="G2360" s="10"/>
      <c r="H2360" s="10"/>
      <c r="I2360" s="39"/>
      <c r="J2360" s="103"/>
      <c r="K2360" s="39"/>
      <c r="L2360" s="78"/>
      <c r="M2360" s="19"/>
      <c r="N2360" s="10"/>
    </row>
    <row r="2361" spans="7:14" x14ac:dyDescent="0.75">
      <c r="G2361" s="10"/>
      <c r="H2361" s="10"/>
      <c r="I2361" s="39"/>
      <c r="J2361" s="103"/>
      <c r="K2361" s="39"/>
      <c r="L2361" s="78"/>
      <c r="M2361" s="19"/>
      <c r="N2361" s="10"/>
    </row>
    <row r="2362" spans="7:14" x14ac:dyDescent="0.75">
      <c r="G2362" s="10"/>
      <c r="H2362" s="10"/>
      <c r="I2362" s="39"/>
      <c r="J2362" s="103"/>
      <c r="K2362" s="39"/>
      <c r="L2362" s="78"/>
      <c r="M2362" s="19"/>
      <c r="N2362" s="10"/>
    </row>
    <row r="2363" spans="7:14" x14ac:dyDescent="0.75">
      <c r="G2363" s="10"/>
      <c r="H2363" s="10"/>
      <c r="I2363" s="39"/>
      <c r="J2363" s="103"/>
      <c r="K2363" s="39"/>
      <c r="L2363" s="78"/>
      <c r="M2363" s="19"/>
      <c r="N2363" s="10"/>
    </row>
    <row r="2364" spans="7:14" x14ac:dyDescent="0.75">
      <c r="G2364" s="10"/>
      <c r="H2364" s="10"/>
      <c r="I2364" s="39"/>
      <c r="J2364" s="103"/>
      <c r="K2364" s="39"/>
      <c r="L2364" s="78"/>
      <c r="M2364" s="19"/>
      <c r="N2364" s="10"/>
    </row>
    <row r="2365" spans="7:14" x14ac:dyDescent="0.75">
      <c r="G2365" s="10"/>
      <c r="H2365" s="10"/>
      <c r="I2365" s="39"/>
      <c r="J2365" s="103"/>
      <c r="K2365" s="39"/>
      <c r="L2365" s="78"/>
      <c r="M2365" s="19"/>
      <c r="N2365" s="10"/>
    </row>
    <row r="2366" spans="7:14" x14ac:dyDescent="0.75">
      <c r="G2366" s="10"/>
      <c r="H2366" s="10"/>
      <c r="I2366" s="39"/>
      <c r="J2366" s="103"/>
      <c r="K2366" s="39"/>
      <c r="L2366" s="78"/>
      <c r="M2366" s="19"/>
      <c r="N2366" s="10"/>
    </row>
    <row r="2367" spans="7:14" x14ac:dyDescent="0.75">
      <c r="G2367" s="10"/>
      <c r="H2367" s="10"/>
      <c r="I2367" s="39"/>
      <c r="J2367" s="103"/>
      <c r="K2367" s="39"/>
      <c r="L2367" s="78"/>
      <c r="M2367" s="19"/>
      <c r="N2367" s="10"/>
    </row>
    <row r="2368" spans="7:14" x14ac:dyDescent="0.75">
      <c r="G2368" s="10"/>
      <c r="H2368" s="10"/>
      <c r="I2368" s="39"/>
      <c r="J2368" s="103"/>
      <c r="K2368" s="39"/>
      <c r="L2368" s="78"/>
      <c r="M2368" s="19"/>
      <c r="N2368" s="10"/>
    </row>
    <row r="2369" spans="7:14" x14ac:dyDescent="0.75">
      <c r="G2369" s="10"/>
      <c r="H2369" s="10"/>
      <c r="I2369" s="39"/>
      <c r="J2369" s="103"/>
      <c r="K2369" s="39"/>
      <c r="L2369" s="78"/>
      <c r="M2369" s="19"/>
      <c r="N2369" s="10"/>
    </row>
    <row r="2370" spans="7:14" x14ac:dyDescent="0.75">
      <c r="G2370" s="10"/>
      <c r="H2370" s="10"/>
      <c r="I2370" s="39"/>
      <c r="J2370" s="103"/>
      <c r="K2370" s="39"/>
      <c r="L2370" s="78"/>
      <c r="M2370" s="19"/>
      <c r="N2370" s="10"/>
    </row>
    <row r="2371" spans="7:14" x14ac:dyDescent="0.75">
      <c r="G2371" s="10"/>
      <c r="H2371" s="10"/>
      <c r="I2371" s="39"/>
      <c r="J2371" s="103"/>
      <c r="K2371" s="39"/>
      <c r="L2371" s="10"/>
      <c r="M2371" s="19"/>
      <c r="N2371" s="10"/>
    </row>
    <row r="2372" spans="7:14" x14ac:dyDescent="0.75">
      <c r="G2372" s="10"/>
      <c r="H2372" s="10"/>
      <c r="I2372" s="39"/>
      <c r="J2372" s="103"/>
      <c r="K2372" s="39"/>
      <c r="L2372" s="78"/>
      <c r="M2372" s="19"/>
      <c r="N2372" s="10"/>
    </row>
    <row r="2373" spans="7:14" x14ac:dyDescent="0.75">
      <c r="G2373" s="10"/>
      <c r="H2373" s="10"/>
      <c r="I2373" s="39"/>
      <c r="J2373" s="103"/>
      <c r="K2373" s="39"/>
      <c r="L2373" s="78"/>
      <c r="M2373" s="19"/>
      <c r="N2373" s="10"/>
    </row>
    <row r="2374" spans="7:14" x14ac:dyDescent="0.75">
      <c r="G2374" s="10"/>
      <c r="H2374" s="10"/>
      <c r="I2374" s="39"/>
      <c r="J2374" s="103"/>
      <c r="K2374" s="39"/>
      <c r="L2374" s="78"/>
      <c r="M2374" s="19"/>
      <c r="N2374" s="10"/>
    </row>
    <row r="2375" spans="7:14" x14ac:dyDescent="0.75">
      <c r="G2375" s="10"/>
      <c r="H2375" s="10"/>
      <c r="I2375" s="39"/>
      <c r="J2375" s="103"/>
      <c r="K2375" s="39"/>
      <c r="L2375" s="78"/>
      <c r="M2375" s="19"/>
      <c r="N2375" s="10"/>
    </row>
    <row r="2376" spans="7:14" x14ac:dyDescent="0.75">
      <c r="G2376" s="10"/>
      <c r="H2376" s="10"/>
      <c r="I2376" s="39"/>
      <c r="J2376" s="103"/>
      <c r="K2376" s="39"/>
      <c r="L2376" s="78"/>
      <c r="M2376" s="19"/>
      <c r="N2376" s="10"/>
    </row>
    <row r="2377" spans="7:14" x14ac:dyDescent="0.75">
      <c r="G2377" s="10"/>
      <c r="H2377" s="10"/>
      <c r="I2377" s="39"/>
      <c r="J2377" s="103"/>
      <c r="K2377" s="39"/>
      <c r="L2377" s="78"/>
      <c r="M2377" s="19"/>
      <c r="N2377" s="10"/>
    </row>
    <row r="2378" spans="7:14" x14ac:dyDescent="0.75">
      <c r="G2378" s="10"/>
      <c r="H2378" s="10"/>
      <c r="I2378" s="39"/>
      <c r="J2378" s="103"/>
      <c r="K2378" s="39"/>
      <c r="L2378" s="78"/>
      <c r="M2378" s="19"/>
      <c r="N2378" s="10"/>
    </row>
    <row r="2379" spans="7:14" x14ac:dyDescent="0.75">
      <c r="G2379" s="10"/>
      <c r="H2379" s="10"/>
      <c r="I2379" s="39"/>
      <c r="J2379" s="103"/>
      <c r="K2379" s="39"/>
      <c r="L2379" s="78"/>
      <c r="M2379" s="19"/>
      <c r="N2379" s="10"/>
    </row>
    <row r="2380" spans="7:14" x14ac:dyDescent="0.75">
      <c r="G2380" s="10"/>
      <c r="H2380" s="10"/>
      <c r="I2380" s="39"/>
      <c r="J2380" s="103"/>
      <c r="K2380" s="39"/>
      <c r="L2380" s="78"/>
      <c r="M2380" s="19"/>
      <c r="N2380" s="10"/>
    </row>
    <row r="2381" spans="7:14" x14ac:dyDescent="0.75">
      <c r="G2381" s="10"/>
      <c r="H2381" s="10"/>
      <c r="I2381" s="39"/>
      <c r="J2381" s="103"/>
      <c r="K2381" s="39"/>
      <c r="L2381" s="78"/>
      <c r="M2381" s="19"/>
      <c r="N2381" s="10"/>
    </row>
    <row r="2382" spans="7:14" x14ac:dyDescent="0.75">
      <c r="G2382" s="10"/>
      <c r="H2382" s="10"/>
      <c r="I2382" s="39"/>
      <c r="J2382" s="103"/>
      <c r="K2382" s="39"/>
      <c r="L2382" s="78"/>
      <c r="M2382" s="19"/>
      <c r="N2382" s="10"/>
    </row>
    <row r="2383" spans="7:14" x14ac:dyDescent="0.75">
      <c r="G2383" s="10"/>
      <c r="H2383" s="10"/>
      <c r="I2383" s="39"/>
      <c r="J2383" s="103"/>
      <c r="K2383" s="39"/>
      <c r="L2383" s="78"/>
      <c r="M2383" s="19"/>
      <c r="N2383" s="10"/>
    </row>
    <row r="2384" spans="7:14" x14ac:dyDescent="0.75">
      <c r="G2384" s="10"/>
      <c r="H2384" s="10"/>
      <c r="I2384" s="39"/>
      <c r="J2384" s="103"/>
      <c r="K2384" s="39"/>
      <c r="L2384" s="78"/>
      <c r="M2384" s="19"/>
      <c r="N2384" s="10"/>
    </row>
    <row r="2385" spans="7:14" x14ac:dyDescent="0.75">
      <c r="G2385" s="10"/>
      <c r="H2385" s="10"/>
      <c r="I2385" s="39"/>
      <c r="J2385" s="103"/>
      <c r="K2385" s="39"/>
      <c r="L2385" s="78"/>
      <c r="M2385" s="19"/>
      <c r="N2385" s="10"/>
    </row>
    <row r="2386" spans="7:14" x14ac:dyDescent="0.75">
      <c r="G2386" s="10"/>
      <c r="H2386" s="10"/>
      <c r="I2386" s="39"/>
      <c r="J2386" s="103"/>
      <c r="K2386" s="39"/>
      <c r="L2386" s="78"/>
      <c r="M2386" s="19"/>
      <c r="N2386" s="10"/>
    </row>
    <row r="2387" spans="7:14" x14ac:dyDescent="0.75">
      <c r="G2387" s="10"/>
      <c r="H2387" s="10"/>
      <c r="I2387" s="39"/>
      <c r="J2387" s="103"/>
      <c r="K2387" s="39"/>
      <c r="L2387" s="78"/>
      <c r="M2387" s="19"/>
      <c r="N2387" s="10"/>
    </row>
    <row r="2388" spans="7:14" x14ac:dyDescent="0.75">
      <c r="G2388" s="10"/>
      <c r="H2388" s="10"/>
      <c r="I2388" s="39"/>
      <c r="J2388" s="103"/>
      <c r="K2388" s="39"/>
      <c r="L2388" s="78"/>
      <c r="M2388" s="19"/>
      <c r="N2388" s="10"/>
    </row>
    <row r="2389" spans="7:14" x14ac:dyDescent="0.75">
      <c r="G2389" s="10"/>
      <c r="H2389" s="10"/>
      <c r="I2389" s="39"/>
      <c r="J2389" s="103"/>
      <c r="K2389" s="39"/>
      <c r="L2389" s="78"/>
      <c r="M2389" s="19"/>
      <c r="N2389" s="10"/>
    </row>
    <row r="2390" spans="7:14" x14ac:dyDescent="0.75">
      <c r="G2390" s="10"/>
      <c r="H2390" s="10"/>
      <c r="I2390" s="39"/>
      <c r="J2390" s="103"/>
      <c r="K2390" s="39"/>
      <c r="L2390" s="78"/>
      <c r="M2390" s="19"/>
      <c r="N2390" s="10"/>
    </row>
    <row r="2391" spans="7:14" x14ac:dyDescent="0.75">
      <c r="G2391" s="10"/>
      <c r="H2391" s="10"/>
      <c r="I2391" s="39"/>
      <c r="J2391" s="103"/>
      <c r="K2391" s="39"/>
      <c r="L2391" s="78"/>
      <c r="M2391" s="19"/>
      <c r="N2391" s="10"/>
    </row>
    <row r="2392" spans="7:14" x14ac:dyDescent="0.75">
      <c r="G2392" s="10"/>
      <c r="H2392" s="10"/>
      <c r="I2392" s="39"/>
      <c r="J2392" s="103"/>
      <c r="K2392" s="39"/>
      <c r="L2392" s="78"/>
      <c r="M2392" s="19"/>
      <c r="N2392" s="10"/>
    </row>
    <row r="2393" spans="7:14" x14ac:dyDescent="0.75">
      <c r="G2393" s="10"/>
      <c r="H2393" s="10"/>
      <c r="I2393" s="39"/>
      <c r="J2393" s="103"/>
      <c r="K2393" s="39"/>
      <c r="L2393" s="78"/>
      <c r="M2393" s="19"/>
      <c r="N2393" s="10"/>
    </row>
    <row r="2394" spans="7:14" x14ac:dyDescent="0.75">
      <c r="G2394" s="10"/>
      <c r="H2394" s="10"/>
      <c r="I2394" s="39"/>
      <c r="J2394" s="103"/>
      <c r="K2394" s="39"/>
      <c r="L2394" s="78"/>
      <c r="M2394" s="19"/>
      <c r="N2394" s="10"/>
    </row>
    <row r="2395" spans="7:14" x14ac:dyDescent="0.75">
      <c r="G2395" s="10"/>
      <c r="H2395" s="10"/>
      <c r="I2395" s="39"/>
      <c r="J2395" s="103"/>
      <c r="K2395" s="39"/>
      <c r="L2395" s="78"/>
      <c r="M2395" s="19"/>
      <c r="N2395" s="10"/>
    </row>
    <row r="2396" spans="7:14" x14ac:dyDescent="0.75">
      <c r="G2396" s="10"/>
      <c r="H2396" s="10"/>
      <c r="I2396" s="39"/>
      <c r="J2396" s="103"/>
      <c r="K2396" s="39"/>
      <c r="L2396" s="78"/>
      <c r="M2396" s="19"/>
      <c r="N2396" s="10"/>
    </row>
    <row r="2397" spans="7:14" x14ac:dyDescent="0.75">
      <c r="G2397" s="10"/>
      <c r="H2397" s="10"/>
      <c r="I2397" s="39"/>
      <c r="J2397" s="103"/>
      <c r="K2397" s="39"/>
      <c r="L2397" s="78"/>
      <c r="M2397" s="19"/>
      <c r="N2397" s="10"/>
    </row>
    <row r="2398" spans="7:14" x14ac:dyDescent="0.75">
      <c r="G2398" s="10"/>
      <c r="H2398" s="10"/>
      <c r="I2398" s="39"/>
      <c r="J2398" s="103"/>
      <c r="K2398" s="39"/>
      <c r="L2398" s="78"/>
      <c r="M2398" s="19"/>
      <c r="N2398" s="10"/>
    </row>
    <row r="2399" spans="7:14" x14ac:dyDescent="0.75">
      <c r="G2399" s="10"/>
      <c r="H2399" s="10"/>
      <c r="I2399" s="39"/>
      <c r="J2399" s="103"/>
      <c r="K2399" s="39"/>
      <c r="L2399" s="78"/>
      <c r="M2399" s="19"/>
      <c r="N2399" s="10"/>
    </row>
    <row r="2400" spans="7:14" x14ac:dyDescent="0.75">
      <c r="G2400" s="10"/>
      <c r="H2400" s="10"/>
      <c r="I2400" s="39"/>
      <c r="J2400" s="103"/>
      <c r="K2400" s="39"/>
      <c r="L2400" s="78"/>
      <c r="M2400" s="19"/>
      <c r="N2400" s="10"/>
    </row>
    <row r="2401" spans="7:14" x14ac:dyDescent="0.75">
      <c r="G2401" s="10"/>
      <c r="H2401" s="10"/>
      <c r="I2401" s="39"/>
      <c r="J2401" s="103"/>
      <c r="K2401" s="39"/>
      <c r="L2401" s="78"/>
      <c r="M2401" s="19"/>
      <c r="N2401" s="10"/>
    </row>
    <row r="2402" spans="7:14" x14ac:dyDescent="0.75">
      <c r="G2402" s="10"/>
      <c r="H2402" s="10"/>
      <c r="I2402" s="39"/>
      <c r="J2402" s="103"/>
      <c r="K2402" s="39"/>
      <c r="L2402" s="78"/>
      <c r="M2402" s="19"/>
      <c r="N2402" s="10"/>
    </row>
    <row r="2403" spans="7:14" x14ac:dyDescent="0.75">
      <c r="G2403" s="10"/>
      <c r="H2403" s="10"/>
      <c r="I2403" s="39"/>
      <c r="J2403" s="103"/>
      <c r="K2403" s="39"/>
      <c r="L2403" s="78"/>
      <c r="M2403" s="19"/>
      <c r="N2403" s="10"/>
    </row>
    <row r="2404" spans="7:14" x14ac:dyDescent="0.75">
      <c r="G2404" s="10"/>
      <c r="H2404" s="10"/>
      <c r="I2404" s="39"/>
      <c r="J2404" s="103"/>
      <c r="K2404" s="39"/>
      <c r="L2404" s="78"/>
      <c r="M2404" s="19"/>
      <c r="N2404" s="10"/>
    </row>
    <row r="2405" spans="7:14" x14ac:dyDescent="0.75">
      <c r="G2405" s="10"/>
      <c r="H2405" s="10"/>
      <c r="I2405" s="39"/>
      <c r="J2405" s="103"/>
      <c r="K2405" s="39"/>
      <c r="L2405" s="78"/>
      <c r="M2405" s="19"/>
      <c r="N2405" s="10"/>
    </row>
    <row r="2406" spans="7:14" x14ac:dyDescent="0.75">
      <c r="G2406" s="10"/>
      <c r="H2406" s="10"/>
      <c r="I2406" s="39"/>
      <c r="J2406" s="103"/>
      <c r="K2406" s="39"/>
      <c r="L2406" s="78"/>
      <c r="M2406" s="19"/>
      <c r="N2406" s="10"/>
    </row>
    <row r="2407" spans="7:14" x14ac:dyDescent="0.75">
      <c r="G2407" s="10"/>
      <c r="H2407" s="10"/>
      <c r="I2407" s="39"/>
      <c r="J2407" s="103"/>
      <c r="K2407" s="39"/>
      <c r="L2407" s="10"/>
      <c r="M2407" s="19"/>
      <c r="N2407" s="10"/>
    </row>
    <row r="2408" spans="7:14" x14ac:dyDescent="0.75">
      <c r="G2408" s="10"/>
      <c r="H2408" s="10"/>
      <c r="I2408" s="39"/>
      <c r="J2408" s="103"/>
      <c r="K2408" s="39"/>
      <c r="L2408" s="78"/>
      <c r="M2408" s="19"/>
      <c r="N2408" s="10"/>
    </row>
    <row r="2409" spans="7:14" x14ac:dyDescent="0.75">
      <c r="G2409" s="10"/>
      <c r="H2409" s="10"/>
      <c r="I2409" s="39"/>
      <c r="J2409" s="103"/>
      <c r="K2409" s="39"/>
      <c r="L2409" s="78"/>
      <c r="M2409" s="19"/>
      <c r="N2409" s="10"/>
    </row>
    <row r="2410" spans="7:14" x14ac:dyDescent="0.75">
      <c r="G2410" s="10"/>
      <c r="H2410" s="10"/>
      <c r="I2410" s="39"/>
      <c r="J2410" s="103"/>
      <c r="K2410" s="39"/>
      <c r="L2410" s="78"/>
      <c r="M2410" s="19"/>
      <c r="N2410" s="10"/>
    </row>
    <row r="2411" spans="7:14" x14ac:dyDescent="0.75">
      <c r="G2411" s="10"/>
      <c r="H2411" s="10"/>
      <c r="I2411" s="39"/>
      <c r="J2411" s="103"/>
      <c r="K2411" s="39"/>
      <c r="L2411" s="78"/>
      <c r="M2411" s="19"/>
      <c r="N2411" s="10"/>
    </row>
    <row r="2412" spans="7:14" x14ac:dyDescent="0.75">
      <c r="G2412" s="10"/>
      <c r="H2412" s="10"/>
      <c r="I2412" s="39"/>
      <c r="J2412" s="103"/>
      <c r="K2412" s="39"/>
      <c r="L2412" s="78"/>
      <c r="M2412" s="19"/>
      <c r="N2412" s="10"/>
    </row>
    <row r="2413" spans="7:14" x14ac:dyDescent="0.75">
      <c r="G2413" s="10"/>
      <c r="H2413" s="10"/>
      <c r="I2413" s="39"/>
      <c r="J2413" s="103"/>
      <c r="K2413" s="39"/>
      <c r="L2413" s="78"/>
      <c r="M2413" s="19"/>
      <c r="N2413" s="10"/>
    </row>
    <row r="2414" spans="7:14" x14ac:dyDescent="0.75">
      <c r="G2414" s="10"/>
      <c r="H2414" s="10"/>
      <c r="I2414" s="39"/>
      <c r="J2414" s="103"/>
      <c r="K2414" s="39"/>
      <c r="L2414" s="78"/>
      <c r="M2414" s="19"/>
      <c r="N2414" s="10"/>
    </row>
    <row r="2415" spans="7:14" x14ac:dyDescent="0.75">
      <c r="G2415" s="10"/>
      <c r="H2415" s="10"/>
      <c r="I2415" s="39"/>
      <c r="J2415" s="103"/>
      <c r="K2415" s="39"/>
      <c r="L2415" s="78"/>
      <c r="M2415" s="19"/>
      <c r="N2415" s="10"/>
    </row>
    <row r="2416" spans="7:14" x14ac:dyDescent="0.75">
      <c r="G2416" s="10"/>
      <c r="H2416" s="10"/>
      <c r="I2416" s="39"/>
      <c r="J2416" s="103"/>
      <c r="K2416" s="39"/>
      <c r="L2416" s="78"/>
      <c r="M2416" s="19"/>
      <c r="N2416" s="10"/>
    </row>
    <row r="2417" spans="7:14" x14ac:dyDescent="0.75">
      <c r="G2417" s="10"/>
      <c r="H2417" s="10"/>
      <c r="I2417" s="39"/>
      <c r="J2417" s="103"/>
      <c r="K2417" s="39"/>
      <c r="L2417" s="78"/>
      <c r="M2417" s="19"/>
      <c r="N2417" s="10"/>
    </row>
    <row r="2418" spans="7:14" x14ac:dyDescent="0.75">
      <c r="G2418" s="10"/>
      <c r="H2418" s="10"/>
      <c r="I2418" s="39"/>
      <c r="J2418" s="103"/>
      <c r="K2418" s="39"/>
      <c r="L2418" s="78"/>
      <c r="M2418" s="19"/>
      <c r="N2418" s="10"/>
    </row>
    <row r="2419" spans="7:14" x14ac:dyDescent="0.75">
      <c r="G2419" s="10"/>
      <c r="H2419" s="10"/>
      <c r="I2419" s="39"/>
      <c r="J2419" s="103"/>
      <c r="K2419" s="39"/>
      <c r="L2419" s="78"/>
      <c r="M2419" s="19"/>
      <c r="N2419" s="10"/>
    </row>
    <row r="2420" spans="7:14" x14ac:dyDescent="0.75">
      <c r="G2420" s="10"/>
      <c r="H2420" s="10"/>
      <c r="I2420" s="39"/>
      <c r="J2420" s="103"/>
      <c r="K2420" s="39"/>
      <c r="L2420" s="78"/>
      <c r="M2420" s="19"/>
      <c r="N2420" s="10"/>
    </row>
    <row r="2421" spans="7:14" x14ac:dyDescent="0.75">
      <c r="G2421" s="10"/>
      <c r="H2421" s="10"/>
      <c r="I2421" s="39"/>
      <c r="J2421" s="103"/>
      <c r="K2421" s="39"/>
      <c r="L2421" s="78"/>
      <c r="M2421" s="19"/>
      <c r="N2421" s="10"/>
    </row>
    <row r="2422" spans="7:14" x14ac:dyDescent="0.75">
      <c r="G2422" s="10"/>
      <c r="H2422" s="10"/>
      <c r="I2422" s="39"/>
      <c r="J2422" s="103"/>
      <c r="K2422" s="39"/>
      <c r="L2422" s="78"/>
      <c r="M2422" s="19"/>
      <c r="N2422" s="10"/>
    </row>
    <row r="2423" spans="7:14" x14ac:dyDescent="0.75">
      <c r="G2423" s="10"/>
      <c r="H2423" s="10"/>
      <c r="I2423" s="39"/>
      <c r="J2423" s="103"/>
      <c r="K2423" s="39"/>
      <c r="L2423" s="78"/>
      <c r="M2423" s="19"/>
      <c r="N2423" s="10"/>
    </row>
    <row r="2424" spans="7:14" x14ac:dyDescent="0.75">
      <c r="G2424" s="10"/>
      <c r="H2424" s="10"/>
      <c r="I2424" s="39"/>
      <c r="J2424" s="103"/>
      <c r="K2424" s="39"/>
      <c r="L2424" s="78"/>
      <c r="M2424" s="19"/>
      <c r="N2424" s="10"/>
    </row>
    <row r="2425" spans="7:14" x14ac:dyDescent="0.75">
      <c r="G2425" s="10"/>
      <c r="H2425" s="10"/>
      <c r="I2425" s="39"/>
      <c r="J2425" s="103"/>
      <c r="K2425" s="39"/>
      <c r="L2425" s="78"/>
      <c r="M2425" s="19"/>
      <c r="N2425" s="10"/>
    </row>
    <row r="2426" spans="7:14" x14ac:dyDescent="0.75">
      <c r="G2426" s="10"/>
      <c r="H2426" s="10"/>
      <c r="I2426" s="39"/>
      <c r="J2426" s="103"/>
      <c r="K2426" s="39"/>
      <c r="L2426" s="78"/>
      <c r="M2426" s="19"/>
      <c r="N2426" s="10"/>
    </row>
    <row r="2427" spans="7:14" x14ac:dyDescent="0.75">
      <c r="G2427" s="10"/>
      <c r="H2427" s="10"/>
      <c r="I2427" s="39"/>
      <c r="J2427" s="103"/>
      <c r="K2427" s="39"/>
      <c r="L2427" s="10"/>
      <c r="M2427" s="19"/>
      <c r="N2427" s="10"/>
    </row>
    <row r="2428" spans="7:14" x14ac:dyDescent="0.75">
      <c r="G2428" s="10"/>
      <c r="H2428" s="10"/>
      <c r="I2428" s="39"/>
      <c r="J2428" s="103"/>
      <c r="K2428" s="39"/>
      <c r="L2428" s="78"/>
      <c r="M2428" s="19"/>
      <c r="N2428" s="10"/>
    </row>
    <row r="2429" spans="7:14" x14ac:dyDescent="0.75">
      <c r="G2429" s="10"/>
      <c r="H2429" s="10"/>
      <c r="I2429" s="39"/>
      <c r="J2429" s="103"/>
      <c r="K2429" s="39"/>
      <c r="L2429" s="78"/>
      <c r="M2429" s="19"/>
      <c r="N2429" s="10"/>
    </row>
    <row r="2430" spans="7:14" x14ac:dyDescent="0.75">
      <c r="G2430" s="10"/>
      <c r="H2430" s="10"/>
      <c r="I2430" s="39"/>
      <c r="J2430" s="103"/>
      <c r="K2430" s="39"/>
      <c r="L2430" s="78"/>
      <c r="M2430" s="19"/>
      <c r="N2430" s="10"/>
    </row>
    <row r="2431" spans="7:14" x14ac:dyDescent="0.75">
      <c r="G2431" s="10"/>
      <c r="H2431" s="10"/>
      <c r="I2431" s="39"/>
      <c r="J2431" s="103"/>
      <c r="K2431" s="39"/>
      <c r="L2431" s="78"/>
      <c r="M2431" s="19"/>
      <c r="N2431" s="10"/>
    </row>
    <row r="2432" spans="7:14" x14ac:dyDescent="0.75">
      <c r="G2432" s="10"/>
      <c r="H2432" s="10"/>
      <c r="I2432" s="39"/>
      <c r="J2432" s="103"/>
      <c r="K2432" s="39"/>
      <c r="L2432" s="78"/>
      <c r="M2432" s="19"/>
      <c r="N2432" s="10"/>
    </row>
    <row r="2433" spans="7:14" x14ac:dyDescent="0.75">
      <c r="G2433" s="10"/>
      <c r="H2433" s="10"/>
      <c r="I2433" s="39"/>
      <c r="J2433" s="103"/>
      <c r="K2433" s="39"/>
      <c r="L2433" s="78"/>
      <c r="M2433" s="19"/>
      <c r="N2433" s="10"/>
    </row>
    <row r="2434" spans="7:14" x14ac:dyDescent="0.75">
      <c r="G2434" s="10"/>
      <c r="H2434" s="10"/>
      <c r="I2434" s="39"/>
      <c r="J2434" s="103"/>
      <c r="K2434" s="39"/>
      <c r="L2434" s="78"/>
      <c r="M2434" s="19"/>
      <c r="N2434" s="10"/>
    </row>
    <row r="2435" spans="7:14" x14ac:dyDescent="0.75">
      <c r="G2435" s="10"/>
      <c r="H2435" s="10"/>
      <c r="I2435" s="39"/>
      <c r="J2435" s="103"/>
      <c r="K2435" s="39"/>
      <c r="L2435" s="78"/>
      <c r="M2435" s="19"/>
      <c r="N2435" s="10"/>
    </row>
    <row r="2436" spans="7:14" x14ac:dyDescent="0.75">
      <c r="G2436" s="10"/>
      <c r="H2436" s="10"/>
      <c r="I2436" s="39"/>
      <c r="J2436" s="103"/>
      <c r="K2436" s="39"/>
      <c r="L2436" s="78"/>
      <c r="M2436" s="19"/>
      <c r="N2436" s="10"/>
    </row>
    <row r="2437" spans="7:14" x14ac:dyDescent="0.75">
      <c r="G2437" s="10"/>
      <c r="H2437" s="10"/>
      <c r="I2437" s="39"/>
      <c r="J2437" s="103"/>
      <c r="K2437" s="39"/>
      <c r="L2437" s="78"/>
      <c r="M2437" s="19"/>
      <c r="N2437" s="10"/>
    </row>
    <row r="2438" spans="7:14" x14ac:dyDescent="0.75">
      <c r="G2438" s="10"/>
      <c r="H2438" s="10"/>
      <c r="I2438" s="39"/>
      <c r="J2438" s="103"/>
      <c r="K2438" s="39"/>
      <c r="L2438" s="78"/>
      <c r="M2438" s="19"/>
      <c r="N2438" s="10"/>
    </row>
    <row r="2439" spans="7:14" x14ac:dyDescent="0.75">
      <c r="G2439" s="10"/>
      <c r="H2439" s="10"/>
      <c r="I2439" s="39"/>
      <c r="J2439" s="103"/>
      <c r="K2439" s="39"/>
      <c r="L2439" s="78"/>
      <c r="M2439" s="19"/>
      <c r="N2439" s="10"/>
    </row>
    <row r="2440" spans="7:14" x14ac:dyDescent="0.75">
      <c r="G2440" s="10"/>
      <c r="H2440" s="10"/>
      <c r="I2440" s="39"/>
      <c r="J2440" s="103"/>
      <c r="K2440" s="39"/>
      <c r="L2440" s="78"/>
      <c r="M2440" s="19"/>
      <c r="N2440" s="10"/>
    </row>
    <row r="2441" spans="7:14" x14ac:dyDescent="0.75">
      <c r="G2441" s="10"/>
      <c r="H2441" s="10"/>
      <c r="I2441" s="39"/>
      <c r="J2441" s="103"/>
      <c r="K2441" s="39"/>
      <c r="L2441" s="78"/>
      <c r="M2441" s="19"/>
      <c r="N2441" s="10"/>
    </row>
    <row r="2442" spans="7:14" x14ac:dyDescent="0.75">
      <c r="G2442" s="10"/>
      <c r="H2442" s="10"/>
      <c r="I2442" s="39"/>
      <c r="J2442" s="103"/>
      <c r="K2442" s="39"/>
      <c r="L2442" s="78"/>
      <c r="M2442" s="19"/>
      <c r="N2442" s="10"/>
    </row>
    <row r="2443" spans="7:14" x14ac:dyDescent="0.75">
      <c r="G2443" s="10"/>
      <c r="H2443" s="10"/>
      <c r="I2443" s="39"/>
      <c r="J2443" s="103"/>
      <c r="K2443" s="39"/>
      <c r="L2443" s="10"/>
      <c r="M2443" s="19"/>
      <c r="N2443" s="10"/>
    </row>
    <row r="2444" spans="7:14" x14ac:dyDescent="0.75">
      <c r="G2444" s="10"/>
      <c r="H2444" s="10"/>
      <c r="I2444" s="39"/>
      <c r="J2444" s="103"/>
      <c r="K2444" s="39"/>
      <c r="L2444" s="10"/>
      <c r="M2444" s="19"/>
      <c r="N2444" s="10"/>
    </row>
    <row r="2445" spans="7:14" x14ac:dyDescent="0.75">
      <c r="G2445" s="10"/>
      <c r="H2445" s="10"/>
      <c r="I2445" s="39"/>
      <c r="J2445" s="103"/>
      <c r="K2445" s="39"/>
      <c r="L2445" s="10"/>
      <c r="M2445" s="19"/>
      <c r="N2445" s="10"/>
    </row>
    <row r="2446" spans="7:14" x14ac:dyDescent="0.75">
      <c r="G2446" s="10"/>
      <c r="H2446" s="10"/>
      <c r="I2446" s="39"/>
      <c r="J2446" s="103"/>
      <c r="K2446" s="39"/>
      <c r="L2446" s="78"/>
      <c r="M2446" s="19"/>
      <c r="N2446" s="10"/>
    </row>
    <row r="2447" spans="7:14" x14ac:dyDescent="0.75">
      <c r="G2447" s="10"/>
      <c r="H2447" s="10"/>
      <c r="I2447" s="39"/>
      <c r="J2447" s="103"/>
      <c r="K2447" s="39"/>
      <c r="L2447" s="78"/>
      <c r="M2447" s="19"/>
      <c r="N2447" s="10"/>
    </row>
    <row r="2448" spans="7:14" x14ac:dyDescent="0.75">
      <c r="G2448" s="10"/>
      <c r="H2448" s="10"/>
      <c r="I2448" s="39"/>
      <c r="J2448" s="103"/>
      <c r="K2448" s="39"/>
      <c r="L2448" s="78"/>
      <c r="M2448" s="19"/>
      <c r="N2448" s="10"/>
    </row>
    <row r="2449" spans="7:14" x14ac:dyDescent="0.75">
      <c r="G2449" s="10"/>
      <c r="H2449" s="10"/>
      <c r="I2449" s="39"/>
      <c r="J2449" s="103"/>
      <c r="K2449" s="39"/>
      <c r="L2449" s="78"/>
      <c r="M2449" s="19"/>
      <c r="N2449" s="10"/>
    </row>
    <row r="2450" spans="7:14" x14ac:dyDescent="0.75">
      <c r="G2450" s="10"/>
      <c r="H2450" s="10"/>
      <c r="I2450" s="39"/>
      <c r="J2450" s="103"/>
      <c r="K2450" s="39"/>
      <c r="L2450" s="78"/>
      <c r="M2450" s="19"/>
      <c r="N2450" s="10"/>
    </row>
    <row r="2451" spans="7:14" x14ac:dyDescent="0.75">
      <c r="G2451" s="10"/>
      <c r="H2451" s="10"/>
      <c r="I2451" s="39"/>
      <c r="J2451" s="103"/>
      <c r="K2451" s="39"/>
      <c r="L2451" s="78"/>
      <c r="M2451" s="19"/>
      <c r="N2451" s="10"/>
    </row>
    <row r="2452" spans="7:14" x14ac:dyDescent="0.75">
      <c r="G2452" s="10"/>
      <c r="H2452" s="10"/>
      <c r="I2452" s="39"/>
      <c r="J2452" s="103"/>
      <c r="K2452" s="39"/>
      <c r="L2452" s="78"/>
      <c r="M2452" s="19"/>
      <c r="N2452" s="10"/>
    </row>
    <row r="2453" spans="7:14" x14ac:dyDescent="0.75">
      <c r="G2453" s="10"/>
      <c r="H2453" s="10"/>
      <c r="I2453" s="39"/>
      <c r="J2453" s="103"/>
      <c r="K2453" s="39"/>
      <c r="L2453" s="78"/>
      <c r="M2453" s="19"/>
      <c r="N2453" s="10"/>
    </row>
    <row r="2454" spans="7:14" x14ac:dyDescent="0.75">
      <c r="G2454" s="10"/>
      <c r="H2454" s="10"/>
      <c r="I2454" s="39"/>
      <c r="J2454" s="103"/>
      <c r="K2454" s="39"/>
      <c r="L2454" s="78"/>
      <c r="M2454" s="19"/>
      <c r="N2454" s="10"/>
    </row>
    <row r="2455" spans="7:14" x14ac:dyDescent="0.75">
      <c r="G2455" s="10"/>
      <c r="H2455" s="10"/>
      <c r="I2455" s="39"/>
      <c r="J2455" s="103"/>
      <c r="K2455" s="39"/>
      <c r="L2455" s="10"/>
      <c r="M2455" s="19"/>
      <c r="N2455" s="10"/>
    </row>
    <row r="2456" spans="7:14" x14ac:dyDescent="0.75">
      <c r="G2456" s="10"/>
      <c r="H2456" s="10"/>
      <c r="I2456" s="39"/>
      <c r="J2456" s="103"/>
      <c r="K2456" s="39"/>
      <c r="L2456" s="78"/>
      <c r="M2456" s="19"/>
      <c r="N2456" s="10"/>
    </row>
    <row r="2457" spans="7:14" x14ac:dyDescent="0.75">
      <c r="G2457" s="10"/>
      <c r="H2457" s="10"/>
      <c r="I2457" s="39"/>
      <c r="J2457" s="103"/>
      <c r="K2457" s="39"/>
      <c r="L2457" s="78"/>
      <c r="M2457" s="19"/>
      <c r="N2457" s="10"/>
    </row>
    <row r="2458" spans="7:14" x14ac:dyDescent="0.75">
      <c r="G2458" s="10"/>
      <c r="H2458" s="10"/>
      <c r="I2458" s="39"/>
      <c r="J2458" s="103"/>
      <c r="K2458" s="39"/>
      <c r="L2458" s="78"/>
      <c r="M2458" s="19"/>
      <c r="N2458" s="10"/>
    </row>
    <row r="2459" spans="7:14" x14ac:dyDescent="0.75">
      <c r="G2459" s="10"/>
      <c r="H2459" s="10"/>
      <c r="I2459" s="39"/>
      <c r="J2459" s="103"/>
      <c r="K2459" s="39"/>
      <c r="L2459" s="78"/>
      <c r="M2459" s="19"/>
      <c r="N2459" s="10"/>
    </row>
    <row r="2460" spans="7:14" x14ac:dyDescent="0.75">
      <c r="G2460" s="10"/>
      <c r="H2460" s="10"/>
      <c r="I2460" s="39"/>
      <c r="J2460" s="103"/>
      <c r="K2460" s="39"/>
      <c r="L2460" s="78"/>
      <c r="M2460" s="19"/>
      <c r="N2460" s="10"/>
    </row>
    <row r="2461" spans="7:14" x14ac:dyDescent="0.75">
      <c r="G2461" s="10"/>
      <c r="H2461" s="10"/>
      <c r="I2461" s="39"/>
      <c r="J2461" s="103"/>
      <c r="K2461" s="39"/>
      <c r="L2461" s="78"/>
      <c r="M2461" s="19"/>
      <c r="N2461" s="10"/>
    </row>
    <row r="2462" spans="7:14" x14ac:dyDescent="0.75">
      <c r="G2462" s="10"/>
      <c r="H2462" s="10"/>
      <c r="I2462" s="39"/>
      <c r="J2462" s="103"/>
      <c r="K2462" s="39"/>
      <c r="L2462" s="78"/>
      <c r="M2462" s="19"/>
      <c r="N2462" s="10"/>
    </row>
    <row r="2463" spans="7:14" x14ac:dyDescent="0.75">
      <c r="G2463" s="10"/>
      <c r="H2463" s="10"/>
      <c r="I2463" s="39"/>
      <c r="J2463" s="103"/>
      <c r="K2463" s="39"/>
      <c r="L2463" s="78"/>
      <c r="M2463" s="19"/>
      <c r="N2463" s="10"/>
    </row>
    <row r="2464" spans="7:14" x14ac:dyDescent="0.75">
      <c r="G2464" s="10"/>
      <c r="H2464" s="10"/>
      <c r="I2464" s="39"/>
      <c r="J2464" s="103"/>
      <c r="K2464" s="39"/>
      <c r="L2464" s="78"/>
      <c r="M2464" s="19"/>
      <c r="N2464" s="10"/>
    </row>
    <row r="2465" spans="7:14" x14ac:dyDescent="0.75">
      <c r="G2465" s="10"/>
      <c r="H2465" s="10"/>
      <c r="I2465" s="39"/>
      <c r="J2465" s="103"/>
      <c r="K2465" s="39"/>
      <c r="L2465" s="78"/>
      <c r="M2465" s="19"/>
      <c r="N2465" s="10"/>
    </row>
    <row r="2466" spans="7:14" x14ac:dyDescent="0.75">
      <c r="G2466" s="10"/>
      <c r="H2466" s="10"/>
      <c r="I2466" s="39"/>
      <c r="J2466" s="103"/>
      <c r="K2466" s="39"/>
      <c r="L2466" s="78"/>
      <c r="M2466" s="19"/>
      <c r="N2466" s="10"/>
    </row>
    <row r="2467" spans="7:14" x14ac:dyDescent="0.75">
      <c r="G2467" s="10"/>
      <c r="H2467" s="10"/>
      <c r="I2467" s="39"/>
      <c r="J2467" s="103"/>
      <c r="K2467" s="39"/>
      <c r="L2467" s="10"/>
      <c r="M2467" s="19"/>
      <c r="N2467" s="10"/>
    </row>
    <row r="2468" spans="7:14" x14ac:dyDescent="0.75">
      <c r="G2468" s="10"/>
      <c r="H2468" s="10"/>
      <c r="I2468" s="39"/>
      <c r="J2468" s="103"/>
      <c r="K2468" s="39"/>
      <c r="L2468" s="78"/>
      <c r="M2468" s="19"/>
      <c r="N2468" s="10"/>
    </row>
    <row r="2469" spans="7:14" x14ac:dyDescent="0.75">
      <c r="G2469" s="10"/>
      <c r="H2469" s="10"/>
      <c r="I2469" s="39"/>
      <c r="J2469" s="103"/>
      <c r="K2469" s="39"/>
      <c r="L2469" s="78"/>
      <c r="M2469" s="19"/>
      <c r="N2469" s="10"/>
    </row>
    <row r="2470" spans="7:14" x14ac:dyDescent="0.75">
      <c r="G2470" s="10"/>
      <c r="H2470" s="10"/>
      <c r="I2470" s="39"/>
      <c r="J2470" s="103"/>
      <c r="K2470" s="39"/>
      <c r="L2470" s="78"/>
      <c r="M2470" s="19"/>
      <c r="N2470" s="10"/>
    </row>
    <row r="2471" spans="7:14" x14ac:dyDescent="0.75">
      <c r="G2471" s="10"/>
      <c r="H2471" s="10"/>
      <c r="I2471" s="39"/>
      <c r="J2471" s="103"/>
      <c r="K2471" s="39"/>
      <c r="L2471" s="10"/>
      <c r="M2471" s="19"/>
      <c r="N2471" s="10"/>
    </row>
    <row r="2472" spans="7:14" x14ac:dyDescent="0.75">
      <c r="G2472" s="10"/>
      <c r="H2472" s="10"/>
      <c r="I2472" s="39"/>
      <c r="J2472" s="103"/>
      <c r="K2472" s="39"/>
      <c r="L2472" s="10"/>
      <c r="M2472" s="19"/>
      <c r="N2472" s="10"/>
    </row>
    <row r="2473" spans="7:14" x14ac:dyDescent="0.75">
      <c r="G2473" s="10"/>
      <c r="H2473" s="10"/>
      <c r="I2473" s="39"/>
      <c r="J2473" s="103"/>
      <c r="K2473" s="39"/>
      <c r="L2473" s="10"/>
      <c r="M2473" s="19"/>
      <c r="N2473" s="10"/>
    </row>
    <row r="2474" spans="7:14" x14ac:dyDescent="0.75">
      <c r="G2474" s="10"/>
      <c r="H2474" s="10"/>
      <c r="I2474" s="39"/>
      <c r="J2474" s="103"/>
      <c r="K2474" s="39"/>
      <c r="L2474" s="78"/>
      <c r="M2474" s="19"/>
      <c r="N2474" s="10"/>
    </row>
    <row r="2475" spans="7:14" x14ac:dyDescent="0.75">
      <c r="G2475" s="10"/>
      <c r="H2475" s="10"/>
      <c r="I2475" s="39"/>
      <c r="J2475" s="103"/>
      <c r="K2475" s="39"/>
      <c r="L2475" s="78"/>
      <c r="M2475" s="19"/>
      <c r="N2475" s="10"/>
    </row>
    <row r="2476" spans="7:14" x14ac:dyDescent="0.75">
      <c r="G2476" s="10"/>
      <c r="H2476" s="10"/>
      <c r="I2476" s="39"/>
      <c r="J2476" s="103"/>
      <c r="K2476" s="39"/>
      <c r="L2476" s="10"/>
      <c r="M2476" s="19"/>
      <c r="N2476" s="10"/>
    </row>
    <row r="2477" spans="7:14" x14ac:dyDescent="0.75">
      <c r="G2477" s="10"/>
      <c r="H2477" s="10"/>
      <c r="I2477" s="39"/>
      <c r="J2477" s="103"/>
      <c r="K2477" s="39"/>
      <c r="L2477" s="10"/>
      <c r="M2477" s="19"/>
      <c r="N2477" s="10"/>
    </row>
    <row r="2478" spans="7:14" x14ac:dyDescent="0.75">
      <c r="G2478" s="10"/>
      <c r="H2478" s="10"/>
      <c r="I2478" s="39"/>
      <c r="J2478" s="103"/>
      <c r="K2478" s="39"/>
      <c r="L2478" s="78"/>
      <c r="M2478" s="19"/>
      <c r="N2478" s="10"/>
    </row>
    <row r="2479" spans="7:14" x14ac:dyDescent="0.75">
      <c r="G2479" s="10"/>
      <c r="H2479" s="10"/>
      <c r="I2479" s="39"/>
      <c r="J2479" s="103"/>
      <c r="K2479" s="39"/>
      <c r="L2479" s="78"/>
      <c r="M2479" s="19"/>
      <c r="N2479" s="10"/>
    </row>
    <row r="2480" spans="7:14" x14ac:dyDescent="0.75">
      <c r="G2480" s="10"/>
      <c r="H2480" s="10"/>
      <c r="I2480" s="39"/>
      <c r="J2480" s="103"/>
      <c r="K2480" s="39"/>
      <c r="L2480" s="78"/>
      <c r="M2480" s="19"/>
      <c r="N2480" s="10"/>
    </row>
    <row r="2481" spans="7:14" x14ac:dyDescent="0.75">
      <c r="G2481" s="10"/>
      <c r="H2481" s="10"/>
      <c r="I2481" s="39"/>
      <c r="J2481" s="103"/>
      <c r="K2481" s="39"/>
      <c r="L2481" s="78"/>
      <c r="M2481" s="19"/>
      <c r="N2481" s="10"/>
    </row>
    <row r="2482" spans="7:14" x14ac:dyDescent="0.75">
      <c r="G2482" s="10"/>
      <c r="H2482" s="10"/>
      <c r="I2482" s="39"/>
      <c r="J2482" s="103"/>
      <c r="K2482" s="39"/>
      <c r="L2482" s="78"/>
      <c r="M2482" s="19"/>
      <c r="N2482" s="10"/>
    </row>
    <row r="2483" spans="7:14" x14ac:dyDescent="0.75">
      <c r="G2483" s="10"/>
      <c r="H2483" s="10"/>
      <c r="I2483" s="39"/>
      <c r="J2483" s="103"/>
      <c r="K2483" s="39"/>
      <c r="L2483" s="78"/>
      <c r="M2483" s="19"/>
      <c r="N2483" s="10"/>
    </row>
    <row r="2484" spans="7:14" x14ac:dyDescent="0.75">
      <c r="G2484" s="10"/>
      <c r="H2484" s="10"/>
      <c r="I2484" s="39"/>
      <c r="J2484" s="103"/>
      <c r="K2484" s="39"/>
      <c r="L2484" s="78"/>
      <c r="M2484" s="19"/>
      <c r="N2484" s="10"/>
    </row>
    <row r="2485" spans="7:14" x14ac:dyDescent="0.75">
      <c r="G2485" s="10"/>
      <c r="H2485" s="10"/>
      <c r="I2485" s="39"/>
      <c r="J2485" s="103"/>
      <c r="K2485" s="39"/>
      <c r="L2485" s="78"/>
      <c r="M2485" s="19"/>
      <c r="N2485" s="10"/>
    </row>
    <row r="2486" spans="7:14" x14ac:dyDescent="0.75">
      <c r="G2486" s="10"/>
      <c r="H2486" s="10"/>
      <c r="I2486" s="39"/>
      <c r="J2486" s="103"/>
      <c r="K2486" s="39"/>
      <c r="L2486" s="78"/>
      <c r="M2486" s="19"/>
      <c r="N2486" s="10"/>
    </row>
    <row r="2487" spans="7:14" x14ac:dyDescent="0.75">
      <c r="G2487" s="10"/>
      <c r="H2487" s="10"/>
      <c r="I2487" s="39"/>
      <c r="J2487" s="103"/>
      <c r="K2487" s="39"/>
      <c r="L2487" s="78"/>
      <c r="M2487" s="19"/>
      <c r="N2487" s="10"/>
    </row>
    <row r="2488" spans="7:14" x14ac:dyDescent="0.75">
      <c r="G2488" s="10"/>
      <c r="H2488" s="10"/>
      <c r="I2488" s="39"/>
      <c r="J2488" s="103"/>
      <c r="K2488" s="39"/>
      <c r="L2488" s="78"/>
      <c r="M2488" s="19"/>
      <c r="N2488" s="10"/>
    </row>
    <row r="2489" spans="7:14" x14ac:dyDescent="0.75">
      <c r="G2489" s="10"/>
      <c r="H2489" s="10"/>
      <c r="I2489" s="39"/>
      <c r="J2489" s="103"/>
      <c r="K2489" s="39"/>
      <c r="L2489" s="78"/>
      <c r="M2489" s="19"/>
      <c r="N2489" s="10"/>
    </row>
    <row r="2490" spans="7:14" x14ac:dyDescent="0.75">
      <c r="G2490" s="10"/>
      <c r="H2490" s="10"/>
      <c r="I2490" s="39"/>
      <c r="J2490" s="103"/>
      <c r="K2490" s="39"/>
      <c r="L2490" s="78"/>
      <c r="M2490" s="19"/>
      <c r="N2490" s="10"/>
    </row>
    <row r="2491" spans="7:14" x14ac:dyDescent="0.75">
      <c r="G2491" s="10"/>
      <c r="H2491" s="10"/>
      <c r="I2491" s="39"/>
      <c r="J2491" s="103"/>
      <c r="K2491" s="39"/>
      <c r="L2491" s="78"/>
      <c r="M2491" s="19"/>
      <c r="N2491" s="10"/>
    </row>
    <row r="2492" spans="7:14" x14ac:dyDescent="0.75">
      <c r="G2492" s="10"/>
      <c r="H2492" s="10"/>
      <c r="I2492" s="39"/>
      <c r="J2492" s="103"/>
      <c r="K2492" s="39"/>
      <c r="L2492" s="78"/>
      <c r="M2492" s="19"/>
      <c r="N2492" s="10"/>
    </row>
    <row r="2493" spans="7:14" x14ac:dyDescent="0.75">
      <c r="G2493" s="10"/>
      <c r="H2493" s="10"/>
      <c r="I2493" s="39"/>
      <c r="J2493" s="103"/>
      <c r="K2493" s="39"/>
      <c r="L2493" s="78"/>
      <c r="M2493" s="19"/>
      <c r="N2493" s="10"/>
    </row>
    <row r="2494" spans="7:14" x14ac:dyDescent="0.75">
      <c r="G2494" s="10"/>
      <c r="H2494" s="10"/>
      <c r="I2494" s="39"/>
      <c r="J2494" s="103"/>
      <c r="K2494" s="39"/>
      <c r="L2494" s="78"/>
      <c r="M2494" s="19"/>
      <c r="N2494" s="10"/>
    </row>
    <row r="2495" spans="7:14" x14ac:dyDescent="0.75">
      <c r="G2495" s="10"/>
      <c r="H2495" s="10"/>
      <c r="I2495" s="39"/>
      <c r="J2495" s="103"/>
      <c r="K2495" s="39"/>
      <c r="L2495" s="78"/>
      <c r="M2495" s="19"/>
      <c r="N2495" s="10"/>
    </row>
    <row r="2496" spans="7:14" x14ac:dyDescent="0.75">
      <c r="G2496" s="10"/>
      <c r="H2496" s="10"/>
      <c r="I2496" s="39"/>
      <c r="J2496" s="103"/>
      <c r="K2496" s="39"/>
      <c r="L2496" s="78"/>
      <c r="M2496" s="19"/>
      <c r="N2496" s="10"/>
    </row>
    <row r="2497" spans="7:14" x14ac:dyDescent="0.75">
      <c r="G2497" s="10"/>
      <c r="H2497" s="10"/>
      <c r="I2497" s="39"/>
      <c r="J2497" s="103"/>
      <c r="K2497" s="39"/>
      <c r="L2497" s="78"/>
      <c r="M2497" s="19"/>
      <c r="N2497" s="10"/>
    </row>
    <row r="2498" spans="7:14" x14ac:dyDescent="0.75">
      <c r="G2498" s="10"/>
      <c r="H2498" s="10"/>
      <c r="I2498" s="39"/>
      <c r="J2498" s="103"/>
      <c r="K2498" s="39"/>
      <c r="L2498" s="10"/>
      <c r="M2498" s="19"/>
      <c r="N2498" s="10"/>
    </row>
    <row r="2499" spans="7:14" x14ac:dyDescent="0.75">
      <c r="G2499" s="10"/>
      <c r="H2499" s="10"/>
      <c r="I2499" s="39"/>
      <c r="J2499" s="103"/>
      <c r="K2499" s="39"/>
      <c r="L2499" s="78"/>
      <c r="M2499" s="19"/>
      <c r="N2499" s="10"/>
    </row>
    <row r="2500" spans="7:14" x14ac:dyDescent="0.75">
      <c r="G2500" s="10"/>
      <c r="H2500" s="10"/>
      <c r="I2500" s="39"/>
      <c r="J2500" s="103"/>
      <c r="K2500" s="39"/>
      <c r="L2500" s="78"/>
      <c r="M2500" s="19"/>
      <c r="N2500" s="10"/>
    </row>
    <row r="2501" spans="7:14" x14ac:dyDescent="0.75">
      <c r="G2501" s="10"/>
      <c r="H2501" s="10"/>
      <c r="I2501" s="39"/>
      <c r="J2501" s="103"/>
      <c r="K2501" s="39"/>
      <c r="L2501" s="78"/>
      <c r="M2501" s="19"/>
      <c r="N2501" s="10"/>
    </row>
    <row r="2502" spans="7:14" x14ac:dyDescent="0.75">
      <c r="G2502" s="10"/>
      <c r="H2502" s="10"/>
      <c r="I2502" s="39"/>
      <c r="J2502" s="103"/>
      <c r="K2502" s="39"/>
      <c r="L2502" s="78"/>
      <c r="M2502" s="19"/>
      <c r="N2502" s="10"/>
    </row>
    <row r="2503" spans="7:14" x14ac:dyDescent="0.75">
      <c r="G2503" s="10"/>
      <c r="H2503" s="10"/>
      <c r="I2503" s="39"/>
      <c r="J2503" s="103"/>
      <c r="K2503" s="39"/>
      <c r="L2503" s="78"/>
      <c r="M2503" s="19"/>
      <c r="N2503" s="10"/>
    </row>
    <row r="2504" spans="7:14" x14ac:dyDescent="0.75">
      <c r="G2504" s="10"/>
      <c r="H2504" s="10"/>
      <c r="I2504" s="39"/>
      <c r="J2504" s="103"/>
      <c r="K2504" s="39"/>
      <c r="L2504" s="10"/>
      <c r="M2504" s="19"/>
      <c r="N2504" s="10"/>
    </row>
    <row r="2505" spans="7:14" x14ac:dyDescent="0.75">
      <c r="G2505" s="10"/>
      <c r="H2505" s="10"/>
      <c r="I2505" s="39"/>
      <c r="J2505" s="103"/>
      <c r="K2505" s="39"/>
      <c r="L2505" s="78"/>
      <c r="M2505" s="19"/>
      <c r="N2505" s="10"/>
    </row>
    <row r="2506" spans="7:14" x14ac:dyDescent="0.75">
      <c r="G2506" s="10"/>
      <c r="H2506" s="10"/>
      <c r="I2506" s="39"/>
      <c r="J2506" s="103"/>
      <c r="K2506" s="39"/>
      <c r="L2506" s="78"/>
      <c r="M2506" s="19"/>
      <c r="N2506" s="10"/>
    </row>
    <row r="2507" spans="7:14" x14ac:dyDescent="0.75">
      <c r="G2507" s="10"/>
      <c r="H2507" s="10"/>
      <c r="I2507" s="39"/>
      <c r="J2507" s="103"/>
      <c r="K2507" s="39"/>
      <c r="L2507" s="78"/>
      <c r="M2507" s="19"/>
      <c r="N2507" s="10"/>
    </row>
    <row r="2508" spans="7:14" x14ac:dyDescent="0.75">
      <c r="G2508" s="10"/>
      <c r="H2508" s="10"/>
      <c r="I2508" s="39"/>
      <c r="J2508" s="103"/>
      <c r="K2508" s="39"/>
      <c r="L2508" s="78"/>
      <c r="M2508" s="19"/>
      <c r="N2508" s="10"/>
    </row>
    <row r="2509" spans="7:14" x14ac:dyDescent="0.75">
      <c r="G2509" s="10"/>
      <c r="H2509" s="10"/>
      <c r="I2509" s="39"/>
      <c r="J2509" s="103"/>
      <c r="K2509" s="39"/>
      <c r="L2509" s="10"/>
      <c r="M2509" s="19"/>
      <c r="N2509" s="10"/>
    </row>
    <row r="2510" spans="7:14" x14ac:dyDescent="0.75">
      <c r="G2510" s="10"/>
      <c r="H2510" s="10"/>
      <c r="I2510" s="39"/>
      <c r="J2510" s="103"/>
      <c r="K2510" s="39"/>
      <c r="L2510" s="10"/>
      <c r="M2510" s="19"/>
      <c r="N2510" s="10"/>
    </row>
    <row r="2511" spans="7:14" x14ac:dyDescent="0.75">
      <c r="G2511" s="10"/>
      <c r="H2511" s="10"/>
      <c r="I2511" s="39"/>
      <c r="J2511" s="103"/>
      <c r="K2511" s="39"/>
      <c r="L2511" s="10"/>
      <c r="M2511" s="19"/>
      <c r="N2511" s="10"/>
    </row>
    <row r="2512" spans="7:14" x14ac:dyDescent="0.75">
      <c r="G2512" s="10"/>
      <c r="H2512" s="10"/>
      <c r="I2512" s="39"/>
      <c r="J2512" s="103"/>
      <c r="K2512" s="39"/>
      <c r="L2512" s="78"/>
      <c r="M2512" s="19"/>
      <c r="N2512" s="10"/>
    </row>
    <row r="2513" spans="7:14" x14ac:dyDescent="0.75">
      <c r="G2513" s="10"/>
      <c r="H2513" s="10"/>
      <c r="I2513" s="39"/>
      <c r="J2513" s="103"/>
      <c r="K2513" s="39"/>
      <c r="L2513" s="78"/>
      <c r="M2513" s="19"/>
      <c r="N2513" s="10"/>
    </row>
    <row r="2514" spans="7:14" x14ac:dyDescent="0.75">
      <c r="G2514" s="10"/>
      <c r="H2514" s="10"/>
      <c r="I2514" s="39"/>
      <c r="J2514" s="103"/>
      <c r="K2514" s="39"/>
      <c r="L2514" s="78"/>
      <c r="M2514" s="19"/>
      <c r="N2514" s="10"/>
    </row>
    <row r="2515" spans="7:14" x14ac:dyDescent="0.75">
      <c r="G2515" s="10"/>
      <c r="H2515" s="10"/>
      <c r="I2515" s="39"/>
      <c r="J2515" s="103"/>
      <c r="K2515" s="39"/>
      <c r="L2515" s="78"/>
      <c r="M2515" s="19"/>
      <c r="N2515" s="10"/>
    </row>
    <row r="2516" spans="7:14" x14ac:dyDescent="0.75">
      <c r="G2516" s="10"/>
      <c r="H2516" s="10"/>
      <c r="I2516" s="39"/>
      <c r="J2516" s="103"/>
      <c r="K2516" s="39"/>
      <c r="L2516" s="78"/>
      <c r="M2516" s="19"/>
      <c r="N2516" s="10"/>
    </row>
    <row r="2517" spans="7:14" x14ac:dyDescent="0.75">
      <c r="G2517" s="10"/>
      <c r="H2517" s="10"/>
      <c r="I2517" s="39"/>
      <c r="J2517" s="103"/>
      <c r="K2517" s="39"/>
      <c r="L2517" s="78"/>
      <c r="M2517" s="19"/>
      <c r="N2517" s="10"/>
    </row>
    <row r="2518" spans="7:14" x14ac:dyDescent="0.75">
      <c r="G2518" s="10"/>
      <c r="H2518" s="10"/>
      <c r="I2518" s="39"/>
      <c r="J2518" s="103"/>
      <c r="K2518" s="39"/>
      <c r="L2518" s="78"/>
      <c r="M2518" s="19"/>
      <c r="N2518" s="10"/>
    </row>
    <row r="2519" spans="7:14" x14ac:dyDescent="0.75">
      <c r="G2519" s="10"/>
      <c r="H2519" s="10"/>
      <c r="I2519" s="39"/>
      <c r="J2519" s="103"/>
      <c r="K2519" s="39"/>
      <c r="L2519" s="78"/>
      <c r="M2519" s="19"/>
      <c r="N2519" s="10"/>
    </row>
    <row r="2520" spans="7:14" x14ac:dyDescent="0.75">
      <c r="G2520" s="10"/>
      <c r="H2520" s="10"/>
      <c r="I2520" s="39"/>
      <c r="J2520" s="103"/>
      <c r="K2520" s="39"/>
      <c r="L2520" s="78"/>
      <c r="M2520" s="19"/>
      <c r="N2520" s="10"/>
    </row>
    <row r="2521" spans="7:14" x14ac:dyDescent="0.75">
      <c r="G2521" s="10"/>
      <c r="H2521" s="10"/>
      <c r="I2521" s="39"/>
      <c r="J2521" s="103"/>
      <c r="K2521" s="39"/>
      <c r="L2521" s="78"/>
      <c r="M2521" s="19"/>
      <c r="N2521" s="10"/>
    </row>
    <row r="2522" spans="7:14" x14ac:dyDescent="0.75">
      <c r="G2522" s="10"/>
      <c r="H2522" s="10"/>
      <c r="I2522" s="39"/>
      <c r="J2522" s="103"/>
      <c r="K2522" s="39"/>
      <c r="L2522" s="78"/>
      <c r="M2522" s="19"/>
      <c r="N2522" s="10"/>
    </row>
    <row r="2523" spans="7:14" x14ac:dyDescent="0.75">
      <c r="G2523" s="10"/>
      <c r="H2523" s="10"/>
      <c r="I2523" s="39"/>
      <c r="J2523" s="103"/>
      <c r="K2523" s="39"/>
      <c r="L2523" s="78"/>
      <c r="M2523" s="19"/>
      <c r="N2523" s="10"/>
    </row>
    <row r="2524" spans="7:14" x14ac:dyDescent="0.75">
      <c r="G2524" s="10"/>
      <c r="H2524" s="10"/>
      <c r="I2524" s="39"/>
      <c r="J2524" s="103"/>
      <c r="K2524" s="39"/>
      <c r="L2524" s="78"/>
      <c r="M2524" s="19"/>
      <c r="N2524" s="10"/>
    </row>
    <row r="2525" spans="7:14" x14ac:dyDescent="0.75">
      <c r="G2525" s="10"/>
      <c r="H2525" s="10"/>
      <c r="I2525" s="39"/>
      <c r="J2525" s="103"/>
      <c r="K2525" s="39"/>
      <c r="L2525" s="78"/>
      <c r="M2525" s="19"/>
      <c r="N2525" s="10"/>
    </row>
    <row r="2526" spans="7:14" x14ac:dyDescent="0.75">
      <c r="G2526" s="10"/>
      <c r="H2526" s="10"/>
      <c r="I2526" s="39"/>
      <c r="J2526" s="103"/>
      <c r="K2526" s="39"/>
      <c r="L2526" s="78"/>
      <c r="M2526" s="19"/>
      <c r="N2526" s="10"/>
    </row>
    <row r="2527" spans="7:14" x14ac:dyDescent="0.75">
      <c r="G2527" s="10"/>
      <c r="H2527" s="10"/>
      <c r="I2527" s="39"/>
      <c r="J2527" s="103"/>
      <c r="K2527" s="39"/>
      <c r="L2527" s="78"/>
      <c r="M2527" s="19"/>
      <c r="N2527" s="10"/>
    </row>
    <row r="2528" spans="7:14" x14ac:dyDescent="0.75">
      <c r="G2528" s="10"/>
      <c r="H2528" s="10"/>
      <c r="I2528" s="39"/>
      <c r="J2528" s="103"/>
      <c r="K2528" s="39"/>
      <c r="L2528" s="78"/>
      <c r="M2528" s="19"/>
      <c r="N2528" s="10"/>
    </row>
    <row r="2529" spans="7:14" x14ac:dyDescent="0.75">
      <c r="G2529" s="10"/>
      <c r="H2529" s="10"/>
      <c r="I2529" s="39"/>
      <c r="J2529" s="103"/>
      <c r="K2529" s="39"/>
      <c r="L2529" s="78"/>
      <c r="M2529" s="19"/>
      <c r="N2529" s="10"/>
    </row>
    <row r="2530" spans="7:14" x14ac:dyDescent="0.75">
      <c r="G2530" s="10"/>
      <c r="H2530" s="10"/>
      <c r="I2530" s="39"/>
      <c r="J2530" s="103"/>
      <c r="K2530" s="39"/>
      <c r="L2530" s="10"/>
      <c r="M2530" s="19"/>
      <c r="N2530" s="10"/>
    </row>
    <row r="2531" spans="7:14" x14ac:dyDescent="0.75">
      <c r="G2531" s="10"/>
      <c r="H2531" s="10"/>
      <c r="I2531" s="39"/>
      <c r="J2531" s="103"/>
      <c r="K2531" s="39"/>
      <c r="L2531" s="78"/>
      <c r="M2531" s="19"/>
      <c r="N2531" s="10"/>
    </row>
    <row r="2532" spans="7:14" x14ac:dyDescent="0.75">
      <c r="G2532" s="10"/>
      <c r="H2532" s="10"/>
      <c r="I2532" s="39"/>
      <c r="J2532" s="103"/>
      <c r="K2532" s="39"/>
      <c r="L2532" s="10"/>
      <c r="M2532" s="19"/>
      <c r="N2532" s="10"/>
    </row>
    <row r="2533" spans="7:14" x14ac:dyDescent="0.75">
      <c r="G2533" s="10"/>
      <c r="H2533" s="10"/>
      <c r="I2533" s="39"/>
      <c r="J2533" s="103"/>
      <c r="K2533" s="39"/>
      <c r="L2533" s="78"/>
      <c r="M2533" s="19"/>
      <c r="N2533" s="10"/>
    </row>
    <row r="2534" spans="7:14" x14ac:dyDescent="0.75">
      <c r="G2534" s="10"/>
      <c r="H2534" s="10"/>
      <c r="I2534" s="39"/>
      <c r="J2534" s="103"/>
      <c r="K2534" s="39"/>
      <c r="L2534" s="78"/>
      <c r="M2534" s="19"/>
      <c r="N2534" s="10"/>
    </row>
    <row r="2535" spans="7:14" x14ac:dyDescent="0.75">
      <c r="G2535" s="10"/>
      <c r="H2535" s="10"/>
      <c r="I2535" s="39"/>
      <c r="J2535" s="103"/>
      <c r="K2535" s="39"/>
      <c r="L2535" s="78"/>
      <c r="M2535" s="19"/>
      <c r="N2535" s="10"/>
    </row>
    <row r="2536" spans="7:14" x14ac:dyDescent="0.75">
      <c r="G2536" s="10"/>
      <c r="H2536" s="10"/>
      <c r="I2536" s="39"/>
      <c r="J2536" s="103"/>
      <c r="K2536" s="39"/>
      <c r="L2536" s="78"/>
      <c r="M2536" s="19"/>
      <c r="N2536" s="10"/>
    </row>
    <row r="2537" spans="7:14" x14ac:dyDescent="0.75">
      <c r="G2537" s="10"/>
      <c r="H2537" s="10"/>
      <c r="I2537" s="39"/>
      <c r="J2537" s="103"/>
      <c r="K2537" s="39"/>
      <c r="L2537" s="78"/>
      <c r="M2537" s="19"/>
      <c r="N2537" s="10"/>
    </row>
    <row r="2538" spans="7:14" x14ac:dyDescent="0.75">
      <c r="G2538" s="10"/>
      <c r="H2538" s="10"/>
      <c r="I2538" s="39"/>
      <c r="J2538" s="103"/>
      <c r="K2538" s="39"/>
      <c r="L2538" s="78"/>
      <c r="M2538" s="19"/>
      <c r="N2538" s="10"/>
    </row>
    <row r="2539" spans="7:14" x14ac:dyDescent="0.75">
      <c r="G2539" s="10"/>
      <c r="H2539" s="10"/>
      <c r="I2539" s="39"/>
      <c r="J2539" s="103"/>
      <c r="K2539" s="39"/>
      <c r="L2539" s="78"/>
      <c r="M2539" s="19"/>
      <c r="N2539" s="10"/>
    </row>
    <row r="2540" spans="7:14" x14ac:dyDescent="0.75">
      <c r="G2540" s="10"/>
      <c r="H2540" s="10"/>
      <c r="I2540" s="39"/>
      <c r="J2540" s="103"/>
      <c r="K2540" s="39"/>
      <c r="L2540" s="78"/>
      <c r="M2540" s="19"/>
      <c r="N2540" s="10"/>
    </row>
    <row r="2541" spans="7:14" x14ac:dyDescent="0.75">
      <c r="G2541" s="10"/>
      <c r="H2541" s="10"/>
      <c r="I2541" s="39"/>
      <c r="J2541" s="103"/>
      <c r="K2541" s="39"/>
      <c r="L2541" s="10"/>
      <c r="M2541" s="19"/>
      <c r="N2541" s="10"/>
    </row>
    <row r="2542" spans="7:14" x14ac:dyDescent="0.75">
      <c r="G2542" s="10"/>
      <c r="H2542" s="10"/>
      <c r="I2542" s="39"/>
      <c r="J2542" s="103"/>
      <c r="K2542" s="39"/>
      <c r="L2542" s="10"/>
      <c r="M2542" s="19"/>
      <c r="N2542" s="10"/>
    </row>
    <row r="2543" spans="7:14" x14ac:dyDescent="0.75">
      <c r="G2543" s="10"/>
      <c r="H2543" s="10"/>
      <c r="I2543" s="39"/>
      <c r="J2543" s="103"/>
      <c r="K2543" s="39"/>
      <c r="L2543" s="10"/>
      <c r="M2543" s="19"/>
      <c r="N2543" s="10"/>
    </row>
    <row r="2544" spans="7:14" x14ac:dyDescent="0.75">
      <c r="G2544" s="10"/>
      <c r="H2544" s="10"/>
      <c r="I2544" s="39"/>
      <c r="J2544" s="103"/>
      <c r="K2544" s="39"/>
      <c r="L2544" s="10"/>
      <c r="M2544" s="19"/>
      <c r="N2544" s="10"/>
    </row>
    <row r="2545" spans="7:14" x14ac:dyDescent="0.75">
      <c r="G2545" s="10"/>
      <c r="H2545" s="10"/>
      <c r="I2545" s="39"/>
      <c r="J2545" s="103"/>
      <c r="K2545" s="39"/>
      <c r="L2545" s="78"/>
      <c r="M2545" s="19"/>
      <c r="N2545" s="10"/>
    </row>
    <row r="2546" spans="7:14" x14ac:dyDescent="0.75">
      <c r="G2546" s="10"/>
      <c r="H2546" s="10"/>
      <c r="I2546" s="39"/>
      <c r="J2546" s="103"/>
      <c r="K2546" s="39"/>
      <c r="L2546" s="78"/>
      <c r="M2546" s="19"/>
      <c r="N2546" s="10"/>
    </row>
    <row r="2547" spans="7:14" x14ac:dyDescent="0.75">
      <c r="G2547" s="10"/>
      <c r="H2547" s="10"/>
      <c r="I2547" s="39"/>
      <c r="J2547" s="103"/>
      <c r="K2547" s="39"/>
      <c r="L2547" s="78"/>
      <c r="M2547" s="19"/>
      <c r="N2547" s="10"/>
    </row>
    <row r="2548" spans="7:14" x14ac:dyDescent="0.75">
      <c r="G2548" s="10"/>
      <c r="H2548" s="10"/>
      <c r="I2548" s="39"/>
      <c r="J2548" s="103"/>
      <c r="K2548" s="39"/>
      <c r="L2548" s="78"/>
      <c r="M2548" s="19"/>
      <c r="N2548" s="10"/>
    </row>
    <row r="2549" spans="7:14" x14ac:dyDescent="0.75">
      <c r="G2549" s="10"/>
      <c r="H2549" s="10"/>
      <c r="I2549" s="39"/>
      <c r="J2549" s="103"/>
      <c r="K2549" s="39"/>
      <c r="L2549" s="78"/>
      <c r="M2549" s="19"/>
      <c r="N2549" s="10"/>
    </row>
    <row r="2550" spans="7:14" x14ac:dyDescent="0.75">
      <c r="G2550" s="10"/>
      <c r="H2550" s="10"/>
      <c r="I2550" s="39"/>
      <c r="J2550" s="103"/>
      <c r="K2550" s="39"/>
      <c r="L2550" s="78"/>
      <c r="M2550" s="19"/>
      <c r="N2550" s="10"/>
    </row>
    <row r="2551" spans="7:14" x14ac:dyDescent="0.75">
      <c r="G2551" s="10"/>
      <c r="H2551" s="10"/>
      <c r="I2551" s="39"/>
      <c r="J2551" s="103"/>
      <c r="K2551" s="39"/>
      <c r="L2551" s="78"/>
      <c r="M2551" s="19"/>
      <c r="N2551" s="10"/>
    </row>
    <row r="2552" spans="7:14" x14ac:dyDescent="0.75">
      <c r="G2552" s="10"/>
      <c r="H2552" s="10"/>
      <c r="I2552" s="39"/>
      <c r="J2552" s="103"/>
      <c r="K2552" s="39"/>
      <c r="L2552" s="78"/>
      <c r="M2552" s="19"/>
      <c r="N2552" s="10"/>
    </row>
    <row r="2553" spans="7:14" x14ac:dyDescent="0.75">
      <c r="G2553" s="10"/>
      <c r="H2553" s="10"/>
      <c r="I2553" s="39"/>
      <c r="J2553" s="103"/>
      <c r="K2553" s="39"/>
      <c r="L2553" s="78"/>
      <c r="M2553" s="19"/>
      <c r="N2553" s="10"/>
    </row>
    <row r="2554" spans="7:14" x14ac:dyDescent="0.75">
      <c r="G2554" s="10"/>
      <c r="H2554" s="10"/>
      <c r="I2554" s="39"/>
      <c r="J2554" s="103"/>
      <c r="K2554" s="39"/>
      <c r="L2554" s="78"/>
      <c r="M2554" s="19"/>
      <c r="N2554" s="10"/>
    </row>
    <row r="2555" spans="7:14" x14ac:dyDescent="0.75">
      <c r="G2555" s="10"/>
      <c r="H2555" s="10"/>
      <c r="I2555" s="39"/>
      <c r="J2555" s="103"/>
      <c r="K2555" s="39"/>
      <c r="L2555" s="78"/>
      <c r="M2555" s="19"/>
      <c r="N2555" s="10"/>
    </row>
    <row r="2556" spans="7:14" x14ac:dyDescent="0.75">
      <c r="G2556" s="10"/>
      <c r="H2556" s="10"/>
      <c r="I2556" s="39"/>
      <c r="J2556" s="103"/>
      <c r="K2556" s="39"/>
      <c r="L2556" s="78"/>
      <c r="M2556" s="19"/>
      <c r="N2556" s="10"/>
    </row>
    <row r="2557" spans="7:14" x14ac:dyDescent="0.75">
      <c r="G2557" s="10"/>
      <c r="H2557" s="10"/>
      <c r="I2557" s="39"/>
      <c r="J2557" s="103"/>
      <c r="K2557" s="39"/>
      <c r="L2557" s="78"/>
      <c r="M2557" s="19"/>
      <c r="N2557" s="10"/>
    </row>
    <row r="2558" spans="7:14" x14ac:dyDescent="0.75">
      <c r="G2558" s="10"/>
      <c r="H2558" s="10"/>
      <c r="I2558" s="39"/>
      <c r="J2558" s="103"/>
      <c r="K2558" s="39"/>
      <c r="L2558" s="78"/>
      <c r="M2558" s="19"/>
      <c r="N2558" s="10"/>
    </row>
    <row r="2559" spans="7:14" x14ac:dyDescent="0.75">
      <c r="G2559" s="10"/>
      <c r="H2559" s="10"/>
      <c r="I2559" s="39"/>
      <c r="J2559" s="103"/>
      <c r="K2559" s="39"/>
      <c r="L2559" s="78"/>
      <c r="M2559" s="19"/>
      <c r="N2559" s="10"/>
    </row>
    <row r="2560" spans="7:14" x14ac:dyDescent="0.75">
      <c r="G2560" s="10"/>
      <c r="H2560" s="10"/>
      <c r="I2560" s="39"/>
      <c r="J2560" s="103"/>
      <c r="K2560" s="39"/>
      <c r="L2560" s="78"/>
      <c r="M2560" s="19"/>
      <c r="N2560" s="10"/>
    </row>
    <row r="2561" spans="7:14" x14ac:dyDescent="0.75">
      <c r="G2561" s="10"/>
      <c r="H2561" s="10"/>
      <c r="I2561" s="39"/>
      <c r="J2561" s="103"/>
      <c r="K2561" s="39"/>
      <c r="L2561" s="78"/>
      <c r="M2561" s="19"/>
      <c r="N2561" s="10"/>
    </row>
    <row r="2562" spans="7:14" x14ac:dyDescent="0.75">
      <c r="G2562" s="10"/>
      <c r="H2562" s="10"/>
      <c r="I2562" s="39"/>
      <c r="J2562" s="103"/>
      <c r="K2562" s="39"/>
      <c r="L2562" s="78"/>
      <c r="M2562" s="19"/>
      <c r="N2562" s="10"/>
    </row>
    <row r="2563" spans="7:14" x14ac:dyDescent="0.75">
      <c r="G2563" s="10"/>
      <c r="H2563" s="10"/>
      <c r="I2563" s="39"/>
      <c r="J2563" s="103"/>
      <c r="K2563" s="39"/>
      <c r="L2563" s="78"/>
      <c r="M2563" s="19"/>
      <c r="N2563" s="10"/>
    </row>
    <row r="2564" spans="7:14" x14ac:dyDescent="0.75">
      <c r="G2564" s="10"/>
      <c r="H2564" s="10"/>
      <c r="I2564" s="39"/>
      <c r="J2564" s="103"/>
      <c r="K2564" s="39"/>
      <c r="L2564" s="78"/>
      <c r="M2564" s="19"/>
      <c r="N2564" s="10"/>
    </row>
    <row r="2565" spans="7:14" x14ac:dyDescent="0.75">
      <c r="G2565" s="10"/>
      <c r="H2565" s="10"/>
      <c r="I2565" s="39"/>
      <c r="J2565" s="103"/>
      <c r="K2565" s="39"/>
      <c r="L2565" s="78"/>
      <c r="M2565" s="19"/>
      <c r="N2565" s="10"/>
    </row>
    <row r="2566" spans="7:14" x14ac:dyDescent="0.75">
      <c r="G2566" s="10"/>
      <c r="H2566" s="10"/>
      <c r="I2566" s="39"/>
      <c r="J2566" s="103"/>
      <c r="K2566" s="39"/>
      <c r="L2566" s="78"/>
      <c r="M2566" s="19"/>
      <c r="N2566" s="10"/>
    </row>
    <row r="2567" spans="7:14" x14ac:dyDescent="0.75">
      <c r="G2567" s="10"/>
      <c r="H2567" s="10"/>
      <c r="I2567" s="39"/>
      <c r="J2567" s="103"/>
      <c r="K2567" s="39"/>
      <c r="L2567" s="78"/>
      <c r="M2567" s="19"/>
      <c r="N2567" s="10"/>
    </row>
    <row r="2568" spans="7:14" x14ac:dyDescent="0.75">
      <c r="G2568" s="10"/>
      <c r="H2568" s="10"/>
      <c r="I2568" s="39"/>
      <c r="J2568" s="103"/>
      <c r="K2568" s="39"/>
      <c r="L2568" s="78"/>
      <c r="M2568" s="19"/>
      <c r="N2568" s="10"/>
    </row>
    <row r="2569" spans="7:14" x14ac:dyDescent="0.75">
      <c r="G2569" s="10"/>
      <c r="H2569" s="10"/>
      <c r="I2569" s="39"/>
      <c r="J2569" s="103"/>
      <c r="K2569" s="39"/>
      <c r="L2569" s="78"/>
      <c r="M2569" s="19"/>
      <c r="N2569" s="10"/>
    </row>
    <row r="2570" spans="7:14" x14ac:dyDescent="0.75">
      <c r="G2570" s="10"/>
      <c r="H2570" s="10"/>
      <c r="I2570" s="39"/>
      <c r="J2570" s="103"/>
      <c r="K2570" s="39"/>
      <c r="L2570" s="78"/>
      <c r="M2570" s="19"/>
      <c r="N2570" s="10"/>
    </row>
    <row r="2571" spans="7:14" x14ac:dyDescent="0.75">
      <c r="G2571" s="10"/>
      <c r="H2571" s="10"/>
      <c r="I2571" s="39"/>
      <c r="J2571" s="103"/>
      <c r="K2571" s="39"/>
      <c r="L2571" s="78"/>
      <c r="M2571" s="19"/>
      <c r="N2571" s="10"/>
    </row>
    <row r="2572" spans="7:14" x14ac:dyDescent="0.75">
      <c r="G2572" s="10"/>
      <c r="H2572" s="10"/>
      <c r="I2572" s="39"/>
      <c r="J2572" s="103"/>
      <c r="K2572" s="39"/>
      <c r="L2572" s="78"/>
      <c r="M2572" s="19"/>
      <c r="N2572" s="10"/>
    </row>
    <row r="2573" spans="7:14" x14ac:dyDescent="0.75">
      <c r="G2573" s="10"/>
      <c r="H2573" s="10"/>
      <c r="I2573" s="39"/>
      <c r="J2573" s="103"/>
      <c r="K2573" s="39"/>
      <c r="L2573" s="78"/>
      <c r="M2573" s="19"/>
      <c r="N2573" s="10"/>
    </row>
    <row r="2574" spans="7:14" x14ac:dyDescent="0.75">
      <c r="G2574" s="10"/>
      <c r="H2574" s="10"/>
      <c r="I2574" s="39"/>
      <c r="J2574" s="103"/>
      <c r="K2574" s="39"/>
      <c r="L2574" s="78"/>
      <c r="M2574" s="19"/>
      <c r="N2574" s="10"/>
    </row>
    <row r="2575" spans="7:14" x14ac:dyDescent="0.75">
      <c r="G2575" s="10"/>
      <c r="H2575" s="10"/>
      <c r="I2575" s="39"/>
      <c r="J2575" s="103"/>
      <c r="K2575" s="39"/>
      <c r="L2575" s="78"/>
      <c r="M2575" s="19"/>
      <c r="N2575" s="10"/>
    </row>
    <row r="2576" spans="7:14" x14ac:dyDescent="0.75">
      <c r="G2576" s="10"/>
      <c r="H2576" s="10"/>
      <c r="I2576" s="39"/>
      <c r="J2576" s="103"/>
      <c r="K2576" s="39"/>
      <c r="L2576" s="78"/>
      <c r="M2576" s="19"/>
      <c r="N2576" s="10"/>
    </row>
    <row r="2577" spans="7:14" x14ac:dyDescent="0.75">
      <c r="G2577" s="10"/>
      <c r="H2577" s="10"/>
      <c r="I2577" s="39"/>
      <c r="J2577" s="103"/>
      <c r="K2577" s="39"/>
      <c r="L2577" s="78"/>
      <c r="M2577" s="19"/>
      <c r="N2577" s="10"/>
    </row>
    <row r="2578" spans="7:14" x14ac:dyDescent="0.75">
      <c r="G2578" s="10"/>
      <c r="H2578" s="10"/>
      <c r="I2578" s="39"/>
      <c r="J2578" s="103"/>
      <c r="K2578" s="39"/>
      <c r="L2578" s="78"/>
      <c r="M2578" s="19"/>
      <c r="N2578" s="10"/>
    </row>
    <row r="2579" spans="7:14" x14ac:dyDescent="0.75">
      <c r="G2579" s="10"/>
      <c r="H2579" s="10"/>
      <c r="I2579" s="39"/>
      <c r="J2579" s="103"/>
      <c r="K2579" s="39"/>
      <c r="L2579" s="78"/>
      <c r="M2579" s="19"/>
      <c r="N2579" s="10"/>
    </row>
    <row r="2580" spans="7:14" x14ac:dyDescent="0.75">
      <c r="G2580" s="10"/>
      <c r="H2580" s="10"/>
      <c r="I2580" s="39"/>
      <c r="J2580" s="103"/>
      <c r="K2580" s="39"/>
      <c r="L2580" s="78"/>
      <c r="M2580" s="19"/>
      <c r="N2580" s="10"/>
    </row>
    <row r="2581" spans="7:14" x14ac:dyDescent="0.75">
      <c r="G2581" s="10"/>
      <c r="H2581" s="10"/>
      <c r="I2581" s="39"/>
      <c r="J2581" s="103"/>
      <c r="K2581" s="39"/>
      <c r="L2581" s="78"/>
      <c r="M2581" s="19"/>
      <c r="N2581" s="10"/>
    </row>
    <row r="2582" spans="7:14" x14ac:dyDescent="0.75">
      <c r="G2582" s="10"/>
      <c r="H2582" s="10"/>
      <c r="I2582" s="39"/>
      <c r="J2582" s="103"/>
      <c r="K2582" s="39"/>
      <c r="L2582" s="10"/>
      <c r="M2582" s="19"/>
      <c r="N2582" s="10"/>
    </row>
    <row r="2583" spans="7:14" x14ac:dyDescent="0.75">
      <c r="G2583" s="10"/>
      <c r="H2583" s="10"/>
      <c r="I2583" s="39"/>
      <c r="J2583" s="103"/>
      <c r="K2583" s="39"/>
      <c r="L2583" s="10"/>
      <c r="M2583" s="19"/>
      <c r="N2583" s="10"/>
    </row>
    <row r="2584" spans="7:14" x14ac:dyDescent="0.75">
      <c r="G2584" s="10"/>
      <c r="H2584" s="10"/>
      <c r="I2584" s="39"/>
      <c r="J2584" s="103"/>
      <c r="K2584" s="39"/>
      <c r="L2584" s="10"/>
      <c r="M2584" s="19"/>
      <c r="N2584" s="10"/>
    </row>
    <row r="2585" spans="7:14" x14ac:dyDescent="0.75">
      <c r="G2585" s="10"/>
      <c r="H2585" s="10"/>
      <c r="I2585" s="39"/>
      <c r="J2585" s="103"/>
      <c r="K2585" s="39"/>
      <c r="L2585" s="10"/>
      <c r="M2585" s="19"/>
      <c r="N2585" s="10"/>
    </row>
    <row r="2586" spans="7:14" x14ac:dyDescent="0.75">
      <c r="G2586" s="10"/>
      <c r="H2586" s="10"/>
      <c r="I2586" s="39"/>
      <c r="J2586" s="103"/>
      <c r="K2586" s="39"/>
      <c r="L2586" s="78"/>
      <c r="M2586" s="19"/>
      <c r="N2586" s="10"/>
    </row>
    <row r="2587" spans="7:14" x14ac:dyDescent="0.75">
      <c r="G2587" s="10"/>
      <c r="H2587" s="10"/>
      <c r="I2587" s="39"/>
      <c r="J2587" s="103"/>
      <c r="K2587" s="39"/>
      <c r="L2587" s="78"/>
      <c r="M2587" s="19"/>
      <c r="N2587" s="10"/>
    </row>
    <row r="2588" spans="7:14" x14ac:dyDescent="0.75">
      <c r="G2588" s="10"/>
      <c r="H2588" s="10"/>
      <c r="I2588" s="39"/>
      <c r="J2588" s="103"/>
      <c r="K2588" s="39"/>
      <c r="L2588" s="78"/>
      <c r="M2588" s="19"/>
      <c r="N2588" s="10"/>
    </row>
    <row r="2589" spans="7:14" x14ac:dyDescent="0.75">
      <c r="G2589" s="10"/>
      <c r="H2589" s="10"/>
      <c r="I2589" s="39"/>
      <c r="J2589" s="103"/>
      <c r="K2589" s="39"/>
      <c r="L2589" s="78"/>
      <c r="M2589" s="19"/>
      <c r="N2589" s="10"/>
    </row>
    <row r="2590" spans="7:14" x14ac:dyDescent="0.75">
      <c r="G2590" s="10"/>
      <c r="H2590" s="10"/>
      <c r="I2590" s="39"/>
      <c r="J2590" s="103"/>
      <c r="K2590" s="39"/>
      <c r="L2590" s="78"/>
      <c r="M2590" s="19"/>
      <c r="N2590" s="10"/>
    </row>
    <row r="2591" spans="7:14" x14ac:dyDescent="0.75">
      <c r="G2591" s="10"/>
      <c r="H2591" s="10"/>
      <c r="I2591" s="39"/>
      <c r="J2591" s="103"/>
      <c r="K2591" s="39"/>
      <c r="L2591" s="78"/>
      <c r="M2591" s="19"/>
      <c r="N2591" s="10"/>
    </row>
    <row r="2592" spans="7:14" x14ac:dyDescent="0.75">
      <c r="G2592" s="10"/>
      <c r="H2592" s="10"/>
      <c r="I2592" s="39"/>
      <c r="J2592" s="103"/>
      <c r="K2592" s="39"/>
      <c r="L2592" s="78"/>
      <c r="M2592" s="19"/>
      <c r="N2592" s="10"/>
    </row>
    <row r="2593" spans="7:14" x14ac:dyDescent="0.75">
      <c r="G2593" s="10"/>
      <c r="H2593" s="10"/>
      <c r="I2593" s="39"/>
      <c r="J2593" s="103"/>
      <c r="K2593" s="39"/>
      <c r="L2593" s="78"/>
      <c r="M2593" s="19"/>
      <c r="N2593" s="10"/>
    </row>
    <row r="2594" spans="7:14" x14ac:dyDescent="0.75">
      <c r="G2594" s="10"/>
      <c r="H2594" s="10"/>
      <c r="I2594" s="39"/>
      <c r="J2594" s="103"/>
      <c r="K2594" s="39"/>
      <c r="L2594" s="78"/>
      <c r="M2594" s="19"/>
      <c r="N2594" s="10"/>
    </row>
    <row r="2595" spans="7:14" x14ac:dyDescent="0.75">
      <c r="G2595" s="10"/>
      <c r="H2595" s="10"/>
      <c r="I2595" s="39"/>
      <c r="J2595" s="103"/>
      <c r="K2595" s="39"/>
      <c r="L2595" s="78"/>
      <c r="M2595" s="19"/>
      <c r="N2595" s="10"/>
    </row>
    <row r="2596" spans="7:14" x14ac:dyDescent="0.75">
      <c r="G2596" s="10"/>
      <c r="H2596" s="10"/>
      <c r="I2596" s="39"/>
      <c r="J2596" s="103"/>
      <c r="K2596" s="39"/>
      <c r="L2596" s="78"/>
      <c r="M2596" s="19"/>
      <c r="N2596" s="10"/>
    </row>
    <row r="2597" spans="7:14" x14ac:dyDescent="0.75">
      <c r="G2597" s="10"/>
      <c r="H2597" s="10"/>
      <c r="I2597" s="39"/>
      <c r="J2597" s="103"/>
      <c r="K2597" s="39"/>
      <c r="L2597" s="78"/>
      <c r="M2597" s="19"/>
      <c r="N2597" s="10"/>
    </row>
    <row r="2598" spans="7:14" x14ac:dyDescent="0.75">
      <c r="G2598" s="10"/>
      <c r="H2598" s="10"/>
      <c r="I2598" s="39"/>
      <c r="J2598" s="103"/>
      <c r="K2598" s="39"/>
      <c r="L2598" s="78"/>
      <c r="M2598" s="19"/>
      <c r="N2598" s="10"/>
    </row>
    <row r="2599" spans="7:14" x14ac:dyDescent="0.75">
      <c r="G2599" s="10"/>
      <c r="H2599" s="10"/>
      <c r="I2599" s="39"/>
      <c r="J2599" s="103"/>
      <c r="K2599" s="39"/>
      <c r="L2599" s="78"/>
      <c r="M2599" s="19"/>
      <c r="N2599" s="10"/>
    </row>
    <row r="2600" spans="7:14" x14ac:dyDescent="0.75">
      <c r="G2600" s="10"/>
      <c r="H2600" s="10"/>
      <c r="I2600" s="39"/>
      <c r="J2600" s="103"/>
      <c r="K2600" s="39"/>
      <c r="L2600" s="78"/>
      <c r="M2600" s="19"/>
      <c r="N2600" s="10"/>
    </row>
    <row r="2601" spans="7:14" x14ac:dyDescent="0.75">
      <c r="G2601" s="10"/>
      <c r="H2601" s="10"/>
      <c r="I2601" s="39"/>
      <c r="J2601" s="103"/>
      <c r="K2601" s="39"/>
      <c r="L2601" s="78"/>
      <c r="M2601" s="19"/>
      <c r="N2601" s="10"/>
    </row>
    <row r="2602" spans="7:14" x14ac:dyDescent="0.75">
      <c r="G2602" s="10"/>
      <c r="H2602" s="10"/>
      <c r="I2602" s="39"/>
      <c r="J2602" s="103"/>
      <c r="K2602" s="39"/>
      <c r="L2602" s="78"/>
      <c r="M2602" s="19"/>
      <c r="N2602" s="10"/>
    </row>
    <row r="2603" spans="7:14" x14ac:dyDescent="0.75">
      <c r="G2603" s="10"/>
      <c r="H2603" s="10"/>
      <c r="I2603" s="39"/>
      <c r="J2603" s="103"/>
      <c r="K2603" s="39"/>
      <c r="L2603" s="78"/>
      <c r="M2603" s="19"/>
      <c r="N2603" s="10"/>
    </row>
    <row r="2604" spans="7:14" x14ac:dyDescent="0.75">
      <c r="G2604" s="10"/>
      <c r="H2604" s="10"/>
      <c r="I2604" s="39"/>
      <c r="J2604" s="103"/>
      <c r="K2604" s="39"/>
      <c r="L2604" s="78"/>
      <c r="M2604" s="19"/>
      <c r="N2604" s="10"/>
    </row>
    <row r="2605" spans="7:14" x14ac:dyDescent="0.75">
      <c r="G2605" s="10"/>
      <c r="H2605" s="10"/>
      <c r="I2605" s="39"/>
      <c r="J2605" s="103"/>
      <c r="K2605" s="39"/>
      <c r="L2605" s="78"/>
      <c r="M2605" s="19"/>
      <c r="N2605" s="10"/>
    </row>
    <row r="2606" spans="7:14" x14ac:dyDescent="0.75">
      <c r="G2606" s="10"/>
      <c r="H2606" s="10"/>
      <c r="I2606" s="39"/>
      <c r="J2606" s="103"/>
      <c r="K2606" s="39"/>
      <c r="L2606" s="78"/>
      <c r="M2606" s="19"/>
      <c r="N2606" s="10"/>
    </row>
    <row r="2607" spans="7:14" x14ac:dyDescent="0.75">
      <c r="G2607" s="10"/>
      <c r="H2607" s="10"/>
      <c r="I2607" s="39"/>
      <c r="J2607" s="103"/>
      <c r="K2607" s="39"/>
      <c r="L2607" s="78"/>
      <c r="M2607" s="19"/>
      <c r="N2607" s="10"/>
    </row>
    <row r="2608" spans="7:14" x14ac:dyDescent="0.75">
      <c r="G2608" s="10"/>
      <c r="H2608" s="10"/>
      <c r="I2608" s="39"/>
      <c r="J2608" s="103"/>
      <c r="K2608" s="39"/>
      <c r="L2608" s="78"/>
      <c r="M2608" s="19"/>
      <c r="N2608" s="10"/>
    </row>
    <row r="2609" spans="7:14" x14ac:dyDescent="0.75">
      <c r="G2609" s="10"/>
      <c r="H2609" s="10"/>
      <c r="I2609" s="39"/>
      <c r="J2609" s="103"/>
      <c r="K2609" s="39"/>
      <c r="L2609" s="78"/>
      <c r="M2609" s="19"/>
      <c r="N2609" s="10"/>
    </row>
    <row r="2610" spans="7:14" x14ac:dyDescent="0.75">
      <c r="G2610" s="10"/>
      <c r="H2610" s="10"/>
      <c r="I2610" s="39"/>
      <c r="J2610" s="103"/>
      <c r="K2610" s="39"/>
      <c r="L2610" s="78"/>
      <c r="M2610" s="19"/>
      <c r="N2610" s="10"/>
    </row>
    <row r="2611" spans="7:14" x14ac:dyDescent="0.75">
      <c r="G2611" s="10"/>
      <c r="H2611" s="10"/>
      <c r="I2611" s="39"/>
      <c r="J2611" s="103"/>
      <c r="K2611" s="39"/>
      <c r="L2611" s="10"/>
      <c r="M2611" s="19"/>
      <c r="N2611" s="10"/>
    </row>
    <row r="2612" spans="7:14" x14ac:dyDescent="0.75">
      <c r="G2612" s="10"/>
      <c r="H2612" s="10"/>
      <c r="I2612" s="39"/>
      <c r="J2612" s="103"/>
      <c r="K2612" s="39"/>
      <c r="L2612" s="10"/>
      <c r="M2612" s="19"/>
      <c r="N2612" s="10"/>
    </row>
    <row r="2613" spans="7:14" x14ac:dyDescent="0.75">
      <c r="G2613" s="10"/>
      <c r="H2613" s="10"/>
      <c r="I2613" s="39"/>
      <c r="J2613" s="103"/>
      <c r="K2613" s="39"/>
      <c r="L2613" s="10"/>
      <c r="M2613" s="19"/>
      <c r="N2613" s="10"/>
    </row>
    <row r="2614" spans="7:14" x14ac:dyDescent="0.75">
      <c r="G2614" s="10"/>
      <c r="H2614" s="10"/>
      <c r="I2614" s="39"/>
      <c r="J2614" s="103"/>
      <c r="K2614" s="39"/>
      <c r="L2614" s="78"/>
      <c r="M2614" s="19"/>
      <c r="N2614" s="10"/>
    </row>
    <row r="2615" spans="7:14" x14ac:dyDescent="0.75">
      <c r="G2615" s="10"/>
      <c r="H2615" s="10"/>
      <c r="I2615" s="39"/>
      <c r="J2615" s="103"/>
      <c r="K2615" s="39"/>
      <c r="L2615" s="78"/>
      <c r="M2615" s="19"/>
      <c r="N2615" s="10"/>
    </row>
    <row r="2616" spans="7:14" x14ac:dyDescent="0.75">
      <c r="G2616" s="10"/>
      <c r="H2616" s="10"/>
      <c r="I2616" s="39"/>
      <c r="J2616" s="103"/>
      <c r="K2616" s="39"/>
      <c r="L2616" s="78"/>
      <c r="M2616" s="19"/>
      <c r="N2616" s="10"/>
    </row>
    <row r="2617" spans="7:14" x14ac:dyDescent="0.75">
      <c r="G2617" s="10"/>
      <c r="H2617" s="10"/>
      <c r="I2617" s="39"/>
      <c r="J2617" s="103"/>
      <c r="K2617" s="39"/>
      <c r="L2617" s="78"/>
      <c r="M2617" s="19"/>
      <c r="N2617" s="10"/>
    </row>
    <row r="2618" spans="7:14" x14ac:dyDescent="0.75">
      <c r="G2618" s="10"/>
      <c r="H2618" s="10"/>
      <c r="I2618" s="39"/>
      <c r="J2618" s="103"/>
      <c r="K2618" s="39"/>
      <c r="L2618" s="78"/>
      <c r="M2618" s="19"/>
      <c r="N2618" s="10"/>
    </row>
    <row r="2619" spans="7:14" x14ac:dyDescent="0.75">
      <c r="G2619" s="10"/>
      <c r="H2619" s="10"/>
      <c r="I2619" s="39"/>
      <c r="J2619" s="103"/>
      <c r="K2619" s="39"/>
      <c r="L2619" s="78"/>
      <c r="M2619" s="19"/>
      <c r="N2619" s="10"/>
    </row>
    <row r="2620" spans="7:14" x14ac:dyDescent="0.75">
      <c r="G2620" s="10"/>
      <c r="H2620" s="10"/>
      <c r="I2620" s="39"/>
      <c r="J2620" s="103"/>
      <c r="K2620" s="39"/>
      <c r="L2620" s="78"/>
      <c r="M2620" s="19"/>
      <c r="N2620" s="10"/>
    </row>
    <row r="2621" spans="7:14" x14ac:dyDescent="0.75">
      <c r="G2621" s="10"/>
      <c r="H2621" s="10"/>
      <c r="I2621" s="39"/>
      <c r="J2621" s="103"/>
      <c r="K2621" s="39"/>
      <c r="L2621" s="78"/>
      <c r="M2621" s="19"/>
      <c r="N2621" s="10"/>
    </row>
    <row r="2622" spans="7:14" x14ac:dyDescent="0.75">
      <c r="G2622" s="10"/>
      <c r="H2622" s="10"/>
      <c r="I2622" s="39"/>
      <c r="J2622" s="103"/>
      <c r="K2622" s="39"/>
      <c r="L2622" s="78"/>
      <c r="M2622" s="19"/>
      <c r="N2622" s="10"/>
    </row>
    <row r="2623" spans="7:14" x14ac:dyDescent="0.75">
      <c r="G2623" s="10"/>
      <c r="H2623" s="10"/>
      <c r="I2623" s="39"/>
      <c r="J2623" s="103"/>
      <c r="K2623" s="39"/>
      <c r="L2623" s="78"/>
      <c r="M2623" s="19"/>
      <c r="N2623" s="10"/>
    </row>
    <row r="2624" spans="7:14" x14ac:dyDescent="0.75">
      <c r="G2624" s="10"/>
      <c r="H2624" s="10"/>
      <c r="I2624" s="39"/>
      <c r="J2624" s="103"/>
      <c r="K2624" s="39"/>
      <c r="L2624" s="78"/>
      <c r="M2624" s="19"/>
      <c r="N2624" s="10"/>
    </row>
    <row r="2625" spans="7:14" x14ac:dyDescent="0.75">
      <c r="G2625" s="10"/>
      <c r="H2625" s="10"/>
      <c r="I2625" s="39"/>
      <c r="J2625" s="103"/>
      <c r="K2625" s="39"/>
      <c r="L2625" s="78"/>
      <c r="M2625" s="19"/>
      <c r="N2625" s="10"/>
    </row>
    <row r="2626" spans="7:14" x14ac:dyDescent="0.75">
      <c r="G2626" s="10"/>
      <c r="H2626" s="10"/>
      <c r="I2626" s="39"/>
      <c r="J2626" s="103"/>
      <c r="K2626" s="39"/>
      <c r="L2626" s="78"/>
      <c r="M2626" s="19"/>
      <c r="N2626" s="10"/>
    </row>
    <row r="2627" spans="7:14" x14ac:dyDescent="0.75">
      <c r="G2627" s="10"/>
      <c r="H2627" s="10"/>
      <c r="I2627" s="39"/>
      <c r="J2627" s="103"/>
      <c r="K2627" s="39"/>
      <c r="L2627" s="78"/>
      <c r="M2627" s="19"/>
      <c r="N2627" s="10"/>
    </row>
    <row r="2628" spans="7:14" x14ac:dyDescent="0.75">
      <c r="G2628" s="10"/>
      <c r="H2628" s="10"/>
      <c r="I2628" s="39"/>
      <c r="J2628" s="103"/>
      <c r="K2628" s="39"/>
      <c r="L2628" s="78"/>
      <c r="M2628" s="19"/>
      <c r="N2628" s="10"/>
    </row>
    <row r="2629" spans="7:14" x14ac:dyDescent="0.75">
      <c r="G2629" s="10"/>
      <c r="H2629" s="10"/>
      <c r="I2629" s="39"/>
      <c r="J2629" s="103"/>
      <c r="K2629" s="39"/>
      <c r="L2629" s="78"/>
      <c r="M2629" s="19"/>
      <c r="N2629" s="10"/>
    </row>
    <row r="2630" spans="7:14" x14ac:dyDescent="0.75">
      <c r="G2630" s="10"/>
      <c r="H2630" s="10"/>
      <c r="I2630" s="39"/>
      <c r="J2630" s="103"/>
      <c r="K2630" s="39"/>
      <c r="L2630" s="78"/>
      <c r="M2630" s="19"/>
      <c r="N2630" s="10"/>
    </row>
    <row r="2631" spans="7:14" x14ac:dyDescent="0.75">
      <c r="G2631" s="10"/>
      <c r="H2631" s="10"/>
      <c r="I2631" s="39"/>
      <c r="J2631" s="103"/>
      <c r="K2631" s="39"/>
      <c r="L2631" s="78"/>
      <c r="M2631" s="19"/>
      <c r="N2631" s="10"/>
    </row>
    <row r="2632" spans="7:14" x14ac:dyDescent="0.75">
      <c r="G2632" s="10"/>
      <c r="H2632" s="10"/>
      <c r="I2632" s="39"/>
      <c r="J2632" s="103"/>
      <c r="K2632" s="39"/>
      <c r="L2632" s="78"/>
      <c r="M2632" s="19"/>
      <c r="N2632" s="10"/>
    </row>
    <row r="2633" spans="7:14" x14ac:dyDescent="0.75">
      <c r="G2633" s="10"/>
      <c r="H2633" s="10"/>
      <c r="I2633" s="39"/>
      <c r="J2633" s="103"/>
      <c r="K2633" s="39"/>
      <c r="L2633" s="78"/>
      <c r="M2633" s="19"/>
      <c r="N2633" s="10"/>
    </row>
    <row r="2634" spans="7:14" x14ac:dyDescent="0.75">
      <c r="G2634" s="10"/>
      <c r="H2634" s="10"/>
      <c r="I2634" s="39"/>
      <c r="J2634" s="103"/>
      <c r="K2634" s="39"/>
      <c r="L2634" s="78"/>
      <c r="M2634" s="19"/>
      <c r="N2634" s="10"/>
    </row>
    <row r="2635" spans="7:14" x14ac:dyDescent="0.75">
      <c r="G2635" s="10"/>
      <c r="H2635" s="10"/>
      <c r="I2635" s="39"/>
      <c r="J2635" s="103"/>
      <c r="K2635" s="39"/>
      <c r="L2635" s="78"/>
      <c r="M2635" s="19"/>
      <c r="N2635" s="10"/>
    </row>
    <row r="2636" spans="7:14" x14ac:dyDescent="0.75">
      <c r="G2636" s="10"/>
      <c r="H2636" s="10"/>
      <c r="I2636" s="39"/>
      <c r="J2636" s="103"/>
      <c r="K2636" s="39"/>
      <c r="L2636" s="78"/>
      <c r="M2636" s="19"/>
      <c r="N2636" s="10"/>
    </row>
    <row r="2637" spans="7:14" x14ac:dyDescent="0.75">
      <c r="G2637" s="10"/>
      <c r="H2637" s="10"/>
      <c r="I2637" s="39"/>
      <c r="J2637" s="103"/>
      <c r="K2637" s="39"/>
      <c r="L2637" s="78"/>
      <c r="M2637" s="19"/>
      <c r="N2637" s="10"/>
    </row>
    <row r="2638" spans="7:14" x14ac:dyDescent="0.75">
      <c r="G2638" s="10"/>
      <c r="H2638" s="10"/>
      <c r="I2638" s="39"/>
      <c r="J2638" s="103"/>
      <c r="K2638" s="39"/>
      <c r="L2638" s="78"/>
      <c r="M2638" s="19"/>
      <c r="N2638" s="10"/>
    </row>
    <row r="2639" spans="7:14" x14ac:dyDescent="0.75">
      <c r="G2639" s="10"/>
      <c r="H2639" s="10"/>
      <c r="I2639" s="39"/>
      <c r="J2639" s="103"/>
      <c r="K2639" s="39"/>
      <c r="L2639" s="10"/>
      <c r="M2639" s="19"/>
      <c r="N2639" s="10"/>
    </row>
    <row r="2640" spans="7:14" x14ac:dyDescent="0.75">
      <c r="G2640" s="10"/>
      <c r="H2640" s="10"/>
      <c r="I2640" s="39"/>
      <c r="J2640" s="103"/>
      <c r="K2640" s="39"/>
      <c r="L2640" s="10"/>
      <c r="M2640" s="19"/>
      <c r="N2640" s="10"/>
    </row>
    <row r="2641" spans="7:14" x14ac:dyDescent="0.75">
      <c r="G2641" s="10"/>
      <c r="H2641" s="10"/>
      <c r="I2641" s="39"/>
      <c r="J2641" s="103"/>
      <c r="K2641" s="39"/>
      <c r="L2641" s="10"/>
      <c r="M2641" s="19"/>
      <c r="N2641" s="10"/>
    </row>
    <row r="2642" spans="7:14" x14ac:dyDescent="0.75">
      <c r="G2642" s="10"/>
      <c r="H2642" s="10"/>
      <c r="I2642" s="39"/>
      <c r="J2642" s="103"/>
      <c r="K2642" s="39"/>
      <c r="L2642" s="78"/>
      <c r="M2642" s="19"/>
      <c r="N2642" s="10"/>
    </row>
    <row r="2643" spans="7:14" x14ac:dyDescent="0.75">
      <c r="G2643" s="10"/>
      <c r="H2643" s="10"/>
      <c r="I2643" s="39"/>
      <c r="J2643" s="103"/>
      <c r="K2643" s="39"/>
      <c r="L2643" s="78"/>
      <c r="M2643" s="19"/>
      <c r="N2643" s="10"/>
    </row>
    <row r="2644" spans="7:14" x14ac:dyDescent="0.75">
      <c r="G2644" s="10"/>
      <c r="H2644" s="10"/>
      <c r="I2644" s="39"/>
      <c r="J2644" s="103"/>
      <c r="K2644" s="39"/>
      <c r="L2644" s="78"/>
      <c r="M2644" s="19"/>
      <c r="N2644" s="10"/>
    </row>
    <row r="2645" spans="7:14" x14ac:dyDescent="0.75">
      <c r="G2645" s="10"/>
      <c r="H2645" s="10"/>
      <c r="I2645" s="39"/>
      <c r="J2645" s="103"/>
      <c r="K2645" s="39"/>
      <c r="L2645" s="78"/>
      <c r="M2645" s="19"/>
      <c r="N2645" s="10"/>
    </row>
    <row r="2646" spans="7:14" x14ac:dyDescent="0.75">
      <c r="G2646" s="10"/>
      <c r="H2646" s="10"/>
      <c r="I2646" s="39"/>
      <c r="J2646" s="103"/>
      <c r="K2646" s="39"/>
      <c r="L2646" s="78"/>
      <c r="M2646" s="19"/>
      <c r="N2646" s="10"/>
    </row>
    <row r="2647" spans="7:14" x14ac:dyDescent="0.75">
      <c r="G2647" s="10"/>
      <c r="H2647" s="10"/>
      <c r="I2647" s="39"/>
      <c r="J2647" s="103"/>
      <c r="K2647" s="39"/>
      <c r="L2647" s="78"/>
      <c r="M2647" s="19"/>
      <c r="N2647" s="10"/>
    </row>
    <row r="2648" spans="7:14" x14ac:dyDescent="0.75">
      <c r="G2648" s="10"/>
      <c r="H2648" s="10"/>
      <c r="I2648" s="39"/>
      <c r="J2648" s="103"/>
      <c r="K2648" s="39"/>
      <c r="L2648" s="78"/>
      <c r="M2648" s="19"/>
      <c r="N2648" s="10"/>
    </row>
    <row r="2649" spans="7:14" x14ac:dyDescent="0.75">
      <c r="G2649" s="10"/>
      <c r="H2649" s="10"/>
      <c r="I2649" s="39"/>
      <c r="J2649" s="103"/>
      <c r="K2649" s="39"/>
      <c r="L2649" s="78"/>
      <c r="M2649" s="19"/>
      <c r="N2649" s="10"/>
    </row>
    <row r="2650" spans="7:14" x14ac:dyDescent="0.75">
      <c r="G2650" s="10"/>
      <c r="H2650" s="10"/>
      <c r="I2650" s="39"/>
      <c r="J2650" s="103"/>
      <c r="K2650" s="39"/>
      <c r="L2650" s="78"/>
      <c r="M2650" s="19"/>
      <c r="N2650" s="10"/>
    </row>
    <row r="2651" spans="7:14" x14ac:dyDescent="0.75">
      <c r="G2651" s="10"/>
      <c r="H2651" s="10"/>
      <c r="I2651" s="39"/>
      <c r="J2651" s="103"/>
      <c r="K2651" s="39"/>
      <c r="L2651" s="78"/>
      <c r="M2651" s="19"/>
      <c r="N2651" s="10"/>
    </row>
    <row r="2652" spans="7:14" x14ac:dyDescent="0.75">
      <c r="G2652" s="10"/>
      <c r="H2652" s="10"/>
      <c r="I2652" s="39"/>
      <c r="J2652" s="103"/>
      <c r="K2652" s="39"/>
      <c r="L2652" s="78"/>
      <c r="M2652" s="19"/>
      <c r="N2652" s="10"/>
    </row>
    <row r="2653" spans="7:14" x14ac:dyDescent="0.75">
      <c r="G2653" s="10"/>
      <c r="H2653" s="10"/>
      <c r="I2653" s="39"/>
      <c r="J2653" s="103"/>
      <c r="K2653" s="39"/>
      <c r="L2653" s="78"/>
      <c r="M2653" s="19"/>
      <c r="N2653" s="10"/>
    </row>
    <row r="2654" spans="7:14" x14ac:dyDescent="0.75">
      <c r="G2654" s="10"/>
      <c r="H2654" s="10"/>
      <c r="I2654" s="39"/>
      <c r="J2654" s="103"/>
      <c r="K2654" s="39"/>
      <c r="L2654" s="78"/>
      <c r="M2654" s="19"/>
      <c r="N2654" s="10"/>
    </row>
    <row r="2655" spans="7:14" x14ac:dyDescent="0.75">
      <c r="G2655" s="10"/>
      <c r="H2655" s="10"/>
      <c r="I2655" s="39"/>
      <c r="J2655" s="103"/>
      <c r="K2655" s="39"/>
      <c r="L2655" s="78"/>
      <c r="M2655" s="19"/>
      <c r="N2655" s="10"/>
    </row>
    <row r="2656" spans="7:14" x14ac:dyDescent="0.75">
      <c r="G2656" s="10"/>
      <c r="H2656" s="10"/>
      <c r="I2656" s="39"/>
      <c r="J2656" s="103"/>
      <c r="K2656" s="39"/>
      <c r="L2656" s="78"/>
      <c r="M2656" s="19"/>
      <c r="N2656" s="10"/>
    </row>
    <row r="2657" spans="7:14" x14ac:dyDescent="0.75">
      <c r="G2657" s="10"/>
      <c r="H2657" s="10"/>
      <c r="I2657" s="39"/>
      <c r="J2657" s="103"/>
      <c r="K2657" s="39"/>
      <c r="L2657" s="78"/>
      <c r="M2657" s="19"/>
      <c r="N2657" s="10"/>
    </row>
    <row r="2658" spans="7:14" x14ac:dyDescent="0.75">
      <c r="G2658" s="10"/>
      <c r="H2658" s="10"/>
      <c r="I2658" s="39"/>
      <c r="J2658" s="103"/>
      <c r="K2658" s="39"/>
      <c r="L2658" s="78"/>
      <c r="M2658" s="19"/>
      <c r="N2658" s="10"/>
    </row>
    <row r="2659" spans="7:14" x14ac:dyDescent="0.75">
      <c r="G2659" s="10"/>
      <c r="H2659" s="10"/>
      <c r="I2659" s="39"/>
      <c r="J2659" s="103"/>
      <c r="K2659" s="39"/>
      <c r="L2659" s="78"/>
      <c r="M2659" s="19"/>
      <c r="N2659" s="10"/>
    </row>
    <row r="2660" spans="7:14" x14ac:dyDescent="0.75">
      <c r="G2660" s="10"/>
      <c r="H2660" s="10"/>
      <c r="I2660" s="39"/>
      <c r="J2660" s="103"/>
      <c r="K2660" s="39"/>
      <c r="L2660" s="78"/>
      <c r="M2660" s="19"/>
      <c r="N2660" s="10"/>
    </row>
    <row r="2661" spans="7:14" x14ac:dyDescent="0.75">
      <c r="G2661" s="10"/>
      <c r="H2661" s="10"/>
      <c r="I2661" s="39"/>
      <c r="J2661" s="103"/>
      <c r="K2661" s="39"/>
      <c r="L2661" s="78"/>
      <c r="M2661" s="19"/>
      <c r="N2661" s="10"/>
    </row>
    <row r="2662" spans="7:14" x14ac:dyDescent="0.75">
      <c r="G2662" s="10"/>
      <c r="H2662" s="10"/>
      <c r="I2662" s="39"/>
      <c r="J2662" s="103"/>
      <c r="K2662" s="39"/>
      <c r="L2662" s="78"/>
      <c r="M2662" s="19"/>
      <c r="N2662" s="10"/>
    </row>
    <row r="2663" spans="7:14" x14ac:dyDescent="0.75">
      <c r="G2663" s="10"/>
      <c r="H2663" s="10"/>
      <c r="I2663" s="39"/>
      <c r="J2663" s="103"/>
      <c r="K2663" s="39"/>
      <c r="L2663" s="78"/>
      <c r="M2663" s="19"/>
      <c r="N2663" s="10"/>
    </row>
    <row r="2664" spans="7:14" x14ac:dyDescent="0.75">
      <c r="G2664" s="10"/>
      <c r="H2664" s="10"/>
      <c r="I2664" s="39"/>
      <c r="J2664" s="103"/>
      <c r="K2664" s="39"/>
      <c r="L2664" s="78"/>
      <c r="M2664" s="19"/>
      <c r="N2664" s="10"/>
    </row>
    <row r="2665" spans="7:14" x14ac:dyDescent="0.75">
      <c r="G2665" s="10"/>
      <c r="H2665" s="10"/>
      <c r="I2665" s="39"/>
      <c r="J2665" s="103"/>
      <c r="K2665" s="39"/>
      <c r="L2665" s="78"/>
      <c r="M2665" s="19"/>
      <c r="N2665" s="10"/>
    </row>
    <row r="2666" spans="7:14" x14ac:dyDescent="0.75">
      <c r="G2666" s="10"/>
      <c r="H2666" s="10"/>
      <c r="I2666" s="39"/>
      <c r="J2666" s="103"/>
      <c r="K2666" s="39"/>
      <c r="L2666" s="78"/>
      <c r="M2666" s="19"/>
      <c r="N2666" s="10"/>
    </row>
    <row r="2667" spans="7:14" x14ac:dyDescent="0.75">
      <c r="G2667" s="10"/>
      <c r="H2667" s="10"/>
      <c r="I2667" s="39"/>
      <c r="J2667" s="103"/>
      <c r="K2667" s="39"/>
      <c r="L2667" s="78"/>
      <c r="M2667" s="19"/>
      <c r="N2667" s="10"/>
    </row>
    <row r="2668" spans="7:14" x14ac:dyDescent="0.75">
      <c r="G2668" s="10"/>
      <c r="H2668" s="10"/>
      <c r="I2668" s="39"/>
      <c r="J2668" s="103"/>
      <c r="K2668" s="39"/>
      <c r="L2668" s="78"/>
      <c r="M2668" s="19"/>
      <c r="N2668" s="10"/>
    </row>
    <row r="2669" spans="7:14" x14ac:dyDescent="0.75">
      <c r="G2669" s="10"/>
      <c r="H2669" s="10"/>
      <c r="I2669" s="39"/>
      <c r="J2669" s="103"/>
      <c r="K2669" s="39"/>
      <c r="L2669" s="78"/>
      <c r="M2669" s="19"/>
      <c r="N2669" s="10"/>
    </row>
    <row r="2670" spans="7:14" x14ac:dyDescent="0.75">
      <c r="G2670" s="10"/>
      <c r="H2670" s="10"/>
      <c r="I2670" s="39"/>
      <c r="J2670" s="103"/>
      <c r="K2670" s="39"/>
      <c r="L2670" s="78"/>
      <c r="M2670" s="19"/>
      <c r="N2670" s="10"/>
    </row>
    <row r="2671" spans="7:14" x14ac:dyDescent="0.75">
      <c r="G2671" s="10"/>
      <c r="H2671" s="10"/>
      <c r="I2671" s="39"/>
      <c r="J2671" s="103"/>
      <c r="K2671" s="39"/>
      <c r="L2671" s="10"/>
      <c r="M2671" s="19"/>
      <c r="N2671" s="10"/>
    </row>
    <row r="2672" spans="7:14" x14ac:dyDescent="0.75">
      <c r="G2672" s="10"/>
      <c r="H2672" s="10"/>
      <c r="I2672" s="39"/>
      <c r="J2672" s="103"/>
      <c r="K2672" s="39"/>
      <c r="L2672" s="78"/>
      <c r="M2672" s="19"/>
      <c r="N2672" s="10"/>
    </row>
    <row r="2673" spans="7:14" x14ac:dyDescent="0.75">
      <c r="G2673" s="10"/>
      <c r="H2673" s="10"/>
      <c r="I2673" s="39"/>
      <c r="J2673" s="103"/>
      <c r="K2673" s="39"/>
      <c r="L2673" s="78"/>
      <c r="M2673" s="19"/>
      <c r="N2673" s="10"/>
    </row>
    <row r="2674" spans="7:14" x14ac:dyDescent="0.75">
      <c r="G2674" s="10"/>
      <c r="H2674" s="10"/>
      <c r="I2674" s="39"/>
      <c r="J2674" s="103"/>
      <c r="K2674" s="39"/>
      <c r="L2674" s="78"/>
      <c r="M2674" s="19"/>
      <c r="N2674" s="10"/>
    </row>
    <row r="2675" spans="7:14" x14ac:dyDescent="0.75">
      <c r="G2675" s="10"/>
      <c r="H2675" s="10"/>
      <c r="I2675" s="39"/>
      <c r="J2675" s="103"/>
      <c r="K2675" s="39"/>
      <c r="L2675" s="78"/>
      <c r="M2675" s="19"/>
      <c r="N2675" s="10"/>
    </row>
    <row r="2676" spans="7:14" x14ac:dyDescent="0.75">
      <c r="G2676" s="10"/>
      <c r="H2676" s="10"/>
      <c r="I2676" s="39"/>
      <c r="J2676" s="103"/>
      <c r="K2676" s="39"/>
      <c r="L2676" s="78"/>
      <c r="M2676" s="19"/>
      <c r="N2676" s="10"/>
    </row>
    <row r="2677" spans="7:14" x14ac:dyDescent="0.75">
      <c r="G2677" s="10"/>
      <c r="H2677" s="10"/>
      <c r="I2677" s="39"/>
      <c r="J2677" s="103"/>
      <c r="K2677" s="39"/>
      <c r="L2677" s="78"/>
      <c r="M2677" s="19"/>
      <c r="N2677" s="10"/>
    </row>
    <row r="2678" spans="7:14" x14ac:dyDescent="0.75">
      <c r="G2678" s="10"/>
      <c r="H2678" s="10"/>
      <c r="I2678" s="39"/>
      <c r="J2678" s="103"/>
      <c r="K2678" s="39"/>
      <c r="L2678" s="78"/>
      <c r="M2678" s="19"/>
      <c r="N2678" s="10"/>
    </row>
    <row r="2679" spans="7:14" x14ac:dyDescent="0.75">
      <c r="G2679" s="10"/>
      <c r="H2679" s="10"/>
      <c r="I2679" s="39"/>
      <c r="J2679" s="103"/>
      <c r="K2679" s="39"/>
      <c r="L2679" s="78"/>
      <c r="M2679" s="19"/>
      <c r="N2679" s="10"/>
    </row>
    <row r="2680" spans="7:14" x14ac:dyDescent="0.75">
      <c r="G2680" s="10"/>
      <c r="H2680" s="10"/>
      <c r="I2680" s="39"/>
      <c r="J2680" s="103"/>
      <c r="K2680" s="39"/>
      <c r="L2680" s="78"/>
      <c r="M2680" s="19"/>
      <c r="N2680" s="10"/>
    </row>
    <row r="2681" spans="7:14" x14ac:dyDescent="0.75">
      <c r="G2681" s="10"/>
      <c r="H2681" s="10"/>
      <c r="I2681" s="39"/>
      <c r="J2681" s="103"/>
      <c r="K2681" s="39"/>
      <c r="L2681" s="10"/>
      <c r="M2681" s="19"/>
      <c r="N2681" s="10"/>
    </row>
    <row r="2682" spans="7:14" x14ac:dyDescent="0.75">
      <c r="G2682" s="10"/>
      <c r="H2682" s="10"/>
      <c r="I2682" s="39"/>
      <c r="J2682" s="103"/>
      <c r="K2682" s="39"/>
      <c r="L2682" s="10"/>
      <c r="M2682" s="19"/>
      <c r="N2682" s="10"/>
    </row>
    <row r="2683" spans="7:14" x14ac:dyDescent="0.75">
      <c r="G2683" s="10"/>
      <c r="H2683" s="10"/>
      <c r="I2683" s="39"/>
      <c r="J2683" s="103"/>
      <c r="K2683" s="39"/>
      <c r="L2683" s="10"/>
      <c r="M2683" s="19"/>
      <c r="N2683" s="10"/>
    </row>
    <row r="2684" spans="7:14" x14ac:dyDescent="0.75">
      <c r="G2684" s="10"/>
      <c r="H2684" s="10"/>
      <c r="I2684" s="39"/>
      <c r="J2684" s="103"/>
      <c r="K2684" s="39"/>
      <c r="L2684" s="78"/>
      <c r="M2684" s="19"/>
      <c r="N2684" s="10"/>
    </row>
    <row r="2685" spans="7:14" x14ac:dyDescent="0.75">
      <c r="G2685" s="10"/>
      <c r="H2685" s="10"/>
      <c r="I2685" s="39"/>
      <c r="J2685" s="103"/>
      <c r="K2685" s="39"/>
      <c r="L2685" s="10"/>
      <c r="M2685" s="19"/>
      <c r="N2685" s="10"/>
    </row>
    <row r="2686" spans="7:14" x14ac:dyDescent="0.75">
      <c r="G2686" s="10"/>
      <c r="H2686" s="10"/>
      <c r="I2686" s="39"/>
      <c r="J2686" s="103"/>
      <c r="K2686" s="39"/>
      <c r="L2686" s="78"/>
      <c r="M2686" s="19"/>
      <c r="N2686" s="10"/>
    </row>
    <row r="2687" spans="7:14" x14ac:dyDescent="0.75">
      <c r="G2687" s="10"/>
      <c r="H2687" s="10"/>
      <c r="I2687" s="39"/>
      <c r="J2687" s="103"/>
      <c r="K2687" s="39"/>
      <c r="L2687" s="78"/>
      <c r="M2687" s="19"/>
      <c r="N2687" s="10"/>
    </row>
    <row r="2688" spans="7:14" x14ac:dyDescent="0.75">
      <c r="G2688" s="10"/>
      <c r="H2688" s="10"/>
      <c r="I2688" s="39"/>
      <c r="J2688" s="103"/>
      <c r="K2688" s="39"/>
      <c r="L2688" s="78"/>
      <c r="M2688" s="19"/>
      <c r="N2688" s="10"/>
    </row>
    <row r="2689" spans="7:14" x14ac:dyDescent="0.75">
      <c r="G2689" s="10"/>
      <c r="H2689" s="10"/>
      <c r="I2689" s="39"/>
      <c r="J2689" s="103"/>
      <c r="K2689" s="39"/>
      <c r="L2689" s="78"/>
      <c r="M2689" s="19"/>
      <c r="N2689" s="10"/>
    </row>
    <row r="2690" spans="7:14" x14ac:dyDescent="0.75">
      <c r="G2690" s="10"/>
      <c r="H2690" s="10"/>
      <c r="I2690" s="39"/>
      <c r="J2690" s="103"/>
      <c r="K2690" s="39"/>
      <c r="L2690" s="78"/>
      <c r="M2690" s="19"/>
      <c r="N2690" s="10"/>
    </row>
    <row r="2691" spans="7:14" x14ac:dyDescent="0.75">
      <c r="G2691" s="10"/>
      <c r="H2691" s="10"/>
      <c r="I2691" s="39"/>
      <c r="J2691" s="103"/>
      <c r="K2691" s="39"/>
      <c r="L2691" s="78"/>
      <c r="M2691" s="19"/>
      <c r="N2691" s="10"/>
    </row>
    <row r="2692" spans="7:14" x14ac:dyDescent="0.75">
      <c r="G2692" s="10"/>
      <c r="H2692" s="10"/>
      <c r="I2692" s="39"/>
      <c r="J2692" s="103"/>
      <c r="K2692" s="39"/>
      <c r="L2692" s="78"/>
      <c r="M2692" s="19"/>
      <c r="N2692" s="10"/>
    </row>
    <row r="2693" spans="7:14" x14ac:dyDescent="0.75">
      <c r="G2693" s="10"/>
      <c r="H2693" s="10"/>
      <c r="I2693" s="39"/>
      <c r="J2693" s="103"/>
      <c r="K2693" s="39"/>
      <c r="L2693" s="78"/>
      <c r="M2693" s="19"/>
      <c r="N2693" s="10"/>
    </row>
    <row r="2694" spans="7:14" x14ac:dyDescent="0.75">
      <c r="G2694" s="10"/>
      <c r="H2694" s="10"/>
      <c r="I2694" s="39"/>
      <c r="J2694" s="103"/>
      <c r="K2694" s="39"/>
      <c r="L2694" s="78"/>
      <c r="M2694" s="19"/>
      <c r="N2694" s="10"/>
    </row>
    <row r="2695" spans="7:14" x14ac:dyDescent="0.75">
      <c r="G2695" s="10"/>
      <c r="H2695" s="10"/>
      <c r="I2695" s="39"/>
      <c r="J2695" s="103"/>
      <c r="K2695" s="39"/>
      <c r="L2695" s="78"/>
      <c r="M2695" s="19"/>
      <c r="N2695" s="10"/>
    </row>
    <row r="2696" spans="7:14" x14ac:dyDescent="0.75">
      <c r="G2696" s="10"/>
      <c r="H2696" s="10"/>
      <c r="I2696" s="39"/>
      <c r="J2696" s="103"/>
      <c r="K2696" s="39"/>
      <c r="L2696" s="78"/>
      <c r="M2696" s="19"/>
      <c r="N2696" s="10"/>
    </row>
    <row r="2697" spans="7:14" x14ac:dyDescent="0.75">
      <c r="G2697" s="10"/>
      <c r="H2697" s="10"/>
      <c r="I2697" s="39"/>
      <c r="J2697" s="103"/>
      <c r="K2697" s="39"/>
      <c r="L2697" s="78"/>
      <c r="M2697" s="19"/>
      <c r="N2697" s="10"/>
    </row>
    <row r="2698" spans="7:14" x14ac:dyDescent="0.75">
      <c r="G2698" s="10"/>
      <c r="H2698" s="10"/>
      <c r="I2698" s="39"/>
      <c r="J2698" s="103"/>
      <c r="K2698" s="39"/>
      <c r="L2698" s="10"/>
      <c r="M2698" s="19"/>
      <c r="N2698" s="10"/>
    </row>
    <row r="2699" spans="7:14" x14ac:dyDescent="0.75">
      <c r="G2699" s="10"/>
      <c r="H2699" s="10"/>
      <c r="I2699" s="39"/>
      <c r="J2699" s="103"/>
      <c r="K2699" s="39"/>
      <c r="L2699" s="78"/>
      <c r="M2699" s="19"/>
      <c r="N2699" s="10"/>
    </row>
    <row r="2700" spans="7:14" x14ac:dyDescent="0.75">
      <c r="G2700" s="10"/>
      <c r="H2700" s="10"/>
      <c r="I2700" s="39"/>
      <c r="J2700" s="103"/>
      <c r="K2700" s="39"/>
      <c r="L2700" s="78"/>
      <c r="M2700" s="19"/>
      <c r="N2700" s="10"/>
    </row>
    <row r="2701" spans="7:14" x14ac:dyDescent="0.75">
      <c r="G2701" s="10"/>
      <c r="H2701" s="10"/>
      <c r="I2701" s="39"/>
      <c r="J2701" s="103"/>
      <c r="K2701" s="39"/>
      <c r="L2701" s="78"/>
      <c r="M2701" s="19"/>
      <c r="N2701" s="10"/>
    </row>
    <row r="2702" spans="7:14" x14ac:dyDescent="0.75">
      <c r="G2702" s="10"/>
      <c r="H2702" s="10"/>
      <c r="I2702" s="39"/>
      <c r="J2702" s="103"/>
      <c r="K2702" s="39"/>
      <c r="L2702" s="78"/>
      <c r="M2702" s="19"/>
      <c r="N2702" s="10"/>
    </row>
    <row r="2703" spans="7:14" x14ac:dyDescent="0.75">
      <c r="G2703" s="10"/>
      <c r="H2703" s="10"/>
      <c r="I2703" s="39"/>
      <c r="J2703" s="103"/>
      <c r="K2703" s="39"/>
      <c r="L2703" s="78"/>
      <c r="M2703" s="19"/>
      <c r="N2703" s="10"/>
    </row>
    <row r="2704" spans="7:14" x14ac:dyDescent="0.75">
      <c r="G2704" s="10"/>
      <c r="H2704" s="10"/>
      <c r="I2704" s="39"/>
      <c r="J2704" s="103"/>
      <c r="K2704" s="39"/>
      <c r="L2704" s="78"/>
      <c r="M2704" s="19"/>
      <c r="N2704" s="10"/>
    </row>
    <row r="2705" spans="7:14" x14ac:dyDescent="0.75">
      <c r="G2705" s="10"/>
      <c r="H2705" s="10"/>
      <c r="I2705" s="39"/>
      <c r="J2705" s="103"/>
      <c r="K2705" s="39"/>
      <c r="L2705" s="78"/>
      <c r="M2705" s="19"/>
      <c r="N2705" s="10"/>
    </row>
    <row r="2706" spans="7:14" x14ac:dyDescent="0.75">
      <c r="G2706" s="10"/>
      <c r="H2706" s="10"/>
      <c r="I2706" s="39"/>
      <c r="J2706" s="103"/>
      <c r="K2706" s="39"/>
      <c r="L2706" s="78"/>
      <c r="M2706" s="19"/>
      <c r="N2706" s="10"/>
    </row>
    <row r="2707" spans="7:14" x14ac:dyDescent="0.75">
      <c r="G2707" s="10"/>
      <c r="H2707" s="10"/>
      <c r="I2707" s="39"/>
      <c r="J2707" s="103"/>
      <c r="K2707" s="39"/>
      <c r="L2707" s="78"/>
      <c r="M2707" s="19"/>
      <c r="N2707" s="10"/>
    </row>
    <row r="2708" spans="7:14" x14ac:dyDescent="0.75">
      <c r="G2708" s="10"/>
      <c r="H2708" s="10"/>
      <c r="I2708" s="39"/>
      <c r="J2708" s="103"/>
      <c r="K2708" s="39"/>
      <c r="L2708" s="78"/>
      <c r="M2708" s="19"/>
      <c r="N2708" s="10"/>
    </row>
    <row r="2709" spans="7:14" x14ac:dyDescent="0.75">
      <c r="G2709" s="10"/>
      <c r="H2709" s="10"/>
      <c r="I2709" s="39"/>
      <c r="J2709" s="103"/>
      <c r="K2709" s="39"/>
      <c r="L2709" s="78"/>
      <c r="M2709" s="19"/>
      <c r="N2709" s="10"/>
    </row>
    <row r="2710" spans="7:14" x14ac:dyDescent="0.75">
      <c r="G2710" s="10"/>
      <c r="H2710" s="10"/>
      <c r="I2710" s="39"/>
      <c r="J2710" s="103"/>
      <c r="K2710" s="39"/>
      <c r="L2710" s="78"/>
      <c r="M2710" s="19"/>
      <c r="N2710" s="10"/>
    </row>
    <row r="2711" spans="7:14" x14ac:dyDescent="0.75">
      <c r="G2711" s="10"/>
      <c r="H2711" s="10"/>
      <c r="I2711" s="39"/>
      <c r="J2711" s="103"/>
      <c r="K2711" s="39"/>
      <c r="L2711" s="78"/>
      <c r="M2711" s="19"/>
      <c r="N2711" s="10"/>
    </row>
    <row r="2712" spans="7:14" x14ac:dyDescent="0.75">
      <c r="G2712" s="10"/>
      <c r="H2712" s="10"/>
      <c r="I2712" s="39"/>
      <c r="J2712" s="103"/>
      <c r="K2712" s="39"/>
      <c r="L2712" s="78"/>
      <c r="M2712" s="19"/>
      <c r="N2712" s="10"/>
    </row>
    <row r="2713" spans="7:14" x14ac:dyDescent="0.75">
      <c r="G2713" s="10"/>
      <c r="H2713" s="10"/>
      <c r="I2713" s="39"/>
      <c r="J2713" s="103"/>
      <c r="K2713" s="39"/>
      <c r="L2713" s="78"/>
      <c r="M2713" s="19"/>
      <c r="N2713" s="10"/>
    </row>
    <row r="2714" spans="7:14" x14ac:dyDescent="0.75">
      <c r="G2714" s="10"/>
      <c r="H2714" s="10"/>
      <c r="I2714" s="39"/>
      <c r="J2714" s="103"/>
      <c r="K2714" s="39"/>
      <c r="L2714" s="78"/>
      <c r="M2714" s="19"/>
      <c r="N2714" s="10"/>
    </row>
    <row r="2715" spans="7:14" x14ac:dyDescent="0.75">
      <c r="G2715" s="10"/>
      <c r="H2715" s="10"/>
      <c r="I2715" s="39"/>
      <c r="J2715" s="103"/>
      <c r="K2715" s="39"/>
      <c r="L2715" s="78"/>
      <c r="M2715" s="19"/>
      <c r="N2715" s="10"/>
    </row>
    <row r="2716" spans="7:14" x14ac:dyDescent="0.75">
      <c r="G2716" s="10"/>
      <c r="H2716" s="10"/>
      <c r="I2716" s="39"/>
      <c r="J2716" s="103"/>
      <c r="K2716" s="39"/>
      <c r="L2716" s="10"/>
      <c r="M2716" s="19"/>
      <c r="N2716" s="10"/>
    </row>
    <row r="2717" spans="7:14" x14ac:dyDescent="0.75">
      <c r="G2717" s="10"/>
      <c r="H2717" s="10"/>
      <c r="I2717" s="39"/>
      <c r="J2717" s="103"/>
      <c r="K2717" s="39"/>
      <c r="L2717" s="10"/>
      <c r="M2717" s="19"/>
      <c r="N2717" s="10"/>
    </row>
    <row r="2718" spans="7:14" x14ac:dyDescent="0.75">
      <c r="G2718" s="10"/>
      <c r="H2718" s="10"/>
      <c r="I2718" s="39"/>
      <c r="J2718" s="103"/>
      <c r="K2718" s="39"/>
      <c r="L2718" s="10"/>
      <c r="M2718" s="19"/>
      <c r="N2718" s="10"/>
    </row>
    <row r="2719" spans="7:14" x14ac:dyDescent="0.75">
      <c r="G2719" s="10"/>
      <c r="H2719" s="10"/>
      <c r="I2719" s="39"/>
      <c r="J2719" s="103"/>
      <c r="K2719" s="39"/>
      <c r="L2719" s="78"/>
      <c r="M2719" s="19"/>
      <c r="N2719" s="10"/>
    </row>
    <row r="2720" spans="7:14" x14ac:dyDescent="0.75">
      <c r="G2720" s="10"/>
      <c r="H2720" s="10"/>
      <c r="I2720" s="39"/>
      <c r="J2720" s="103"/>
      <c r="K2720" s="39"/>
      <c r="L2720" s="78"/>
      <c r="M2720" s="19"/>
      <c r="N2720" s="10"/>
    </row>
    <row r="2721" spans="7:14" x14ac:dyDescent="0.75">
      <c r="G2721" s="10"/>
      <c r="H2721" s="10"/>
      <c r="I2721" s="39"/>
      <c r="J2721" s="103"/>
      <c r="K2721" s="39"/>
      <c r="L2721" s="10"/>
      <c r="M2721" s="19"/>
      <c r="N2721" s="10"/>
    </row>
    <row r="2722" spans="7:14" x14ac:dyDescent="0.75">
      <c r="G2722" s="10"/>
      <c r="H2722" s="10"/>
      <c r="I2722" s="39"/>
      <c r="J2722" s="103"/>
      <c r="K2722" s="39"/>
      <c r="L2722" s="10"/>
      <c r="M2722" s="19"/>
      <c r="N2722" s="10"/>
    </row>
    <row r="2723" spans="7:14" x14ac:dyDescent="0.75">
      <c r="G2723" s="10"/>
      <c r="H2723" s="10"/>
      <c r="I2723" s="39"/>
      <c r="J2723" s="103"/>
      <c r="K2723" s="39"/>
      <c r="L2723" s="78"/>
      <c r="M2723" s="19"/>
      <c r="N2723" s="10"/>
    </row>
    <row r="2724" spans="7:14" x14ac:dyDescent="0.75">
      <c r="G2724" s="10"/>
      <c r="H2724" s="10"/>
      <c r="I2724" s="39"/>
      <c r="J2724" s="103"/>
      <c r="K2724" s="39"/>
      <c r="L2724" s="78"/>
      <c r="M2724" s="19"/>
      <c r="N2724" s="10"/>
    </row>
    <row r="2725" spans="7:14" x14ac:dyDescent="0.75">
      <c r="G2725" s="10"/>
      <c r="H2725" s="10"/>
      <c r="I2725" s="39"/>
      <c r="J2725" s="103"/>
      <c r="K2725" s="39"/>
      <c r="L2725" s="78"/>
      <c r="M2725" s="19"/>
      <c r="N2725" s="10"/>
    </row>
    <row r="2726" spans="7:14" x14ac:dyDescent="0.75">
      <c r="G2726" s="10"/>
      <c r="H2726" s="10"/>
      <c r="I2726" s="39"/>
      <c r="J2726" s="103"/>
      <c r="K2726" s="39"/>
      <c r="L2726" s="78"/>
      <c r="M2726" s="19"/>
      <c r="N2726" s="10"/>
    </row>
    <row r="2727" spans="7:14" x14ac:dyDescent="0.75">
      <c r="G2727" s="10"/>
      <c r="H2727" s="10"/>
      <c r="I2727" s="39"/>
      <c r="J2727" s="103"/>
      <c r="K2727" s="39"/>
      <c r="L2727" s="10"/>
      <c r="M2727" s="19"/>
      <c r="N2727" s="10"/>
    </row>
    <row r="2728" spans="7:14" x14ac:dyDescent="0.75">
      <c r="G2728" s="10"/>
      <c r="H2728" s="10"/>
      <c r="I2728" s="39"/>
      <c r="J2728" s="103"/>
      <c r="K2728" s="39"/>
      <c r="L2728" s="78"/>
      <c r="M2728" s="19"/>
      <c r="N2728" s="10"/>
    </row>
    <row r="2729" spans="7:14" x14ac:dyDescent="0.75">
      <c r="G2729" s="10"/>
      <c r="H2729" s="10"/>
      <c r="I2729" s="39"/>
      <c r="J2729" s="103"/>
      <c r="K2729" s="39"/>
      <c r="L2729" s="78"/>
      <c r="M2729" s="19"/>
      <c r="N2729" s="10"/>
    </row>
    <row r="2730" spans="7:14" x14ac:dyDescent="0.75">
      <c r="G2730" s="10"/>
      <c r="H2730" s="10"/>
      <c r="I2730" s="39"/>
      <c r="J2730" s="103"/>
      <c r="K2730" s="39"/>
      <c r="L2730" s="10"/>
      <c r="M2730" s="19"/>
      <c r="N2730" s="10"/>
    </row>
    <row r="2731" spans="7:14" x14ac:dyDescent="0.75">
      <c r="G2731" s="10"/>
      <c r="H2731" s="10"/>
      <c r="I2731" s="39"/>
      <c r="J2731" s="103"/>
      <c r="K2731" s="39"/>
      <c r="L2731" s="10"/>
      <c r="M2731" s="19"/>
      <c r="N2731" s="10"/>
    </row>
    <row r="2732" spans="7:14" x14ac:dyDescent="0.75">
      <c r="G2732" s="10"/>
      <c r="H2732" s="10"/>
      <c r="I2732" s="39"/>
      <c r="J2732" s="103"/>
      <c r="K2732" s="39"/>
      <c r="L2732" s="10"/>
      <c r="M2732" s="19"/>
      <c r="N2732" s="10"/>
    </row>
    <row r="2733" spans="7:14" x14ac:dyDescent="0.75">
      <c r="G2733" s="10"/>
      <c r="H2733" s="10"/>
      <c r="I2733" s="39"/>
      <c r="J2733" s="103"/>
      <c r="K2733" s="39"/>
      <c r="L2733" s="78"/>
      <c r="M2733" s="19"/>
      <c r="N2733" s="10"/>
    </row>
    <row r="2734" spans="7:14" x14ac:dyDescent="0.75">
      <c r="G2734" s="10"/>
      <c r="H2734" s="10"/>
      <c r="I2734" s="39"/>
      <c r="J2734" s="103"/>
      <c r="K2734" s="39"/>
      <c r="L2734" s="78"/>
      <c r="M2734" s="19"/>
      <c r="N2734" s="10"/>
    </row>
    <row r="2735" spans="7:14" x14ac:dyDescent="0.75">
      <c r="G2735" s="10"/>
      <c r="H2735" s="10"/>
      <c r="I2735" s="39"/>
      <c r="J2735" s="103"/>
      <c r="K2735" s="39"/>
      <c r="L2735" s="78"/>
      <c r="M2735" s="19"/>
      <c r="N2735" s="10"/>
    </row>
    <row r="2736" spans="7:14" x14ac:dyDescent="0.75">
      <c r="G2736" s="10"/>
      <c r="H2736" s="10"/>
      <c r="I2736" s="39"/>
      <c r="J2736" s="103"/>
      <c r="K2736" s="39"/>
      <c r="L2736" s="78"/>
      <c r="M2736" s="19"/>
      <c r="N2736" s="10"/>
    </row>
    <row r="2737" spans="7:14" x14ac:dyDescent="0.75">
      <c r="G2737" s="10"/>
      <c r="H2737" s="10"/>
      <c r="I2737" s="39"/>
      <c r="J2737" s="103"/>
      <c r="K2737" s="39"/>
      <c r="L2737" s="78"/>
      <c r="M2737" s="19"/>
      <c r="N2737" s="10"/>
    </row>
    <row r="2738" spans="7:14" x14ac:dyDescent="0.75">
      <c r="G2738" s="10"/>
      <c r="H2738" s="10"/>
      <c r="I2738" s="39"/>
      <c r="J2738" s="103"/>
      <c r="K2738" s="39"/>
      <c r="L2738" s="78"/>
      <c r="M2738" s="19"/>
      <c r="N2738" s="10"/>
    </row>
    <row r="2739" spans="7:14" x14ac:dyDescent="0.75">
      <c r="G2739" s="10"/>
      <c r="H2739" s="10"/>
      <c r="I2739" s="39"/>
      <c r="J2739" s="103"/>
      <c r="K2739" s="39"/>
      <c r="L2739" s="78"/>
      <c r="M2739" s="19"/>
      <c r="N2739" s="10"/>
    </row>
    <row r="2740" spans="7:14" x14ac:dyDescent="0.75">
      <c r="G2740" s="10"/>
      <c r="H2740" s="10"/>
      <c r="I2740" s="39"/>
      <c r="J2740" s="103"/>
      <c r="K2740" s="39"/>
      <c r="L2740" s="78"/>
      <c r="M2740" s="19"/>
      <c r="N2740" s="10"/>
    </row>
    <row r="2741" spans="7:14" x14ac:dyDescent="0.75">
      <c r="G2741" s="10"/>
      <c r="H2741" s="10"/>
      <c r="I2741" s="39"/>
      <c r="J2741" s="103"/>
      <c r="K2741" s="39"/>
      <c r="L2741" s="78"/>
      <c r="M2741" s="19"/>
      <c r="N2741" s="10"/>
    </row>
    <row r="2742" spans="7:14" x14ac:dyDescent="0.75">
      <c r="G2742" s="10"/>
      <c r="H2742" s="10"/>
      <c r="I2742" s="39"/>
      <c r="J2742" s="103"/>
      <c r="K2742" s="39"/>
      <c r="L2742" s="10"/>
      <c r="M2742" s="19"/>
      <c r="N2742" s="10"/>
    </row>
    <row r="2743" spans="7:14" x14ac:dyDescent="0.75">
      <c r="G2743" s="10"/>
      <c r="H2743" s="10"/>
      <c r="I2743" s="39"/>
      <c r="J2743" s="103"/>
      <c r="K2743" s="39"/>
      <c r="L2743" s="78"/>
      <c r="M2743" s="19"/>
      <c r="N2743" s="10"/>
    </row>
    <row r="2744" spans="7:14" x14ac:dyDescent="0.75">
      <c r="G2744" s="10"/>
      <c r="H2744" s="10"/>
      <c r="I2744" s="39"/>
      <c r="J2744" s="103"/>
      <c r="K2744" s="39"/>
      <c r="L2744" s="78"/>
      <c r="M2744" s="19"/>
      <c r="N2744" s="10"/>
    </row>
    <row r="2745" spans="7:14" x14ac:dyDescent="0.75">
      <c r="G2745" s="10"/>
      <c r="H2745" s="10"/>
      <c r="I2745" s="39"/>
      <c r="J2745" s="103"/>
      <c r="K2745" s="39"/>
      <c r="L2745" s="78"/>
      <c r="M2745" s="19"/>
      <c r="N2745" s="10"/>
    </row>
    <row r="2746" spans="7:14" x14ac:dyDescent="0.75">
      <c r="G2746" s="10"/>
      <c r="H2746" s="10"/>
      <c r="I2746" s="39"/>
      <c r="J2746" s="103"/>
      <c r="K2746" s="39"/>
      <c r="L2746" s="78"/>
      <c r="M2746" s="19"/>
      <c r="N2746" s="10"/>
    </row>
    <row r="2747" spans="7:14" x14ac:dyDescent="0.75">
      <c r="G2747" s="10"/>
      <c r="H2747" s="10"/>
      <c r="I2747" s="39"/>
      <c r="J2747" s="103"/>
      <c r="K2747" s="39"/>
      <c r="L2747" s="78"/>
      <c r="M2747" s="19"/>
      <c r="N2747" s="10"/>
    </row>
    <row r="2748" spans="7:14" x14ac:dyDescent="0.75">
      <c r="G2748" s="10"/>
      <c r="H2748" s="10"/>
      <c r="I2748" s="39"/>
      <c r="J2748" s="103"/>
      <c r="K2748" s="39"/>
      <c r="L2748" s="78"/>
      <c r="M2748" s="19"/>
      <c r="N2748" s="10"/>
    </row>
    <row r="2749" spans="7:14" x14ac:dyDescent="0.75">
      <c r="G2749" s="10"/>
      <c r="H2749" s="10"/>
      <c r="I2749" s="39"/>
      <c r="J2749" s="103"/>
      <c r="K2749" s="39"/>
      <c r="L2749" s="78"/>
      <c r="M2749" s="19"/>
      <c r="N2749" s="10"/>
    </row>
    <row r="2750" spans="7:14" x14ac:dyDescent="0.75">
      <c r="G2750" s="10"/>
      <c r="H2750" s="10"/>
      <c r="I2750" s="39"/>
      <c r="J2750" s="103"/>
      <c r="K2750" s="39"/>
      <c r="L2750" s="10"/>
      <c r="M2750" s="19"/>
      <c r="N2750" s="10"/>
    </row>
    <row r="2751" spans="7:14" x14ac:dyDescent="0.75">
      <c r="G2751" s="10"/>
      <c r="H2751" s="10"/>
      <c r="I2751" s="39"/>
      <c r="J2751" s="103"/>
      <c r="K2751" s="39"/>
      <c r="L2751" s="78"/>
      <c r="M2751" s="19"/>
      <c r="N2751" s="10"/>
    </row>
    <row r="2752" spans="7:14" x14ac:dyDescent="0.75">
      <c r="G2752" s="10"/>
      <c r="H2752" s="10"/>
      <c r="I2752" s="39"/>
      <c r="J2752" s="103"/>
      <c r="K2752" s="39"/>
      <c r="L2752" s="78"/>
      <c r="M2752" s="19"/>
      <c r="N2752" s="10"/>
    </row>
    <row r="2753" spans="7:14" x14ac:dyDescent="0.75">
      <c r="G2753" s="10"/>
      <c r="H2753" s="10"/>
      <c r="I2753" s="39"/>
      <c r="J2753" s="103"/>
      <c r="K2753" s="39"/>
      <c r="L2753" s="78"/>
      <c r="M2753" s="19"/>
      <c r="N2753" s="10"/>
    </row>
    <row r="2754" spans="7:14" x14ac:dyDescent="0.75">
      <c r="G2754" s="10"/>
      <c r="H2754" s="10"/>
      <c r="I2754" s="39"/>
      <c r="J2754" s="103"/>
      <c r="K2754" s="39"/>
      <c r="L2754" s="78"/>
      <c r="M2754" s="19"/>
      <c r="N2754" s="10"/>
    </row>
    <row r="2755" spans="7:14" x14ac:dyDescent="0.75">
      <c r="G2755" s="10"/>
      <c r="H2755" s="10"/>
      <c r="I2755" s="39"/>
      <c r="J2755" s="103"/>
      <c r="K2755" s="39"/>
      <c r="L2755" s="78"/>
      <c r="M2755" s="19"/>
      <c r="N2755" s="10"/>
    </row>
    <row r="2756" spans="7:14" x14ac:dyDescent="0.75">
      <c r="G2756" s="10"/>
      <c r="H2756" s="10"/>
      <c r="I2756" s="39"/>
      <c r="J2756" s="103"/>
      <c r="K2756" s="39"/>
      <c r="L2756" s="78"/>
      <c r="M2756" s="19"/>
      <c r="N2756" s="10"/>
    </row>
    <row r="2757" spans="7:14" x14ac:dyDescent="0.75">
      <c r="G2757" s="10"/>
      <c r="H2757" s="10"/>
      <c r="I2757" s="39"/>
      <c r="J2757" s="103"/>
      <c r="K2757" s="39"/>
      <c r="L2757" s="78"/>
      <c r="M2757" s="19"/>
      <c r="N2757" s="10"/>
    </row>
    <row r="2758" spans="7:14" x14ac:dyDescent="0.75">
      <c r="G2758" s="10"/>
      <c r="H2758" s="10"/>
      <c r="I2758" s="39"/>
      <c r="J2758" s="103"/>
      <c r="K2758" s="39"/>
      <c r="L2758" s="78"/>
      <c r="M2758" s="19"/>
      <c r="N2758" s="10"/>
    </row>
    <row r="2759" spans="7:14" x14ac:dyDescent="0.75">
      <c r="G2759" s="10"/>
      <c r="H2759" s="10"/>
      <c r="I2759" s="39"/>
      <c r="J2759" s="103"/>
      <c r="K2759" s="39"/>
      <c r="L2759" s="78"/>
      <c r="M2759" s="19"/>
      <c r="N2759" s="10"/>
    </row>
    <row r="2760" spans="7:14" x14ac:dyDescent="0.75">
      <c r="G2760" s="10"/>
      <c r="H2760" s="10"/>
      <c r="I2760" s="39"/>
      <c r="J2760" s="103"/>
      <c r="K2760" s="39"/>
      <c r="L2760" s="78"/>
      <c r="M2760" s="19"/>
      <c r="N2760" s="10"/>
    </row>
    <row r="2761" spans="7:14" x14ac:dyDescent="0.75">
      <c r="G2761" s="10"/>
      <c r="H2761" s="10"/>
      <c r="I2761" s="39"/>
      <c r="J2761" s="103"/>
      <c r="K2761" s="39"/>
      <c r="L2761" s="78"/>
      <c r="M2761" s="19"/>
      <c r="N2761" s="10"/>
    </row>
    <row r="2762" spans="7:14" x14ac:dyDescent="0.75">
      <c r="G2762" s="10"/>
      <c r="H2762" s="10"/>
      <c r="I2762" s="39"/>
      <c r="J2762" s="103"/>
      <c r="K2762" s="39"/>
      <c r="L2762" s="78"/>
      <c r="M2762" s="19"/>
      <c r="N2762" s="10"/>
    </row>
    <row r="2763" spans="7:14" x14ac:dyDescent="0.75">
      <c r="G2763" s="10"/>
      <c r="H2763" s="10"/>
      <c r="I2763" s="39"/>
      <c r="J2763" s="103"/>
      <c r="K2763" s="39"/>
      <c r="L2763" s="78"/>
      <c r="M2763" s="19"/>
      <c r="N2763" s="10"/>
    </row>
    <row r="2764" spans="7:14" x14ac:dyDescent="0.75">
      <c r="G2764" s="10"/>
      <c r="H2764" s="10"/>
      <c r="I2764" s="39"/>
      <c r="J2764" s="103"/>
      <c r="K2764" s="39"/>
      <c r="L2764" s="78"/>
      <c r="M2764" s="19"/>
      <c r="N2764" s="10"/>
    </row>
    <row r="2765" spans="7:14" x14ac:dyDescent="0.75">
      <c r="G2765" s="10"/>
      <c r="H2765" s="10"/>
      <c r="I2765" s="39"/>
      <c r="J2765" s="103"/>
      <c r="K2765" s="39"/>
      <c r="L2765" s="78"/>
      <c r="M2765" s="19"/>
      <c r="N2765" s="10"/>
    </row>
    <row r="2766" spans="7:14" x14ac:dyDescent="0.75">
      <c r="G2766" s="10"/>
      <c r="H2766" s="10"/>
      <c r="I2766" s="39"/>
      <c r="J2766" s="103"/>
      <c r="K2766" s="39"/>
      <c r="L2766" s="78"/>
      <c r="M2766" s="19"/>
      <c r="N2766" s="10"/>
    </row>
    <row r="2767" spans="7:14" x14ac:dyDescent="0.75">
      <c r="G2767" s="10"/>
      <c r="H2767" s="10"/>
      <c r="I2767" s="39"/>
      <c r="J2767" s="103"/>
      <c r="K2767" s="39"/>
      <c r="L2767" s="78"/>
      <c r="M2767" s="19"/>
      <c r="N2767" s="10"/>
    </row>
    <row r="2768" spans="7:14" x14ac:dyDescent="0.75">
      <c r="G2768" s="10"/>
      <c r="H2768" s="10"/>
      <c r="I2768" s="39"/>
      <c r="J2768" s="103"/>
      <c r="K2768" s="39"/>
      <c r="L2768" s="78"/>
      <c r="M2768" s="19"/>
      <c r="N2768" s="10"/>
    </row>
    <row r="2769" spans="7:14" x14ac:dyDescent="0.75">
      <c r="G2769" s="10"/>
      <c r="H2769" s="10"/>
      <c r="I2769" s="39"/>
      <c r="J2769" s="103"/>
      <c r="K2769" s="39"/>
      <c r="L2769" s="78"/>
      <c r="M2769" s="19"/>
      <c r="N2769" s="10"/>
    </row>
    <row r="2770" spans="7:14" x14ac:dyDescent="0.75">
      <c r="G2770" s="10"/>
      <c r="H2770" s="10"/>
      <c r="I2770" s="39"/>
      <c r="J2770" s="103"/>
      <c r="K2770" s="39"/>
      <c r="L2770" s="10"/>
      <c r="M2770" s="19"/>
      <c r="N2770" s="10"/>
    </row>
    <row r="2771" spans="7:14" x14ac:dyDescent="0.75">
      <c r="G2771" s="10"/>
      <c r="H2771" s="10"/>
      <c r="I2771" s="39"/>
      <c r="J2771" s="103"/>
      <c r="K2771" s="39"/>
      <c r="L2771" s="78"/>
      <c r="M2771" s="19"/>
      <c r="N2771" s="10"/>
    </row>
    <row r="2772" spans="7:14" x14ac:dyDescent="0.75">
      <c r="G2772" s="10"/>
      <c r="H2772" s="10"/>
      <c r="I2772" s="39"/>
      <c r="J2772" s="103"/>
      <c r="K2772" s="39"/>
      <c r="L2772" s="78"/>
      <c r="M2772" s="19"/>
      <c r="N2772" s="10"/>
    </row>
    <row r="2773" spans="7:14" x14ac:dyDescent="0.75">
      <c r="G2773" s="10"/>
      <c r="H2773" s="10"/>
      <c r="I2773" s="39"/>
      <c r="J2773" s="103"/>
      <c r="K2773" s="39"/>
      <c r="L2773" s="78"/>
      <c r="M2773" s="19"/>
      <c r="N2773" s="10"/>
    </row>
    <row r="2774" spans="7:14" x14ac:dyDescent="0.75">
      <c r="G2774" s="10"/>
      <c r="H2774" s="10"/>
      <c r="I2774" s="39"/>
      <c r="J2774" s="103"/>
      <c r="K2774" s="39"/>
      <c r="L2774" s="78"/>
      <c r="M2774" s="19"/>
      <c r="N2774" s="10"/>
    </row>
    <row r="2775" spans="7:14" x14ac:dyDescent="0.75">
      <c r="G2775" s="10"/>
      <c r="H2775" s="10"/>
      <c r="I2775" s="39"/>
      <c r="J2775" s="103"/>
      <c r="K2775" s="39"/>
      <c r="L2775" s="78"/>
      <c r="M2775" s="19"/>
      <c r="N2775" s="10"/>
    </row>
    <row r="2776" spans="7:14" x14ac:dyDescent="0.75">
      <c r="G2776" s="10"/>
      <c r="H2776" s="10"/>
      <c r="I2776" s="39"/>
      <c r="J2776" s="103"/>
      <c r="K2776" s="39"/>
      <c r="L2776" s="78"/>
      <c r="M2776" s="19"/>
      <c r="N2776" s="10"/>
    </row>
    <row r="2777" spans="7:14" x14ac:dyDescent="0.75">
      <c r="G2777" s="10"/>
      <c r="H2777" s="10"/>
      <c r="I2777" s="39"/>
      <c r="J2777" s="103"/>
      <c r="K2777" s="39"/>
      <c r="L2777" s="78"/>
      <c r="M2777" s="19"/>
      <c r="N2777" s="10"/>
    </row>
    <row r="2778" spans="7:14" x14ac:dyDescent="0.75">
      <c r="G2778" s="10"/>
      <c r="H2778" s="10"/>
      <c r="I2778" s="39"/>
      <c r="J2778" s="103"/>
      <c r="K2778" s="39"/>
      <c r="L2778" s="78"/>
      <c r="M2778" s="19"/>
      <c r="N2778" s="10"/>
    </row>
    <row r="2779" spans="7:14" x14ac:dyDescent="0.75">
      <c r="G2779" s="10"/>
      <c r="H2779" s="10"/>
      <c r="I2779" s="39"/>
      <c r="J2779" s="103"/>
      <c r="K2779" s="39"/>
      <c r="L2779" s="78"/>
      <c r="M2779" s="19"/>
      <c r="N2779" s="10"/>
    </row>
    <row r="2780" spans="7:14" x14ac:dyDescent="0.75">
      <c r="G2780" s="10"/>
      <c r="H2780" s="10"/>
      <c r="I2780" s="39"/>
      <c r="J2780" s="103"/>
      <c r="K2780" s="39"/>
      <c r="L2780" s="78"/>
      <c r="M2780" s="19"/>
      <c r="N2780" s="10"/>
    </row>
    <row r="2781" spans="7:14" x14ac:dyDescent="0.75">
      <c r="G2781" s="10"/>
      <c r="H2781" s="10"/>
      <c r="I2781" s="39"/>
      <c r="J2781" s="103"/>
      <c r="K2781" s="39"/>
      <c r="L2781" s="78"/>
      <c r="M2781" s="19"/>
      <c r="N2781" s="10"/>
    </row>
    <row r="2782" spans="7:14" x14ac:dyDescent="0.75">
      <c r="G2782" s="10"/>
      <c r="H2782" s="10"/>
      <c r="I2782" s="39"/>
      <c r="J2782" s="103"/>
      <c r="K2782" s="39"/>
      <c r="L2782" s="78"/>
      <c r="M2782" s="19"/>
      <c r="N2782" s="10"/>
    </row>
    <row r="2783" spans="7:14" x14ac:dyDescent="0.75">
      <c r="G2783" s="10"/>
      <c r="H2783" s="10"/>
      <c r="I2783" s="39"/>
      <c r="J2783" s="103"/>
      <c r="K2783" s="39"/>
      <c r="L2783" s="78"/>
      <c r="M2783" s="19"/>
      <c r="N2783" s="10"/>
    </row>
    <row r="2784" spans="7:14" x14ac:dyDescent="0.75">
      <c r="G2784" s="10"/>
      <c r="H2784" s="10"/>
      <c r="I2784" s="39"/>
      <c r="J2784" s="103"/>
      <c r="K2784" s="39"/>
      <c r="L2784" s="78"/>
      <c r="M2784" s="19"/>
      <c r="N2784" s="10"/>
    </row>
    <row r="2785" spans="7:14" x14ac:dyDescent="0.75">
      <c r="G2785" s="10"/>
      <c r="H2785" s="10"/>
      <c r="I2785" s="39"/>
      <c r="J2785" s="103"/>
      <c r="K2785" s="39"/>
      <c r="L2785" s="78"/>
      <c r="M2785" s="19"/>
      <c r="N2785" s="10"/>
    </row>
    <row r="2786" spans="7:14" x14ac:dyDescent="0.75">
      <c r="G2786" s="10"/>
      <c r="H2786" s="10"/>
      <c r="I2786" s="39"/>
      <c r="J2786" s="103"/>
      <c r="K2786" s="39"/>
      <c r="L2786" s="78"/>
      <c r="M2786" s="19"/>
      <c r="N2786" s="10"/>
    </row>
    <row r="2787" spans="7:14" x14ac:dyDescent="0.75">
      <c r="G2787" s="10"/>
      <c r="H2787" s="10"/>
      <c r="I2787" s="39"/>
      <c r="J2787" s="103"/>
      <c r="K2787" s="39"/>
      <c r="L2787" s="78"/>
      <c r="M2787" s="19"/>
      <c r="N2787" s="10"/>
    </row>
    <row r="2788" spans="7:14" x14ac:dyDescent="0.75">
      <c r="G2788" s="10"/>
      <c r="H2788" s="10"/>
      <c r="I2788" s="39"/>
      <c r="J2788" s="103"/>
      <c r="K2788" s="39"/>
      <c r="L2788" s="78"/>
      <c r="M2788" s="19"/>
      <c r="N2788" s="10"/>
    </row>
    <row r="2789" spans="7:14" x14ac:dyDescent="0.75">
      <c r="G2789" s="10"/>
      <c r="H2789" s="10"/>
      <c r="I2789" s="39"/>
      <c r="J2789" s="103"/>
      <c r="K2789" s="39"/>
      <c r="L2789" s="78"/>
      <c r="M2789" s="19"/>
      <c r="N2789" s="10"/>
    </row>
    <row r="2790" spans="7:14" x14ac:dyDescent="0.75">
      <c r="G2790" s="10"/>
      <c r="H2790" s="10"/>
      <c r="I2790" s="39"/>
      <c r="J2790" s="103"/>
      <c r="K2790" s="39"/>
      <c r="L2790" s="78"/>
      <c r="M2790" s="19"/>
      <c r="N2790" s="10"/>
    </row>
    <row r="2791" spans="7:14" x14ac:dyDescent="0.75">
      <c r="G2791" s="10"/>
      <c r="H2791" s="10"/>
      <c r="I2791" s="39"/>
      <c r="J2791" s="103"/>
      <c r="K2791" s="39"/>
      <c r="L2791" s="78"/>
      <c r="M2791" s="19"/>
      <c r="N2791" s="10"/>
    </row>
    <row r="2792" spans="7:14" x14ac:dyDescent="0.75">
      <c r="G2792" s="10"/>
      <c r="H2792" s="10"/>
      <c r="I2792" s="39"/>
      <c r="J2792" s="103"/>
      <c r="K2792" s="39"/>
      <c r="L2792" s="10"/>
      <c r="M2792" s="19"/>
      <c r="N2792" s="10"/>
    </row>
    <row r="2793" spans="7:14" x14ac:dyDescent="0.75">
      <c r="G2793" s="10"/>
      <c r="H2793" s="10"/>
      <c r="I2793" s="39"/>
      <c r="J2793" s="103"/>
      <c r="K2793" s="39"/>
      <c r="L2793" s="78"/>
      <c r="M2793" s="19"/>
      <c r="N2793" s="10"/>
    </row>
    <row r="2794" spans="7:14" x14ac:dyDescent="0.75">
      <c r="G2794" s="10"/>
      <c r="H2794" s="10"/>
      <c r="I2794" s="39"/>
      <c r="J2794" s="103"/>
      <c r="K2794" s="39"/>
      <c r="L2794" s="78"/>
      <c r="M2794" s="19"/>
      <c r="N2794" s="10"/>
    </row>
    <row r="2795" spans="7:14" x14ac:dyDescent="0.75">
      <c r="G2795" s="10"/>
      <c r="H2795" s="10"/>
      <c r="I2795" s="39"/>
      <c r="J2795" s="103"/>
      <c r="K2795" s="39"/>
      <c r="L2795" s="78"/>
      <c r="M2795" s="19"/>
      <c r="N2795" s="10"/>
    </row>
    <row r="2796" spans="7:14" x14ac:dyDescent="0.75">
      <c r="G2796" s="10"/>
      <c r="H2796" s="10"/>
      <c r="I2796" s="39"/>
      <c r="J2796" s="103"/>
      <c r="K2796" s="39"/>
      <c r="L2796" s="78"/>
      <c r="M2796" s="19"/>
      <c r="N2796" s="10"/>
    </row>
    <row r="2797" spans="7:14" x14ac:dyDescent="0.75">
      <c r="G2797" s="10"/>
      <c r="H2797" s="10"/>
      <c r="I2797" s="39"/>
      <c r="J2797" s="103"/>
      <c r="K2797" s="39"/>
      <c r="L2797" s="10"/>
      <c r="M2797" s="19"/>
      <c r="N2797" s="10"/>
    </row>
    <row r="2798" spans="7:14" x14ac:dyDescent="0.75">
      <c r="G2798" s="10"/>
      <c r="H2798" s="10"/>
      <c r="I2798" s="39"/>
      <c r="J2798" s="103"/>
      <c r="K2798" s="39"/>
      <c r="L2798" s="78"/>
      <c r="M2798" s="19"/>
      <c r="N2798" s="10"/>
    </row>
    <row r="2799" spans="7:14" x14ac:dyDescent="0.75">
      <c r="G2799" s="10"/>
      <c r="H2799" s="10"/>
      <c r="I2799" s="39"/>
      <c r="J2799" s="103"/>
      <c r="K2799" s="39"/>
      <c r="L2799" s="78"/>
      <c r="M2799" s="19"/>
      <c r="N2799" s="10"/>
    </row>
    <row r="2800" spans="7:14" x14ac:dyDescent="0.75">
      <c r="G2800" s="10"/>
      <c r="H2800" s="10"/>
      <c r="I2800" s="39"/>
      <c r="J2800" s="103"/>
      <c r="K2800" s="39"/>
      <c r="L2800" s="78"/>
      <c r="M2800" s="19"/>
      <c r="N2800" s="10"/>
    </row>
    <row r="2801" spans="7:14" x14ac:dyDescent="0.75">
      <c r="G2801" s="10"/>
      <c r="H2801" s="10"/>
      <c r="I2801" s="39"/>
      <c r="J2801" s="103"/>
      <c r="K2801" s="39"/>
      <c r="L2801" s="78"/>
      <c r="M2801" s="19"/>
      <c r="N2801" s="10"/>
    </row>
    <row r="2802" spans="7:14" x14ac:dyDescent="0.75">
      <c r="G2802" s="10"/>
      <c r="H2802" s="10"/>
      <c r="I2802" s="39"/>
      <c r="J2802" s="103"/>
      <c r="K2802" s="39"/>
      <c r="L2802" s="78"/>
      <c r="M2802" s="19"/>
      <c r="N2802" s="10"/>
    </row>
    <row r="2803" spans="7:14" x14ac:dyDescent="0.75">
      <c r="G2803" s="10"/>
      <c r="H2803" s="10"/>
      <c r="I2803" s="39"/>
      <c r="J2803" s="103"/>
      <c r="K2803" s="39"/>
      <c r="L2803" s="78"/>
      <c r="M2803" s="19"/>
      <c r="N2803" s="10"/>
    </row>
    <row r="2804" spans="7:14" x14ac:dyDescent="0.75">
      <c r="G2804" s="10"/>
      <c r="H2804" s="10"/>
      <c r="I2804" s="39"/>
      <c r="J2804" s="103"/>
      <c r="K2804" s="39"/>
      <c r="L2804" s="78"/>
      <c r="M2804" s="19"/>
      <c r="N2804" s="10"/>
    </row>
    <row r="2805" spans="7:14" x14ac:dyDescent="0.75">
      <c r="G2805" s="10"/>
      <c r="H2805" s="10"/>
      <c r="I2805" s="39"/>
      <c r="J2805" s="103"/>
      <c r="K2805" s="39"/>
      <c r="L2805" s="78"/>
      <c r="M2805" s="19"/>
      <c r="N2805" s="10"/>
    </row>
    <row r="2806" spans="7:14" x14ac:dyDescent="0.75">
      <c r="G2806" s="10"/>
      <c r="H2806" s="10"/>
      <c r="I2806" s="39"/>
      <c r="J2806" s="103"/>
      <c r="K2806" s="39"/>
      <c r="L2806" s="78"/>
      <c r="M2806" s="19"/>
      <c r="N2806" s="10"/>
    </row>
    <row r="2807" spans="7:14" x14ac:dyDescent="0.75">
      <c r="G2807" s="10"/>
      <c r="H2807" s="10"/>
      <c r="I2807" s="39"/>
      <c r="J2807" s="103"/>
      <c r="K2807" s="39"/>
      <c r="L2807" s="78"/>
      <c r="M2807" s="19"/>
      <c r="N2807" s="10"/>
    </row>
    <row r="2808" spans="7:14" x14ac:dyDescent="0.75">
      <c r="G2808" s="10"/>
      <c r="H2808" s="10"/>
      <c r="I2808" s="39"/>
      <c r="J2808" s="103"/>
      <c r="K2808" s="39"/>
      <c r="L2808" s="78"/>
      <c r="M2808" s="19"/>
      <c r="N2808" s="10"/>
    </row>
    <row r="2809" spans="7:14" x14ac:dyDescent="0.75">
      <c r="G2809" s="10"/>
      <c r="H2809" s="10"/>
      <c r="I2809" s="39"/>
      <c r="J2809" s="103"/>
      <c r="K2809" s="39"/>
      <c r="L2809" s="78"/>
      <c r="M2809" s="19"/>
      <c r="N2809" s="10"/>
    </row>
    <row r="2810" spans="7:14" x14ac:dyDescent="0.75">
      <c r="G2810" s="10"/>
      <c r="H2810" s="10"/>
      <c r="I2810" s="39"/>
      <c r="J2810" s="103"/>
      <c r="K2810" s="39"/>
      <c r="L2810" s="10"/>
      <c r="M2810" s="19"/>
      <c r="N2810" s="10"/>
    </row>
    <row r="2811" spans="7:14" x14ac:dyDescent="0.75">
      <c r="G2811" s="10"/>
      <c r="H2811" s="10"/>
      <c r="I2811" s="39"/>
      <c r="J2811" s="103"/>
      <c r="K2811" s="39"/>
      <c r="L2811" s="78"/>
      <c r="M2811" s="19"/>
      <c r="N2811" s="10"/>
    </row>
    <row r="2812" spans="7:14" x14ac:dyDescent="0.75">
      <c r="G2812" s="10"/>
      <c r="H2812" s="10"/>
      <c r="I2812" s="39"/>
      <c r="J2812" s="103"/>
      <c r="K2812" s="39"/>
      <c r="L2812" s="10"/>
      <c r="M2812" s="19"/>
      <c r="N2812" s="10"/>
    </row>
    <row r="2813" spans="7:14" x14ac:dyDescent="0.75">
      <c r="G2813" s="10"/>
      <c r="H2813" s="10"/>
      <c r="I2813" s="39"/>
      <c r="J2813" s="103"/>
      <c r="K2813" s="39"/>
      <c r="L2813" s="78"/>
      <c r="M2813" s="19"/>
      <c r="N2813" s="10"/>
    </row>
    <row r="2814" spans="7:14" x14ac:dyDescent="0.75">
      <c r="G2814" s="10"/>
      <c r="H2814" s="10"/>
      <c r="I2814" s="39"/>
      <c r="J2814" s="103"/>
      <c r="K2814" s="39"/>
      <c r="L2814" s="78"/>
      <c r="M2814" s="19"/>
      <c r="N2814" s="10"/>
    </row>
    <row r="2815" spans="7:14" x14ac:dyDescent="0.75">
      <c r="G2815" s="10"/>
      <c r="H2815" s="10"/>
      <c r="I2815" s="39"/>
      <c r="J2815" s="103"/>
      <c r="K2815" s="39"/>
      <c r="L2815" s="78"/>
      <c r="M2815" s="19"/>
      <c r="N2815" s="10"/>
    </row>
    <row r="2816" spans="7:14" x14ac:dyDescent="0.75">
      <c r="G2816" s="10"/>
      <c r="H2816" s="10"/>
      <c r="I2816" s="39"/>
      <c r="J2816" s="103"/>
      <c r="K2816" s="39"/>
      <c r="L2816" s="78"/>
      <c r="M2816" s="19"/>
      <c r="N2816" s="10"/>
    </row>
    <row r="2817" spans="7:14" x14ac:dyDescent="0.75">
      <c r="G2817" s="10"/>
      <c r="H2817" s="10"/>
      <c r="I2817" s="39"/>
      <c r="J2817" s="103"/>
      <c r="K2817" s="39"/>
      <c r="L2817" s="78"/>
      <c r="M2817" s="19"/>
      <c r="N2817" s="10"/>
    </row>
    <row r="2818" spans="7:14" x14ac:dyDescent="0.75">
      <c r="G2818" s="10"/>
      <c r="H2818" s="10"/>
      <c r="I2818" s="39"/>
      <c r="J2818" s="103"/>
      <c r="K2818" s="39"/>
      <c r="L2818" s="78"/>
      <c r="M2818" s="19"/>
      <c r="N2818" s="10"/>
    </row>
    <row r="2819" spans="7:14" x14ac:dyDescent="0.75">
      <c r="G2819" s="10"/>
      <c r="H2819" s="10"/>
      <c r="I2819" s="39"/>
      <c r="J2819" s="103"/>
      <c r="K2819" s="39"/>
      <c r="L2819" s="78"/>
      <c r="M2819" s="19"/>
      <c r="N2819" s="10"/>
    </row>
    <row r="2820" spans="7:14" x14ac:dyDescent="0.75">
      <c r="G2820" s="10"/>
      <c r="H2820" s="10"/>
      <c r="I2820" s="39"/>
      <c r="J2820" s="103"/>
      <c r="K2820" s="39"/>
      <c r="L2820" s="78"/>
      <c r="M2820" s="19"/>
      <c r="N2820" s="10"/>
    </row>
    <row r="2821" spans="7:14" x14ac:dyDescent="0.75">
      <c r="G2821" s="10"/>
      <c r="H2821" s="10"/>
      <c r="I2821" s="39"/>
      <c r="J2821" s="103"/>
      <c r="K2821" s="39"/>
      <c r="L2821" s="78"/>
      <c r="M2821" s="19"/>
      <c r="N2821" s="10"/>
    </row>
    <row r="2822" spans="7:14" x14ac:dyDescent="0.75">
      <c r="G2822" s="10"/>
      <c r="H2822" s="10"/>
      <c r="I2822" s="39"/>
      <c r="J2822" s="103"/>
      <c r="K2822" s="39"/>
      <c r="L2822" s="78"/>
      <c r="M2822" s="19"/>
      <c r="N2822" s="10"/>
    </row>
    <row r="2823" spans="7:14" x14ac:dyDescent="0.75">
      <c r="G2823" s="10"/>
      <c r="H2823" s="10"/>
      <c r="I2823" s="39"/>
      <c r="J2823" s="103"/>
      <c r="K2823" s="39"/>
      <c r="L2823" s="78"/>
      <c r="M2823" s="19"/>
      <c r="N2823" s="10"/>
    </row>
    <row r="2824" spans="7:14" x14ac:dyDescent="0.75">
      <c r="G2824" s="10"/>
      <c r="H2824" s="10"/>
      <c r="I2824" s="39"/>
      <c r="J2824" s="103"/>
      <c r="K2824" s="39"/>
      <c r="L2824" s="78"/>
      <c r="M2824" s="19"/>
      <c r="N2824" s="10"/>
    </row>
    <row r="2825" spans="7:14" x14ac:dyDescent="0.75">
      <c r="G2825" s="10"/>
      <c r="H2825" s="10"/>
      <c r="I2825" s="39"/>
      <c r="J2825" s="103"/>
      <c r="K2825" s="39"/>
      <c r="L2825" s="78"/>
      <c r="M2825" s="19"/>
      <c r="N2825" s="10"/>
    </row>
    <row r="2826" spans="7:14" x14ac:dyDescent="0.75">
      <c r="G2826" s="10"/>
      <c r="H2826" s="10"/>
      <c r="I2826" s="39"/>
      <c r="J2826" s="103"/>
      <c r="K2826" s="39"/>
      <c r="L2826" s="78"/>
      <c r="M2826" s="19"/>
      <c r="N2826" s="10"/>
    </row>
    <row r="2827" spans="7:14" x14ac:dyDescent="0.75">
      <c r="G2827" s="10"/>
      <c r="H2827" s="10"/>
      <c r="I2827" s="39"/>
      <c r="J2827" s="103"/>
      <c r="K2827" s="39"/>
      <c r="L2827" s="78"/>
      <c r="M2827" s="19"/>
      <c r="N2827" s="10"/>
    </row>
    <row r="2828" spans="7:14" x14ac:dyDescent="0.75">
      <c r="G2828" s="10"/>
      <c r="H2828" s="10"/>
      <c r="I2828" s="39"/>
      <c r="J2828" s="103"/>
      <c r="K2828" s="39"/>
      <c r="L2828" s="10"/>
      <c r="M2828" s="19"/>
      <c r="N2828" s="10"/>
    </row>
    <row r="2829" spans="7:14" x14ac:dyDescent="0.75">
      <c r="G2829" s="10"/>
      <c r="H2829" s="10"/>
      <c r="I2829" s="39"/>
      <c r="J2829" s="103"/>
      <c r="K2829" s="39"/>
      <c r="L2829" s="10"/>
      <c r="M2829" s="19"/>
      <c r="N2829" s="10"/>
    </row>
    <row r="2830" spans="7:14" x14ac:dyDescent="0.75">
      <c r="G2830" s="10"/>
      <c r="H2830" s="10"/>
      <c r="I2830" s="39"/>
      <c r="J2830" s="103"/>
      <c r="K2830" s="39"/>
      <c r="L2830" s="10"/>
      <c r="M2830" s="19"/>
      <c r="N2830" s="10"/>
    </row>
    <row r="2831" spans="7:14" x14ac:dyDescent="0.75">
      <c r="G2831" s="10"/>
      <c r="H2831" s="10"/>
      <c r="I2831" s="39"/>
      <c r="J2831" s="103"/>
      <c r="K2831" s="39"/>
      <c r="L2831" s="10"/>
      <c r="M2831" s="19"/>
      <c r="N2831" s="10"/>
    </row>
    <row r="2832" spans="7:14" x14ac:dyDescent="0.75">
      <c r="G2832" s="10"/>
      <c r="H2832" s="10"/>
      <c r="I2832" s="39"/>
      <c r="J2832" s="103"/>
      <c r="K2832" s="39"/>
      <c r="L2832" s="78"/>
      <c r="M2832" s="19"/>
      <c r="N2832" s="10"/>
    </row>
    <row r="2833" spans="7:14" x14ac:dyDescent="0.75">
      <c r="G2833" s="10"/>
      <c r="H2833" s="10"/>
      <c r="I2833" s="39"/>
      <c r="J2833" s="103"/>
      <c r="K2833" s="39"/>
      <c r="L2833" s="78"/>
      <c r="M2833" s="19"/>
      <c r="N2833" s="10"/>
    </row>
    <row r="2834" spans="7:14" x14ac:dyDescent="0.75">
      <c r="G2834" s="10"/>
      <c r="H2834" s="10"/>
      <c r="I2834" s="39"/>
      <c r="J2834" s="103"/>
      <c r="K2834" s="39"/>
      <c r="L2834" s="78"/>
      <c r="M2834" s="19"/>
      <c r="N2834" s="10"/>
    </row>
    <row r="2835" spans="7:14" x14ac:dyDescent="0.75">
      <c r="G2835" s="10"/>
      <c r="H2835" s="10"/>
      <c r="I2835" s="39"/>
      <c r="J2835" s="103"/>
      <c r="K2835" s="39"/>
      <c r="L2835" s="78"/>
      <c r="M2835" s="19"/>
      <c r="N2835" s="10"/>
    </row>
    <row r="2836" spans="7:14" x14ac:dyDescent="0.75">
      <c r="G2836" s="10"/>
      <c r="H2836" s="10"/>
      <c r="I2836" s="39"/>
      <c r="J2836" s="103"/>
      <c r="K2836" s="39"/>
      <c r="L2836" s="78"/>
      <c r="M2836" s="19"/>
      <c r="N2836" s="10"/>
    </row>
    <row r="2837" spans="7:14" x14ac:dyDescent="0.75">
      <c r="G2837" s="10"/>
      <c r="H2837" s="10"/>
      <c r="I2837" s="39"/>
      <c r="J2837" s="103"/>
      <c r="K2837" s="39"/>
      <c r="L2837" s="78"/>
      <c r="M2837" s="19"/>
      <c r="N2837" s="10"/>
    </row>
    <row r="2838" spans="7:14" x14ac:dyDescent="0.75">
      <c r="G2838" s="10"/>
      <c r="H2838" s="10"/>
      <c r="I2838" s="39"/>
      <c r="J2838" s="103"/>
      <c r="K2838" s="39"/>
      <c r="L2838" s="78"/>
      <c r="M2838" s="19"/>
      <c r="N2838" s="10"/>
    </row>
    <row r="2839" spans="7:14" x14ac:dyDescent="0.75">
      <c r="G2839" s="10"/>
      <c r="H2839" s="10"/>
      <c r="I2839" s="39"/>
      <c r="J2839" s="103"/>
      <c r="K2839" s="39"/>
      <c r="L2839" s="78"/>
      <c r="M2839" s="19"/>
      <c r="N2839" s="10"/>
    </row>
    <row r="2840" spans="7:14" x14ac:dyDescent="0.75">
      <c r="G2840" s="10"/>
      <c r="H2840" s="10"/>
      <c r="I2840" s="39"/>
      <c r="J2840" s="103"/>
      <c r="K2840" s="39"/>
      <c r="L2840" s="78"/>
      <c r="M2840" s="19"/>
      <c r="N2840" s="10"/>
    </row>
    <row r="2841" spans="7:14" x14ac:dyDescent="0.75">
      <c r="G2841" s="10"/>
      <c r="H2841" s="10"/>
      <c r="I2841" s="39"/>
      <c r="J2841" s="103"/>
      <c r="K2841" s="39"/>
      <c r="L2841" s="78"/>
      <c r="M2841" s="19"/>
      <c r="N2841" s="10"/>
    </row>
    <row r="2842" spans="7:14" x14ac:dyDescent="0.75">
      <c r="G2842" s="10"/>
      <c r="H2842" s="10"/>
      <c r="I2842" s="39"/>
      <c r="J2842" s="103"/>
      <c r="K2842" s="39"/>
      <c r="L2842" s="78"/>
      <c r="M2842" s="19"/>
      <c r="N2842" s="10"/>
    </row>
    <row r="2843" spans="7:14" x14ac:dyDescent="0.75">
      <c r="G2843" s="10"/>
      <c r="H2843" s="10"/>
      <c r="I2843" s="39"/>
      <c r="J2843" s="103"/>
      <c r="K2843" s="39"/>
      <c r="L2843" s="78"/>
      <c r="M2843" s="19"/>
      <c r="N2843" s="10"/>
    </row>
    <row r="2844" spans="7:14" x14ac:dyDescent="0.75">
      <c r="G2844" s="10"/>
      <c r="H2844" s="10"/>
      <c r="I2844" s="39"/>
      <c r="J2844" s="103"/>
      <c r="K2844" s="39"/>
      <c r="L2844" s="78"/>
      <c r="M2844" s="19"/>
      <c r="N2844" s="10"/>
    </row>
    <row r="2845" spans="7:14" x14ac:dyDescent="0.75">
      <c r="G2845" s="10"/>
      <c r="H2845" s="10"/>
      <c r="I2845" s="39"/>
      <c r="J2845" s="103"/>
      <c r="K2845" s="39"/>
      <c r="L2845" s="78"/>
      <c r="M2845" s="19"/>
      <c r="N2845" s="10"/>
    </row>
    <row r="2846" spans="7:14" x14ac:dyDescent="0.75">
      <c r="G2846" s="10"/>
      <c r="H2846" s="10"/>
      <c r="I2846" s="39"/>
      <c r="J2846" s="103"/>
      <c r="K2846" s="39"/>
      <c r="L2846" s="78"/>
      <c r="M2846" s="19"/>
      <c r="N2846" s="10"/>
    </row>
    <row r="2847" spans="7:14" x14ac:dyDescent="0.75">
      <c r="G2847" s="10"/>
      <c r="H2847" s="10"/>
      <c r="I2847" s="39"/>
      <c r="J2847" s="103"/>
      <c r="K2847" s="39"/>
      <c r="L2847" s="10"/>
      <c r="M2847" s="19"/>
      <c r="N2847" s="10"/>
    </row>
    <row r="2848" spans="7:14" x14ac:dyDescent="0.75">
      <c r="G2848" s="10"/>
      <c r="H2848" s="10"/>
      <c r="I2848" s="39"/>
      <c r="J2848" s="103"/>
      <c r="K2848" s="39"/>
      <c r="L2848" s="10"/>
      <c r="M2848" s="19"/>
      <c r="N2848" s="10"/>
    </row>
    <row r="2849" spans="7:14" x14ac:dyDescent="0.75">
      <c r="G2849" s="10"/>
      <c r="H2849" s="10"/>
      <c r="I2849" s="39"/>
      <c r="J2849" s="103"/>
      <c r="K2849" s="39"/>
      <c r="L2849" s="10"/>
      <c r="M2849" s="19"/>
      <c r="N2849" s="10"/>
    </row>
    <row r="2850" spans="7:14" x14ac:dyDescent="0.75">
      <c r="G2850" s="10"/>
      <c r="H2850" s="10"/>
      <c r="I2850" s="39"/>
      <c r="J2850" s="103"/>
      <c r="K2850" s="39"/>
      <c r="L2850" s="10"/>
      <c r="M2850" s="19"/>
      <c r="N2850" s="10"/>
    </row>
    <row r="2851" spans="7:14" x14ac:dyDescent="0.75">
      <c r="G2851" s="10"/>
      <c r="H2851" s="10"/>
      <c r="I2851" s="39"/>
      <c r="J2851" s="103"/>
      <c r="K2851" s="39"/>
      <c r="L2851" s="10"/>
      <c r="M2851" s="19"/>
      <c r="N2851" s="10"/>
    </row>
    <row r="2852" spans="7:14" x14ac:dyDescent="0.75">
      <c r="G2852" s="10"/>
      <c r="H2852" s="10"/>
      <c r="I2852" s="39"/>
      <c r="J2852" s="103"/>
      <c r="K2852" s="39"/>
      <c r="L2852" s="78"/>
      <c r="M2852" s="19"/>
      <c r="N2852" s="10"/>
    </row>
    <row r="2853" spans="7:14" x14ac:dyDescent="0.75">
      <c r="G2853" s="10"/>
      <c r="H2853" s="10"/>
      <c r="I2853" s="39"/>
      <c r="J2853" s="103"/>
      <c r="K2853" s="39"/>
      <c r="L2853" s="78"/>
      <c r="M2853" s="19"/>
      <c r="N2853" s="10"/>
    </row>
    <row r="2854" spans="7:14" x14ac:dyDescent="0.75">
      <c r="G2854" s="10"/>
      <c r="H2854" s="10"/>
      <c r="I2854" s="39"/>
      <c r="J2854" s="103"/>
      <c r="K2854" s="39"/>
      <c r="L2854" s="78"/>
      <c r="M2854" s="19"/>
      <c r="N2854" s="10"/>
    </row>
    <row r="2855" spans="7:14" x14ac:dyDescent="0.75">
      <c r="G2855" s="10"/>
      <c r="H2855" s="10"/>
      <c r="I2855" s="39"/>
      <c r="J2855" s="103"/>
      <c r="K2855" s="39"/>
      <c r="L2855" s="78"/>
      <c r="M2855" s="19"/>
      <c r="N2855" s="10"/>
    </row>
    <row r="2856" spans="7:14" x14ac:dyDescent="0.75">
      <c r="G2856" s="10"/>
      <c r="H2856" s="10"/>
      <c r="I2856" s="39"/>
      <c r="J2856" s="103"/>
      <c r="K2856" s="39"/>
      <c r="L2856" s="78"/>
      <c r="M2856" s="19"/>
      <c r="N2856" s="10"/>
    </row>
    <row r="2857" spans="7:14" x14ac:dyDescent="0.75">
      <c r="G2857" s="10"/>
      <c r="H2857" s="10"/>
      <c r="I2857" s="39"/>
      <c r="J2857" s="103"/>
      <c r="K2857" s="39"/>
      <c r="L2857" s="78"/>
      <c r="M2857" s="19"/>
      <c r="N2857" s="10"/>
    </row>
    <row r="2858" spans="7:14" x14ac:dyDescent="0.75">
      <c r="G2858" s="10"/>
      <c r="H2858" s="10"/>
      <c r="I2858" s="39"/>
      <c r="J2858" s="103"/>
      <c r="K2858" s="39"/>
      <c r="L2858" s="78"/>
      <c r="M2858" s="19"/>
      <c r="N2858" s="10"/>
    </row>
    <row r="2859" spans="7:14" x14ac:dyDescent="0.75">
      <c r="G2859" s="10"/>
      <c r="H2859" s="10"/>
      <c r="I2859" s="39"/>
      <c r="J2859" s="103"/>
      <c r="K2859" s="39"/>
      <c r="L2859" s="78"/>
      <c r="M2859" s="19"/>
      <c r="N2859" s="10"/>
    </row>
    <row r="2860" spans="7:14" x14ac:dyDescent="0.75">
      <c r="G2860" s="10"/>
      <c r="H2860" s="10"/>
      <c r="I2860" s="39"/>
      <c r="J2860" s="103"/>
      <c r="K2860" s="39"/>
      <c r="L2860" s="78"/>
      <c r="M2860" s="19"/>
      <c r="N2860" s="10"/>
    </row>
    <row r="2861" spans="7:14" x14ac:dyDescent="0.75">
      <c r="G2861" s="10"/>
      <c r="H2861" s="10"/>
      <c r="I2861" s="39"/>
      <c r="J2861" s="103"/>
      <c r="K2861" s="39"/>
      <c r="L2861" s="78"/>
      <c r="M2861" s="19"/>
      <c r="N2861" s="10"/>
    </row>
    <row r="2862" spans="7:14" x14ac:dyDescent="0.75">
      <c r="G2862" s="10"/>
      <c r="H2862" s="10"/>
      <c r="I2862" s="39"/>
      <c r="J2862" s="103"/>
      <c r="K2862" s="39"/>
      <c r="L2862" s="78"/>
      <c r="M2862" s="19"/>
      <c r="N2862" s="10"/>
    </row>
    <row r="2863" spans="7:14" x14ac:dyDescent="0.75">
      <c r="G2863" s="10"/>
      <c r="H2863" s="10"/>
      <c r="I2863" s="39"/>
      <c r="J2863" s="103"/>
      <c r="K2863" s="39"/>
      <c r="L2863" s="78"/>
      <c r="M2863" s="19"/>
      <c r="N2863" s="10"/>
    </row>
    <row r="2864" spans="7:14" x14ac:dyDescent="0.75">
      <c r="G2864" s="10"/>
      <c r="H2864" s="10"/>
      <c r="I2864" s="39"/>
      <c r="J2864" s="103"/>
      <c r="K2864" s="39"/>
      <c r="L2864" s="78"/>
      <c r="M2864" s="19"/>
      <c r="N2864" s="10"/>
    </row>
    <row r="2865" spans="7:14" x14ac:dyDescent="0.75">
      <c r="G2865" s="10"/>
      <c r="H2865" s="10"/>
      <c r="I2865" s="39"/>
      <c r="J2865" s="103"/>
      <c r="K2865" s="39"/>
      <c r="L2865" s="78"/>
      <c r="M2865" s="19"/>
      <c r="N2865" s="10"/>
    </row>
    <row r="2866" spans="7:14" x14ac:dyDescent="0.75">
      <c r="G2866" s="10"/>
      <c r="H2866" s="10"/>
      <c r="I2866" s="39"/>
      <c r="J2866" s="103"/>
      <c r="K2866" s="39"/>
      <c r="L2866" s="10"/>
      <c r="M2866" s="19"/>
      <c r="N2866" s="10"/>
    </row>
    <row r="2867" spans="7:14" x14ac:dyDescent="0.75">
      <c r="G2867" s="10"/>
      <c r="H2867" s="10"/>
      <c r="I2867" s="39"/>
      <c r="J2867" s="103"/>
      <c r="K2867" s="39"/>
      <c r="L2867" s="10"/>
      <c r="M2867" s="19"/>
      <c r="N2867" s="10"/>
    </row>
    <row r="2868" spans="7:14" x14ac:dyDescent="0.75">
      <c r="G2868" s="10"/>
      <c r="H2868" s="10"/>
      <c r="I2868" s="39"/>
      <c r="J2868" s="103"/>
      <c r="K2868" s="39"/>
      <c r="L2868" s="78"/>
      <c r="M2868" s="19"/>
      <c r="N2868" s="10"/>
    </row>
    <row r="2869" spans="7:14" x14ac:dyDescent="0.75">
      <c r="G2869" s="10"/>
      <c r="H2869" s="10"/>
      <c r="I2869" s="39"/>
      <c r="J2869" s="103"/>
      <c r="K2869" s="39"/>
      <c r="L2869" s="78"/>
      <c r="M2869" s="19"/>
      <c r="N2869" s="10"/>
    </row>
    <row r="2870" spans="7:14" x14ac:dyDescent="0.75">
      <c r="G2870" s="10"/>
      <c r="H2870" s="10"/>
      <c r="I2870" s="39"/>
      <c r="J2870" s="103"/>
      <c r="K2870" s="39"/>
      <c r="L2870" s="78"/>
      <c r="M2870" s="19"/>
      <c r="N2870" s="10"/>
    </row>
    <row r="2871" spans="7:14" x14ac:dyDescent="0.75">
      <c r="G2871" s="10"/>
      <c r="H2871" s="10"/>
      <c r="I2871" s="39"/>
      <c r="J2871" s="103"/>
      <c r="K2871" s="39"/>
      <c r="L2871" s="78"/>
      <c r="M2871" s="19"/>
      <c r="N2871" s="10"/>
    </row>
    <row r="2872" spans="7:14" x14ac:dyDescent="0.75">
      <c r="G2872" s="10"/>
      <c r="H2872" s="10"/>
      <c r="I2872" s="39"/>
      <c r="J2872" s="103"/>
      <c r="K2872" s="39"/>
      <c r="L2872" s="78"/>
      <c r="M2872" s="19"/>
      <c r="N2872" s="10"/>
    </row>
    <row r="2873" spans="7:14" x14ac:dyDescent="0.75">
      <c r="G2873" s="10"/>
      <c r="H2873" s="10"/>
      <c r="I2873" s="39"/>
      <c r="J2873" s="103"/>
      <c r="K2873" s="39"/>
      <c r="L2873" s="78"/>
      <c r="M2873" s="19"/>
      <c r="N2873" s="10"/>
    </row>
    <row r="2874" spans="7:14" x14ac:dyDescent="0.75">
      <c r="G2874" s="10"/>
      <c r="H2874" s="10"/>
      <c r="I2874" s="39"/>
      <c r="J2874" s="103"/>
      <c r="K2874" s="39"/>
      <c r="L2874" s="10"/>
      <c r="M2874" s="19"/>
      <c r="N2874" s="10"/>
    </row>
    <row r="2875" spans="7:14" x14ac:dyDescent="0.75">
      <c r="G2875" s="10"/>
      <c r="H2875" s="10"/>
      <c r="I2875" s="39"/>
      <c r="J2875" s="103"/>
      <c r="K2875" s="39"/>
      <c r="L2875" s="78"/>
      <c r="M2875" s="19"/>
      <c r="N2875" s="10"/>
    </row>
    <row r="2876" spans="7:14" x14ac:dyDescent="0.75">
      <c r="G2876" s="10"/>
      <c r="H2876" s="10"/>
      <c r="I2876" s="39"/>
      <c r="J2876" s="103"/>
      <c r="K2876" s="39"/>
      <c r="L2876" s="78"/>
      <c r="M2876" s="19"/>
      <c r="N2876" s="10"/>
    </row>
    <row r="2877" spans="7:14" x14ac:dyDescent="0.75">
      <c r="G2877" s="10"/>
      <c r="H2877" s="10"/>
      <c r="I2877" s="39"/>
      <c r="J2877" s="103"/>
      <c r="K2877" s="39"/>
      <c r="L2877" s="78"/>
      <c r="M2877" s="19"/>
      <c r="N2877" s="10"/>
    </row>
    <row r="2878" spans="7:14" x14ac:dyDescent="0.75">
      <c r="G2878" s="10"/>
      <c r="H2878" s="10"/>
      <c r="I2878" s="39"/>
      <c r="J2878" s="103"/>
      <c r="K2878" s="39"/>
      <c r="L2878" s="78"/>
      <c r="M2878" s="19"/>
      <c r="N2878" s="10"/>
    </row>
    <row r="2879" spans="7:14" x14ac:dyDescent="0.75">
      <c r="G2879" s="10"/>
      <c r="H2879" s="10"/>
      <c r="I2879" s="39"/>
      <c r="J2879" s="103"/>
      <c r="K2879" s="39"/>
      <c r="L2879" s="78"/>
      <c r="M2879" s="19"/>
      <c r="N2879" s="10"/>
    </row>
    <row r="2880" spans="7:14" x14ac:dyDescent="0.75">
      <c r="G2880" s="10"/>
      <c r="H2880" s="10"/>
      <c r="I2880" s="39"/>
      <c r="J2880" s="103"/>
      <c r="K2880" s="39"/>
      <c r="L2880" s="78"/>
      <c r="M2880" s="19"/>
      <c r="N2880" s="10"/>
    </row>
    <row r="2881" spans="7:14" x14ac:dyDescent="0.75">
      <c r="G2881" s="10"/>
      <c r="H2881" s="10"/>
      <c r="I2881" s="39"/>
      <c r="J2881" s="103"/>
      <c r="K2881" s="39"/>
      <c r="L2881" s="10"/>
      <c r="M2881" s="19"/>
      <c r="N2881" s="10"/>
    </row>
    <row r="2882" spans="7:14" x14ac:dyDescent="0.75">
      <c r="G2882" s="10"/>
      <c r="H2882" s="10"/>
      <c r="I2882" s="39"/>
      <c r="J2882" s="103"/>
      <c r="K2882" s="39"/>
      <c r="L2882" s="78"/>
      <c r="M2882" s="19"/>
      <c r="N2882" s="10"/>
    </row>
    <row r="2883" spans="7:14" x14ac:dyDescent="0.75">
      <c r="G2883" s="10"/>
      <c r="H2883" s="10"/>
      <c r="I2883" s="39"/>
      <c r="J2883" s="103"/>
      <c r="K2883" s="39"/>
      <c r="L2883" s="78"/>
      <c r="M2883" s="19"/>
      <c r="N2883" s="10"/>
    </row>
    <row r="2884" spans="7:14" x14ac:dyDescent="0.75">
      <c r="G2884" s="10"/>
      <c r="H2884" s="10"/>
      <c r="I2884" s="39"/>
      <c r="J2884" s="103"/>
      <c r="K2884" s="39"/>
      <c r="L2884" s="78"/>
      <c r="M2884" s="19"/>
      <c r="N2884" s="10"/>
    </row>
    <row r="2885" spans="7:14" x14ac:dyDescent="0.75">
      <c r="G2885" s="10"/>
      <c r="H2885" s="10"/>
      <c r="I2885" s="39"/>
      <c r="J2885" s="103"/>
      <c r="K2885" s="39"/>
      <c r="L2885" s="78"/>
      <c r="M2885" s="19"/>
      <c r="N2885" s="10"/>
    </row>
    <row r="2886" spans="7:14" x14ac:dyDescent="0.75">
      <c r="G2886" s="10"/>
      <c r="H2886" s="10"/>
      <c r="I2886" s="39"/>
      <c r="J2886" s="103"/>
      <c r="K2886" s="39"/>
      <c r="L2886" s="78"/>
      <c r="M2886" s="19"/>
      <c r="N2886" s="10"/>
    </row>
    <row r="2887" spans="7:14" x14ac:dyDescent="0.75">
      <c r="G2887" s="10"/>
      <c r="H2887" s="10"/>
      <c r="I2887" s="39"/>
      <c r="J2887" s="103"/>
      <c r="K2887" s="39"/>
      <c r="L2887" s="78"/>
      <c r="M2887" s="19"/>
      <c r="N2887" s="10"/>
    </row>
    <row r="2888" spans="7:14" x14ac:dyDescent="0.75">
      <c r="G2888" s="10"/>
      <c r="H2888" s="10"/>
      <c r="I2888" s="39"/>
      <c r="J2888" s="103"/>
      <c r="K2888" s="39"/>
      <c r="L2888" s="78"/>
      <c r="M2888" s="19"/>
      <c r="N2888" s="10"/>
    </row>
    <row r="2889" spans="7:14" x14ac:dyDescent="0.75">
      <c r="G2889" s="10"/>
      <c r="H2889" s="10"/>
      <c r="I2889" s="39"/>
      <c r="J2889" s="103"/>
      <c r="K2889" s="39"/>
      <c r="L2889" s="78"/>
      <c r="M2889" s="19"/>
      <c r="N2889" s="10"/>
    </row>
    <row r="2890" spans="7:14" x14ac:dyDescent="0.75">
      <c r="G2890" s="10"/>
      <c r="H2890" s="10"/>
      <c r="I2890" s="39"/>
      <c r="J2890" s="103"/>
      <c r="K2890" s="39"/>
      <c r="L2890" s="78"/>
      <c r="M2890" s="19"/>
      <c r="N2890" s="10"/>
    </row>
    <row r="2891" spans="7:14" x14ac:dyDescent="0.75">
      <c r="G2891" s="10"/>
      <c r="H2891" s="10"/>
      <c r="I2891" s="39"/>
      <c r="J2891" s="103"/>
      <c r="K2891" s="39"/>
      <c r="L2891" s="78"/>
      <c r="M2891" s="19"/>
      <c r="N2891" s="10"/>
    </row>
    <row r="2892" spans="7:14" x14ac:dyDescent="0.75">
      <c r="G2892" s="10"/>
      <c r="H2892" s="10"/>
      <c r="I2892" s="39"/>
      <c r="J2892" s="103"/>
      <c r="K2892" s="39"/>
      <c r="L2892" s="78"/>
      <c r="M2892" s="19"/>
      <c r="N2892" s="10"/>
    </row>
    <row r="2893" spans="7:14" x14ac:dyDescent="0.75">
      <c r="G2893" s="10"/>
      <c r="H2893" s="10"/>
      <c r="I2893" s="39"/>
      <c r="J2893" s="103"/>
      <c r="K2893" s="39"/>
      <c r="L2893" s="78"/>
      <c r="M2893" s="19"/>
      <c r="N2893" s="10"/>
    </row>
    <row r="2894" spans="7:14" x14ac:dyDescent="0.75">
      <c r="G2894" s="10"/>
      <c r="H2894" s="10"/>
      <c r="I2894" s="39"/>
      <c r="J2894" s="103"/>
      <c r="K2894" s="39"/>
      <c r="L2894" s="78"/>
      <c r="M2894" s="19"/>
      <c r="N2894" s="10"/>
    </row>
    <row r="2895" spans="7:14" x14ac:dyDescent="0.75">
      <c r="G2895" s="10"/>
      <c r="H2895" s="10"/>
      <c r="I2895" s="39"/>
      <c r="J2895" s="103"/>
      <c r="K2895" s="39"/>
      <c r="L2895" s="78"/>
      <c r="M2895" s="19"/>
      <c r="N2895" s="10"/>
    </row>
    <row r="2896" spans="7:14" x14ac:dyDescent="0.75">
      <c r="G2896" s="10"/>
      <c r="H2896" s="10"/>
      <c r="I2896" s="39"/>
      <c r="J2896" s="103"/>
      <c r="K2896" s="39"/>
      <c r="L2896" s="78"/>
      <c r="M2896" s="19"/>
      <c r="N2896" s="10"/>
    </row>
    <row r="2897" spans="7:14" x14ac:dyDescent="0.75">
      <c r="G2897" s="10"/>
      <c r="H2897" s="10"/>
      <c r="I2897" s="39"/>
      <c r="J2897" s="103"/>
      <c r="K2897" s="39"/>
      <c r="L2897" s="10"/>
      <c r="M2897" s="19"/>
      <c r="N2897" s="10"/>
    </row>
    <row r="2898" spans="7:14" x14ac:dyDescent="0.75">
      <c r="G2898" s="10"/>
      <c r="H2898" s="10"/>
      <c r="I2898" s="39"/>
      <c r="J2898" s="103"/>
      <c r="K2898" s="39"/>
      <c r="L2898" s="78"/>
      <c r="M2898" s="19"/>
      <c r="N2898" s="10"/>
    </row>
    <row r="2899" spans="7:14" x14ac:dyDescent="0.75">
      <c r="G2899" s="10"/>
      <c r="H2899" s="10"/>
      <c r="I2899" s="39"/>
      <c r="J2899" s="103"/>
      <c r="K2899" s="39"/>
      <c r="L2899" s="78"/>
      <c r="M2899" s="19"/>
      <c r="N2899" s="10"/>
    </row>
    <row r="2900" spans="7:14" x14ac:dyDescent="0.75">
      <c r="G2900" s="10"/>
      <c r="H2900" s="10"/>
      <c r="I2900" s="39"/>
      <c r="J2900" s="103"/>
      <c r="K2900" s="39"/>
      <c r="L2900" s="78"/>
      <c r="M2900" s="19"/>
      <c r="N2900" s="10"/>
    </row>
    <row r="2901" spans="7:14" x14ac:dyDescent="0.75">
      <c r="G2901" s="10"/>
      <c r="H2901" s="10"/>
      <c r="I2901" s="39"/>
      <c r="J2901" s="103"/>
      <c r="K2901" s="39"/>
      <c r="L2901" s="78"/>
      <c r="M2901" s="19"/>
      <c r="N2901" s="10"/>
    </row>
    <row r="2902" spans="7:14" x14ac:dyDescent="0.75">
      <c r="G2902" s="10"/>
      <c r="H2902" s="10"/>
      <c r="I2902" s="39"/>
      <c r="J2902" s="103"/>
      <c r="K2902" s="39"/>
      <c r="L2902" s="78"/>
      <c r="M2902" s="19"/>
      <c r="N2902" s="10"/>
    </row>
    <row r="2903" spans="7:14" x14ac:dyDescent="0.75">
      <c r="G2903" s="10"/>
      <c r="H2903" s="10"/>
      <c r="I2903" s="39"/>
      <c r="J2903" s="103"/>
      <c r="K2903" s="39"/>
      <c r="L2903" s="78"/>
      <c r="M2903" s="19"/>
      <c r="N2903" s="10"/>
    </row>
    <row r="2904" spans="7:14" x14ac:dyDescent="0.75">
      <c r="G2904" s="10"/>
      <c r="H2904" s="10"/>
      <c r="I2904" s="39"/>
      <c r="J2904" s="103"/>
      <c r="K2904" s="39"/>
      <c r="L2904" s="78"/>
      <c r="M2904" s="19"/>
      <c r="N2904" s="10"/>
    </row>
    <row r="2905" spans="7:14" x14ac:dyDescent="0.75">
      <c r="G2905" s="10"/>
      <c r="H2905" s="10"/>
      <c r="I2905" s="39"/>
      <c r="J2905" s="103"/>
      <c r="K2905" s="39"/>
      <c r="L2905" s="78"/>
      <c r="M2905" s="19"/>
      <c r="N2905" s="10"/>
    </row>
    <row r="2906" spans="7:14" x14ac:dyDescent="0.75">
      <c r="G2906" s="10"/>
      <c r="H2906" s="10"/>
      <c r="I2906" s="39"/>
      <c r="J2906" s="103"/>
      <c r="K2906" s="39"/>
      <c r="L2906" s="78"/>
      <c r="M2906" s="19"/>
      <c r="N2906" s="10"/>
    </row>
    <row r="2907" spans="7:14" x14ac:dyDescent="0.75">
      <c r="G2907" s="10"/>
      <c r="H2907" s="10"/>
      <c r="I2907" s="39"/>
      <c r="J2907" s="103"/>
      <c r="K2907" s="39"/>
      <c r="L2907" s="78"/>
      <c r="M2907" s="19"/>
      <c r="N2907" s="10"/>
    </row>
    <row r="2908" spans="7:14" x14ac:dyDescent="0.75">
      <c r="G2908" s="10"/>
      <c r="H2908" s="10"/>
      <c r="I2908" s="39"/>
      <c r="J2908" s="103"/>
      <c r="K2908" s="39"/>
      <c r="L2908" s="78"/>
      <c r="M2908" s="19"/>
      <c r="N2908" s="10"/>
    </row>
    <row r="2909" spans="7:14" x14ac:dyDescent="0.75">
      <c r="G2909" s="10"/>
      <c r="H2909" s="10"/>
      <c r="I2909" s="39"/>
      <c r="J2909" s="103"/>
      <c r="K2909" s="39"/>
      <c r="L2909" s="78"/>
      <c r="M2909" s="19"/>
      <c r="N2909" s="10"/>
    </row>
    <row r="2910" spans="7:14" x14ac:dyDescent="0.75">
      <c r="G2910" s="10"/>
      <c r="H2910" s="10"/>
      <c r="I2910" s="39"/>
      <c r="J2910" s="103"/>
      <c r="K2910" s="39"/>
      <c r="L2910" s="78"/>
      <c r="M2910" s="19"/>
      <c r="N2910" s="10"/>
    </row>
    <row r="2911" spans="7:14" x14ac:dyDescent="0.75">
      <c r="G2911" s="10"/>
      <c r="H2911" s="10"/>
      <c r="I2911" s="39"/>
      <c r="J2911" s="103"/>
      <c r="K2911" s="39"/>
      <c r="L2911" s="78"/>
      <c r="M2911" s="19"/>
      <c r="N2911" s="10"/>
    </row>
    <row r="2912" spans="7:14" x14ac:dyDescent="0.75">
      <c r="G2912" s="10"/>
      <c r="H2912" s="10"/>
      <c r="I2912" s="39"/>
      <c r="J2912" s="103"/>
      <c r="K2912" s="39"/>
      <c r="L2912" s="78"/>
      <c r="M2912" s="19"/>
      <c r="N2912" s="10"/>
    </row>
    <row r="2913" spans="7:14" x14ac:dyDescent="0.75">
      <c r="G2913" s="10"/>
      <c r="H2913" s="10"/>
      <c r="I2913" s="39"/>
      <c r="J2913" s="103"/>
      <c r="K2913" s="39"/>
      <c r="L2913" s="78"/>
      <c r="M2913" s="19"/>
      <c r="N2913" s="10"/>
    </row>
    <row r="2914" spans="7:14" x14ac:dyDescent="0.75">
      <c r="G2914" s="10"/>
      <c r="H2914" s="10"/>
      <c r="I2914" s="39"/>
      <c r="J2914" s="103"/>
      <c r="K2914" s="39"/>
      <c r="L2914" s="78"/>
      <c r="M2914" s="19"/>
      <c r="N2914" s="10"/>
    </row>
    <row r="2915" spans="7:14" x14ac:dyDescent="0.75">
      <c r="G2915" s="10"/>
      <c r="H2915" s="10"/>
      <c r="I2915" s="39"/>
      <c r="J2915" s="103"/>
      <c r="K2915" s="39"/>
      <c r="L2915" s="78"/>
      <c r="M2915" s="19"/>
      <c r="N2915" s="10"/>
    </row>
    <row r="2916" spans="7:14" x14ac:dyDescent="0.75">
      <c r="G2916" s="10"/>
      <c r="H2916" s="10"/>
      <c r="I2916" s="39"/>
      <c r="J2916" s="103"/>
      <c r="K2916" s="39"/>
      <c r="L2916" s="78"/>
      <c r="M2916" s="19"/>
      <c r="N2916" s="10"/>
    </row>
    <row r="2917" spans="7:14" x14ac:dyDescent="0.75">
      <c r="G2917" s="10"/>
      <c r="H2917" s="10"/>
      <c r="I2917" s="39"/>
      <c r="J2917" s="103"/>
      <c r="K2917" s="39"/>
      <c r="L2917" s="78"/>
      <c r="M2917" s="19"/>
      <c r="N2917" s="10"/>
    </row>
    <row r="2918" spans="7:14" x14ac:dyDescent="0.75">
      <c r="G2918" s="10"/>
      <c r="H2918" s="10"/>
      <c r="I2918" s="39"/>
      <c r="J2918" s="103"/>
      <c r="K2918" s="39"/>
      <c r="L2918" s="10"/>
      <c r="M2918" s="19"/>
      <c r="N2918" s="10"/>
    </row>
    <row r="2919" spans="7:14" x14ac:dyDescent="0.75">
      <c r="G2919" s="10"/>
      <c r="H2919" s="10"/>
      <c r="I2919" s="39"/>
      <c r="J2919" s="103"/>
      <c r="K2919" s="39"/>
      <c r="L2919" s="10"/>
      <c r="M2919" s="19"/>
      <c r="N2919" s="10"/>
    </row>
    <row r="2920" spans="7:14" x14ac:dyDescent="0.75">
      <c r="G2920" s="10"/>
      <c r="H2920" s="10"/>
      <c r="I2920" s="39"/>
      <c r="J2920" s="103"/>
      <c r="K2920" s="39"/>
      <c r="L2920" s="10"/>
      <c r="M2920" s="19"/>
      <c r="N2920" s="10"/>
    </row>
    <row r="2921" spans="7:14" x14ac:dyDescent="0.75">
      <c r="G2921" s="10"/>
      <c r="H2921" s="10"/>
      <c r="I2921" s="39"/>
      <c r="J2921" s="103"/>
      <c r="K2921" s="39"/>
      <c r="L2921" s="10"/>
      <c r="M2921" s="19"/>
      <c r="N2921" s="10"/>
    </row>
    <row r="2922" spans="7:14" x14ac:dyDescent="0.75">
      <c r="G2922" s="10"/>
      <c r="H2922" s="10"/>
      <c r="I2922" s="39"/>
      <c r="J2922" s="103"/>
      <c r="K2922" s="39"/>
      <c r="L2922" s="78"/>
      <c r="M2922" s="19"/>
      <c r="N2922" s="10"/>
    </row>
    <row r="2923" spans="7:14" x14ac:dyDescent="0.75">
      <c r="G2923" s="10"/>
      <c r="H2923" s="10"/>
      <c r="I2923" s="39"/>
      <c r="J2923" s="103"/>
      <c r="K2923" s="39"/>
      <c r="L2923" s="78"/>
      <c r="M2923" s="19"/>
      <c r="N2923" s="10"/>
    </row>
    <row r="2924" spans="7:14" x14ac:dyDescent="0.75">
      <c r="G2924" s="10"/>
      <c r="H2924" s="10"/>
      <c r="I2924" s="39"/>
      <c r="J2924" s="103"/>
      <c r="K2924" s="39"/>
      <c r="L2924" s="78"/>
      <c r="M2924" s="19"/>
      <c r="N2924" s="10"/>
    </row>
    <row r="2925" spans="7:14" x14ac:dyDescent="0.75">
      <c r="G2925" s="10"/>
      <c r="H2925" s="10"/>
      <c r="I2925" s="39"/>
      <c r="J2925" s="103"/>
      <c r="K2925" s="39"/>
      <c r="L2925" s="78"/>
      <c r="M2925" s="19"/>
      <c r="N2925" s="10"/>
    </row>
    <row r="2926" spans="7:14" x14ac:dyDescent="0.75">
      <c r="G2926" s="10"/>
      <c r="H2926" s="10"/>
      <c r="I2926" s="39"/>
      <c r="J2926" s="103"/>
      <c r="K2926" s="39"/>
      <c r="L2926" s="78"/>
      <c r="M2926" s="19"/>
      <c r="N2926" s="10"/>
    </row>
    <row r="2927" spans="7:14" x14ac:dyDescent="0.75">
      <c r="G2927" s="10"/>
      <c r="H2927" s="10"/>
      <c r="I2927" s="39"/>
      <c r="J2927" s="103"/>
      <c r="K2927" s="39"/>
      <c r="L2927" s="78"/>
      <c r="M2927" s="19"/>
      <c r="N2927" s="10"/>
    </row>
    <row r="2928" spans="7:14" x14ac:dyDescent="0.75">
      <c r="G2928" s="10"/>
      <c r="H2928" s="10"/>
      <c r="I2928" s="39"/>
      <c r="J2928" s="103"/>
      <c r="K2928" s="39"/>
      <c r="L2928" s="78"/>
      <c r="M2928" s="19"/>
      <c r="N2928" s="10"/>
    </row>
    <row r="2929" spans="7:14" x14ac:dyDescent="0.75">
      <c r="G2929" s="10"/>
      <c r="H2929" s="10"/>
      <c r="I2929" s="39"/>
      <c r="J2929" s="103"/>
      <c r="K2929" s="39"/>
      <c r="L2929" s="78"/>
      <c r="M2929" s="19"/>
      <c r="N2929" s="10"/>
    </row>
    <row r="2930" spans="7:14" x14ac:dyDescent="0.75">
      <c r="G2930" s="10"/>
      <c r="H2930" s="10"/>
      <c r="I2930" s="39"/>
      <c r="J2930" s="103"/>
      <c r="K2930" s="39"/>
      <c r="L2930" s="78"/>
      <c r="M2930" s="19"/>
      <c r="N2930" s="10"/>
    </row>
    <row r="2931" spans="7:14" x14ac:dyDescent="0.75">
      <c r="G2931" s="10"/>
      <c r="H2931" s="10"/>
      <c r="I2931" s="39"/>
      <c r="J2931" s="103"/>
      <c r="K2931" s="39"/>
      <c r="L2931" s="78"/>
      <c r="M2931" s="19"/>
      <c r="N2931" s="10"/>
    </row>
    <row r="2932" spans="7:14" x14ac:dyDescent="0.75">
      <c r="G2932" s="10"/>
      <c r="H2932" s="10"/>
      <c r="I2932" s="39"/>
      <c r="J2932" s="103"/>
      <c r="K2932" s="39"/>
      <c r="L2932" s="78"/>
      <c r="M2932" s="19"/>
      <c r="N2932" s="10"/>
    </row>
    <row r="2933" spans="7:14" x14ac:dyDescent="0.75">
      <c r="G2933" s="10"/>
      <c r="H2933" s="10"/>
      <c r="I2933" s="39"/>
      <c r="J2933" s="103"/>
      <c r="K2933" s="39"/>
      <c r="L2933" s="78"/>
      <c r="M2933" s="19"/>
      <c r="N2933" s="10"/>
    </row>
    <row r="2934" spans="7:14" x14ac:dyDescent="0.75">
      <c r="G2934" s="10"/>
      <c r="H2934" s="10"/>
      <c r="I2934" s="39"/>
      <c r="J2934" s="103"/>
      <c r="K2934" s="39"/>
      <c r="L2934" s="78"/>
      <c r="M2934" s="19"/>
      <c r="N2934" s="10"/>
    </row>
    <row r="2935" spans="7:14" x14ac:dyDescent="0.75">
      <c r="G2935" s="10"/>
      <c r="H2935" s="10"/>
      <c r="I2935" s="39"/>
      <c r="J2935" s="103"/>
      <c r="K2935" s="39"/>
      <c r="L2935" s="78"/>
      <c r="M2935" s="19"/>
      <c r="N2935" s="10"/>
    </row>
    <row r="2936" spans="7:14" x14ac:dyDescent="0.75">
      <c r="G2936" s="10"/>
      <c r="H2936" s="10"/>
      <c r="I2936" s="39"/>
      <c r="J2936" s="103"/>
      <c r="K2936" s="39"/>
      <c r="L2936" s="78"/>
      <c r="M2936" s="19"/>
      <c r="N2936" s="10"/>
    </row>
    <row r="2937" spans="7:14" x14ac:dyDescent="0.75">
      <c r="G2937" s="10"/>
      <c r="H2937" s="10"/>
      <c r="I2937" s="39"/>
      <c r="J2937" s="103"/>
      <c r="K2937" s="39"/>
      <c r="L2937" s="78"/>
      <c r="M2937" s="19"/>
      <c r="N2937" s="10"/>
    </row>
    <row r="2938" spans="7:14" x14ac:dyDescent="0.75">
      <c r="G2938" s="10"/>
      <c r="H2938" s="10"/>
      <c r="I2938" s="39"/>
      <c r="J2938" s="103"/>
      <c r="K2938" s="39"/>
      <c r="L2938" s="78"/>
      <c r="M2938" s="19"/>
      <c r="N2938" s="10"/>
    </row>
    <row r="2939" spans="7:14" x14ac:dyDescent="0.75">
      <c r="G2939" s="10"/>
      <c r="H2939" s="10"/>
      <c r="I2939" s="39"/>
      <c r="J2939" s="103"/>
      <c r="K2939" s="39"/>
      <c r="L2939" s="78"/>
      <c r="M2939" s="19"/>
      <c r="N2939" s="10"/>
    </row>
    <row r="2940" spans="7:14" x14ac:dyDescent="0.75">
      <c r="G2940" s="10"/>
      <c r="H2940" s="10"/>
      <c r="I2940" s="39"/>
      <c r="J2940" s="103"/>
      <c r="K2940" s="39"/>
      <c r="L2940" s="78"/>
      <c r="M2940" s="19"/>
      <c r="N2940" s="10"/>
    </row>
    <row r="2941" spans="7:14" x14ac:dyDescent="0.75">
      <c r="G2941" s="10"/>
      <c r="H2941" s="10"/>
      <c r="I2941" s="39"/>
      <c r="J2941" s="103"/>
      <c r="K2941" s="39"/>
      <c r="L2941" s="78"/>
      <c r="M2941" s="19"/>
      <c r="N2941" s="10"/>
    </row>
    <row r="2942" spans="7:14" x14ac:dyDescent="0.75">
      <c r="G2942" s="10"/>
      <c r="H2942" s="10"/>
      <c r="I2942" s="39"/>
      <c r="J2942" s="103"/>
      <c r="K2942" s="39"/>
      <c r="L2942" s="78"/>
      <c r="M2942" s="19"/>
      <c r="N2942" s="10"/>
    </row>
    <row r="2943" spans="7:14" x14ac:dyDescent="0.75">
      <c r="G2943" s="10"/>
      <c r="H2943" s="10"/>
      <c r="I2943" s="39"/>
      <c r="J2943" s="103"/>
      <c r="K2943" s="39"/>
      <c r="L2943" s="78"/>
      <c r="M2943" s="19"/>
      <c r="N2943" s="10"/>
    </row>
    <row r="2944" spans="7:14" x14ac:dyDescent="0.75">
      <c r="G2944" s="10"/>
      <c r="H2944" s="10"/>
      <c r="I2944" s="39"/>
      <c r="J2944" s="103"/>
      <c r="K2944" s="39"/>
      <c r="L2944" s="78"/>
      <c r="M2944" s="19"/>
      <c r="N2944" s="10"/>
    </row>
    <row r="2945" spans="7:14" x14ac:dyDescent="0.75">
      <c r="G2945" s="10"/>
      <c r="H2945" s="10"/>
      <c r="I2945" s="39"/>
      <c r="J2945" s="103"/>
      <c r="K2945" s="39"/>
      <c r="L2945" s="78"/>
      <c r="M2945" s="19"/>
      <c r="N2945" s="10"/>
    </row>
    <row r="2946" spans="7:14" x14ac:dyDescent="0.75">
      <c r="G2946" s="10"/>
      <c r="H2946" s="10"/>
      <c r="I2946" s="39"/>
      <c r="J2946" s="103"/>
      <c r="K2946" s="39"/>
      <c r="L2946" s="78"/>
      <c r="M2946" s="19"/>
      <c r="N2946" s="10"/>
    </row>
    <row r="2947" spans="7:14" x14ac:dyDescent="0.75">
      <c r="G2947" s="10"/>
      <c r="H2947" s="10"/>
      <c r="I2947" s="39"/>
      <c r="J2947" s="103"/>
      <c r="K2947" s="39"/>
      <c r="L2947" s="78"/>
      <c r="M2947" s="19"/>
      <c r="N2947" s="10"/>
    </row>
    <row r="2948" spans="7:14" x14ac:dyDescent="0.75">
      <c r="G2948" s="10"/>
      <c r="H2948" s="10"/>
      <c r="I2948" s="39"/>
      <c r="J2948" s="103"/>
      <c r="K2948" s="39"/>
      <c r="L2948" s="78"/>
      <c r="M2948" s="19"/>
      <c r="N2948" s="10"/>
    </row>
    <row r="2949" spans="7:14" x14ac:dyDescent="0.75">
      <c r="G2949" s="10"/>
      <c r="H2949" s="10"/>
      <c r="I2949" s="39"/>
      <c r="J2949" s="103"/>
      <c r="K2949" s="39"/>
      <c r="L2949" s="78"/>
      <c r="M2949" s="19"/>
      <c r="N2949" s="10"/>
    </row>
    <row r="2950" spans="7:14" x14ac:dyDescent="0.75">
      <c r="G2950" s="10"/>
      <c r="H2950" s="10"/>
      <c r="I2950" s="39"/>
      <c r="J2950" s="103"/>
      <c r="K2950" s="39"/>
      <c r="L2950" s="78"/>
      <c r="M2950" s="19"/>
      <c r="N2950" s="10"/>
    </row>
    <row r="2951" spans="7:14" x14ac:dyDescent="0.75">
      <c r="G2951" s="10"/>
      <c r="H2951" s="10"/>
      <c r="I2951" s="39"/>
      <c r="J2951" s="103"/>
      <c r="K2951" s="39"/>
      <c r="L2951" s="78"/>
      <c r="M2951" s="19"/>
      <c r="N2951" s="10"/>
    </row>
    <row r="2952" spans="7:14" x14ac:dyDescent="0.75">
      <c r="G2952" s="10"/>
      <c r="H2952" s="10"/>
      <c r="I2952" s="39"/>
      <c r="J2952" s="103"/>
      <c r="K2952" s="39"/>
      <c r="L2952" s="78"/>
      <c r="M2952" s="19"/>
      <c r="N2952" s="10"/>
    </row>
    <row r="2953" spans="7:14" x14ac:dyDescent="0.75">
      <c r="G2953" s="10"/>
      <c r="H2953" s="10"/>
      <c r="I2953" s="39"/>
      <c r="J2953" s="103"/>
      <c r="K2953" s="39"/>
      <c r="L2953" s="78"/>
      <c r="M2953" s="19"/>
      <c r="N2953" s="10"/>
    </row>
    <row r="2954" spans="7:14" x14ac:dyDescent="0.75">
      <c r="G2954" s="10"/>
      <c r="H2954" s="10"/>
      <c r="I2954" s="39"/>
      <c r="J2954" s="103"/>
      <c r="K2954" s="39"/>
      <c r="L2954" s="78"/>
      <c r="M2954" s="19"/>
      <c r="N2954" s="10"/>
    </row>
    <row r="2955" spans="7:14" x14ac:dyDescent="0.75">
      <c r="G2955" s="10"/>
      <c r="H2955" s="10"/>
      <c r="I2955" s="39"/>
      <c r="J2955" s="103"/>
      <c r="K2955" s="39"/>
      <c r="L2955" s="78"/>
      <c r="M2955" s="19"/>
      <c r="N2955" s="10"/>
    </row>
    <row r="2956" spans="7:14" x14ac:dyDescent="0.75">
      <c r="G2956" s="10"/>
      <c r="H2956" s="10"/>
      <c r="I2956" s="39"/>
      <c r="J2956" s="103"/>
      <c r="K2956" s="39"/>
      <c r="L2956" s="78"/>
      <c r="M2956" s="19"/>
      <c r="N2956" s="10"/>
    </row>
    <row r="2957" spans="7:14" x14ac:dyDescent="0.75">
      <c r="G2957" s="10"/>
      <c r="H2957" s="10"/>
      <c r="I2957" s="39"/>
      <c r="J2957" s="103"/>
      <c r="K2957" s="39"/>
      <c r="L2957" s="10"/>
      <c r="M2957" s="19"/>
      <c r="N2957" s="10"/>
    </row>
    <row r="2958" spans="7:14" x14ac:dyDescent="0.75">
      <c r="G2958" s="10"/>
      <c r="H2958" s="10"/>
      <c r="I2958" s="39"/>
      <c r="J2958" s="103"/>
      <c r="K2958" s="39"/>
      <c r="L2958" s="78"/>
      <c r="M2958" s="19"/>
      <c r="N2958" s="10"/>
    </row>
    <row r="2959" spans="7:14" x14ac:dyDescent="0.75">
      <c r="G2959" s="10"/>
      <c r="H2959" s="10"/>
      <c r="I2959" s="39"/>
      <c r="J2959" s="103"/>
      <c r="K2959" s="39"/>
      <c r="L2959" s="78"/>
      <c r="M2959" s="19"/>
      <c r="N2959" s="10"/>
    </row>
    <row r="2960" spans="7:14" x14ac:dyDescent="0.75">
      <c r="G2960" s="10"/>
      <c r="H2960" s="10"/>
      <c r="I2960" s="39"/>
      <c r="J2960" s="103"/>
      <c r="K2960" s="39"/>
      <c r="L2960" s="78"/>
      <c r="M2960" s="19"/>
      <c r="N2960" s="10"/>
    </row>
    <row r="2961" spans="7:14" x14ac:dyDescent="0.75">
      <c r="G2961" s="10"/>
      <c r="H2961" s="10"/>
      <c r="I2961" s="39"/>
      <c r="J2961" s="103"/>
      <c r="K2961" s="39"/>
      <c r="L2961" s="78"/>
      <c r="M2961" s="19"/>
      <c r="N2961" s="10"/>
    </row>
    <row r="2962" spans="7:14" x14ac:dyDescent="0.75">
      <c r="G2962" s="10"/>
      <c r="H2962" s="10"/>
      <c r="I2962" s="39"/>
      <c r="J2962" s="103"/>
      <c r="K2962" s="39"/>
      <c r="L2962" s="78"/>
      <c r="M2962" s="19"/>
      <c r="N2962" s="10"/>
    </row>
    <row r="2963" spans="7:14" x14ac:dyDescent="0.75">
      <c r="G2963" s="10"/>
      <c r="H2963" s="10"/>
      <c r="I2963" s="39"/>
      <c r="J2963" s="103"/>
      <c r="K2963" s="39"/>
      <c r="L2963" s="78"/>
      <c r="M2963" s="19"/>
      <c r="N2963" s="10"/>
    </row>
    <row r="2964" spans="7:14" x14ac:dyDescent="0.75">
      <c r="G2964" s="10"/>
      <c r="H2964" s="10"/>
      <c r="I2964" s="39"/>
      <c r="J2964" s="103"/>
      <c r="K2964" s="39"/>
      <c r="L2964" s="78"/>
      <c r="M2964" s="19"/>
      <c r="N2964" s="10"/>
    </row>
    <row r="2965" spans="7:14" x14ac:dyDescent="0.75">
      <c r="G2965" s="10"/>
      <c r="H2965" s="10"/>
      <c r="I2965" s="39"/>
      <c r="J2965" s="103"/>
      <c r="K2965" s="39"/>
      <c r="L2965" s="78"/>
      <c r="M2965" s="19"/>
      <c r="N2965" s="10"/>
    </row>
    <row r="2966" spans="7:14" x14ac:dyDescent="0.75">
      <c r="G2966" s="10"/>
      <c r="H2966" s="10"/>
      <c r="I2966" s="39"/>
      <c r="J2966" s="103"/>
      <c r="K2966" s="39"/>
      <c r="L2966" s="78"/>
      <c r="M2966" s="19"/>
      <c r="N2966" s="10"/>
    </row>
    <row r="2967" spans="7:14" x14ac:dyDescent="0.75">
      <c r="G2967" s="10"/>
      <c r="H2967" s="10"/>
      <c r="I2967" s="39"/>
      <c r="J2967" s="103"/>
      <c r="K2967" s="39"/>
      <c r="L2967" s="78"/>
      <c r="M2967" s="19"/>
      <c r="N2967" s="10"/>
    </row>
    <row r="2968" spans="7:14" x14ac:dyDescent="0.75">
      <c r="G2968" s="10"/>
      <c r="H2968" s="10"/>
      <c r="I2968" s="39"/>
      <c r="J2968" s="103"/>
      <c r="K2968" s="39"/>
      <c r="L2968" s="78"/>
      <c r="M2968" s="19"/>
      <c r="N2968" s="10"/>
    </row>
    <row r="2969" spans="7:14" x14ac:dyDescent="0.75">
      <c r="G2969" s="10"/>
      <c r="H2969" s="10"/>
      <c r="I2969" s="39"/>
      <c r="J2969" s="103"/>
      <c r="K2969" s="39"/>
      <c r="L2969" s="78"/>
      <c r="M2969" s="19"/>
      <c r="N2969" s="10"/>
    </row>
    <row r="2970" spans="7:14" x14ac:dyDescent="0.75">
      <c r="G2970" s="10"/>
      <c r="H2970" s="10"/>
      <c r="I2970" s="39"/>
      <c r="J2970" s="103"/>
      <c r="K2970" s="39"/>
      <c r="L2970" s="78"/>
      <c r="M2970" s="19"/>
      <c r="N2970" s="10"/>
    </row>
    <row r="2971" spans="7:14" x14ac:dyDescent="0.75">
      <c r="G2971" s="10"/>
      <c r="H2971" s="10"/>
      <c r="I2971" s="39"/>
      <c r="J2971" s="103"/>
      <c r="K2971" s="39"/>
      <c r="L2971" s="78"/>
      <c r="M2971" s="19"/>
      <c r="N2971" s="10"/>
    </row>
    <row r="2972" spans="7:14" x14ac:dyDescent="0.75">
      <c r="G2972" s="10"/>
      <c r="H2972" s="10"/>
      <c r="I2972" s="39"/>
      <c r="J2972" s="103"/>
      <c r="K2972" s="39"/>
      <c r="L2972" s="78"/>
      <c r="M2972" s="19"/>
      <c r="N2972" s="10"/>
    </row>
    <row r="2973" spans="7:14" x14ac:dyDescent="0.75">
      <c r="G2973" s="10"/>
      <c r="H2973" s="10"/>
      <c r="I2973" s="39"/>
      <c r="J2973" s="103"/>
      <c r="K2973" s="39"/>
      <c r="L2973" s="78"/>
      <c r="M2973" s="19"/>
      <c r="N2973" s="10"/>
    </row>
    <row r="2974" spans="7:14" x14ac:dyDescent="0.75">
      <c r="G2974" s="10"/>
      <c r="H2974" s="10"/>
      <c r="I2974" s="39"/>
      <c r="J2974" s="103"/>
      <c r="K2974" s="39"/>
      <c r="L2974" s="78"/>
      <c r="M2974" s="19"/>
      <c r="N2974" s="10"/>
    </row>
    <row r="2975" spans="7:14" x14ac:dyDescent="0.75">
      <c r="G2975" s="10"/>
      <c r="H2975" s="10"/>
      <c r="I2975" s="39"/>
      <c r="J2975" s="103"/>
      <c r="K2975" s="39"/>
      <c r="L2975" s="78"/>
      <c r="M2975" s="19"/>
      <c r="N2975" s="10"/>
    </row>
    <row r="2976" spans="7:14" x14ac:dyDescent="0.75">
      <c r="G2976" s="10"/>
      <c r="H2976" s="10"/>
      <c r="I2976" s="39"/>
      <c r="J2976" s="103"/>
      <c r="K2976" s="39"/>
      <c r="L2976" s="78"/>
      <c r="M2976" s="19"/>
      <c r="N2976" s="10"/>
    </row>
    <row r="2977" spans="7:14" x14ac:dyDescent="0.75">
      <c r="G2977" s="10"/>
      <c r="H2977" s="10"/>
      <c r="I2977" s="39"/>
      <c r="J2977" s="103"/>
      <c r="K2977" s="39"/>
      <c r="L2977" s="78"/>
      <c r="M2977" s="19"/>
      <c r="N2977" s="10"/>
    </row>
    <row r="2978" spans="7:14" x14ac:dyDescent="0.75">
      <c r="G2978" s="10"/>
      <c r="H2978" s="10"/>
      <c r="I2978" s="39"/>
      <c r="J2978" s="103"/>
      <c r="K2978" s="39"/>
      <c r="L2978" s="78"/>
      <c r="M2978" s="19"/>
      <c r="N2978" s="10"/>
    </row>
    <row r="2979" spans="7:14" x14ac:dyDescent="0.75">
      <c r="G2979" s="10"/>
      <c r="H2979" s="10"/>
      <c r="I2979" s="39"/>
      <c r="J2979" s="103"/>
      <c r="K2979" s="39"/>
      <c r="L2979" s="10"/>
      <c r="M2979" s="19"/>
      <c r="N2979" s="10"/>
    </row>
    <row r="2980" spans="7:14" x14ac:dyDescent="0.75">
      <c r="G2980" s="10"/>
      <c r="H2980" s="10"/>
      <c r="I2980" s="39"/>
      <c r="J2980" s="103"/>
      <c r="K2980" s="39"/>
      <c r="L2980" s="78"/>
      <c r="M2980" s="19"/>
      <c r="N2980" s="10"/>
    </row>
    <row r="2981" spans="7:14" x14ac:dyDescent="0.75">
      <c r="G2981" s="10"/>
      <c r="H2981" s="10"/>
      <c r="I2981" s="39"/>
      <c r="J2981" s="103"/>
      <c r="K2981" s="39"/>
      <c r="L2981" s="78"/>
      <c r="M2981" s="19"/>
      <c r="N2981" s="10"/>
    </row>
    <row r="2982" spans="7:14" x14ac:dyDescent="0.75">
      <c r="G2982" s="10"/>
      <c r="H2982" s="10"/>
      <c r="I2982" s="39"/>
      <c r="J2982" s="103"/>
      <c r="K2982" s="39"/>
      <c r="L2982" s="78"/>
      <c r="M2982" s="19"/>
      <c r="N2982" s="10"/>
    </row>
    <row r="2983" spans="7:14" x14ac:dyDescent="0.75">
      <c r="G2983" s="10"/>
      <c r="H2983" s="10"/>
      <c r="I2983" s="39"/>
      <c r="J2983" s="103"/>
      <c r="K2983" s="39"/>
      <c r="L2983" s="78"/>
      <c r="M2983" s="19"/>
      <c r="N2983" s="10"/>
    </row>
    <row r="2984" spans="7:14" x14ac:dyDescent="0.75">
      <c r="G2984" s="10"/>
      <c r="H2984" s="10"/>
      <c r="I2984" s="39"/>
      <c r="J2984" s="103"/>
      <c r="K2984" s="39"/>
      <c r="L2984" s="78"/>
      <c r="M2984" s="19"/>
      <c r="N2984" s="10"/>
    </row>
    <row r="2985" spans="7:14" x14ac:dyDescent="0.75">
      <c r="G2985" s="10"/>
      <c r="H2985" s="10"/>
      <c r="I2985" s="39"/>
      <c r="J2985" s="103"/>
      <c r="K2985" s="39"/>
      <c r="L2985" s="78"/>
      <c r="M2985" s="19"/>
      <c r="N2985" s="10"/>
    </row>
    <row r="2986" spans="7:14" x14ac:dyDescent="0.75">
      <c r="G2986" s="10"/>
      <c r="H2986" s="10"/>
      <c r="I2986" s="39"/>
      <c r="J2986" s="103"/>
      <c r="K2986" s="39"/>
      <c r="L2986" s="78"/>
      <c r="M2986" s="19"/>
      <c r="N2986" s="10"/>
    </row>
    <row r="2987" spans="7:14" x14ac:dyDescent="0.75">
      <c r="G2987" s="10"/>
      <c r="H2987" s="10"/>
      <c r="I2987" s="39"/>
      <c r="J2987" s="103"/>
      <c r="K2987" s="39"/>
      <c r="L2987" s="78"/>
      <c r="M2987" s="19"/>
      <c r="N2987" s="10"/>
    </row>
    <row r="2988" spans="7:14" x14ac:dyDescent="0.75">
      <c r="G2988" s="10"/>
      <c r="H2988" s="10"/>
      <c r="I2988" s="39"/>
      <c r="J2988" s="103"/>
      <c r="K2988" s="39"/>
      <c r="L2988" s="78"/>
      <c r="M2988" s="19"/>
      <c r="N2988" s="10"/>
    </row>
    <row r="2989" spans="7:14" x14ac:dyDescent="0.75">
      <c r="G2989" s="10"/>
      <c r="H2989" s="10"/>
      <c r="I2989" s="39"/>
      <c r="J2989" s="103"/>
      <c r="K2989" s="39"/>
      <c r="L2989" s="78"/>
      <c r="M2989" s="19"/>
      <c r="N2989" s="10"/>
    </row>
    <row r="2990" spans="7:14" x14ac:dyDescent="0.75">
      <c r="G2990" s="10"/>
      <c r="H2990" s="10"/>
      <c r="I2990" s="39"/>
      <c r="J2990" s="103"/>
      <c r="K2990" s="39"/>
      <c r="L2990" s="78"/>
      <c r="M2990" s="19"/>
      <c r="N2990" s="10"/>
    </row>
    <row r="2991" spans="7:14" x14ac:dyDescent="0.75">
      <c r="G2991" s="10"/>
      <c r="H2991" s="10"/>
      <c r="I2991" s="39"/>
      <c r="J2991" s="103"/>
      <c r="K2991" s="39"/>
      <c r="L2991" s="78"/>
      <c r="M2991" s="19"/>
      <c r="N2991" s="10"/>
    </row>
    <row r="2992" spans="7:14" x14ac:dyDescent="0.75">
      <c r="G2992" s="10"/>
      <c r="H2992" s="10"/>
      <c r="I2992" s="39"/>
      <c r="J2992" s="103"/>
      <c r="K2992" s="39"/>
      <c r="L2992" s="78"/>
      <c r="M2992" s="19"/>
      <c r="N2992" s="10"/>
    </row>
    <row r="2993" spans="7:14" x14ac:dyDescent="0.75">
      <c r="G2993" s="10"/>
      <c r="H2993" s="10"/>
      <c r="I2993" s="39"/>
      <c r="J2993" s="103"/>
      <c r="K2993" s="39"/>
      <c r="L2993" s="78"/>
      <c r="M2993" s="19"/>
      <c r="N2993" s="10"/>
    </row>
    <row r="2994" spans="7:14" x14ac:dyDescent="0.75">
      <c r="G2994" s="10"/>
      <c r="H2994" s="10"/>
      <c r="I2994" s="39"/>
      <c r="J2994" s="103"/>
      <c r="K2994" s="39"/>
      <c r="L2994" s="78"/>
      <c r="M2994" s="19"/>
      <c r="N2994" s="10"/>
    </row>
    <row r="2995" spans="7:14" x14ac:dyDescent="0.75">
      <c r="G2995" s="10"/>
      <c r="H2995" s="10"/>
      <c r="I2995" s="39"/>
      <c r="J2995" s="103"/>
      <c r="K2995" s="39"/>
      <c r="L2995" s="10"/>
      <c r="M2995" s="19"/>
      <c r="N2995" s="10"/>
    </row>
    <row r="2996" spans="7:14" x14ac:dyDescent="0.75">
      <c r="G2996" s="10"/>
      <c r="H2996" s="10"/>
      <c r="I2996" s="39"/>
      <c r="J2996" s="103"/>
      <c r="K2996" s="39"/>
      <c r="L2996" s="78"/>
      <c r="M2996" s="19"/>
      <c r="N2996" s="10"/>
    </row>
    <row r="2997" spans="7:14" x14ac:dyDescent="0.75">
      <c r="G2997" s="10"/>
      <c r="H2997" s="10"/>
      <c r="I2997" s="39"/>
      <c r="J2997" s="103"/>
      <c r="K2997" s="39"/>
      <c r="L2997" s="78"/>
      <c r="M2997" s="19"/>
      <c r="N2997" s="10"/>
    </row>
    <row r="2998" spans="7:14" x14ac:dyDescent="0.75">
      <c r="G2998" s="10"/>
      <c r="H2998" s="10"/>
      <c r="I2998" s="39"/>
      <c r="J2998" s="103"/>
      <c r="K2998" s="39"/>
      <c r="L2998" s="78"/>
      <c r="M2998" s="19"/>
      <c r="N2998" s="10"/>
    </row>
    <row r="2999" spans="7:14" x14ac:dyDescent="0.75">
      <c r="G2999" s="10"/>
      <c r="H2999" s="10"/>
      <c r="I2999" s="39"/>
      <c r="J2999" s="103"/>
      <c r="K2999" s="39"/>
      <c r="L2999" s="78"/>
      <c r="M2999" s="19"/>
      <c r="N2999" s="10"/>
    </row>
    <row r="3000" spans="7:14" x14ac:dyDescent="0.75">
      <c r="G3000" s="10"/>
      <c r="H3000" s="10"/>
      <c r="I3000" s="39"/>
      <c r="J3000" s="103"/>
      <c r="K3000" s="39"/>
      <c r="L3000" s="78"/>
      <c r="M3000" s="19"/>
      <c r="N3000" s="10"/>
    </row>
    <row r="3001" spans="7:14" x14ac:dyDescent="0.75">
      <c r="G3001" s="10"/>
      <c r="H3001" s="10"/>
      <c r="I3001" s="39"/>
      <c r="J3001" s="103"/>
      <c r="K3001" s="39"/>
      <c r="L3001" s="78"/>
      <c r="M3001" s="19"/>
      <c r="N3001" s="10"/>
    </row>
    <row r="3002" spans="7:14" x14ac:dyDescent="0.75">
      <c r="G3002" s="10"/>
      <c r="H3002" s="10"/>
      <c r="I3002" s="39"/>
      <c r="J3002" s="103"/>
      <c r="K3002" s="39"/>
      <c r="L3002" s="78"/>
      <c r="M3002" s="19"/>
      <c r="N3002" s="10"/>
    </row>
    <row r="3003" spans="7:14" x14ac:dyDescent="0.75">
      <c r="G3003" s="10"/>
      <c r="H3003" s="10"/>
      <c r="I3003" s="39"/>
      <c r="J3003" s="103"/>
      <c r="K3003" s="39"/>
      <c r="L3003" s="78"/>
      <c r="M3003" s="19"/>
      <c r="N3003" s="10"/>
    </row>
    <row r="3004" spans="7:14" x14ac:dyDescent="0.75">
      <c r="G3004" s="10"/>
      <c r="H3004" s="10"/>
      <c r="I3004" s="39"/>
      <c r="J3004" s="103"/>
      <c r="K3004" s="39"/>
      <c r="L3004" s="78"/>
      <c r="M3004" s="19"/>
      <c r="N3004" s="10"/>
    </row>
    <row r="3005" spans="7:14" x14ac:dyDescent="0.75">
      <c r="G3005" s="10"/>
      <c r="H3005" s="10"/>
      <c r="I3005" s="39"/>
      <c r="J3005" s="103"/>
      <c r="K3005" s="39"/>
      <c r="L3005" s="78"/>
      <c r="M3005" s="19"/>
      <c r="N3005" s="10"/>
    </row>
    <row r="3006" spans="7:14" x14ac:dyDescent="0.75">
      <c r="G3006" s="10"/>
      <c r="H3006" s="10"/>
      <c r="I3006" s="39"/>
      <c r="J3006" s="103"/>
      <c r="K3006" s="39"/>
      <c r="L3006" s="78"/>
      <c r="M3006" s="19"/>
      <c r="N3006" s="10"/>
    </row>
    <row r="3007" spans="7:14" x14ac:dyDescent="0.75">
      <c r="G3007" s="10"/>
      <c r="H3007" s="10"/>
      <c r="I3007" s="39"/>
      <c r="J3007" s="103"/>
      <c r="K3007" s="39"/>
      <c r="L3007" s="78"/>
      <c r="M3007" s="19"/>
      <c r="N3007" s="10"/>
    </row>
    <row r="3008" spans="7:14" x14ac:dyDescent="0.75">
      <c r="G3008" s="10"/>
      <c r="H3008" s="10"/>
      <c r="I3008" s="39"/>
      <c r="J3008" s="103"/>
      <c r="K3008" s="39"/>
      <c r="L3008" s="78"/>
      <c r="M3008" s="19"/>
      <c r="N3008" s="10"/>
    </row>
    <row r="3009" spans="7:14" x14ac:dyDescent="0.75">
      <c r="G3009" s="10"/>
      <c r="H3009" s="10"/>
      <c r="I3009" s="39"/>
      <c r="J3009" s="103"/>
      <c r="K3009" s="39"/>
      <c r="L3009" s="78"/>
      <c r="M3009" s="19"/>
      <c r="N3009" s="10"/>
    </row>
    <row r="3010" spans="7:14" x14ac:dyDescent="0.75">
      <c r="G3010" s="10"/>
      <c r="H3010" s="10"/>
      <c r="I3010" s="39"/>
      <c r="J3010" s="103"/>
      <c r="K3010" s="39"/>
      <c r="L3010" s="10"/>
      <c r="M3010" s="19"/>
      <c r="N3010" s="10"/>
    </row>
    <row r="3011" spans="7:14" x14ac:dyDescent="0.75">
      <c r="G3011" s="10"/>
      <c r="H3011" s="10"/>
      <c r="I3011" s="39"/>
      <c r="J3011" s="103"/>
      <c r="K3011" s="39"/>
      <c r="L3011" s="10"/>
      <c r="M3011" s="19"/>
      <c r="N3011" s="10"/>
    </row>
    <row r="3012" spans="7:14" x14ac:dyDescent="0.75">
      <c r="G3012" s="10"/>
      <c r="H3012" s="10"/>
      <c r="I3012" s="39"/>
      <c r="J3012" s="103"/>
      <c r="K3012" s="39"/>
      <c r="L3012" s="10"/>
      <c r="M3012" s="19"/>
      <c r="N3012" s="10"/>
    </row>
    <row r="3013" spans="7:14" x14ac:dyDescent="0.75">
      <c r="G3013" s="10"/>
      <c r="H3013" s="10"/>
      <c r="I3013" s="39"/>
      <c r="J3013" s="103"/>
      <c r="K3013" s="39"/>
      <c r="L3013" s="78"/>
      <c r="M3013" s="19"/>
      <c r="N3013" s="10"/>
    </row>
    <row r="3014" spans="7:14" x14ac:dyDescent="0.75">
      <c r="G3014" s="10"/>
      <c r="H3014" s="10"/>
      <c r="I3014" s="39"/>
      <c r="J3014" s="103"/>
      <c r="K3014" s="39"/>
      <c r="L3014" s="78"/>
      <c r="M3014" s="19"/>
      <c r="N3014" s="10"/>
    </row>
    <row r="3015" spans="7:14" x14ac:dyDescent="0.75">
      <c r="G3015" s="10"/>
      <c r="H3015" s="10"/>
      <c r="I3015" s="39"/>
      <c r="J3015" s="103"/>
      <c r="K3015" s="39"/>
      <c r="L3015" s="78"/>
      <c r="M3015" s="19"/>
      <c r="N3015" s="10"/>
    </row>
    <row r="3016" spans="7:14" x14ac:dyDescent="0.75">
      <c r="G3016" s="10"/>
      <c r="H3016" s="10"/>
      <c r="I3016" s="39"/>
      <c r="J3016" s="103"/>
      <c r="K3016" s="39"/>
      <c r="L3016" s="78"/>
      <c r="M3016" s="19"/>
      <c r="N3016" s="10"/>
    </row>
    <row r="3017" spans="7:14" x14ac:dyDescent="0.75">
      <c r="G3017" s="10"/>
      <c r="H3017" s="10"/>
      <c r="I3017" s="39"/>
      <c r="J3017" s="103"/>
      <c r="K3017" s="39"/>
      <c r="L3017" s="78"/>
      <c r="M3017" s="19"/>
      <c r="N3017" s="10"/>
    </row>
    <row r="3018" spans="7:14" x14ac:dyDescent="0.75">
      <c r="G3018" s="10"/>
      <c r="H3018" s="10"/>
      <c r="I3018" s="39"/>
      <c r="J3018" s="103"/>
      <c r="K3018" s="39"/>
      <c r="L3018" s="78"/>
      <c r="M3018" s="19"/>
      <c r="N3018" s="10"/>
    </row>
    <row r="3019" spans="7:14" x14ac:dyDescent="0.75">
      <c r="G3019" s="10"/>
      <c r="H3019" s="10"/>
      <c r="I3019" s="39"/>
      <c r="J3019" s="103"/>
      <c r="K3019" s="39"/>
      <c r="L3019" s="78"/>
      <c r="M3019" s="19"/>
      <c r="N3019" s="10"/>
    </row>
    <row r="3020" spans="7:14" x14ac:dyDescent="0.75">
      <c r="G3020" s="10"/>
      <c r="H3020" s="10"/>
      <c r="I3020" s="39"/>
      <c r="J3020" s="103"/>
      <c r="K3020" s="39"/>
      <c r="L3020" s="78"/>
      <c r="M3020" s="19"/>
      <c r="N3020" s="10"/>
    </row>
    <row r="3021" spans="7:14" x14ac:dyDescent="0.75">
      <c r="G3021" s="10"/>
      <c r="H3021" s="10"/>
      <c r="I3021" s="39"/>
      <c r="J3021" s="103"/>
      <c r="K3021" s="39"/>
      <c r="L3021" s="78"/>
      <c r="M3021" s="19"/>
      <c r="N3021" s="10"/>
    </row>
    <row r="3022" spans="7:14" x14ac:dyDescent="0.75">
      <c r="G3022" s="10"/>
      <c r="H3022" s="10"/>
      <c r="I3022" s="39"/>
      <c r="J3022" s="103"/>
      <c r="K3022" s="39"/>
      <c r="L3022" s="10"/>
      <c r="M3022" s="19"/>
      <c r="N3022" s="10"/>
    </row>
    <row r="3023" spans="7:14" x14ac:dyDescent="0.75">
      <c r="G3023" s="10"/>
      <c r="H3023" s="10"/>
      <c r="I3023" s="39"/>
      <c r="J3023" s="103"/>
      <c r="K3023" s="39"/>
      <c r="L3023" s="78"/>
      <c r="M3023" s="19"/>
      <c r="N3023" s="10"/>
    </row>
    <row r="3024" spans="7:14" x14ac:dyDescent="0.75">
      <c r="G3024" s="10"/>
      <c r="H3024" s="10"/>
      <c r="I3024" s="39"/>
      <c r="J3024" s="103"/>
      <c r="K3024" s="39"/>
      <c r="L3024" s="78"/>
      <c r="M3024" s="19"/>
      <c r="N3024" s="10"/>
    </row>
    <row r="3025" spans="7:14" x14ac:dyDescent="0.75">
      <c r="G3025" s="10"/>
      <c r="H3025" s="10"/>
      <c r="I3025" s="39"/>
      <c r="J3025" s="103"/>
      <c r="K3025" s="39"/>
      <c r="L3025" s="78"/>
      <c r="M3025" s="19"/>
      <c r="N3025" s="10"/>
    </row>
    <row r="3026" spans="7:14" x14ac:dyDescent="0.75">
      <c r="G3026" s="10"/>
      <c r="H3026" s="10"/>
      <c r="I3026" s="39"/>
      <c r="J3026" s="103"/>
      <c r="K3026" s="39"/>
      <c r="L3026" s="78"/>
      <c r="M3026" s="19"/>
      <c r="N3026" s="10"/>
    </row>
    <row r="3027" spans="7:14" x14ac:dyDescent="0.75">
      <c r="G3027" s="10"/>
      <c r="H3027" s="10"/>
      <c r="I3027" s="39"/>
      <c r="J3027" s="103"/>
      <c r="K3027" s="39"/>
      <c r="L3027" s="10"/>
      <c r="M3027" s="19"/>
      <c r="N3027" s="10"/>
    </row>
    <row r="3028" spans="7:14" x14ac:dyDescent="0.75">
      <c r="G3028" s="10"/>
      <c r="H3028" s="10"/>
      <c r="I3028" s="39"/>
      <c r="J3028" s="103"/>
      <c r="K3028" s="39"/>
      <c r="L3028" s="78"/>
      <c r="M3028" s="19"/>
      <c r="N3028" s="10"/>
    </row>
    <row r="3029" spans="7:14" x14ac:dyDescent="0.75">
      <c r="G3029" s="10"/>
      <c r="H3029" s="10"/>
      <c r="I3029" s="39"/>
      <c r="J3029" s="103"/>
      <c r="K3029" s="39"/>
      <c r="L3029" s="78"/>
      <c r="M3029" s="19"/>
      <c r="N3029" s="10"/>
    </row>
    <row r="3030" spans="7:14" x14ac:dyDescent="0.75">
      <c r="G3030" s="10"/>
      <c r="H3030" s="10"/>
      <c r="I3030" s="39"/>
      <c r="J3030" s="103"/>
      <c r="K3030" s="39"/>
      <c r="L3030" s="78"/>
      <c r="M3030" s="19"/>
      <c r="N3030" s="10"/>
    </row>
    <row r="3031" spans="7:14" x14ac:dyDescent="0.75">
      <c r="G3031" s="10"/>
      <c r="H3031" s="10"/>
      <c r="I3031" s="39"/>
      <c r="J3031" s="103"/>
      <c r="K3031" s="39"/>
      <c r="L3031" s="78"/>
      <c r="M3031" s="19"/>
      <c r="N3031" s="10"/>
    </row>
    <row r="3032" spans="7:14" x14ac:dyDescent="0.75">
      <c r="G3032" s="10"/>
      <c r="H3032" s="10"/>
      <c r="I3032" s="39"/>
      <c r="J3032" s="103"/>
      <c r="K3032" s="39"/>
      <c r="L3032" s="78"/>
      <c r="M3032" s="19"/>
      <c r="N3032" s="10"/>
    </row>
    <row r="3033" spans="7:14" x14ac:dyDescent="0.75">
      <c r="G3033" s="10"/>
      <c r="H3033" s="10"/>
      <c r="I3033" s="39"/>
      <c r="J3033" s="103"/>
      <c r="K3033" s="39"/>
      <c r="L3033" s="78"/>
      <c r="M3033" s="19"/>
      <c r="N3033" s="10"/>
    </row>
    <row r="3034" spans="7:14" x14ac:dyDescent="0.75">
      <c r="G3034" s="10"/>
      <c r="H3034" s="10"/>
      <c r="I3034" s="39"/>
      <c r="J3034" s="103"/>
      <c r="K3034" s="39"/>
      <c r="L3034" s="78"/>
      <c r="M3034" s="19"/>
      <c r="N3034" s="10"/>
    </row>
    <row r="3035" spans="7:14" x14ac:dyDescent="0.75">
      <c r="G3035" s="10"/>
      <c r="H3035" s="10"/>
      <c r="I3035" s="39"/>
      <c r="J3035" s="103"/>
      <c r="K3035" s="39"/>
      <c r="L3035" s="78"/>
      <c r="M3035" s="19"/>
      <c r="N3035" s="10"/>
    </row>
    <row r="3036" spans="7:14" x14ac:dyDescent="0.75">
      <c r="G3036" s="10"/>
      <c r="H3036" s="10"/>
      <c r="I3036" s="39"/>
      <c r="J3036" s="103"/>
      <c r="K3036" s="39"/>
      <c r="L3036" s="78"/>
      <c r="M3036" s="19"/>
      <c r="N3036" s="10"/>
    </row>
    <row r="3037" spans="7:14" x14ac:dyDescent="0.75">
      <c r="G3037" s="10"/>
      <c r="H3037" s="10"/>
      <c r="I3037" s="39"/>
      <c r="J3037" s="103"/>
      <c r="K3037" s="39"/>
      <c r="L3037" s="78"/>
      <c r="M3037" s="19"/>
      <c r="N3037" s="10"/>
    </row>
    <row r="3038" spans="7:14" x14ac:dyDescent="0.75">
      <c r="G3038" s="10"/>
      <c r="H3038" s="10"/>
      <c r="I3038" s="39"/>
      <c r="J3038" s="103"/>
      <c r="K3038" s="39"/>
      <c r="L3038" s="78"/>
      <c r="M3038" s="19"/>
      <c r="N3038" s="10"/>
    </row>
    <row r="3039" spans="7:14" x14ac:dyDescent="0.75">
      <c r="G3039" s="10"/>
      <c r="H3039" s="10"/>
      <c r="I3039" s="39"/>
      <c r="J3039" s="103"/>
      <c r="K3039" s="39"/>
      <c r="L3039" s="78"/>
      <c r="M3039" s="19"/>
      <c r="N3039" s="10"/>
    </row>
    <row r="3040" spans="7:14" x14ac:dyDescent="0.75">
      <c r="G3040" s="10"/>
      <c r="H3040" s="10"/>
      <c r="I3040" s="39"/>
      <c r="J3040" s="103"/>
      <c r="K3040" s="39"/>
      <c r="L3040" s="78"/>
      <c r="M3040" s="19"/>
      <c r="N3040" s="10"/>
    </row>
    <row r="3041" spans="7:14" x14ac:dyDescent="0.75">
      <c r="G3041" s="10"/>
      <c r="H3041" s="10"/>
      <c r="I3041" s="39"/>
      <c r="J3041" s="103"/>
      <c r="K3041" s="39"/>
      <c r="L3041" s="78"/>
      <c r="M3041" s="19"/>
      <c r="N3041" s="10"/>
    </row>
    <row r="3042" spans="7:14" x14ac:dyDescent="0.75">
      <c r="G3042" s="10"/>
      <c r="H3042" s="10"/>
      <c r="I3042" s="39"/>
      <c r="J3042" s="103"/>
      <c r="K3042" s="39"/>
      <c r="L3042" s="78"/>
      <c r="M3042" s="19"/>
      <c r="N3042" s="10"/>
    </row>
    <row r="3043" spans="7:14" x14ac:dyDescent="0.75">
      <c r="G3043" s="10"/>
      <c r="H3043" s="10"/>
      <c r="I3043" s="39"/>
      <c r="J3043" s="103"/>
      <c r="K3043" s="39"/>
      <c r="L3043" s="78"/>
      <c r="M3043" s="19"/>
      <c r="N3043" s="10"/>
    </row>
    <row r="3044" spans="7:14" x14ac:dyDescent="0.75">
      <c r="G3044" s="10"/>
      <c r="H3044" s="10"/>
      <c r="I3044" s="39"/>
      <c r="J3044" s="103"/>
      <c r="K3044" s="39"/>
      <c r="L3044" s="10"/>
      <c r="M3044" s="19"/>
      <c r="N3044" s="10"/>
    </row>
    <row r="3045" spans="7:14" x14ac:dyDescent="0.75">
      <c r="G3045" s="10"/>
      <c r="H3045" s="10"/>
      <c r="I3045" s="39"/>
      <c r="J3045" s="103"/>
      <c r="K3045" s="39"/>
      <c r="L3045" s="78"/>
      <c r="M3045" s="19"/>
      <c r="N3045" s="10"/>
    </row>
    <row r="3046" spans="7:14" x14ac:dyDescent="0.75">
      <c r="G3046" s="10"/>
      <c r="H3046" s="10"/>
      <c r="I3046" s="39"/>
      <c r="J3046" s="103"/>
      <c r="K3046" s="39"/>
      <c r="L3046" s="78"/>
      <c r="M3046" s="19"/>
      <c r="N3046" s="10"/>
    </row>
    <row r="3047" spans="7:14" x14ac:dyDescent="0.75">
      <c r="G3047" s="10"/>
      <c r="H3047" s="10"/>
      <c r="I3047" s="39"/>
      <c r="J3047" s="103"/>
      <c r="K3047" s="39"/>
      <c r="L3047" s="78"/>
      <c r="M3047" s="19"/>
      <c r="N3047" s="10"/>
    </row>
    <row r="3048" spans="7:14" x14ac:dyDescent="0.75">
      <c r="G3048" s="10"/>
      <c r="H3048" s="10"/>
      <c r="I3048" s="39"/>
      <c r="J3048" s="103"/>
      <c r="K3048" s="39"/>
      <c r="L3048" s="78"/>
      <c r="M3048" s="19"/>
      <c r="N3048" s="10"/>
    </row>
    <row r="3049" spans="7:14" x14ac:dyDescent="0.75">
      <c r="G3049" s="10"/>
      <c r="H3049" s="10"/>
      <c r="I3049" s="39"/>
      <c r="J3049" s="103"/>
      <c r="K3049" s="39"/>
      <c r="L3049" s="78"/>
      <c r="M3049" s="19"/>
      <c r="N3049" s="10"/>
    </row>
    <row r="3050" spans="7:14" x14ac:dyDescent="0.75">
      <c r="G3050" s="10"/>
      <c r="H3050" s="10"/>
      <c r="I3050" s="39"/>
      <c r="J3050" s="103"/>
      <c r="K3050" s="39"/>
      <c r="L3050" s="78"/>
      <c r="M3050" s="19"/>
      <c r="N3050" s="10"/>
    </row>
    <row r="3051" spans="7:14" x14ac:dyDescent="0.75">
      <c r="G3051" s="10"/>
      <c r="H3051" s="10"/>
      <c r="I3051" s="39"/>
      <c r="J3051" s="103"/>
      <c r="K3051" s="39"/>
      <c r="L3051" s="78"/>
      <c r="M3051" s="19"/>
      <c r="N3051" s="10"/>
    </row>
    <row r="3052" spans="7:14" x14ac:dyDescent="0.75">
      <c r="G3052" s="10"/>
      <c r="H3052" s="10"/>
      <c r="I3052" s="39"/>
      <c r="J3052" s="103"/>
      <c r="K3052" s="39"/>
      <c r="L3052" s="78"/>
      <c r="M3052" s="19"/>
      <c r="N3052" s="10"/>
    </row>
    <row r="3053" spans="7:14" x14ac:dyDescent="0.75">
      <c r="G3053" s="10"/>
      <c r="H3053" s="10"/>
      <c r="I3053" s="39"/>
      <c r="J3053" s="103"/>
      <c r="K3053" s="39"/>
      <c r="L3053" s="78"/>
      <c r="M3053" s="19"/>
      <c r="N3053" s="10"/>
    </row>
    <row r="3054" spans="7:14" x14ac:dyDescent="0.75">
      <c r="G3054" s="10"/>
      <c r="H3054" s="10"/>
      <c r="I3054" s="39"/>
      <c r="J3054" s="103"/>
      <c r="K3054" s="39"/>
      <c r="L3054" s="78"/>
      <c r="M3054" s="19"/>
      <c r="N3054" s="10"/>
    </row>
    <row r="3055" spans="7:14" x14ac:dyDescent="0.75">
      <c r="G3055" s="10"/>
      <c r="H3055" s="10"/>
      <c r="I3055" s="39"/>
      <c r="J3055" s="103"/>
      <c r="K3055" s="39"/>
      <c r="L3055" s="78"/>
      <c r="M3055" s="19"/>
      <c r="N3055" s="10"/>
    </row>
    <row r="3056" spans="7:14" x14ac:dyDescent="0.75">
      <c r="G3056" s="10"/>
      <c r="H3056" s="10"/>
      <c r="I3056" s="39"/>
      <c r="J3056" s="103"/>
      <c r="K3056" s="39"/>
      <c r="L3056" s="10"/>
      <c r="M3056" s="19"/>
      <c r="N3056" s="10"/>
    </row>
    <row r="3057" spans="7:14" x14ac:dyDescent="0.75">
      <c r="G3057" s="10"/>
      <c r="H3057" s="10"/>
      <c r="I3057" s="39"/>
      <c r="J3057" s="103"/>
      <c r="K3057" s="39"/>
      <c r="L3057" s="78"/>
      <c r="M3057" s="19"/>
      <c r="N3057" s="10"/>
    </row>
    <row r="3058" spans="7:14" x14ac:dyDescent="0.75">
      <c r="G3058" s="10"/>
      <c r="H3058" s="10"/>
      <c r="I3058" s="39"/>
      <c r="J3058" s="103"/>
      <c r="K3058" s="39"/>
      <c r="L3058" s="78"/>
      <c r="M3058" s="19"/>
      <c r="N3058" s="10"/>
    </row>
    <row r="3059" spans="7:14" x14ac:dyDescent="0.75">
      <c r="G3059" s="10"/>
      <c r="H3059" s="10"/>
      <c r="I3059" s="39"/>
      <c r="J3059" s="103"/>
      <c r="K3059" s="39"/>
      <c r="L3059" s="78"/>
      <c r="M3059" s="19"/>
      <c r="N3059" s="10"/>
    </row>
    <row r="3060" spans="7:14" x14ac:dyDescent="0.75">
      <c r="G3060" s="10"/>
      <c r="H3060" s="10"/>
      <c r="I3060" s="39"/>
      <c r="J3060" s="103"/>
      <c r="K3060" s="39"/>
      <c r="L3060" s="78"/>
      <c r="M3060" s="19"/>
      <c r="N3060" s="10"/>
    </row>
    <row r="3061" spans="7:14" x14ac:dyDescent="0.75">
      <c r="G3061" s="10"/>
      <c r="H3061" s="10"/>
      <c r="I3061" s="39"/>
      <c r="J3061" s="103"/>
      <c r="K3061" s="39"/>
      <c r="L3061" s="78"/>
      <c r="M3061" s="19"/>
      <c r="N3061" s="10"/>
    </row>
    <row r="3062" spans="7:14" x14ac:dyDescent="0.75">
      <c r="G3062" s="10"/>
      <c r="H3062" s="10"/>
      <c r="I3062" s="39"/>
      <c r="J3062" s="103"/>
      <c r="K3062" s="39"/>
      <c r="L3062" s="78"/>
      <c r="M3062" s="19"/>
      <c r="N3062" s="10"/>
    </row>
    <row r="3063" spans="7:14" x14ac:dyDescent="0.75">
      <c r="G3063" s="10"/>
      <c r="H3063" s="10"/>
      <c r="I3063" s="39"/>
      <c r="J3063" s="103"/>
      <c r="K3063" s="39"/>
      <c r="L3063" s="78"/>
      <c r="M3063" s="19"/>
      <c r="N3063" s="10"/>
    </row>
    <row r="3064" spans="7:14" x14ac:dyDescent="0.75">
      <c r="G3064" s="10"/>
      <c r="H3064" s="10"/>
      <c r="I3064" s="39"/>
      <c r="J3064" s="103"/>
      <c r="K3064" s="39"/>
      <c r="L3064" s="78"/>
      <c r="M3064" s="19"/>
      <c r="N3064" s="10"/>
    </row>
    <row r="3065" spans="7:14" x14ac:dyDescent="0.75">
      <c r="G3065" s="10"/>
      <c r="H3065" s="10"/>
      <c r="I3065" s="39"/>
      <c r="J3065" s="103"/>
      <c r="K3065" s="39"/>
      <c r="L3065" s="78"/>
      <c r="M3065" s="19"/>
      <c r="N3065" s="10"/>
    </row>
    <row r="3066" spans="7:14" x14ac:dyDescent="0.75">
      <c r="G3066" s="10"/>
      <c r="H3066" s="10"/>
      <c r="I3066" s="39"/>
      <c r="J3066" s="103"/>
      <c r="K3066" s="39"/>
      <c r="L3066" s="78"/>
      <c r="M3066" s="19"/>
      <c r="N3066" s="10"/>
    </row>
    <row r="3067" spans="7:14" x14ac:dyDescent="0.75">
      <c r="G3067" s="10"/>
      <c r="H3067" s="10"/>
      <c r="I3067" s="39"/>
      <c r="J3067" s="103"/>
      <c r="K3067" s="39"/>
      <c r="L3067" s="78"/>
      <c r="M3067" s="19"/>
      <c r="N3067" s="10"/>
    </row>
    <row r="3068" spans="7:14" x14ac:dyDescent="0.75">
      <c r="G3068" s="10"/>
      <c r="H3068" s="10"/>
      <c r="I3068" s="39"/>
      <c r="J3068" s="103"/>
      <c r="K3068" s="39"/>
      <c r="L3068" s="78"/>
      <c r="M3068" s="19"/>
      <c r="N3068" s="10"/>
    </row>
    <row r="3069" spans="7:14" x14ac:dyDescent="0.75">
      <c r="G3069" s="10"/>
      <c r="H3069" s="10"/>
      <c r="I3069" s="39"/>
      <c r="J3069" s="103"/>
      <c r="K3069" s="39"/>
      <c r="L3069" s="78"/>
      <c r="M3069" s="19"/>
      <c r="N3069" s="10"/>
    </row>
    <row r="3070" spans="7:14" x14ac:dyDescent="0.75">
      <c r="G3070" s="10"/>
      <c r="H3070" s="10"/>
      <c r="I3070" s="39"/>
      <c r="J3070" s="103"/>
      <c r="K3070" s="39"/>
      <c r="L3070" s="78"/>
      <c r="M3070" s="19"/>
      <c r="N3070" s="10"/>
    </row>
    <row r="3071" spans="7:14" x14ac:dyDescent="0.75">
      <c r="G3071" s="10"/>
      <c r="H3071" s="10"/>
      <c r="I3071" s="39"/>
      <c r="J3071" s="103"/>
      <c r="K3071" s="39"/>
      <c r="L3071" s="78"/>
      <c r="M3071" s="19"/>
      <c r="N3071" s="10"/>
    </row>
    <row r="3072" spans="7:14" x14ac:dyDescent="0.75">
      <c r="G3072" s="10"/>
      <c r="H3072" s="10"/>
      <c r="I3072" s="39"/>
      <c r="J3072" s="103"/>
      <c r="K3072" s="39"/>
      <c r="L3072" s="78"/>
      <c r="M3072" s="19"/>
      <c r="N3072" s="10"/>
    </row>
    <row r="3073" spans="7:14" x14ac:dyDescent="0.75">
      <c r="G3073" s="10"/>
      <c r="H3073" s="10"/>
      <c r="I3073" s="39"/>
      <c r="J3073" s="103"/>
      <c r="K3073" s="39"/>
      <c r="L3073" s="78"/>
      <c r="M3073" s="19"/>
      <c r="N3073" s="10"/>
    </row>
    <row r="3074" spans="7:14" x14ac:dyDescent="0.75">
      <c r="G3074" s="10"/>
      <c r="H3074" s="10"/>
      <c r="I3074" s="39"/>
      <c r="J3074" s="103"/>
      <c r="K3074" s="39"/>
      <c r="L3074" s="78"/>
      <c r="M3074" s="19"/>
      <c r="N3074" s="10"/>
    </row>
    <row r="3075" spans="7:14" x14ac:dyDescent="0.75">
      <c r="G3075" s="10"/>
      <c r="H3075" s="10"/>
      <c r="I3075" s="39"/>
      <c r="J3075" s="103"/>
      <c r="K3075" s="39"/>
      <c r="L3075" s="78"/>
      <c r="M3075" s="19"/>
      <c r="N3075" s="10"/>
    </row>
    <row r="3076" spans="7:14" x14ac:dyDescent="0.75">
      <c r="G3076" s="10"/>
      <c r="H3076" s="10"/>
      <c r="I3076" s="39"/>
      <c r="J3076" s="103"/>
      <c r="K3076" s="39"/>
      <c r="L3076" s="78"/>
      <c r="M3076" s="19"/>
      <c r="N3076" s="10"/>
    </row>
    <row r="3077" spans="7:14" x14ac:dyDescent="0.75">
      <c r="G3077" s="10"/>
      <c r="H3077" s="10"/>
      <c r="I3077" s="39"/>
      <c r="J3077" s="103"/>
      <c r="K3077" s="39"/>
      <c r="L3077" s="10"/>
      <c r="M3077" s="19"/>
      <c r="N3077" s="10"/>
    </row>
    <row r="3078" spans="7:14" x14ac:dyDescent="0.75">
      <c r="G3078" s="10"/>
      <c r="H3078" s="10"/>
      <c r="I3078" s="39"/>
      <c r="J3078" s="103"/>
      <c r="K3078" s="39"/>
      <c r="L3078" s="78"/>
      <c r="M3078" s="19"/>
      <c r="N3078" s="10"/>
    </row>
    <row r="3079" spans="7:14" x14ac:dyDescent="0.75">
      <c r="G3079" s="10"/>
      <c r="H3079" s="10"/>
      <c r="I3079" s="39"/>
      <c r="J3079" s="103"/>
      <c r="K3079" s="39"/>
      <c r="L3079" s="78"/>
      <c r="M3079" s="19"/>
      <c r="N3079" s="10"/>
    </row>
    <row r="3080" spans="7:14" x14ac:dyDescent="0.75">
      <c r="G3080" s="10"/>
      <c r="H3080" s="10"/>
      <c r="I3080" s="39"/>
      <c r="J3080" s="103"/>
      <c r="K3080" s="39"/>
      <c r="L3080" s="78"/>
      <c r="M3080" s="19"/>
      <c r="N3080" s="10"/>
    </row>
    <row r="3081" spans="7:14" x14ac:dyDescent="0.75">
      <c r="G3081" s="10"/>
      <c r="H3081" s="10"/>
      <c r="I3081" s="39"/>
      <c r="J3081" s="103"/>
      <c r="K3081" s="39"/>
      <c r="L3081" s="78"/>
      <c r="M3081" s="19"/>
      <c r="N3081" s="10"/>
    </row>
    <row r="3082" spans="7:14" x14ac:dyDescent="0.75">
      <c r="G3082" s="10"/>
      <c r="H3082" s="10"/>
      <c r="I3082" s="39"/>
      <c r="J3082" s="103"/>
      <c r="K3082" s="39"/>
      <c r="L3082" s="78"/>
      <c r="M3082" s="19"/>
      <c r="N3082" s="10"/>
    </row>
    <row r="3083" spans="7:14" x14ac:dyDescent="0.75">
      <c r="G3083" s="10"/>
      <c r="H3083" s="10"/>
      <c r="I3083" s="39"/>
      <c r="J3083" s="103"/>
      <c r="K3083" s="39"/>
      <c r="L3083" s="78"/>
      <c r="M3083" s="19"/>
      <c r="N3083" s="10"/>
    </row>
    <row r="3084" spans="7:14" x14ac:dyDescent="0.75">
      <c r="G3084" s="10"/>
      <c r="H3084" s="10"/>
      <c r="I3084" s="39"/>
      <c r="J3084" s="103"/>
      <c r="K3084" s="39"/>
      <c r="L3084" s="10"/>
      <c r="M3084" s="19"/>
      <c r="N3084" s="10"/>
    </row>
    <row r="3085" spans="7:14" x14ac:dyDescent="0.75">
      <c r="G3085" s="10"/>
      <c r="H3085" s="10"/>
      <c r="I3085" s="39"/>
      <c r="J3085" s="103"/>
      <c r="K3085" s="39"/>
      <c r="L3085" s="78"/>
      <c r="M3085" s="19"/>
      <c r="N3085" s="10"/>
    </row>
    <row r="3086" spans="7:14" x14ac:dyDescent="0.75">
      <c r="G3086" s="10"/>
      <c r="H3086" s="10"/>
      <c r="I3086" s="39"/>
      <c r="J3086" s="103"/>
      <c r="K3086" s="39"/>
      <c r="L3086" s="78"/>
      <c r="M3086" s="19"/>
      <c r="N3086" s="10"/>
    </row>
    <row r="3087" spans="7:14" x14ac:dyDescent="0.75">
      <c r="G3087" s="10"/>
      <c r="H3087" s="10"/>
      <c r="I3087" s="39"/>
      <c r="J3087" s="103"/>
      <c r="K3087" s="39"/>
      <c r="L3087" s="78"/>
      <c r="M3087" s="19"/>
      <c r="N3087" s="10"/>
    </row>
    <row r="3088" spans="7:14" x14ac:dyDescent="0.75">
      <c r="G3088" s="10"/>
      <c r="H3088" s="10"/>
      <c r="I3088" s="39"/>
      <c r="J3088" s="103"/>
      <c r="K3088" s="39"/>
      <c r="L3088" s="78"/>
      <c r="M3088" s="19"/>
      <c r="N3088" s="10"/>
    </row>
    <row r="3089" spans="7:14" x14ac:dyDescent="0.75">
      <c r="G3089" s="10"/>
      <c r="H3089" s="10"/>
      <c r="I3089" s="39"/>
      <c r="J3089" s="103"/>
      <c r="K3089" s="39"/>
      <c r="L3089" s="78"/>
      <c r="M3089" s="19"/>
      <c r="N3089" s="10"/>
    </row>
    <row r="3090" spans="7:14" x14ac:dyDescent="0.75">
      <c r="G3090" s="10"/>
      <c r="H3090" s="10"/>
      <c r="I3090" s="39"/>
      <c r="J3090" s="103"/>
      <c r="K3090" s="39"/>
      <c r="L3090" s="78"/>
      <c r="M3090" s="19"/>
      <c r="N3090" s="10"/>
    </row>
    <row r="3091" spans="7:14" x14ac:dyDescent="0.75">
      <c r="G3091" s="10"/>
      <c r="H3091" s="10"/>
      <c r="I3091" s="39"/>
      <c r="J3091" s="103"/>
      <c r="K3091" s="39"/>
      <c r="L3091" s="78"/>
      <c r="M3091" s="19"/>
      <c r="N3091" s="10"/>
    </row>
    <row r="3092" spans="7:14" x14ac:dyDescent="0.75">
      <c r="G3092" s="10"/>
      <c r="H3092" s="10"/>
      <c r="I3092" s="39"/>
      <c r="J3092" s="103"/>
      <c r="K3092" s="39"/>
      <c r="L3092" s="78"/>
      <c r="M3092" s="19"/>
      <c r="N3092" s="10"/>
    </row>
    <row r="3093" spans="7:14" x14ac:dyDescent="0.75">
      <c r="G3093" s="10"/>
      <c r="H3093" s="10"/>
      <c r="I3093" s="39"/>
      <c r="J3093" s="103"/>
      <c r="K3093" s="39"/>
      <c r="L3093" s="78"/>
      <c r="M3093" s="19"/>
      <c r="N3093" s="10"/>
    </row>
    <row r="3094" spans="7:14" x14ac:dyDescent="0.75">
      <c r="G3094" s="10"/>
      <c r="H3094" s="10"/>
      <c r="I3094" s="39"/>
      <c r="J3094" s="103"/>
      <c r="K3094" s="39"/>
      <c r="L3094" s="78"/>
      <c r="M3094" s="19"/>
      <c r="N3094" s="10"/>
    </row>
    <row r="3095" spans="7:14" x14ac:dyDescent="0.75">
      <c r="G3095" s="10"/>
      <c r="H3095" s="10"/>
      <c r="I3095" s="39"/>
      <c r="J3095" s="103"/>
      <c r="K3095" s="39"/>
      <c r="L3095" s="78"/>
      <c r="M3095" s="19"/>
      <c r="N3095" s="10"/>
    </row>
    <row r="3096" spans="7:14" x14ac:dyDescent="0.75">
      <c r="G3096" s="10"/>
      <c r="H3096" s="10"/>
      <c r="I3096" s="39"/>
      <c r="J3096" s="103"/>
      <c r="K3096" s="39"/>
      <c r="L3096" s="78"/>
      <c r="M3096" s="19"/>
      <c r="N3096" s="10"/>
    </row>
    <row r="3097" spans="7:14" x14ac:dyDescent="0.75">
      <c r="G3097" s="10"/>
      <c r="H3097" s="10"/>
      <c r="I3097" s="39"/>
      <c r="J3097" s="103"/>
      <c r="K3097" s="39"/>
      <c r="L3097" s="78"/>
      <c r="M3097" s="19"/>
      <c r="N3097" s="10"/>
    </row>
    <row r="3098" spans="7:14" x14ac:dyDescent="0.75">
      <c r="G3098" s="10"/>
      <c r="H3098" s="10"/>
      <c r="I3098" s="39"/>
      <c r="J3098" s="103"/>
      <c r="K3098" s="39"/>
      <c r="L3098" s="78"/>
      <c r="M3098" s="19"/>
      <c r="N3098" s="10"/>
    </row>
    <row r="3099" spans="7:14" x14ac:dyDescent="0.75">
      <c r="G3099" s="10"/>
      <c r="H3099" s="10"/>
      <c r="I3099" s="39"/>
      <c r="J3099" s="103"/>
      <c r="K3099" s="39"/>
      <c r="L3099" s="78"/>
      <c r="M3099" s="19"/>
      <c r="N3099" s="10"/>
    </row>
    <row r="3100" spans="7:14" x14ac:dyDescent="0.75">
      <c r="G3100" s="10"/>
      <c r="H3100" s="10"/>
      <c r="I3100" s="39"/>
      <c r="J3100" s="103"/>
      <c r="K3100" s="39"/>
      <c r="L3100" s="78"/>
      <c r="M3100" s="19"/>
      <c r="N3100" s="10"/>
    </row>
    <row r="3101" spans="7:14" x14ac:dyDescent="0.75">
      <c r="G3101" s="10"/>
      <c r="H3101" s="10"/>
      <c r="I3101" s="39"/>
      <c r="J3101" s="103"/>
      <c r="K3101" s="39"/>
      <c r="L3101" s="10"/>
      <c r="M3101" s="19"/>
      <c r="N3101" s="10"/>
    </row>
    <row r="3102" spans="7:14" x14ac:dyDescent="0.75">
      <c r="G3102" s="10"/>
      <c r="H3102" s="10"/>
      <c r="I3102" s="39"/>
      <c r="J3102" s="103"/>
      <c r="K3102" s="39"/>
      <c r="L3102" s="10"/>
      <c r="M3102" s="19"/>
      <c r="N3102" s="10"/>
    </row>
    <row r="3103" spans="7:14" x14ac:dyDescent="0.75">
      <c r="G3103" s="10"/>
      <c r="H3103" s="10"/>
      <c r="I3103" s="39"/>
      <c r="J3103" s="103"/>
      <c r="K3103" s="39"/>
      <c r="L3103" s="10"/>
      <c r="M3103" s="19"/>
      <c r="N3103" s="10"/>
    </row>
    <row r="3104" spans="7:14" x14ac:dyDescent="0.75">
      <c r="G3104" s="10"/>
      <c r="H3104" s="10"/>
      <c r="I3104" s="39"/>
      <c r="J3104" s="103"/>
      <c r="K3104" s="39"/>
      <c r="L3104" s="78"/>
      <c r="M3104" s="19"/>
      <c r="N3104" s="10"/>
    </row>
    <row r="3105" spans="7:14" x14ac:dyDescent="0.75">
      <c r="G3105" s="10"/>
      <c r="H3105" s="10"/>
      <c r="I3105" s="39"/>
      <c r="J3105" s="103"/>
      <c r="K3105" s="39"/>
      <c r="L3105" s="78"/>
      <c r="M3105" s="19"/>
      <c r="N3105" s="10"/>
    </row>
    <row r="3106" spans="7:14" x14ac:dyDescent="0.75">
      <c r="G3106" s="10"/>
      <c r="H3106" s="10"/>
      <c r="I3106" s="39"/>
      <c r="J3106" s="103"/>
      <c r="K3106" s="39"/>
      <c r="L3106" s="78"/>
      <c r="M3106" s="19"/>
      <c r="N3106" s="10"/>
    </row>
    <row r="3107" spans="7:14" x14ac:dyDescent="0.75">
      <c r="G3107" s="10"/>
      <c r="H3107" s="10"/>
      <c r="I3107" s="39"/>
      <c r="J3107" s="103"/>
      <c r="K3107" s="39"/>
      <c r="L3107" s="78"/>
      <c r="M3107" s="19"/>
      <c r="N3107" s="10"/>
    </row>
    <row r="3108" spans="7:14" x14ac:dyDescent="0.75">
      <c r="G3108" s="10"/>
      <c r="H3108" s="10"/>
      <c r="I3108" s="39"/>
      <c r="J3108" s="103"/>
      <c r="K3108" s="39"/>
      <c r="L3108" s="78"/>
      <c r="M3108" s="19"/>
      <c r="N3108" s="10"/>
    </row>
    <row r="3109" spans="7:14" x14ac:dyDescent="0.75">
      <c r="G3109" s="10"/>
      <c r="H3109" s="10"/>
      <c r="I3109" s="39"/>
      <c r="J3109" s="103"/>
      <c r="K3109" s="39"/>
      <c r="L3109" s="78"/>
      <c r="M3109" s="19"/>
      <c r="N3109" s="10"/>
    </row>
    <row r="3110" spans="7:14" x14ac:dyDescent="0.75">
      <c r="G3110" s="10"/>
      <c r="H3110" s="10"/>
      <c r="I3110" s="39"/>
      <c r="J3110" s="103"/>
      <c r="K3110" s="39"/>
      <c r="L3110" s="78"/>
      <c r="M3110" s="19"/>
      <c r="N3110" s="10"/>
    </row>
    <row r="3111" spans="7:14" x14ac:dyDescent="0.75">
      <c r="G3111" s="10"/>
      <c r="H3111" s="10"/>
      <c r="I3111" s="39"/>
      <c r="J3111" s="103"/>
      <c r="K3111" s="39"/>
      <c r="L3111" s="78"/>
      <c r="M3111" s="19"/>
      <c r="N3111" s="10"/>
    </row>
    <row r="3112" spans="7:14" x14ac:dyDescent="0.75">
      <c r="G3112" s="10"/>
      <c r="H3112" s="10"/>
      <c r="I3112" s="39"/>
      <c r="J3112" s="103"/>
      <c r="K3112" s="39"/>
      <c r="L3112" s="78"/>
      <c r="M3112" s="19"/>
      <c r="N3112" s="10"/>
    </row>
    <row r="3113" spans="7:14" x14ac:dyDescent="0.75">
      <c r="G3113" s="10"/>
      <c r="H3113" s="10"/>
      <c r="I3113" s="39"/>
      <c r="J3113" s="103"/>
      <c r="K3113" s="39"/>
      <c r="L3113" s="10"/>
      <c r="M3113" s="19"/>
      <c r="N3113" s="10"/>
    </row>
    <row r="3114" spans="7:14" x14ac:dyDescent="0.75">
      <c r="G3114" s="10"/>
      <c r="H3114" s="10"/>
      <c r="I3114" s="39"/>
      <c r="J3114" s="103"/>
      <c r="K3114" s="39"/>
      <c r="L3114" s="78"/>
      <c r="M3114" s="19"/>
      <c r="N3114" s="10"/>
    </row>
    <row r="3115" spans="7:14" x14ac:dyDescent="0.75">
      <c r="G3115" s="10"/>
      <c r="H3115" s="10"/>
      <c r="I3115" s="39"/>
      <c r="J3115" s="103"/>
      <c r="K3115" s="39"/>
      <c r="L3115" s="78"/>
      <c r="M3115" s="19"/>
      <c r="N3115" s="10"/>
    </row>
    <row r="3116" spans="7:14" x14ac:dyDescent="0.75">
      <c r="G3116" s="10"/>
      <c r="H3116" s="10"/>
      <c r="I3116" s="39"/>
      <c r="J3116" s="103"/>
      <c r="K3116" s="39"/>
      <c r="L3116" s="78"/>
      <c r="M3116" s="19"/>
      <c r="N3116" s="10"/>
    </row>
    <row r="3117" spans="7:14" x14ac:dyDescent="0.75">
      <c r="G3117" s="10"/>
      <c r="H3117" s="10"/>
      <c r="I3117" s="39"/>
      <c r="J3117" s="103"/>
      <c r="K3117" s="39"/>
      <c r="L3117" s="78"/>
      <c r="M3117" s="19"/>
      <c r="N3117" s="10"/>
    </row>
    <row r="3118" spans="7:14" x14ac:dyDescent="0.75">
      <c r="G3118" s="10"/>
      <c r="H3118" s="10"/>
      <c r="I3118" s="39"/>
      <c r="J3118" s="103"/>
      <c r="K3118" s="39"/>
      <c r="L3118" s="78"/>
      <c r="M3118" s="19"/>
      <c r="N3118" s="10"/>
    </row>
    <row r="3119" spans="7:14" x14ac:dyDescent="0.75">
      <c r="G3119" s="10"/>
      <c r="H3119" s="10"/>
      <c r="I3119" s="39"/>
      <c r="J3119" s="103"/>
      <c r="K3119" s="39"/>
      <c r="L3119" s="78"/>
      <c r="M3119" s="19"/>
      <c r="N3119" s="10"/>
    </row>
    <row r="3120" spans="7:14" x14ac:dyDescent="0.75">
      <c r="G3120" s="10"/>
      <c r="H3120" s="10"/>
      <c r="I3120" s="39"/>
      <c r="J3120" s="103"/>
      <c r="K3120" s="39"/>
      <c r="L3120" s="78"/>
      <c r="M3120" s="19"/>
      <c r="N3120" s="10"/>
    </row>
    <row r="3121" spans="7:14" x14ac:dyDescent="0.75">
      <c r="G3121" s="10"/>
      <c r="H3121" s="10"/>
      <c r="I3121" s="39"/>
      <c r="J3121" s="103"/>
      <c r="K3121" s="39"/>
      <c r="L3121" s="78"/>
      <c r="M3121" s="19"/>
      <c r="N3121" s="10"/>
    </row>
    <row r="3122" spans="7:14" x14ac:dyDescent="0.75">
      <c r="G3122" s="10"/>
      <c r="H3122" s="10"/>
      <c r="I3122" s="39"/>
      <c r="J3122" s="103"/>
      <c r="K3122" s="39"/>
      <c r="L3122" s="78"/>
      <c r="M3122" s="19"/>
      <c r="N3122" s="10"/>
    </row>
    <row r="3123" spans="7:14" x14ac:dyDescent="0.75">
      <c r="G3123" s="10"/>
      <c r="H3123" s="10"/>
      <c r="I3123" s="39"/>
      <c r="J3123" s="103"/>
      <c r="K3123" s="39"/>
      <c r="L3123" s="78"/>
      <c r="M3123" s="19"/>
      <c r="N3123" s="10"/>
    </row>
    <row r="3124" spans="7:14" x14ac:dyDescent="0.75">
      <c r="G3124" s="10"/>
      <c r="H3124" s="10"/>
      <c r="I3124" s="39"/>
      <c r="J3124" s="103"/>
      <c r="K3124" s="39"/>
      <c r="L3124" s="78"/>
      <c r="M3124" s="19"/>
      <c r="N3124" s="10"/>
    </row>
    <row r="3125" spans="7:14" x14ac:dyDescent="0.75">
      <c r="G3125" s="10"/>
      <c r="H3125" s="10"/>
      <c r="I3125" s="39"/>
      <c r="J3125" s="103"/>
      <c r="K3125" s="39"/>
      <c r="L3125" s="10"/>
      <c r="M3125" s="19"/>
      <c r="N3125" s="10"/>
    </row>
    <row r="3126" spans="7:14" x14ac:dyDescent="0.75">
      <c r="G3126" s="10"/>
      <c r="H3126" s="10"/>
      <c r="I3126" s="39"/>
      <c r="J3126" s="103"/>
      <c r="K3126" s="39"/>
      <c r="L3126" s="78"/>
      <c r="M3126" s="19"/>
      <c r="N3126" s="10"/>
    </row>
    <row r="3127" spans="7:14" x14ac:dyDescent="0.75">
      <c r="G3127" s="10"/>
      <c r="H3127" s="10"/>
      <c r="I3127" s="39"/>
      <c r="J3127" s="103"/>
      <c r="K3127" s="39"/>
      <c r="L3127" s="78"/>
      <c r="M3127" s="19"/>
      <c r="N3127" s="10"/>
    </row>
    <row r="3128" spans="7:14" x14ac:dyDescent="0.75">
      <c r="G3128" s="10"/>
      <c r="H3128" s="10"/>
      <c r="I3128" s="39"/>
      <c r="J3128" s="103"/>
      <c r="K3128" s="39"/>
      <c r="L3128" s="78"/>
      <c r="M3128" s="19"/>
      <c r="N3128" s="10"/>
    </row>
    <row r="3129" spans="7:14" x14ac:dyDescent="0.75">
      <c r="G3129" s="10"/>
      <c r="H3129" s="10"/>
      <c r="I3129" s="39"/>
      <c r="J3129" s="103"/>
      <c r="K3129" s="39"/>
      <c r="L3129" s="78"/>
      <c r="M3129" s="19"/>
      <c r="N3129" s="10"/>
    </row>
    <row r="3130" spans="7:14" x14ac:dyDescent="0.75">
      <c r="G3130" s="10"/>
      <c r="H3130" s="10"/>
      <c r="I3130" s="39"/>
      <c r="J3130" s="103"/>
      <c r="K3130" s="39"/>
      <c r="L3130" s="78"/>
      <c r="M3130" s="19"/>
      <c r="N3130" s="10"/>
    </row>
    <row r="3131" spans="7:14" x14ac:dyDescent="0.75">
      <c r="G3131" s="10"/>
      <c r="H3131" s="10"/>
      <c r="I3131" s="39"/>
      <c r="J3131" s="103"/>
      <c r="K3131" s="39"/>
      <c r="L3131" s="78"/>
      <c r="M3131" s="19"/>
      <c r="N3131" s="10"/>
    </row>
    <row r="3132" spans="7:14" x14ac:dyDescent="0.75">
      <c r="G3132" s="10"/>
      <c r="H3132" s="10"/>
      <c r="I3132" s="39"/>
      <c r="J3132" s="103"/>
      <c r="K3132" s="39"/>
      <c r="L3132" s="78"/>
      <c r="M3132" s="19"/>
      <c r="N3132" s="10"/>
    </row>
    <row r="3133" spans="7:14" x14ac:dyDescent="0.75">
      <c r="G3133" s="10"/>
      <c r="H3133" s="10"/>
      <c r="I3133" s="39"/>
      <c r="J3133" s="103"/>
      <c r="K3133" s="39"/>
      <c r="L3133" s="78"/>
      <c r="M3133" s="19"/>
      <c r="N3133" s="10"/>
    </row>
    <row r="3134" spans="7:14" x14ac:dyDescent="0.75">
      <c r="G3134" s="10"/>
      <c r="H3134" s="10"/>
      <c r="I3134" s="39"/>
      <c r="J3134" s="103"/>
      <c r="K3134" s="39"/>
      <c r="L3134" s="78"/>
      <c r="M3134" s="19"/>
      <c r="N3134" s="10"/>
    </row>
    <row r="3135" spans="7:14" x14ac:dyDescent="0.75">
      <c r="G3135" s="10"/>
      <c r="H3135" s="10"/>
      <c r="I3135" s="39"/>
      <c r="J3135" s="103"/>
      <c r="K3135" s="39"/>
      <c r="L3135" s="78"/>
      <c r="M3135" s="19"/>
      <c r="N3135" s="10"/>
    </row>
    <row r="3136" spans="7:14" x14ac:dyDescent="0.75">
      <c r="G3136" s="10"/>
      <c r="H3136" s="10"/>
      <c r="I3136" s="39"/>
      <c r="J3136" s="103"/>
      <c r="K3136" s="39"/>
      <c r="L3136" s="10"/>
      <c r="M3136" s="19"/>
      <c r="N3136" s="10"/>
    </row>
    <row r="3137" spans="7:14" x14ac:dyDescent="0.75">
      <c r="G3137" s="10"/>
      <c r="H3137" s="10"/>
      <c r="I3137" s="39"/>
      <c r="J3137" s="103"/>
      <c r="K3137" s="39"/>
      <c r="L3137" s="10"/>
      <c r="M3137" s="19"/>
      <c r="N3137" s="10"/>
    </row>
    <row r="3138" spans="7:14" x14ac:dyDescent="0.75">
      <c r="G3138" s="10"/>
      <c r="H3138" s="10"/>
      <c r="I3138" s="39"/>
      <c r="J3138" s="103"/>
      <c r="K3138" s="39"/>
      <c r="L3138" s="10"/>
      <c r="M3138" s="19"/>
      <c r="N3138" s="10"/>
    </row>
    <row r="3139" spans="7:14" x14ac:dyDescent="0.75">
      <c r="G3139" s="10"/>
      <c r="H3139" s="10"/>
      <c r="I3139" s="39"/>
      <c r="J3139" s="103"/>
      <c r="K3139" s="39"/>
      <c r="L3139" s="78"/>
      <c r="M3139" s="19"/>
      <c r="N3139" s="10"/>
    </row>
    <row r="3140" spans="7:14" x14ac:dyDescent="0.75">
      <c r="G3140" s="10"/>
      <c r="H3140" s="10"/>
      <c r="I3140" s="39"/>
      <c r="J3140" s="103"/>
      <c r="K3140" s="39"/>
      <c r="L3140" s="78"/>
      <c r="M3140" s="19"/>
      <c r="N3140" s="10"/>
    </row>
    <row r="3141" spans="7:14" x14ac:dyDescent="0.75">
      <c r="G3141" s="10"/>
      <c r="H3141" s="10"/>
      <c r="I3141" s="39"/>
      <c r="J3141" s="103"/>
      <c r="K3141" s="39"/>
      <c r="L3141" s="78"/>
      <c r="M3141" s="19"/>
      <c r="N3141" s="10"/>
    </row>
    <row r="3142" spans="7:14" x14ac:dyDescent="0.75">
      <c r="G3142" s="10"/>
      <c r="H3142" s="10"/>
      <c r="I3142" s="39"/>
      <c r="J3142" s="103"/>
      <c r="K3142" s="39"/>
      <c r="L3142" s="78"/>
      <c r="M3142" s="19"/>
      <c r="N3142" s="10"/>
    </row>
    <row r="3143" spans="7:14" x14ac:dyDescent="0.75">
      <c r="G3143" s="10"/>
      <c r="H3143" s="10"/>
      <c r="I3143" s="39"/>
      <c r="J3143" s="103"/>
      <c r="K3143" s="39"/>
      <c r="L3143" s="78"/>
      <c r="M3143" s="19"/>
      <c r="N3143" s="10"/>
    </row>
    <row r="3144" spans="7:14" x14ac:dyDescent="0.75">
      <c r="G3144" s="10"/>
      <c r="H3144" s="10"/>
      <c r="I3144" s="39"/>
      <c r="J3144" s="103"/>
      <c r="K3144" s="39"/>
      <c r="L3144" s="78"/>
      <c r="M3144" s="19"/>
      <c r="N3144" s="10"/>
    </row>
    <row r="3145" spans="7:14" x14ac:dyDescent="0.75">
      <c r="G3145" s="10"/>
      <c r="H3145" s="10"/>
      <c r="I3145" s="39"/>
      <c r="J3145" s="103"/>
      <c r="K3145" s="39"/>
      <c r="L3145" s="78"/>
      <c r="M3145" s="19"/>
      <c r="N3145" s="10"/>
    </row>
    <row r="3146" spans="7:14" x14ac:dyDescent="0.75">
      <c r="G3146" s="10"/>
      <c r="H3146" s="10"/>
      <c r="I3146" s="39"/>
      <c r="J3146" s="103"/>
      <c r="K3146" s="39"/>
      <c r="L3146" s="78"/>
      <c r="M3146" s="19"/>
      <c r="N3146" s="10"/>
    </row>
    <row r="3147" spans="7:14" x14ac:dyDescent="0.75">
      <c r="G3147" s="10"/>
      <c r="H3147" s="10"/>
      <c r="I3147" s="39"/>
      <c r="J3147" s="103"/>
      <c r="K3147" s="39"/>
      <c r="L3147" s="78"/>
      <c r="M3147" s="19"/>
      <c r="N3147" s="10"/>
    </row>
    <row r="3148" spans="7:14" x14ac:dyDescent="0.75">
      <c r="G3148" s="10"/>
      <c r="H3148" s="10"/>
      <c r="I3148" s="39"/>
      <c r="J3148" s="103"/>
      <c r="K3148" s="39"/>
      <c r="L3148" s="78"/>
      <c r="M3148" s="19"/>
      <c r="N3148" s="10"/>
    </row>
    <row r="3149" spans="7:14" x14ac:dyDescent="0.75">
      <c r="G3149" s="10"/>
      <c r="H3149" s="10"/>
      <c r="I3149" s="39"/>
      <c r="J3149" s="103"/>
      <c r="K3149" s="39"/>
      <c r="L3149" s="78"/>
      <c r="M3149" s="19"/>
      <c r="N3149" s="10"/>
    </row>
    <row r="3150" spans="7:14" x14ac:dyDescent="0.75">
      <c r="G3150" s="10"/>
      <c r="H3150" s="10"/>
      <c r="I3150" s="39"/>
      <c r="J3150" s="103"/>
      <c r="K3150" s="39"/>
      <c r="L3150" s="78"/>
      <c r="M3150" s="19"/>
      <c r="N3150" s="10"/>
    </row>
    <row r="3151" spans="7:14" x14ac:dyDescent="0.75">
      <c r="G3151" s="10"/>
      <c r="H3151" s="10"/>
      <c r="I3151" s="39"/>
      <c r="J3151" s="103"/>
      <c r="K3151" s="39"/>
      <c r="L3151" s="78"/>
      <c r="M3151" s="19"/>
      <c r="N3151" s="10"/>
    </row>
    <row r="3152" spans="7:14" x14ac:dyDescent="0.75">
      <c r="G3152" s="10"/>
      <c r="H3152" s="10"/>
      <c r="I3152" s="39"/>
      <c r="J3152" s="103"/>
      <c r="K3152" s="39"/>
      <c r="L3152" s="78"/>
      <c r="M3152" s="19"/>
      <c r="N3152" s="10"/>
    </row>
    <row r="3153" spans="7:14" x14ac:dyDescent="0.75">
      <c r="G3153" s="10"/>
      <c r="H3153" s="10"/>
      <c r="I3153" s="39"/>
      <c r="J3153" s="103"/>
      <c r="K3153" s="39"/>
      <c r="L3153" s="78"/>
      <c r="M3153" s="19"/>
      <c r="N3153" s="10"/>
    </row>
    <row r="3154" spans="7:14" x14ac:dyDescent="0.75">
      <c r="G3154" s="10"/>
      <c r="H3154" s="10"/>
      <c r="I3154" s="39"/>
      <c r="J3154" s="103"/>
      <c r="K3154" s="39"/>
      <c r="L3154" s="78"/>
      <c r="M3154" s="19"/>
      <c r="N3154" s="10"/>
    </row>
    <row r="3155" spans="7:14" x14ac:dyDescent="0.75">
      <c r="G3155" s="10"/>
      <c r="H3155" s="10"/>
      <c r="I3155" s="39"/>
      <c r="J3155" s="103"/>
      <c r="K3155" s="39"/>
      <c r="L3155" s="78"/>
      <c r="M3155" s="19"/>
      <c r="N3155" s="10"/>
    </row>
    <row r="3156" spans="7:14" x14ac:dyDescent="0.75">
      <c r="G3156" s="10"/>
      <c r="H3156" s="10"/>
      <c r="I3156" s="39"/>
      <c r="J3156" s="103"/>
      <c r="K3156" s="39"/>
      <c r="L3156" s="78"/>
      <c r="M3156" s="19"/>
      <c r="N3156" s="10"/>
    </row>
    <row r="3157" spans="7:14" x14ac:dyDescent="0.75">
      <c r="G3157" s="10"/>
      <c r="H3157" s="10"/>
      <c r="I3157" s="39"/>
      <c r="J3157" s="103"/>
      <c r="K3157" s="39"/>
      <c r="L3157" s="78"/>
      <c r="M3157" s="19"/>
      <c r="N3157" s="10"/>
    </row>
    <row r="3158" spans="7:14" x14ac:dyDescent="0.75">
      <c r="G3158" s="10"/>
      <c r="H3158" s="10"/>
      <c r="I3158" s="39"/>
      <c r="J3158" s="103"/>
      <c r="K3158" s="39"/>
      <c r="L3158" s="78"/>
      <c r="M3158" s="19"/>
      <c r="N3158" s="10"/>
    </row>
    <row r="3159" spans="7:14" x14ac:dyDescent="0.75">
      <c r="G3159" s="10"/>
      <c r="H3159" s="10"/>
      <c r="I3159" s="39"/>
      <c r="J3159" s="103"/>
      <c r="K3159" s="39"/>
      <c r="L3159" s="78"/>
      <c r="M3159" s="19"/>
      <c r="N3159" s="10"/>
    </row>
    <row r="3160" spans="7:14" x14ac:dyDescent="0.75">
      <c r="G3160" s="10"/>
      <c r="H3160" s="10"/>
      <c r="I3160" s="39"/>
      <c r="J3160" s="103"/>
      <c r="K3160" s="39"/>
      <c r="L3160" s="10"/>
      <c r="M3160" s="19"/>
      <c r="N3160" s="10"/>
    </row>
    <row r="3161" spans="7:14" x14ac:dyDescent="0.75">
      <c r="G3161" s="10"/>
      <c r="H3161" s="10"/>
      <c r="I3161" s="39"/>
      <c r="J3161" s="103"/>
      <c r="K3161" s="39"/>
      <c r="L3161" s="78"/>
      <c r="M3161" s="19"/>
      <c r="N3161" s="10"/>
    </row>
    <row r="3162" spans="7:14" x14ac:dyDescent="0.75">
      <c r="G3162" s="10"/>
      <c r="H3162" s="10"/>
      <c r="I3162" s="39"/>
      <c r="J3162" s="103"/>
      <c r="K3162" s="39"/>
      <c r="L3162" s="78"/>
      <c r="M3162" s="19"/>
      <c r="N3162" s="10"/>
    </row>
    <row r="3163" spans="7:14" x14ac:dyDescent="0.75">
      <c r="G3163" s="10"/>
      <c r="H3163" s="10"/>
      <c r="I3163" s="39"/>
      <c r="J3163" s="103"/>
      <c r="K3163" s="39"/>
      <c r="L3163" s="78"/>
      <c r="M3163" s="19"/>
      <c r="N3163" s="10"/>
    </row>
    <row r="3164" spans="7:14" x14ac:dyDescent="0.75">
      <c r="G3164" s="10"/>
      <c r="H3164" s="10"/>
      <c r="I3164" s="39"/>
      <c r="J3164" s="103"/>
      <c r="K3164" s="39"/>
      <c r="L3164" s="78"/>
      <c r="M3164" s="19"/>
      <c r="N3164" s="10"/>
    </row>
    <row r="3165" spans="7:14" x14ac:dyDescent="0.75">
      <c r="G3165" s="10"/>
      <c r="H3165" s="10"/>
      <c r="I3165" s="39"/>
      <c r="J3165" s="103"/>
      <c r="K3165" s="39"/>
      <c r="L3165" s="78"/>
      <c r="M3165" s="19"/>
      <c r="N3165" s="10"/>
    </row>
    <row r="3166" spans="7:14" x14ac:dyDescent="0.75">
      <c r="G3166" s="10"/>
      <c r="H3166" s="10"/>
      <c r="I3166" s="39"/>
      <c r="J3166" s="103"/>
      <c r="K3166" s="39"/>
      <c r="L3166" s="78"/>
      <c r="M3166" s="19"/>
      <c r="N3166" s="10"/>
    </row>
    <row r="3167" spans="7:14" x14ac:dyDescent="0.75">
      <c r="G3167" s="10"/>
      <c r="H3167" s="10"/>
      <c r="I3167" s="39"/>
      <c r="J3167" s="103"/>
      <c r="K3167" s="39"/>
      <c r="L3167" s="78"/>
      <c r="M3167" s="19"/>
      <c r="N3167" s="10"/>
    </row>
    <row r="3168" spans="7:14" x14ac:dyDescent="0.75">
      <c r="G3168" s="10"/>
      <c r="H3168" s="10"/>
      <c r="I3168" s="39"/>
      <c r="J3168" s="103"/>
      <c r="K3168" s="39"/>
      <c r="L3168" s="78"/>
      <c r="M3168" s="19"/>
      <c r="N3168" s="10"/>
    </row>
    <row r="3169" spans="7:14" x14ac:dyDescent="0.75">
      <c r="G3169" s="10"/>
      <c r="H3169" s="10"/>
      <c r="I3169" s="39"/>
      <c r="J3169" s="103"/>
      <c r="K3169" s="39"/>
      <c r="L3169" s="10"/>
      <c r="M3169" s="19"/>
      <c r="N3169" s="10"/>
    </row>
    <row r="3170" spans="7:14" x14ac:dyDescent="0.75">
      <c r="G3170" s="10"/>
      <c r="H3170" s="10"/>
      <c r="I3170" s="39"/>
      <c r="J3170" s="103"/>
      <c r="K3170" s="39"/>
      <c r="L3170" s="78"/>
      <c r="M3170" s="19"/>
      <c r="N3170" s="10"/>
    </row>
    <row r="3171" spans="7:14" x14ac:dyDescent="0.75">
      <c r="G3171" s="10"/>
      <c r="H3171" s="10"/>
      <c r="I3171" s="39"/>
      <c r="J3171" s="103"/>
      <c r="K3171" s="39"/>
      <c r="L3171" s="78"/>
      <c r="M3171" s="19"/>
      <c r="N3171" s="10"/>
    </row>
    <row r="3172" spans="7:14" x14ac:dyDescent="0.75">
      <c r="G3172" s="10"/>
      <c r="H3172" s="10"/>
      <c r="I3172" s="39"/>
      <c r="J3172" s="103"/>
      <c r="K3172" s="39"/>
      <c r="L3172" s="78"/>
      <c r="M3172" s="19"/>
      <c r="N3172" s="10"/>
    </row>
    <row r="3173" spans="7:14" x14ac:dyDescent="0.75">
      <c r="G3173" s="10"/>
      <c r="H3173" s="10"/>
      <c r="I3173" s="39"/>
      <c r="J3173" s="103"/>
      <c r="K3173" s="39"/>
      <c r="L3173" s="78"/>
      <c r="M3173" s="19"/>
      <c r="N3173" s="10"/>
    </row>
    <row r="3174" spans="7:14" x14ac:dyDescent="0.75">
      <c r="G3174" s="10"/>
      <c r="H3174" s="10"/>
      <c r="I3174" s="39"/>
      <c r="J3174" s="103"/>
      <c r="K3174" s="39"/>
      <c r="L3174" s="78"/>
      <c r="M3174" s="19"/>
      <c r="N3174" s="10"/>
    </row>
    <row r="3175" spans="7:14" x14ac:dyDescent="0.75">
      <c r="G3175" s="10"/>
      <c r="H3175" s="10"/>
      <c r="I3175" s="39"/>
      <c r="J3175" s="103"/>
      <c r="K3175" s="39"/>
      <c r="L3175" s="78"/>
      <c r="M3175" s="19"/>
      <c r="N3175" s="10"/>
    </row>
    <row r="3176" spans="7:14" x14ac:dyDescent="0.75">
      <c r="G3176" s="10"/>
      <c r="H3176" s="10"/>
      <c r="I3176" s="39"/>
      <c r="J3176" s="103"/>
      <c r="K3176" s="39"/>
      <c r="L3176" s="78"/>
      <c r="M3176" s="19"/>
      <c r="N3176" s="10"/>
    </row>
    <row r="3177" spans="7:14" x14ac:dyDescent="0.75">
      <c r="G3177" s="10"/>
      <c r="H3177" s="10"/>
      <c r="I3177" s="39"/>
      <c r="J3177" s="103"/>
      <c r="K3177" s="39"/>
      <c r="L3177" s="78"/>
      <c r="M3177" s="19"/>
      <c r="N3177" s="10"/>
    </row>
    <row r="3178" spans="7:14" x14ac:dyDescent="0.75">
      <c r="G3178" s="10"/>
      <c r="H3178" s="10"/>
      <c r="I3178" s="39"/>
      <c r="J3178" s="103"/>
      <c r="K3178" s="39"/>
      <c r="L3178" s="78"/>
      <c r="M3178" s="19"/>
      <c r="N3178" s="10"/>
    </row>
    <row r="3179" spans="7:14" x14ac:dyDescent="0.75">
      <c r="G3179" s="10"/>
      <c r="H3179" s="10"/>
      <c r="I3179" s="39"/>
      <c r="J3179" s="103"/>
      <c r="K3179" s="39"/>
      <c r="L3179" s="78"/>
      <c r="M3179" s="19"/>
      <c r="N3179" s="10"/>
    </row>
    <row r="3180" spans="7:14" x14ac:dyDescent="0.75">
      <c r="G3180" s="10"/>
      <c r="H3180" s="10"/>
      <c r="I3180" s="39"/>
      <c r="J3180" s="103"/>
      <c r="K3180" s="39"/>
      <c r="L3180" s="78"/>
      <c r="M3180" s="19"/>
      <c r="N3180" s="10"/>
    </row>
    <row r="3181" spans="7:14" x14ac:dyDescent="0.75">
      <c r="G3181" s="10"/>
      <c r="H3181" s="10"/>
      <c r="I3181" s="39"/>
      <c r="J3181" s="103"/>
      <c r="K3181" s="39"/>
      <c r="L3181" s="78"/>
      <c r="M3181" s="19"/>
      <c r="N3181" s="10"/>
    </row>
    <row r="3182" spans="7:14" x14ac:dyDescent="0.75">
      <c r="G3182" s="10"/>
      <c r="H3182" s="10"/>
      <c r="I3182" s="39"/>
      <c r="J3182" s="103"/>
      <c r="K3182" s="39"/>
      <c r="L3182" s="78"/>
      <c r="M3182" s="19"/>
      <c r="N3182" s="10"/>
    </row>
    <row r="3183" spans="7:14" x14ac:dyDescent="0.75">
      <c r="G3183" s="10"/>
      <c r="H3183" s="10"/>
      <c r="I3183" s="39"/>
      <c r="J3183" s="103"/>
      <c r="K3183" s="39"/>
      <c r="L3183" s="78"/>
      <c r="M3183" s="19"/>
      <c r="N3183" s="10"/>
    </row>
    <row r="3184" spans="7:14" x14ac:dyDescent="0.75">
      <c r="G3184" s="10"/>
      <c r="H3184" s="10"/>
      <c r="I3184" s="39"/>
      <c r="J3184" s="103"/>
      <c r="K3184" s="39"/>
      <c r="L3184" s="10"/>
      <c r="M3184" s="19"/>
      <c r="N3184" s="10"/>
    </row>
    <row r="3185" spans="7:14" x14ac:dyDescent="0.75">
      <c r="G3185" s="10"/>
      <c r="H3185" s="10"/>
      <c r="I3185" s="39"/>
      <c r="J3185" s="103"/>
      <c r="K3185" s="39"/>
      <c r="L3185" s="78"/>
      <c r="M3185" s="19"/>
      <c r="N3185" s="10"/>
    </row>
    <row r="3186" spans="7:14" x14ac:dyDescent="0.75">
      <c r="G3186" s="10"/>
      <c r="H3186" s="10"/>
      <c r="I3186" s="39"/>
      <c r="J3186" s="103"/>
      <c r="K3186" s="39"/>
      <c r="L3186" s="78"/>
      <c r="M3186" s="19"/>
      <c r="N3186" s="10"/>
    </row>
    <row r="3187" spans="7:14" x14ac:dyDescent="0.75">
      <c r="G3187" s="10"/>
      <c r="H3187" s="10"/>
      <c r="I3187" s="39"/>
      <c r="J3187" s="103"/>
      <c r="K3187" s="39"/>
      <c r="L3187" s="78"/>
      <c r="M3187" s="19"/>
      <c r="N3187" s="10"/>
    </row>
    <row r="3188" spans="7:14" x14ac:dyDescent="0.75">
      <c r="G3188" s="10"/>
      <c r="H3188" s="10"/>
      <c r="I3188" s="39"/>
      <c r="J3188" s="103"/>
      <c r="K3188" s="39"/>
      <c r="L3188" s="78"/>
      <c r="M3188" s="19"/>
      <c r="N3188" s="10"/>
    </row>
    <row r="3189" spans="7:14" x14ac:dyDescent="0.75">
      <c r="G3189" s="10"/>
      <c r="H3189" s="10"/>
      <c r="I3189" s="39"/>
      <c r="J3189" s="103"/>
      <c r="K3189" s="39"/>
      <c r="L3189" s="78"/>
      <c r="M3189" s="19"/>
      <c r="N3189" s="10"/>
    </row>
    <row r="3190" spans="7:14" x14ac:dyDescent="0.75">
      <c r="G3190" s="10"/>
      <c r="H3190" s="10"/>
      <c r="I3190" s="39"/>
      <c r="J3190" s="103"/>
      <c r="K3190" s="39"/>
      <c r="L3190" s="78"/>
      <c r="M3190" s="19"/>
      <c r="N3190" s="10"/>
    </row>
    <row r="3191" spans="7:14" x14ac:dyDescent="0.75">
      <c r="G3191" s="10"/>
      <c r="H3191" s="10"/>
      <c r="I3191" s="39"/>
      <c r="J3191" s="103"/>
      <c r="K3191" s="39"/>
      <c r="L3191" s="78"/>
      <c r="M3191" s="19"/>
      <c r="N3191" s="10"/>
    </row>
    <row r="3192" spans="7:14" x14ac:dyDescent="0.75">
      <c r="G3192" s="10"/>
      <c r="H3192" s="10"/>
      <c r="I3192" s="39"/>
      <c r="J3192" s="103"/>
      <c r="K3192" s="39"/>
      <c r="L3192" s="78"/>
      <c r="M3192" s="19"/>
      <c r="N3192" s="10"/>
    </row>
    <row r="3193" spans="7:14" x14ac:dyDescent="0.75">
      <c r="G3193" s="10"/>
      <c r="H3193" s="10"/>
      <c r="I3193" s="39"/>
      <c r="J3193" s="103"/>
      <c r="K3193" s="39"/>
      <c r="L3193" s="78"/>
      <c r="M3193" s="19"/>
      <c r="N3193" s="10"/>
    </row>
    <row r="3194" spans="7:14" x14ac:dyDescent="0.75">
      <c r="G3194" s="10"/>
      <c r="H3194" s="10"/>
      <c r="I3194" s="39"/>
      <c r="J3194" s="103"/>
      <c r="K3194" s="39"/>
      <c r="L3194" s="78"/>
      <c r="M3194" s="19"/>
      <c r="N3194" s="10"/>
    </row>
    <row r="3195" spans="7:14" x14ac:dyDescent="0.75">
      <c r="G3195" s="10"/>
      <c r="H3195" s="10"/>
      <c r="I3195" s="39"/>
      <c r="J3195" s="103"/>
      <c r="K3195" s="39"/>
      <c r="L3195" s="78"/>
      <c r="M3195" s="19"/>
      <c r="N3195" s="10"/>
    </row>
    <row r="3196" spans="7:14" x14ac:dyDescent="0.75">
      <c r="G3196" s="10"/>
      <c r="H3196" s="10"/>
      <c r="I3196" s="39"/>
      <c r="J3196" s="103"/>
      <c r="K3196" s="39"/>
      <c r="L3196" s="78"/>
      <c r="M3196" s="19"/>
      <c r="N3196" s="10"/>
    </row>
    <row r="3197" spans="7:14" x14ac:dyDescent="0.75">
      <c r="G3197" s="10"/>
      <c r="H3197" s="10"/>
      <c r="I3197" s="39"/>
      <c r="J3197" s="103"/>
      <c r="K3197" s="39"/>
      <c r="L3197" s="78"/>
      <c r="M3197" s="19"/>
      <c r="N3197" s="10"/>
    </row>
    <row r="3198" spans="7:14" x14ac:dyDescent="0.75">
      <c r="G3198" s="10"/>
      <c r="H3198" s="10"/>
      <c r="I3198" s="39"/>
      <c r="J3198" s="103"/>
      <c r="K3198" s="39"/>
      <c r="L3198" s="10"/>
      <c r="M3198" s="19"/>
      <c r="N3198" s="10"/>
    </row>
    <row r="3199" spans="7:14" x14ac:dyDescent="0.75">
      <c r="G3199" s="10"/>
      <c r="H3199" s="10"/>
      <c r="I3199" s="39"/>
      <c r="J3199" s="103"/>
      <c r="K3199" s="39"/>
      <c r="L3199" s="78"/>
      <c r="M3199" s="19"/>
      <c r="N3199" s="10"/>
    </row>
    <row r="3200" spans="7:14" x14ac:dyDescent="0.75">
      <c r="G3200" s="10"/>
      <c r="H3200" s="10"/>
      <c r="I3200" s="39"/>
      <c r="J3200" s="103"/>
      <c r="K3200" s="39"/>
      <c r="L3200" s="78"/>
      <c r="M3200" s="19"/>
      <c r="N3200" s="10"/>
    </row>
    <row r="3201" spans="7:14" x14ac:dyDescent="0.75">
      <c r="G3201" s="10"/>
      <c r="H3201" s="10"/>
      <c r="I3201" s="39"/>
      <c r="J3201" s="103"/>
      <c r="K3201" s="39"/>
      <c r="L3201" s="78"/>
      <c r="M3201" s="19"/>
      <c r="N3201" s="10"/>
    </row>
    <row r="3202" spans="7:14" x14ac:dyDescent="0.75">
      <c r="G3202" s="10"/>
      <c r="H3202" s="10"/>
      <c r="I3202" s="39"/>
      <c r="J3202" s="103"/>
      <c r="K3202" s="39"/>
      <c r="L3202" s="78"/>
      <c r="M3202" s="19"/>
      <c r="N3202" s="10"/>
    </row>
    <row r="3203" spans="7:14" x14ac:dyDescent="0.75">
      <c r="G3203" s="10"/>
      <c r="H3203" s="10"/>
      <c r="I3203" s="39"/>
      <c r="J3203" s="103"/>
      <c r="K3203" s="39"/>
      <c r="L3203" s="78"/>
      <c r="M3203" s="19"/>
      <c r="N3203" s="10"/>
    </row>
    <row r="3204" spans="7:14" x14ac:dyDescent="0.75">
      <c r="G3204" s="10"/>
      <c r="H3204" s="10"/>
      <c r="I3204" s="39"/>
      <c r="J3204" s="103"/>
      <c r="K3204" s="39"/>
      <c r="L3204" s="78"/>
      <c r="M3204" s="19"/>
      <c r="N3204" s="10"/>
    </row>
    <row r="3205" spans="7:14" x14ac:dyDescent="0.75">
      <c r="G3205" s="10"/>
      <c r="H3205" s="10"/>
      <c r="I3205" s="39"/>
      <c r="J3205" s="103"/>
      <c r="K3205" s="39"/>
      <c r="L3205" s="10"/>
      <c r="M3205" s="19"/>
      <c r="N3205" s="10"/>
    </row>
    <row r="3206" spans="7:14" x14ac:dyDescent="0.75">
      <c r="G3206" s="10"/>
      <c r="H3206" s="10"/>
      <c r="I3206" s="39"/>
      <c r="J3206" s="103"/>
      <c r="K3206" s="39"/>
      <c r="L3206" s="10"/>
      <c r="M3206" s="19"/>
      <c r="N3206" s="10"/>
    </row>
    <row r="3207" spans="7:14" x14ac:dyDescent="0.75">
      <c r="G3207" s="10"/>
      <c r="H3207" s="10"/>
      <c r="I3207" s="39"/>
      <c r="J3207" s="103"/>
      <c r="K3207" s="39"/>
      <c r="L3207" s="10"/>
      <c r="M3207" s="19"/>
      <c r="N3207" s="10"/>
    </row>
    <row r="3208" spans="7:14" x14ac:dyDescent="0.75">
      <c r="G3208" s="10"/>
      <c r="H3208" s="10"/>
      <c r="I3208" s="39"/>
      <c r="J3208" s="103"/>
      <c r="K3208" s="39"/>
      <c r="L3208" s="10"/>
      <c r="M3208" s="19"/>
      <c r="N3208" s="10"/>
    </row>
    <row r="3209" spans="7:14" x14ac:dyDescent="0.75">
      <c r="G3209" s="10"/>
      <c r="H3209" s="10"/>
      <c r="I3209" s="39"/>
      <c r="J3209" s="103"/>
      <c r="K3209" s="39"/>
      <c r="L3209" s="78"/>
      <c r="M3209" s="19"/>
      <c r="N3209" s="10"/>
    </row>
    <row r="3210" spans="7:14" x14ac:dyDescent="0.75">
      <c r="G3210" s="10"/>
      <c r="H3210" s="10"/>
      <c r="I3210" s="39"/>
      <c r="J3210" s="103"/>
      <c r="K3210" s="39"/>
      <c r="L3210" s="78"/>
      <c r="M3210" s="19"/>
      <c r="N3210" s="10"/>
    </row>
    <row r="3211" spans="7:14" x14ac:dyDescent="0.75">
      <c r="G3211" s="10"/>
      <c r="H3211" s="10"/>
      <c r="I3211" s="39"/>
      <c r="J3211" s="103"/>
      <c r="K3211" s="39"/>
      <c r="L3211" s="78"/>
      <c r="M3211" s="19"/>
      <c r="N3211" s="10"/>
    </row>
    <row r="3212" spans="7:14" x14ac:dyDescent="0.75">
      <c r="G3212" s="10"/>
      <c r="H3212" s="10"/>
      <c r="I3212" s="39"/>
      <c r="J3212" s="103"/>
      <c r="K3212" s="39"/>
      <c r="L3212" s="78"/>
      <c r="M3212" s="19"/>
      <c r="N3212" s="10"/>
    </row>
    <row r="3213" spans="7:14" x14ac:dyDescent="0.75">
      <c r="G3213" s="10"/>
      <c r="H3213" s="10"/>
      <c r="I3213" s="39"/>
      <c r="J3213" s="103"/>
      <c r="K3213" s="39"/>
      <c r="L3213" s="10"/>
      <c r="M3213" s="19"/>
      <c r="N3213" s="10"/>
    </row>
    <row r="3214" spans="7:14" x14ac:dyDescent="0.75">
      <c r="G3214" s="10"/>
      <c r="H3214" s="10"/>
      <c r="I3214" s="39"/>
      <c r="J3214" s="103"/>
      <c r="K3214" s="39"/>
      <c r="L3214" s="10"/>
      <c r="M3214" s="19"/>
      <c r="N3214" s="10"/>
    </row>
    <row r="3215" spans="7:14" x14ac:dyDescent="0.75">
      <c r="G3215" s="10"/>
      <c r="H3215" s="10"/>
      <c r="I3215" s="39"/>
      <c r="J3215" s="103"/>
      <c r="K3215" s="39"/>
      <c r="L3215" s="10"/>
      <c r="M3215" s="19"/>
      <c r="N3215" s="10"/>
    </row>
    <row r="3216" spans="7:14" x14ac:dyDescent="0.75">
      <c r="G3216" s="10"/>
      <c r="H3216" s="10"/>
      <c r="I3216" s="39"/>
      <c r="J3216" s="103"/>
      <c r="K3216" s="39"/>
      <c r="L3216" s="78"/>
      <c r="M3216" s="19"/>
      <c r="N3216" s="10"/>
    </row>
    <row r="3217" spans="7:14" x14ac:dyDescent="0.75">
      <c r="G3217" s="10"/>
      <c r="H3217" s="10"/>
      <c r="I3217" s="39"/>
      <c r="J3217" s="103"/>
      <c r="K3217" s="39"/>
      <c r="L3217" s="78"/>
      <c r="M3217" s="19"/>
      <c r="N3217" s="10"/>
    </row>
    <row r="3218" spans="7:14" x14ac:dyDescent="0.75">
      <c r="G3218" s="10"/>
      <c r="H3218" s="10"/>
      <c r="I3218" s="39"/>
      <c r="J3218" s="103"/>
      <c r="K3218" s="39"/>
      <c r="L3218" s="78"/>
      <c r="M3218" s="19"/>
      <c r="N3218" s="10"/>
    </row>
    <row r="3219" spans="7:14" x14ac:dyDescent="0.75">
      <c r="G3219" s="10"/>
      <c r="H3219" s="10"/>
      <c r="I3219" s="39"/>
      <c r="J3219" s="103"/>
      <c r="K3219" s="39"/>
      <c r="L3219" s="78"/>
      <c r="M3219" s="19"/>
      <c r="N3219" s="10"/>
    </row>
    <row r="3220" spans="7:14" x14ac:dyDescent="0.75">
      <c r="G3220" s="10"/>
      <c r="H3220" s="10"/>
      <c r="I3220" s="39"/>
      <c r="J3220" s="103"/>
      <c r="K3220" s="39"/>
      <c r="L3220" s="78"/>
      <c r="M3220" s="19"/>
      <c r="N3220" s="10"/>
    </row>
    <row r="3221" spans="7:14" x14ac:dyDescent="0.75">
      <c r="G3221" s="10"/>
      <c r="H3221" s="10"/>
      <c r="I3221" s="39"/>
      <c r="J3221" s="103"/>
      <c r="K3221" s="39"/>
      <c r="L3221" s="78"/>
      <c r="M3221" s="19"/>
      <c r="N3221" s="10"/>
    </row>
    <row r="3222" spans="7:14" x14ac:dyDescent="0.75">
      <c r="G3222" s="10"/>
      <c r="H3222" s="10"/>
      <c r="I3222" s="39"/>
      <c r="J3222" s="103"/>
      <c r="K3222" s="39"/>
      <c r="L3222" s="78"/>
      <c r="M3222" s="19"/>
      <c r="N3222" s="10"/>
    </row>
    <row r="3223" spans="7:14" x14ac:dyDescent="0.75">
      <c r="G3223" s="10"/>
      <c r="H3223" s="10"/>
      <c r="I3223" s="39"/>
      <c r="J3223" s="103"/>
      <c r="K3223" s="39"/>
      <c r="L3223" s="78"/>
      <c r="M3223" s="19"/>
      <c r="N3223" s="10"/>
    </row>
    <row r="3224" spans="7:14" x14ac:dyDescent="0.75">
      <c r="G3224" s="10"/>
      <c r="H3224" s="10"/>
      <c r="I3224" s="39"/>
      <c r="J3224" s="103"/>
      <c r="K3224" s="39"/>
      <c r="L3224" s="78"/>
      <c r="M3224" s="19"/>
      <c r="N3224" s="10"/>
    </row>
    <row r="3225" spans="7:14" x14ac:dyDescent="0.75">
      <c r="G3225" s="10"/>
      <c r="H3225" s="10"/>
      <c r="I3225" s="39"/>
      <c r="J3225" s="103"/>
      <c r="K3225" s="39"/>
      <c r="L3225" s="78"/>
      <c r="M3225" s="19"/>
      <c r="N3225" s="10"/>
    </row>
    <row r="3226" spans="7:14" x14ac:dyDescent="0.75">
      <c r="G3226" s="10"/>
      <c r="H3226" s="10"/>
      <c r="I3226" s="39"/>
      <c r="J3226" s="103"/>
      <c r="K3226" s="39"/>
      <c r="L3226" s="78"/>
      <c r="M3226" s="19"/>
      <c r="N3226" s="10"/>
    </row>
    <row r="3227" spans="7:14" x14ac:dyDescent="0.75">
      <c r="G3227" s="10"/>
      <c r="H3227" s="10"/>
      <c r="I3227" s="39"/>
      <c r="J3227" s="103"/>
      <c r="K3227" s="39"/>
      <c r="L3227" s="78"/>
      <c r="M3227" s="19"/>
      <c r="N3227" s="10"/>
    </row>
    <row r="3228" spans="7:14" x14ac:dyDescent="0.75">
      <c r="G3228" s="10"/>
      <c r="H3228" s="10"/>
      <c r="I3228" s="39"/>
      <c r="J3228" s="103"/>
      <c r="K3228" s="39"/>
      <c r="L3228" s="78"/>
      <c r="M3228" s="19"/>
      <c r="N3228" s="10"/>
    </row>
    <row r="3229" spans="7:14" x14ac:dyDescent="0.75">
      <c r="G3229" s="10"/>
      <c r="H3229" s="10"/>
      <c r="I3229" s="39"/>
      <c r="J3229" s="103"/>
      <c r="K3229" s="39"/>
      <c r="L3229" s="78"/>
      <c r="M3229" s="19"/>
      <c r="N3229" s="10"/>
    </row>
    <row r="3230" spans="7:14" x14ac:dyDescent="0.75">
      <c r="G3230" s="10"/>
      <c r="H3230" s="10"/>
      <c r="I3230" s="39"/>
      <c r="J3230" s="103"/>
      <c r="K3230" s="39"/>
      <c r="L3230" s="78"/>
      <c r="M3230" s="19"/>
      <c r="N3230" s="10"/>
    </row>
    <row r="3231" spans="7:14" x14ac:dyDescent="0.75">
      <c r="G3231" s="10"/>
      <c r="H3231" s="10"/>
      <c r="I3231" s="39"/>
      <c r="J3231" s="103"/>
      <c r="K3231" s="39"/>
      <c r="L3231" s="78"/>
      <c r="M3231" s="19"/>
      <c r="N3231" s="10"/>
    </row>
    <row r="3232" spans="7:14" x14ac:dyDescent="0.75">
      <c r="G3232" s="10"/>
      <c r="H3232" s="10"/>
      <c r="I3232" s="39"/>
      <c r="J3232" s="103"/>
      <c r="K3232" s="39"/>
      <c r="L3232" s="78"/>
      <c r="M3232" s="19"/>
      <c r="N3232" s="10"/>
    </row>
    <row r="3233" spans="7:14" x14ac:dyDescent="0.75">
      <c r="G3233" s="10"/>
      <c r="H3233" s="10"/>
      <c r="I3233" s="39"/>
      <c r="J3233" s="103"/>
      <c r="K3233" s="39"/>
      <c r="L3233" s="78"/>
      <c r="M3233" s="19"/>
      <c r="N3233" s="10"/>
    </row>
    <row r="3234" spans="7:14" x14ac:dyDescent="0.75">
      <c r="G3234" s="10"/>
      <c r="H3234" s="10"/>
      <c r="I3234" s="39"/>
      <c r="J3234" s="103"/>
      <c r="K3234" s="39"/>
      <c r="L3234" s="78"/>
      <c r="M3234" s="19"/>
      <c r="N3234" s="10"/>
    </row>
    <row r="3235" spans="7:14" x14ac:dyDescent="0.75">
      <c r="G3235" s="10"/>
      <c r="H3235" s="10"/>
      <c r="I3235" s="39"/>
      <c r="J3235" s="103"/>
      <c r="K3235" s="39"/>
      <c r="L3235" s="78"/>
      <c r="M3235" s="19"/>
      <c r="N3235" s="10"/>
    </row>
    <row r="3236" spans="7:14" x14ac:dyDescent="0.75">
      <c r="G3236" s="10"/>
      <c r="H3236" s="10"/>
      <c r="I3236" s="39"/>
      <c r="J3236" s="103"/>
      <c r="K3236" s="39"/>
      <c r="L3236" s="78"/>
      <c r="M3236" s="19"/>
      <c r="N3236" s="10"/>
    </row>
    <row r="3237" spans="7:14" x14ac:dyDescent="0.75">
      <c r="G3237" s="10"/>
      <c r="H3237" s="10"/>
      <c r="I3237" s="39"/>
      <c r="J3237" s="103"/>
      <c r="K3237" s="39"/>
      <c r="L3237" s="78"/>
      <c r="M3237" s="19"/>
      <c r="N3237" s="10"/>
    </row>
    <row r="3238" spans="7:14" x14ac:dyDescent="0.75">
      <c r="G3238" s="10"/>
      <c r="H3238" s="10"/>
      <c r="I3238" s="39"/>
      <c r="J3238" s="103"/>
      <c r="K3238" s="39"/>
      <c r="L3238" s="78"/>
      <c r="M3238" s="19"/>
      <c r="N3238" s="10"/>
    </row>
    <row r="3239" spans="7:14" x14ac:dyDescent="0.75">
      <c r="G3239" s="10"/>
      <c r="H3239" s="10"/>
      <c r="I3239" s="39"/>
      <c r="J3239" s="103"/>
      <c r="K3239" s="39"/>
      <c r="L3239" s="78"/>
      <c r="M3239" s="19"/>
      <c r="N3239" s="10"/>
    </row>
    <row r="3240" spans="7:14" x14ac:dyDescent="0.75">
      <c r="G3240" s="10"/>
      <c r="H3240" s="10"/>
      <c r="I3240" s="39"/>
      <c r="J3240" s="103"/>
      <c r="K3240" s="39"/>
      <c r="L3240" s="78"/>
      <c r="M3240" s="19"/>
      <c r="N3240" s="10"/>
    </row>
    <row r="3241" spans="7:14" x14ac:dyDescent="0.75">
      <c r="G3241" s="10"/>
      <c r="H3241" s="10"/>
      <c r="I3241" s="39"/>
      <c r="J3241" s="103"/>
      <c r="K3241" s="39"/>
      <c r="L3241" s="78"/>
      <c r="M3241" s="19"/>
      <c r="N3241" s="10"/>
    </row>
    <row r="3242" spans="7:14" x14ac:dyDescent="0.75">
      <c r="G3242" s="10"/>
      <c r="H3242" s="10"/>
      <c r="I3242" s="39"/>
      <c r="J3242" s="103"/>
      <c r="K3242" s="39"/>
      <c r="L3242" s="78"/>
      <c r="M3242" s="19"/>
      <c r="N3242" s="10"/>
    </row>
    <row r="3243" spans="7:14" x14ac:dyDescent="0.75">
      <c r="G3243" s="10"/>
      <c r="H3243" s="10"/>
      <c r="I3243" s="39"/>
      <c r="J3243" s="103"/>
      <c r="K3243" s="39"/>
      <c r="L3243" s="78"/>
      <c r="M3243" s="19"/>
      <c r="N3243" s="10"/>
    </row>
    <row r="3244" spans="7:14" x14ac:dyDescent="0.75">
      <c r="G3244" s="10"/>
      <c r="H3244" s="10"/>
      <c r="I3244" s="39"/>
      <c r="J3244" s="103"/>
      <c r="K3244" s="39"/>
      <c r="L3244" s="78"/>
      <c r="M3244" s="19"/>
      <c r="N3244" s="10"/>
    </row>
    <row r="3245" spans="7:14" x14ac:dyDescent="0.75">
      <c r="G3245" s="10"/>
      <c r="H3245" s="10"/>
      <c r="I3245" s="39"/>
      <c r="J3245" s="103"/>
      <c r="K3245" s="39"/>
      <c r="L3245" s="78"/>
      <c r="M3245" s="19"/>
      <c r="N3245" s="10"/>
    </row>
    <row r="3246" spans="7:14" x14ac:dyDescent="0.75">
      <c r="G3246" s="10"/>
      <c r="H3246" s="10"/>
      <c r="I3246" s="39"/>
      <c r="J3246" s="103"/>
      <c r="K3246" s="39"/>
      <c r="L3246" s="78"/>
      <c r="M3246" s="19"/>
      <c r="N3246" s="10"/>
    </row>
    <row r="3247" spans="7:14" x14ac:dyDescent="0.75">
      <c r="G3247" s="10"/>
      <c r="H3247" s="10"/>
      <c r="I3247" s="39"/>
      <c r="J3247" s="103"/>
      <c r="K3247" s="39"/>
      <c r="L3247" s="78"/>
      <c r="M3247" s="19"/>
      <c r="N3247" s="10"/>
    </row>
    <row r="3248" spans="7:14" x14ac:dyDescent="0.75">
      <c r="G3248" s="10"/>
      <c r="H3248" s="10"/>
      <c r="I3248" s="39"/>
      <c r="J3248" s="103"/>
      <c r="K3248" s="39"/>
      <c r="L3248" s="78"/>
      <c r="M3248" s="19"/>
      <c r="N3248" s="10"/>
    </row>
    <row r="3249" spans="7:14" x14ac:dyDescent="0.75">
      <c r="G3249" s="10"/>
      <c r="H3249" s="10"/>
      <c r="I3249" s="39"/>
      <c r="J3249" s="103"/>
      <c r="K3249" s="39"/>
      <c r="L3249" s="78"/>
      <c r="M3249" s="19"/>
      <c r="N3249" s="10"/>
    </row>
    <row r="3250" spans="7:14" x14ac:dyDescent="0.75">
      <c r="G3250" s="10"/>
      <c r="H3250" s="10"/>
      <c r="I3250" s="39"/>
      <c r="J3250" s="103"/>
      <c r="K3250" s="39"/>
      <c r="L3250" s="78"/>
      <c r="M3250" s="19"/>
      <c r="N3250" s="10"/>
    </row>
    <row r="3251" spans="7:14" x14ac:dyDescent="0.75">
      <c r="G3251" s="10"/>
      <c r="H3251" s="10"/>
      <c r="I3251" s="39"/>
      <c r="J3251" s="103"/>
      <c r="K3251" s="39"/>
      <c r="L3251" s="78"/>
      <c r="M3251" s="19"/>
      <c r="N3251" s="10"/>
    </row>
    <row r="3252" spans="7:14" x14ac:dyDescent="0.75">
      <c r="G3252" s="10"/>
      <c r="H3252" s="10"/>
      <c r="I3252" s="39"/>
      <c r="J3252" s="103"/>
      <c r="K3252" s="39"/>
      <c r="L3252" s="78"/>
      <c r="M3252" s="19"/>
      <c r="N3252" s="10"/>
    </row>
    <row r="3253" spans="7:14" x14ac:dyDescent="0.75">
      <c r="G3253" s="10"/>
      <c r="H3253" s="10"/>
      <c r="I3253" s="39"/>
      <c r="J3253" s="103"/>
      <c r="K3253" s="39"/>
      <c r="L3253" s="78"/>
      <c r="M3253" s="19"/>
      <c r="N3253" s="10"/>
    </row>
    <row r="3254" spans="7:14" x14ac:dyDescent="0.75">
      <c r="G3254" s="10"/>
      <c r="H3254" s="10"/>
      <c r="I3254" s="39"/>
      <c r="J3254" s="103"/>
      <c r="K3254" s="39"/>
      <c r="L3254" s="78"/>
      <c r="M3254" s="19"/>
      <c r="N3254" s="10"/>
    </row>
    <row r="3255" spans="7:14" x14ac:dyDescent="0.75">
      <c r="G3255" s="10"/>
      <c r="H3255" s="10"/>
      <c r="I3255" s="39"/>
      <c r="J3255" s="103"/>
      <c r="K3255" s="39"/>
      <c r="L3255" s="78"/>
      <c r="M3255" s="19"/>
      <c r="N3255" s="10"/>
    </row>
    <row r="3256" spans="7:14" x14ac:dyDescent="0.75">
      <c r="G3256" s="10"/>
      <c r="H3256" s="10"/>
      <c r="I3256" s="39"/>
      <c r="J3256" s="103"/>
      <c r="K3256" s="39"/>
      <c r="L3256" s="78"/>
      <c r="M3256" s="19"/>
      <c r="N3256" s="10"/>
    </row>
    <row r="3257" spans="7:14" x14ac:dyDescent="0.75">
      <c r="G3257" s="10"/>
      <c r="H3257" s="10"/>
      <c r="I3257" s="39"/>
      <c r="J3257" s="103"/>
      <c r="K3257" s="39"/>
      <c r="L3257" s="78"/>
      <c r="M3257" s="19"/>
      <c r="N3257" s="10"/>
    </row>
    <row r="3258" spans="7:14" x14ac:dyDescent="0.75">
      <c r="G3258" s="10"/>
      <c r="H3258" s="10"/>
      <c r="I3258" s="39"/>
      <c r="J3258" s="103"/>
      <c r="K3258" s="39"/>
      <c r="L3258" s="78"/>
      <c r="M3258" s="19"/>
      <c r="N3258" s="10"/>
    </row>
    <row r="3259" spans="7:14" x14ac:dyDescent="0.75">
      <c r="G3259" s="10"/>
      <c r="H3259" s="10"/>
      <c r="I3259" s="39"/>
      <c r="J3259" s="103"/>
      <c r="K3259" s="39"/>
      <c r="L3259" s="10"/>
      <c r="M3259" s="19"/>
      <c r="N3259" s="10"/>
    </row>
    <row r="3260" spans="7:14" x14ac:dyDescent="0.75">
      <c r="G3260" s="10"/>
      <c r="H3260" s="10"/>
      <c r="I3260" s="39"/>
      <c r="J3260" s="103"/>
      <c r="K3260" s="39"/>
      <c r="L3260" s="78"/>
      <c r="M3260" s="19"/>
      <c r="N3260" s="10"/>
    </row>
    <row r="3261" spans="7:14" x14ac:dyDescent="0.75">
      <c r="G3261" s="10"/>
      <c r="H3261" s="10"/>
      <c r="I3261" s="39"/>
      <c r="J3261" s="103"/>
      <c r="K3261" s="39"/>
      <c r="L3261" s="78"/>
      <c r="M3261" s="19"/>
      <c r="N3261" s="10"/>
    </row>
    <row r="3262" spans="7:14" x14ac:dyDescent="0.75">
      <c r="G3262" s="10"/>
      <c r="H3262" s="10"/>
      <c r="I3262" s="39"/>
      <c r="J3262" s="103"/>
      <c r="K3262" s="39"/>
      <c r="L3262" s="78"/>
      <c r="M3262" s="19"/>
      <c r="N3262" s="10"/>
    </row>
    <row r="3263" spans="7:14" x14ac:dyDescent="0.75">
      <c r="G3263" s="10"/>
      <c r="H3263" s="10"/>
      <c r="I3263" s="39"/>
      <c r="J3263" s="103"/>
      <c r="K3263" s="39"/>
      <c r="L3263" s="78"/>
      <c r="M3263" s="19"/>
      <c r="N3263" s="10"/>
    </row>
    <row r="3264" spans="7:14" x14ac:dyDescent="0.75">
      <c r="G3264" s="10"/>
      <c r="H3264" s="10"/>
      <c r="I3264" s="39"/>
      <c r="J3264" s="103"/>
      <c r="K3264" s="39"/>
      <c r="L3264" s="78"/>
      <c r="M3264" s="19"/>
      <c r="N3264" s="10"/>
    </row>
    <row r="3265" spans="7:14" x14ac:dyDescent="0.75">
      <c r="G3265" s="10"/>
      <c r="H3265" s="10"/>
      <c r="I3265" s="39"/>
      <c r="J3265" s="103"/>
      <c r="K3265" s="39"/>
      <c r="L3265" s="78"/>
      <c r="M3265" s="19"/>
      <c r="N3265" s="10"/>
    </row>
    <row r="3266" spans="7:14" x14ac:dyDescent="0.75">
      <c r="G3266" s="10"/>
      <c r="H3266" s="10"/>
      <c r="I3266" s="39"/>
      <c r="J3266" s="103"/>
      <c r="K3266" s="39"/>
      <c r="L3266" s="78"/>
      <c r="M3266" s="19"/>
      <c r="N3266" s="10"/>
    </row>
    <row r="3267" spans="7:14" x14ac:dyDescent="0.75">
      <c r="G3267" s="10"/>
      <c r="H3267" s="10"/>
      <c r="I3267" s="39"/>
      <c r="J3267" s="103"/>
      <c r="K3267" s="39"/>
      <c r="L3267" s="10"/>
      <c r="M3267" s="19"/>
      <c r="N3267" s="10"/>
    </row>
    <row r="3268" spans="7:14" x14ac:dyDescent="0.75">
      <c r="G3268" s="10"/>
      <c r="H3268" s="10"/>
      <c r="I3268" s="39"/>
      <c r="J3268" s="103"/>
      <c r="K3268" s="39"/>
      <c r="L3268" s="78"/>
      <c r="M3268" s="19"/>
      <c r="N3268" s="10"/>
    </row>
    <row r="3269" spans="7:14" x14ac:dyDescent="0.75">
      <c r="G3269" s="10"/>
      <c r="H3269" s="10"/>
      <c r="I3269" s="39"/>
      <c r="J3269" s="103"/>
      <c r="K3269" s="39"/>
      <c r="L3269" s="78"/>
      <c r="M3269" s="19"/>
      <c r="N3269" s="10"/>
    </row>
    <row r="3270" spans="7:14" x14ac:dyDescent="0.75">
      <c r="G3270" s="10"/>
      <c r="H3270" s="10"/>
      <c r="I3270" s="39"/>
      <c r="J3270" s="103"/>
      <c r="K3270" s="39"/>
      <c r="L3270" s="78"/>
      <c r="M3270" s="19"/>
      <c r="N3270" s="10"/>
    </row>
    <row r="3271" spans="7:14" x14ac:dyDescent="0.75">
      <c r="G3271" s="10"/>
      <c r="H3271" s="10"/>
      <c r="I3271" s="39"/>
      <c r="J3271" s="103"/>
      <c r="K3271" s="39"/>
      <c r="L3271" s="78"/>
      <c r="M3271" s="19"/>
      <c r="N3271" s="10"/>
    </row>
    <row r="3272" spans="7:14" x14ac:dyDescent="0.75">
      <c r="G3272" s="10"/>
      <c r="H3272" s="10"/>
      <c r="I3272" s="39"/>
      <c r="J3272" s="103"/>
      <c r="K3272" s="39"/>
      <c r="L3272" s="78"/>
      <c r="M3272" s="19"/>
      <c r="N3272" s="10"/>
    </row>
    <row r="3273" spans="7:14" x14ac:dyDescent="0.75">
      <c r="G3273" s="10"/>
      <c r="H3273" s="10"/>
      <c r="I3273" s="39"/>
      <c r="J3273" s="103"/>
      <c r="K3273" s="39"/>
      <c r="L3273" s="78"/>
      <c r="M3273" s="19"/>
      <c r="N3273" s="10"/>
    </row>
    <row r="3274" spans="7:14" x14ac:dyDescent="0.75">
      <c r="G3274" s="10"/>
      <c r="H3274" s="10"/>
      <c r="I3274" s="39"/>
      <c r="J3274" s="103"/>
      <c r="K3274" s="39"/>
      <c r="L3274" s="78"/>
      <c r="M3274" s="19"/>
      <c r="N3274" s="10"/>
    </row>
    <row r="3275" spans="7:14" x14ac:dyDescent="0.75">
      <c r="G3275" s="10"/>
      <c r="H3275" s="10"/>
      <c r="I3275" s="39"/>
      <c r="J3275" s="103"/>
      <c r="K3275" s="39"/>
      <c r="L3275" s="78"/>
      <c r="M3275" s="19"/>
      <c r="N3275" s="10"/>
    </row>
    <row r="3276" spans="7:14" x14ac:dyDescent="0.75">
      <c r="G3276" s="10"/>
      <c r="H3276" s="10"/>
      <c r="I3276" s="39"/>
      <c r="J3276" s="103"/>
      <c r="K3276" s="39"/>
      <c r="L3276" s="78"/>
      <c r="M3276" s="19"/>
      <c r="N3276" s="10"/>
    </row>
    <row r="3277" spans="7:14" x14ac:dyDescent="0.75">
      <c r="G3277" s="10"/>
      <c r="H3277" s="10"/>
      <c r="I3277" s="39"/>
      <c r="J3277" s="103"/>
      <c r="K3277" s="39"/>
      <c r="L3277" s="78"/>
      <c r="M3277" s="19"/>
      <c r="N3277" s="10"/>
    </row>
    <row r="3278" spans="7:14" x14ac:dyDescent="0.75">
      <c r="G3278" s="10"/>
      <c r="H3278" s="10"/>
      <c r="I3278" s="39"/>
      <c r="J3278" s="103"/>
      <c r="K3278" s="39"/>
      <c r="L3278" s="78"/>
      <c r="M3278" s="19"/>
      <c r="N3278" s="10"/>
    </row>
    <row r="3279" spans="7:14" x14ac:dyDescent="0.75">
      <c r="G3279" s="10"/>
      <c r="H3279" s="10"/>
      <c r="I3279" s="39"/>
      <c r="J3279" s="103"/>
      <c r="K3279" s="39"/>
      <c r="L3279" s="78"/>
      <c r="M3279" s="19"/>
      <c r="N3279" s="10"/>
    </row>
    <row r="3280" spans="7:14" x14ac:dyDescent="0.75">
      <c r="G3280" s="10"/>
      <c r="H3280" s="10"/>
      <c r="I3280" s="39"/>
      <c r="J3280" s="103"/>
      <c r="K3280" s="39"/>
      <c r="L3280" s="78"/>
      <c r="M3280" s="19"/>
      <c r="N3280" s="10"/>
    </row>
    <row r="3281" spans="7:14" x14ac:dyDescent="0.75">
      <c r="G3281" s="10"/>
      <c r="H3281" s="10"/>
      <c r="I3281" s="39"/>
      <c r="J3281" s="103"/>
      <c r="K3281" s="39"/>
      <c r="L3281" s="78"/>
      <c r="M3281" s="19"/>
      <c r="N3281" s="10"/>
    </row>
    <row r="3282" spans="7:14" x14ac:dyDescent="0.75">
      <c r="G3282" s="10"/>
      <c r="H3282" s="10"/>
      <c r="I3282" s="39"/>
      <c r="J3282" s="103"/>
      <c r="K3282" s="39"/>
      <c r="L3282" s="78"/>
      <c r="M3282" s="19"/>
      <c r="N3282" s="10"/>
    </row>
    <row r="3283" spans="7:14" x14ac:dyDescent="0.75">
      <c r="G3283" s="10"/>
      <c r="H3283" s="10"/>
      <c r="I3283" s="39"/>
      <c r="J3283" s="103"/>
      <c r="K3283" s="39"/>
      <c r="L3283" s="78"/>
      <c r="M3283" s="19"/>
      <c r="N3283" s="10"/>
    </row>
    <row r="3284" spans="7:14" x14ac:dyDescent="0.75">
      <c r="G3284" s="10"/>
      <c r="H3284" s="10"/>
      <c r="I3284" s="39"/>
      <c r="J3284" s="103"/>
      <c r="K3284" s="39"/>
      <c r="L3284" s="78"/>
      <c r="M3284" s="19"/>
      <c r="N3284" s="10"/>
    </row>
    <row r="3285" spans="7:14" x14ac:dyDescent="0.75">
      <c r="G3285" s="10"/>
      <c r="H3285" s="10"/>
      <c r="I3285" s="39"/>
      <c r="J3285" s="103"/>
      <c r="K3285" s="39"/>
      <c r="L3285" s="78"/>
      <c r="M3285" s="19"/>
      <c r="N3285" s="10"/>
    </row>
    <row r="3286" spans="7:14" x14ac:dyDescent="0.75">
      <c r="G3286" s="10"/>
      <c r="H3286" s="10"/>
      <c r="I3286" s="39"/>
      <c r="J3286" s="103"/>
      <c r="K3286" s="39"/>
      <c r="L3286" s="78"/>
      <c r="M3286" s="19"/>
      <c r="N3286" s="10"/>
    </row>
    <row r="3287" spans="7:14" x14ac:dyDescent="0.75">
      <c r="G3287" s="10"/>
      <c r="H3287" s="10"/>
      <c r="I3287" s="39"/>
      <c r="J3287" s="103"/>
      <c r="K3287" s="39"/>
      <c r="L3287" s="78"/>
      <c r="M3287" s="19"/>
      <c r="N3287" s="10"/>
    </row>
    <row r="3288" spans="7:14" x14ac:dyDescent="0.75">
      <c r="G3288" s="10"/>
      <c r="H3288" s="10"/>
      <c r="I3288" s="39"/>
      <c r="J3288" s="103"/>
      <c r="K3288" s="39"/>
      <c r="L3288" s="78"/>
      <c r="M3288" s="19"/>
      <c r="N3288" s="10"/>
    </row>
    <row r="3289" spans="7:14" x14ac:dyDescent="0.75">
      <c r="G3289" s="10"/>
      <c r="H3289" s="10"/>
      <c r="I3289" s="39"/>
      <c r="J3289" s="103"/>
      <c r="K3289" s="39"/>
      <c r="L3289" s="78"/>
      <c r="M3289" s="19"/>
      <c r="N3289" s="10"/>
    </row>
    <row r="3290" spans="7:14" x14ac:dyDescent="0.75">
      <c r="G3290" s="10"/>
      <c r="H3290" s="10"/>
      <c r="I3290" s="39"/>
      <c r="J3290" s="103"/>
      <c r="K3290" s="39"/>
      <c r="L3290" s="78"/>
      <c r="M3290" s="19"/>
      <c r="N3290" s="10"/>
    </row>
    <row r="3291" spans="7:14" x14ac:dyDescent="0.75">
      <c r="G3291" s="10"/>
      <c r="H3291" s="10"/>
      <c r="I3291" s="39"/>
      <c r="J3291" s="103"/>
      <c r="K3291" s="39"/>
      <c r="L3291" s="78"/>
      <c r="M3291" s="19"/>
      <c r="N3291" s="10"/>
    </row>
    <row r="3292" spans="7:14" x14ac:dyDescent="0.75">
      <c r="G3292" s="10"/>
      <c r="H3292" s="10"/>
      <c r="I3292" s="39"/>
      <c r="J3292" s="103"/>
      <c r="K3292" s="39"/>
      <c r="L3292" s="78"/>
      <c r="M3292" s="19"/>
      <c r="N3292" s="10"/>
    </row>
    <row r="3293" spans="7:14" x14ac:dyDescent="0.75">
      <c r="G3293" s="10"/>
      <c r="H3293" s="10"/>
      <c r="I3293" s="39"/>
      <c r="J3293" s="103"/>
      <c r="K3293" s="39"/>
      <c r="L3293" s="78"/>
      <c r="M3293" s="19"/>
      <c r="N3293" s="10"/>
    </row>
    <row r="3294" spans="7:14" x14ac:dyDescent="0.75">
      <c r="G3294" s="10"/>
      <c r="H3294" s="10"/>
      <c r="I3294" s="39"/>
      <c r="J3294" s="103"/>
      <c r="K3294" s="39"/>
      <c r="L3294" s="78"/>
      <c r="M3294" s="19"/>
      <c r="N3294" s="10"/>
    </row>
    <row r="3295" spans="7:14" x14ac:dyDescent="0.75">
      <c r="G3295" s="10"/>
      <c r="H3295" s="10"/>
      <c r="I3295" s="39"/>
      <c r="J3295" s="103"/>
      <c r="K3295" s="39"/>
      <c r="L3295" s="78"/>
      <c r="M3295" s="19"/>
      <c r="N3295" s="10"/>
    </row>
    <row r="3296" spans="7:14" x14ac:dyDescent="0.75">
      <c r="G3296" s="10"/>
      <c r="H3296" s="10"/>
      <c r="I3296" s="39"/>
      <c r="J3296" s="103"/>
      <c r="K3296" s="39"/>
      <c r="L3296" s="78"/>
      <c r="M3296" s="19"/>
      <c r="N3296" s="10"/>
    </row>
    <row r="3297" spans="7:14" x14ac:dyDescent="0.75">
      <c r="G3297" s="10"/>
      <c r="H3297" s="10"/>
      <c r="I3297" s="39"/>
      <c r="J3297" s="103"/>
      <c r="K3297" s="39"/>
      <c r="L3297" s="78"/>
      <c r="M3297" s="19"/>
      <c r="N3297" s="10"/>
    </row>
    <row r="3298" spans="7:14" x14ac:dyDescent="0.75">
      <c r="G3298" s="10"/>
      <c r="H3298" s="10"/>
      <c r="I3298" s="39"/>
      <c r="J3298" s="103"/>
      <c r="K3298" s="39"/>
      <c r="L3298" s="78"/>
      <c r="M3298" s="19"/>
      <c r="N3298" s="10"/>
    </row>
    <row r="3299" spans="7:14" x14ac:dyDescent="0.75">
      <c r="G3299" s="10"/>
      <c r="H3299" s="10"/>
      <c r="I3299" s="39"/>
      <c r="J3299" s="103"/>
      <c r="K3299" s="39"/>
      <c r="L3299" s="78"/>
      <c r="M3299" s="19"/>
      <c r="N3299" s="10"/>
    </row>
    <row r="3300" spans="7:14" x14ac:dyDescent="0.75">
      <c r="G3300" s="10"/>
      <c r="H3300" s="10"/>
      <c r="I3300" s="39"/>
      <c r="J3300" s="103"/>
      <c r="K3300" s="39"/>
      <c r="L3300" s="78"/>
      <c r="M3300" s="19"/>
      <c r="N3300" s="10"/>
    </row>
    <row r="3301" spans="7:14" x14ac:dyDescent="0.75">
      <c r="G3301" s="10"/>
      <c r="H3301" s="10"/>
      <c r="I3301" s="39"/>
      <c r="J3301" s="103"/>
      <c r="K3301" s="39"/>
      <c r="L3301" s="78"/>
      <c r="M3301" s="19"/>
      <c r="N3301" s="10"/>
    </row>
    <row r="3302" spans="7:14" x14ac:dyDescent="0.75">
      <c r="G3302" s="10"/>
      <c r="H3302" s="10"/>
      <c r="I3302" s="39"/>
      <c r="J3302" s="103"/>
      <c r="K3302" s="39"/>
      <c r="L3302" s="78"/>
      <c r="M3302" s="19"/>
      <c r="N3302" s="10"/>
    </row>
    <row r="3303" spans="7:14" x14ac:dyDescent="0.75">
      <c r="G3303" s="10"/>
      <c r="H3303" s="10"/>
      <c r="I3303" s="39"/>
      <c r="J3303" s="103"/>
      <c r="K3303" s="39"/>
      <c r="L3303" s="78"/>
      <c r="M3303" s="19"/>
      <c r="N3303" s="10"/>
    </row>
    <row r="3304" spans="7:14" x14ac:dyDescent="0.75">
      <c r="G3304" s="10"/>
      <c r="H3304" s="10"/>
      <c r="I3304" s="39"/>
      <c r="J3304" s="103"/>
      <c r="K3304" s="39"/>
      <c r="L3304" s="78"/>
      <c r="M3304" s="19"/>
      <c r="N3304" s="10"/>
    </row>
    <row r="3305" spans="7:14" x14ac:dyDescent="0.75">
      <c r="G3305" s="10"/>
      <c r="H3305" s="10"/>
      <c r="I3305" s="39"/>
      <c r="J3305" s="103"/>
      <c r="K3305" s="39"/>
      <c r="L3305" s="78"/>
      <c r="M3305" s="19"/>
      <c r="N3305" s="10"/>
    </row>
    <row r="3306" spans="7:14" x14ac:dyDescent="0.75">
      <c r="G3306" s="10"/>
      <c r="H3306" s="10"/>
      <c r="I3306" s="39"/>
      <c r="J3306" s="103"/>
      <c r="K3306" s="39"/>
      <c r="L3306" s="78"/>
      <c r="M3306" s="19"/>
      <c r="N3306" s="10"/>
    </row>
    <row r="3307" spans="7:14" x14ac:dyDescent="0.75">
      <c r="G3307" s="10"/>
      <c r="H3307" s="10"/>
      <c r="I3307" s="39"/>
      <c r="J3307" s="103"/>
      <c r="K3307" s="39"/>
      <c r="L3307" s="78"/>
      <c r="M3307" s="19"/>
      <c r="N3307" s="10"/>
    </row>
    <row r="3308" spans="7:14" x14ac:dyDescent="0.75">
      <c r="G3308" s="10"/>
      <c r="H3308" s="10"/>
      <c r="I3308" s="39"/>
      <c r="J3308" s="103"/>
      <c r="K3308" s="39"/>
      <c r="L3308" s="78"/>
      <c r="M3308" s="19"/>
      <c r="N3308" s="10"/>
    </row>
    <row r="3309" spans="7:14" x14ac:dyDescent="0.75">
      <c r="G3309" s="10"/>
      <c r="H3309" s="10"/>
      <c r="I3309" s="39"/>
      <c r="J3309" s="103"/>
      <c r="K3309" s="39"/>
      <c r="L3309" s="78"/>
      <c r="M3309" s="19"/>
      <c r="N3309" s="10"/>
    </row>
    <row r="3310" spans="7:14" x14ac:dyDescent="0.75">
      <c r="G3310" s="10"/>
      <c r="H3310" s="10"/>
      <c r="I3310" s="39"/>
      <c r="J3310" s="103"/>
      <c r="K3310" s="39"/>
      <c r="L3310" s="78"/>
      <c r="M3310" s="19"/>
      <c r="N3310" s="10"/>
    </row>
    <row r="3311" spans="7:14" x14ac:dyDescent="0.75">
      <c r="G3311" s="10"/>
      <c r="H3311" s="10"/>
      <c r="I3311" s="39"/>
      <c r="J3311" s="103"/>
      <c r="K3311" s="39"/>
      <c r="L3311" s="78"/>
      <c r="M3311" s="19"/>
      <c r="N3311" s="10"/>
    </row>
    <row r="3312" spans="7:14" x14ac:dyDescent="0.75">
      <c r="G3312" s="10"/>
      <c r="H3312" s="10"/>
      <c r="I3312" s="39"/>
      <c r="J3312" s="103"/>
      <c r="K3312" s="39"/>
      <c r="L3312" s="78"/>
      <c r="M3312" s="19"/>
      <c r="N3312" s="10"/>
    </row>
    <row r="3313" spans="7:14" x14ac:dyDescent="0.75">
      <c r="G3313" s="10"/>
      <c r="H3313" s="10"/>
      <c r="I3313" s="39"/>
      <c r="J3313" s="103"/>
      <c r="K3313" s="39"/>
      <c r="L3313" s="78"/>
      <c r="M3313" s="19"/>
      <c r="N3313" s="10"/>
    </row>
    <row r="3314" spans="7:14" x14ac:dyDescent="0.75">
      <c r="G3314" s="10"/>
      <c r="H3314" s="10"/>
      <c r="I3314" s="39"/>
      <c r="J3314" s="103"/>
      <c r="K3314" s="39"/>
      <c r="L3314" s="78"/>
      <c r="M3314" s="19"/>
      <c r="N3314" s="10"/>
    </row>
    <row r="3315" spans="7:14" x14ac:dyDescent="0.75">
      <c r="G3315" s="10"/>
      <c r="H3315" s="10"/>
      <c r="I3315" s="39"/>
      <c r="J3315" s="103"/>
      <c r="K3315" s="39"/>
      <c r="L3315" s="78"/>
      <c r="M3315" s="19"/>
      <c r="N3315" s="10"/>
    </row>
    <row r="3316" spans="7:14" x14ac:dyDescent="0.75">
      <c r="G3316" s="10"/>
      <c r="H3316" s="10"/>
      <c r="I3316" s="39"/>
      <c r="J3316" s="103"/>
      <c r="K3316" s="39"/>
      <c r="L3316" s="78"/>
      <c r="M3316" s="19"/>
      <c r="N3316" s="10"/>
    </row>
    <row r="3317" spans="7:14" x14ac:dyDescent="0.75">
      <c r="G3317" s="10"/>
      <c r="H3317" s="10"/>
      <c r="I3317" s="39"/>
      <c r="J3317" s="103"/>
      <c r="K3317" s="39"/>
      <c r="L3317" s="78"/>
      <c r="M3317" s="19"/>
      <c r="N3317" s="10"/>
    </row>
    <row r="3318" spans="7:14" x14ac:dyDescent="0.75">
      <c r="G3318" s="10"/>
      <c r="H3318" s="10"/>
      <c r="I3318" s="39"/>
      <c r="J3318" s="103"/>
      <c r="K3318" s="39"/>
      <c r="L3318" s="78"/>
      <c r="M3318" s="19"/>
      <c r="N3318" s="10"/>
    </row>
    <row r="3319" spans="7:14" x14ac:dyDescent="0.75">
      <c r="G3319" s="10"/>
      <c r="H3319" s="10"/>
      <c r="I3319" s="39"/>
      <c r="J3319" s="103"/>
      <c r="K3319" s="39"/>
      <c r="L3319" s="78"/>
      <c r="M3319" s="19"/>
      <c r="N3319" s="10"/>
    </row>
    <row r="3320" spans="7:14" x14ac:dyDescent="0.75">
      <c r="G3320" s="10"/>
      <c r="H3320" s="10"/>
      <c r="I3320" s="39"/>
      <c r="J3320" s="103"/>
      <c r="K3320" s="39"/>
      <c r="L3320" s="78"/>
      <c r="M3320" s="19"/>
      <c r="N3320" s="10"/>
    </row>
    <row r="3321" spans="7:14" x14ac:dyDescent="0.75">
      <c r="G3321" s="10"/>
      <c r="H3321" s="10"/>
      <c r="I3321" s="39"/>
      <c r="J3321" s="103"/>
      <c r="K3321" s="39"/>
      <c r="L3321" s="78"/>
      <c r="M3321" s="19"/>
      <c r="N3321" s="10"/>
    </row>
    <row r="3322" spans="7:14" x14ac:dyDescent="0.75">
      <c r="G3322" s="10"/>
      <c r="H3322" s="10"/>
      <c r="I3322" s="39"/>
      <c r="J3322" s="103"/>
      <c r="K3322" s="39"/>
      <c r="L3322" s="10"/>
      <c r="M3322" s="19"/>
      <c r="N3322" s="10"/>
    </row>
    <row r="3323" spans="7:14" x14ac:dyDescent="0.75">
      <c r="G3323" s="10"/>
      <c r="H3323" s="10"/>
      <c r="I3323" s="39"/>
      <c r="J3323" s="103"/>
      <c r="K3323" s="39"/>
      <c r="L3323" s="78"/>
      <c r="M3323" s="19"/>
      <c r="N3323" s="10"/>
    </row>
    <row r="3324" spans="7:14" x14ac:dyDescent="0.75">
      <c r="G3324" s="10"/>
      <c r="H3324" s="10"/>
      <c r="I3324" s="39"/>
      <c r="J3324" s="103"/>
      <c r="K3324" s="39"/>
      <c r="L3324" s="78"/>
      <c r="M3324" s="19"/>
      <c r="N3324" s="10"/>
    </row>
    <row r="3325" spans="7:14" x14ac:dyDescent="0.75">
      <c r="G3325" s="10"/>
      <c r="H3325" s="10"/>
      <c r="I3325" s="39"/>
      <c r="J3325" s="103"/>
      <c r="K3325" s="39"/>
      <c r="L3325" s="78"/>
      <c r="M3325" s="19"/>
      <c r="N3325" s="10"/>
    </row>
    <row r="3326" spans="7:14" x14ac:dyDescent="0.75">
      <c r="G3326" s="10"/>
      <c r="H3326" s="10"/>
      <c r="I3326" s="39"/>
      <c r="J3326" s="103"/>
      <c r="K3326" s="39"/>
      <c r="L3326" s="78"/>
      <c r="M3326" s="19"/>
      <c r="N3326" s="10"/>
    </row>
    <row r="3327" spans="7:14" x14ac:dyDescent="0.75">
      <c r="G3327" s="10"/>
      <c r="H3327" s="10"/>
      <c r="I3327" s="39"/>
      <c r="J3327" s="103"/>
      <c r="K3327" s="39"/>
      <c r="L3327" s="78"/>
      <c r="M3327" s="19"/>
      <c r="N3327" s="10"/>
    </row>
    <row r="3328" spans="7:14" x14ac:dyDescent="0.75">
      <c r="G3328" s="10"/>
      <c r="H3328" s="10"/>
      <c r="I3328" s="39"/>
      <c r="J3328" s="103"/>
      <c r="K3328" s="39"/>
      <c r="L3328" s="78"/>
      <c r="M3328" s="19"/>
      <c r="N3328" s="10"/>
    </row>
    <row r="3329" spans="7:14" x14ac:dyDescent="0.75">
      <c r="G3329" s="10"/>
      <c r="H3329" s="10"/>
      <c r="I3329" s="39"/>
      <c r="J3329" s="103"/>
      <c r="K3329" s="39"/>
      <c r="L3329" s="78"/>
      <c r="M3329" s="19"/>
      <c r="N3329" s="10"/>
    </row>
    <row r="3330" spans="7:14" x14ac:dyDescent="0.75">
      <c r="G3330" s="10"/>
      <c r="H3330" s="10"/>
      <c r="I3330" s="39"/>
      <c r="J3330" s="103"/>
      <c r="K3330" s="39"/>
      <c r="L3330" s="10"/>
      <c r="M3330" s="19"/>
      <c r="N3330" s="10"/>
    </row>
    <row r="3331" spans="7:14" x14ac:dyDescent="0.75">
      <c r="G3331" s="10"/>
      <c r="H3331" s="10"/>
      <c r="I3331" s="39"/>
      <c r="J3331" s="103"/>
      <c r="K3331" s="39"/>
      <c r="L3331" s="78"/>
      <c r="M3331" s="19"/>
      <c r="N3331" s="10"/>
    </row>
    <row r="3332" spans="7:14" x14ac:dyDescent="0.75">
      <c r="G3332" s="10"/>
      <c r="H3332" s="10"/>
      <c r="I3332" s="39"/>
      <c r="J3332" s="103"/>
      <c r="K3332" s="39"/>
      <c r="L3332" s="78"/>
      <c r="M3332" s="19"/>
      <c r="N3332" s="10"/>
    </row>
    <row r="3333" spans="7:14" x14ac:dyDescent="0.75">
      <c r="G3333" s="10"/>
      <c r="H3333" s="10"/>
      <c r="I3333" s="39"/>
      <c r="J3333" s="103"/>
      <c r="K3333" s="39"/>
      <c r="L3333" s="78"/>
      <c r="M3333" s="19"/>
      <c r="N3333" s="10"/>
    </row>
    <row r="3334" spans="7:14" x14ac:dyDescent="0.75">
      <c r="G3334" s="10"/>
      <c r="H3334" s="10"/>
      <c r="I3334" s="39"/>
      <c r="J3334" s="103"/>
      <c r="K3334" s="39"/>
      <c r="L3334" s="78"/>
      <c r="M3334" s="19"/>
      <c r="N3334" s="10"/>
    </row>
    <row r="3335" spans="7:14" x14ac:dyDescent="0.75">
      <c r="G3335" s="10"/>
      <c r="H3335" s="10"/>
      <c r="I3335" s="39"/>
      <c r="J3335" s="103"/>
      <c r="K3335" s="39"/>
      <c r="L3335" s="78"/>
      <c r="M3335" s="19"/>
      <c r="N3335" s="10"/>
    </row>
    <row r="3336" spans="7:14" x14ac:dyDescent="0.75">
      <c r="G3336" s="10"/>
      <c r="H3336" s="10"/>
      <c r="I3336" s="39"/>
      <c r="J3336" s="103"/>
      <c r="K3336" s="39"/>
      <c r="L3336" s="78"/>
      <c r="M3336" s="19"/>
      <c r="N3336" s="10"/>
    </row>
    <row r="3337" spans="7:14" x14ac:dyDescent="0.75">
      <c r="G3337" s="10"/>
      <c r="H3337" s="10"/>
      <c r="I3337" s="39"/>
      <c r="J3337" s="103"/>
      <c r="K3337" s="39"/>
      <c r="L3337" s="78"/>
      <c r="M3337" s="19"/>
      <c r="N3337" s="10"/>
    </row>
    <row r="3338" spans="7:14" x14ac:dyDescent="0.75">
      <c r="G3338" s="10"/>
      <c r="H3338" s="10"/>
      <c r="I3338" s="39"/>
      <c r="J3338" s="103"/>
      <c r="K3338" s="39"/>
      <c r="L3338" s="78"/>
      <c r="M3338" s="19"/>
      <c r="N3338" s="10"/>
    </row>
    <row r="3339" spans="7:14" x14ac:dyDescent="0.75">
      <c r="G3339" s="10"/>
      <c r="H3339" s="10"/>
      <c r="I3339" s="39"/>
      <c r="J3339" s="103"/>
      <c r="K3339" s="39"/>
      <c r="L3339" s="78"/>
      <c r="M3339" s="19"/>
      <c r="N3339" s="10"/>
    </row>
    <row r="3340" spans="7:14" x14ac:dyDescent="0.75">
      <c r="G3340" s="10"/>
      <c r="H3340" s="10"/>
      <c r="I3340" s="39"/>
      <c r="J3340" s="103"/>
      <c r="K3340" s="39"/>
      <c r="L3340" s="78"/>
      <c r="M3340" s="19"/>
      <c r="N3340" s="10"/>
    </row>
    <row r="3341" spans="7:14" x14ac:dyDescent="0.75">
      <c r="G3341" s="10"/>
      <c r="H3341" s="10"/>
      <c r="I3341" s="39"/>
      <c r="J3341" s="103"/>
      <c r="K3341" s="39"/>
      <c r="L3341" s="78"/>
      <c r="M3341" s="19"/>
      <c r="N3341" s="10"/>
    </row>
    <row r="3342" spans="7:14" x14ac:dyDescent="0.75">
      <c r="G3342" s="10"/>
      <c r="H3342" s="10"/>
      <c r="I3342" s="39"/>
      <c r="J3342" s="103"/>
      <c r="K3342" s="39"/>
      <c r="L3342" s="78"/>
      <c r="M3342" s="19"/>
      <c r="N3342" s="10"/>
    </row>
    <row r="3343" spans="7:14" x14ac:dyDescent="0.75">
      <c r="G3343" s="10"/>
      <c r="H3343" s="10"/>
      <c r="I3343" s="39"/>
      <c r="J3343" s="103"/>
      <c r="K3343" s="39"/>
      <c r="L3343" s="78"/>
      <c r="M3343" s="19"/>
      <c r="N3343" s="10"/>
    </row>
    <row r="3344" spans="7:14" x14ac:dyDescent="0.75">
      <c r="G3344" s="10"/>
      <c r="H3344" s="10"/>
      <c r="I3344" s="39"/>
      <c r="J3344" s="103"/>
      <c r="K3344" s="39"/>
      <c r="L3344" s="78"/>
      <c r="M3344" s="19"/>
      <c r="N3344" s="10"/>
    </row>
    <row r="3345" spans="7:14" x14ac:dyDescent="0.75">
      <c r="G3345" s="10"/>
      <c r="H3345" s="10"/>
      <c r="I3345" s="39"/>
      <c r="J3345" s="103"/>
      <c r="K3345" s="39"/>
      <c r="L3345" s="78"/>
      <c r="M3345" s="19"/>
      <c r="N3345" s="10"/>
    </row>
    <row r="3346" spans="7:14" x14ac:dyDescent="0.75">
      <c r="G3346" s="10"/>
      <c r="H3346" s="10"/>
      <c r="I3346" s="39"/>
      <c r="J3346" s="103"/>
      <c r="K3346" s="39"/>
      <c r="L3346" s="78"/>
      <c r="M3346" s="19"/>
      <c r="N3346" s="10"/>
    </row>
    <row r="3347" spans="7:14" x14ac:dyDescent="0.75">
      <c r="G3347" s="10"/>
      <c r="H3347" s="10"/>
      <c r="I3347" s="39"/>
      <c r="J3347" s="103"/>
      <c r="K3347" s="39"/>
      <c r="L3347" s="78"/>
      <c r="M3347" s="19"/>
      <c r="N3347" s="10"/>
    </row>
    <row r="3348" spans="7:14" x14ac:dyDescent="0.75">
      <c r="G3348" s="10"/>
      <c r="H3348" s="10"/>
      <c r="I3348" s="39"/>
      <c r="J3348" s="103"/>
      <c r="K3348" s="39"/>
      <c r="L3348" s="78"/>
      <c r="M3348" s="19"/>
      <c r="N3348" s="10"/>
    </row>
    <row r="3349" spans="7:14" x14ac:dyDescent="0.75">
      <c r="G3349" s="10"/>
      <c r="H3349" s="10"/>
      <c r="I3349" s="39"/>
      <c r="J3349" s="103"/>
      <c r="K3349" s="39"/>
      <c r="L3349" s="78"/>
      <c r="M3349" s="19"/>
      <c r="N3349" s="10"/>
    </row>
    <row r="3350" spans="7:14" x14ac:dyDescent="0.75">
      <c r="G3350" s="10"/>
      <c r="H3350" s="10"/>
      <c r="I3350" s="39"/>
      <c r="J3350" s="103"/>
      <c r="K3350" s="39"/>
      <c r="L3350" s="78"/>
      <c r="M3350" s="19"/>
      <c r="N3350" s="10"/>
    </row>
    <row r="3351" spans="7:14" x14ac:dyDescent="0.75">
      <c r="G3351" s="10"/>
      <c r="H3351" s="10"/>
      <c r="I3351" s="39"/>
      <c r="J3351" s="103"/>
      <c r="K3351" s="39"/>
      <c r="L3351" s="78"/>
      <c r="M3351" s="19"/>
      <c r="N3351" s="10"/>
    </row>
    <row r="3352" spans="7:14" x14ac:dyDescent="0.75">
      <c r="G3352" s="10"/>
      <c r="H3352" s="10"/>
      <c r="I3352" s="39"/>
      <c r="J3352" s="103"/>
      <c r="K3352" s="39"/>
      <c r="L3352" s="78"/>
      <c r="M3352" s="19"/>
      <c r="N3352" s="10"/>
    </row>
    <row r="3353" spans="7:14" x14ac:dyDescent="0.75">
      <c r="G3353" s="10"/>
      <c r="H3353" s="10"/>
      <c r="I3353" s="39"/>
      <c r="J3353" s="103"/>
      <c r="K3353" s="39"/>
      <c r="L3353" s="78"/>
      <c r="M3353" s="19"/>
      <c r="N3353" s="10"/>
    </row>
    <row r="3354" spans="7:14" x14ac:dyDescent="0.75">
      <c r="G3354" s="10"/>
      <c r="H3354" s="10"/>
      <c r="I3354" s="39"/>
      <c r="J3354" s="103"/>
      <c r="K3354" s="39"/>
      <c r="L3354" s="78"/>
      <c r="M3354" s="19"/>
      <c r="N3354" s="10"/>
    </row>
    <row r="3355" spans="7:14" x14ac:dyDescent="0.75">
      <c r="G3355" s="10"/>
      <c r="H3355" s="10"/>
      <c r="I3355" s="39"/>
      <c r="J3355" s="103"/>
      <c r="K3355" s="39"/>
      <c r="L3355" s="78"/>
      <c r="M3355" s="19"/>
      <c r="N3355" s="10"/>
    </row>
    <row r="3356" spans="7:14" x14ac:dyDescent="0.75">
      <c r="G3356" s="10"/>
      <c r="H3356" s="10"/>
      <c r="I3356" s="39"/>
      <c r="J3356" s="103"/>
      <c r="K3356" s="39"/>
      <c r="L3356" s="78"/>
      <c r="M3356" s="19"/>
      <c r="N3356" s="10"/>
    </row>
    <row r="3357" spans="7:14" x14ac:dyDescent="0.75">
      <c r="G3357" s="10"/>
      <c r="H3357" s="10"/>
      <c r="I3357" s="39"/>
      <c r="J3357" s="103"/>
      <c r="K3357" s="39"/>
      <c r="L3357" s="78"/>
      <c r="M3357" s="19"/>
      <c r="N3357" s="10"/>
    </row>
    <row r="3358" spans="7:14" x14ac:dyDescent="0.75">
      <c r="G3358" s="10"/>
      <c r="H3358" s="10"/>
      <c r="I3358" s="39"/>
      <c r="J3358" s="103"/>
      <c r="K3358" s="39"/>
      <c r="L3358" s="78"/>
      <c r="M3358" s="19"/>
      <c r="N3358" s="10"/>
    </row>
    <row r="3359" spans="7:14" x14ac:dyDescent="0.75">
      <c r="G3359" s="10"/>
      <c r="H3359" s="10"/>
      <c r="I3359" s="39"/>
      <c r="J3359" s="103"/>
      <c r="K3359" s="39"/>
      <c r="L3359" s="10"/>
      <c r="M3359" s="19"/>
      <c r="N3359" s="10"/>
    </row>
    <row r="3360" spans="7:14" x14ac:dyDescent="0.75">
      <c r="G3360" s="10"/>
      <c r="H3360" s="10"/>
      <c r="I3360" s="39"/>
      <c r="J3360" s="103"/>
      <c r="K3360" s="39"/>
      <c r="L3360" s="10"/>
      <c r="M3360" s="19"/>
      <c r="N3360" s="10"/>
    </row>
    <row r="3361" spans="7:14" x14ac:dyDescent="0.75">
      <c r="G3361" s="10"/>
      <c r="H3361" s="10"/>
      <c r="I3361" s="39"/>
      <c r="J3361" s="103"/>
      <c r="K3361" s="39"/>
      <c r="L3361" s="10"/>
      <c r="M3361" s="19"/>
      <c r="N3361" s="10"/>
    </row>
    <row r="3362" spans="7:14" x14ac:dyDescent="0.75">
      <c r="G3362" s="10"/>
      <c r="H3362" s="10"/>
      <c r="I3362" s="39"/>
      <c r="J3362" s="103"/>
      <c r="K3362" s="39"/>
      <c r="L3362" s="10"/>
      <c r="M3362" s="19"/>
      <c r="N3362" s="10"/>
    </row>
    <row r="3363" spans="7:14" x14ac:dyDescent="0.75">
      <c r="G3363" s="10"/>
      <c r="H3363" s="10"/>
      <c r="I3363" s="39"/>
      <c r="J3363" s="103"/>
      <c r="K3363" s="39"/>
      <c r="L3363" s="78"/>
      <c r="M3363" s="19"/>
      <c r="N3363" s="10"/>
    </row>
    <row r="3364" spans="7:14" x14ac:dyDescent="0.75">
      <c r="G3364" s="10"/>
      <c r="H3364" s="10"/>
      <c r="I3364" s="39"/>
      <c r="J3364" s="103"/>
      <c r="K3364" s="39"/>
      <c r="L3364" s="78"/>
      <c r="M3364" s="19"/>
      <c r="N3364" s="10"/>
    </row>
    <row r="3365" spans="7:14" x14ac:dyDescent="0.75">
      <c r="G3365" s="10"/>
      <c r="H3365" s="10"/>
      <c r="I3365" s="39"/>
      <c r="J3365" s="103"/>
      <c r="K3365" s="39"/>
      <c r="L3365" s="78"/>
      <c r="M3365" s="19"/>
      <c r="N3365" s="10"/>
    </row>
    <row r="3366" spans="7:14" x14ac:dyDescent="0.75">
      <c r="G3366" s="10"/>
      <c r="H3366" s="10"/>
      <c r="I3366" s="39"/>
      <c r="J3366" s="103"/>
      <c r="K3366" s="39"/>
      <c r="L3366" s="78"/>
      <c r="M3366" s="19"/>
      <c r="N3366" s="10"/>
    </row>
    <row r="3367" spans="7:14" x14ac:dyDescent="0.75">
      <c r="G3367" s="10"/>
      <c r="H3367" s="10"/>
      <c r="I3367" s="39"/>
      <c r="J3367" s="103"/>
      <c r="K3367" s="39"/>
      <c r="L3367" s="78"/>
      <c r="M3367" s="19"/>
      <c r="N3367" s="10"/>
    </row>
    <row r="3368" spans="7:14" x14ac:dyDescent="0.75">
      <c r="G3368" s="10"/>
      <c r="H3368" s="10"/>
      <c r="I3368" s="39"/>
      <c r="J3368" s="103"/>
      <c r="K3368" s="39"/>
      <c r="L3368" s="78"/>
      <c r="M3368" s="19"/>
      <c r="N3368" s="10"/>
    </row>
    <row r="3369" spans="7:14" x14ac:dyDescent="0.75">
      <c r="G3369" s="10"/>
      <c r="H3369" s="10"/>
      <c r="I3369" s="39"/>
      <c r="J3369" s="103"/>
      <c r="K3369" s="39"/>
      <c r="L3369" s="78"/>
      <c r="M3369" s="19"/>
      <c r="N3369" s="10"/>
    </row>
    <row r="3370" spans="7:14" x14ac:dyDescent="0.75">
      <c r="G3370" s="10"/>
      <c r="H3370" s="10"/>
      <c r="I3370" s="39"/>
      <c r="J3370" s="103"/>
      <c r="K3370" s="39"/>
      <c r="L3370" s="78"/>
      <c r="M3370" s="19"/>
      <c r="N3370" s="10"/>
    </row>
    <row r="3371" spans="7:14" x14ac:dyDescent="0.75">
      <c r="G3371" s="10"/>
      <c r="H3371" s="10"/>
      <c r="I3371" s="39"/>
      <c r="J3371" s="103"/>
      <c r="K3371" s="39"/>
      <c r="L3371" s="78"/>
      <c r="M3371" s="19"/>
      <c r="N3371" s="10"/>
    </row>
    <row r="3372" spans="7:14" x14ac:dyDescent="0.75">
      <c r="G3372" s="10"/>
      <c r="H3372" s="10"/>
      <c r="I3372" s="39"/>
      <c r="J3372" s="103"/>
      <c r="K3372" s="39"/>
      <c r="L3372" s="78"/>
      <c r="M3372" s="19"/>
      <c r="N3372" s="10"/>
    </row>
    <row r="3373" spans="7:14" x14ac:dyDescent="0.75">
      <c r="G3373" s="10"/>
      <c r="H3373" s="10"/>
      <c r="I3373" s="39"/>
      <c r="J3373" s="103"/>
      <c r="K3373" s="39"/>
      <c r="L3373" s="78"/>
      <c r="M3373" s="19"/>
      <c r="N3373" s="10"/>
    </row>
    <row r="3374" spans="7:14" x14ac:dyDescent="0.75">
      <c r="G3374" s="10"/>
      <c r="H3374" s="10"/>
      <c r="I3374" s="39"/>
      <c r="J3374" s="103"/>
      <c r="K3374" s="39"/>
      <c r="L3374" s="78"/>
      <c r="M3374" s="19"/>
      <c r="N3374" s="10"/>
    </row>
    <row r="3375" spans="7:14" x14ac:dyDescent="0.75">
      <c r="G3375" s="10"/>
      <c r="H3375" s="10"/>
      <c r="I3375" s="39"/>
      <c r="J3375" s="103"/>
      <c r="K3375" s="39"/>
      <c r="L3375" s="78"/>
      <c r="M3375" s="19"/>
      <c r="N3375" s="10"/>
    </row>
    <row r="3376" spans="7:14" x14ac:dyDescent="0.75">
      <c r="G3376" s="10"/>
      <c r="H3376" s="10"/>
      <c r="I3376" s="39"/>
      <c r="J3376" s="103"/>
      <c r="K3376" s="39"/>
      <c r="L3376" s="78"/>
      <c r="M3376" s="19"/>
      <c r="N3376" s="10"/>
    </row>
    <row r="3377" spans="7:14" x14ac:dyDescent="0.75">
      <c r="G3377" s="10"/>
      <c r="H3377" s="10"/>
      <c r="I3377" s="39"/>
      <c r="J3377" s="103"/>
      <c r="K3377" s="39"/>
      <c r="L3377" s="78"/>
      <c r="M3377" s="19"/>
      <c r="N3377" s="10"/>
    </row>
    <row r="3378" spans="7:14" x14ac:dyDescent="0.75">
      <c r="G3378" s="10"/>
      <c r="H3378" s="10"/>
      <c r="I3378" s="39"/>
      <c r="J3378" s="103"/>
      <c r="K3378" s="39"/>
      <c r="L3378" s="78"/>
      <c r="M3378" s="19"/>
      <c r="N3378" s="10"/>
    </row>
    <row r="3379" spans="7:14" x14ac:dyDescent="0.75">
      <c r="G3379" s="10"/>
      <c r="H3379" s="10"/>
      <c r="I3379" s="39"/>
      <c r="J3379" s="103"/>
      <c r="K3379" s="39"/>
      <c r="L3379" s="78"/>
      <c r="M3379" s="19"/>
      <c r="N3379" s="10"/>
    </row>
    <row r="3380" spans="7:14" x14ac:dyDescent="0.75">
      <c r="G3380" s="10"/>
      <c r="H3380" s="10"/>
      <c r="I3380" s="39"/>
      <c r="J3380" s="103"/>
      <c r="K3380" s="39"/>
      <c r="L3380" s="78"/>
      <c r="M3380" s="19"/>
      <c r="N3380" s="10"/>
    </row>
    <row r="3381" spans="7:14" x14ac:dyDescent="0.75">
      <c r="G3381" s="10"/>
      <c r="H3381" s="10"/>
      <c r="I3381" s="39"/>
      <c r="J3381" s="103"/>
      <c r="K3381" s="39"/>
      <c r="L3381" s="78"/>
      <c r="M3381" s="19"/>
      <c r="N3381" s="10"/>
    </row>
    <row r="3382" spans="7:14" x14ac:dyDescent="0.75">
      <c r="G3382" s="10"/>
      <c r="H3382" s="10"/>
      <c r="I3382" s="39"/>
      <c r="J3382" s="103"/>
      <c r="K3382" s="39"/>
      <c r="L3382" s="78"/>
      <c r="M3382" s="19"/>
      <c r="N3382" s="10"/>
    </row>
    <row r="3383" spans="7:14" x14ac:dyDescent="0.75">
      <c r="G3383" s="10"/>
      <c r="H3383" s="10"/>
      <c r="I3383" s="39"/>
      <c r="J3383" s="103"/>
      <c r="K3383" s="39"/>
      <c r="L3383" s="78"/>
      <c r="M3383" s="19"/>
      <c r="N3383" s="10"/>
    </row>
    <row r="3384" spans="7:14" x14ac:dyDescent="0.75">
      <c r="G3384" s="10"/>
      <c r="H3384" s="10"/>
      <c r="I3384" s="39"/>
      <c r="J3384" s="103"/>
      <c r="K3384" s="39"/>
      <c r="L3384" s="78"/>
      <c r="M3384" s="19"/>
      <c r="N3384" s="10"/>
    </row>
    <row r="3385" spans="7:14" x14ac:dyDescent="0.75">
      <c r="G3385" s="10"/>
      <c r="H3385" s="10"/>
      <c r="I3385" s="39"/>
      <c r="J3385" s="103"/>
      <c r="K3385" s="39"/>
      <c r="L3385" s="78"/>
      <c r="M3385" s="19"/>
      <c r="N3385" s="10"/>
    </row>
    <row r="3386" spans="7:14" x14ac:dyDescent="0.75">
      <c r="G3386" s="10"/>
      <c r="H3386" s="10"/>
      <c r="I3386" s="39"/>
      <c r="J3386" s="103"/>
      <c r="K3386" s="39"/>
      <c r="L3386" s="78"/>
      <c r="M3386" s="19"/>
      <c r="N3386" s="10"/>
    </row>
    <row r="3387" spans="7:14" x14ac:dyDescent="0.75">
      <c r="G3387" s="10"/>
      <c r="H3387" s="10"/>
      <c r="I3387" s="39"/>
      <c r="J3387" s="103"/>
      <c r="K3387" s="39"/>
      <c r="L3387" s="78"/>
      <c r="M3387" s="19"/>
      <c r="N3387" s="10"/>
    </row>
    <row r="3388" spans="7:14" x14ac:dyDescent="0.75">
      <c r="G3388" s="10"/>
      <c r="H3388" s="10"/>
      <c r="I3388" s="39"/>
      <c r="J3388" s="103"/>
      <c r="K3388" s="39"/>
      <c r="L3388" s="78"/>
      <c r="M3388" s="19"/>
      <c r="N3388" s="10"/>
    </row>
    <row r="3389" spans="7:14" x14ac:dyDescent="0.75">
      <c r="G3389" s="10"/>
      <c r="H3389" s="10"/>
      <c r="I3389" s="39"/>
      <c r="J3389" s="103"/>
      <c r="K3389" s="39"/>
      <c r="L3389" s="78"/>
      <c r="M3389" s="19"/>
      <c r="N3389" s="10"/>
    </row>
    <row r="3390" spans="7:14" x14ac:dyDescent="0.75">
      <c r="G3390" s="10"/>
      <c r="H3390" s="10"/>
      <c r="I3390" s="39"/>
      <c r="J3390" s="103"/>
      <c r="K3390" s="39"/>
      <c r="L3390" s="78"/>
      <c r="M3390" s="19"/>
      <c r="N3390" s="10"/>
    </row>
    <row r="3391" spans="7:14" x14ac:dyDescent="0.75">
      <c r="G3391" s="10"/>
      <c r="H3391" s="10"/>
      <c r="I3391" s="39"/>
      <c r="J3391" s="103"/>
      <c r="K3391" s="39"/>
      <c r="L3391" s="78"/>
      <c r="M3391" s="19"/>
      <c r="N3391" s="10"/>
    </row>
    <row r="3392" spans="7:14" x14ac:dyDescent="0.75">
      <c r="G3392" s="10"/>
      <c r="H3392" s="10"/>
      <c r="I3392" s="39"/>
      <c r="J3392" s="103"/>
      <c r="K3392" s="39"/>
      <c r="L3392" s="78"/>
      <c r="M3392" s="19"/>
      <c r="N3392" s="10"/>
    </row>
    <row r="3393" spans="7:14" x14ac:dyDescent="0.75">
      <c r="G3393" s="10"/>
      <c r="H3393" s="10"/>
      <c r="I3393" s="39"/>
      <c r="J3393" s="103"/>
      <c r="K3393" s="39"/>
      <c r="L3393" s="78"/>
      <c r="M3393" s="19"/>
      <c r="N3393" s="10"/>
    </row>
    <row r="3394" spans="7:14" x14ac:dyDescent="0.75">
      <c r="G3394" s="10"/>
      <c r="H3394" s="10"/>
      <c r="I3394" s="39"/>
      <c r="J3394" s="103"/>
      <c r="K3394" s="39"/>
      <c r="L3394" s="78"/>
      <c r="M3394" s="19"/>
      <c r="N3394" s="10"/>
    </row>
    <row r="3395" spans="7:14" x14ac:dyDescent="0.75">
      <c r="G3395" s="10"/>
      <c r="H3395" s="10"/>
      <c r="I3395" s="39"/>
      <c r="J3395" s="103"/>
      <c r="K3395" s="39"/>
      <c r="L3395" s="78"/>
      <c r="M3395" s="19"/>
      <c r="N3395" s="10"/>
    </row>
    <row r="3396" spans="7:14" x14ac:dyDescent="0.75">
      <c r="G3396" s="10"/>
      <c r="H3396" s="10"/>
      <c r="I3396" s="39"/>
      <c r="J3396" s="103"/>
      <c r="K3396" s="39"/>
      <c r="L3396" s="78"/>
      <c r="M3396" s="19"/>
      <c r="N3396" s="10"/>
    </row>
    <row r="3397" spans="7:14" x14ac:dyDescent="0.75">
      <c r="G3397" s="10"/>
      <c r="H3397" s="10"/>
      <c r="I3397" s="39"/>
      <c r="J3397" s="103"/>
      <c r="K3397" s="39"/>
      <c r="L3397" s="78"/>
      <c r="M3397" s="19"/>
      <c r="N3397" s="10"/>
    </row>
    <row r="3398" spans="7:14" x14ac:dyDescent="0.75">
      <c r="G3398" s="10"/>
      <c r="H3398" s="10"/>
      <c r="I3398" s="39"/>
      <c r="J3398" s="103"/>
      <c r="K3398" s="39"/>
      <c r="L3398" s="78"/>
      <c r="M3398" s="19"/>
      <c r="N3398" s="10"/>
    </row>
    <row r="3399" spans="7:14" x14ac:dyDescent="0.75">
      <c r="G3399" s="10"/>
      <c r="H3399" s="10"/>
      <c r="I3399" s="39"/>
      <c r="J3399" s="103"/>
      <c r="K3399" s="39"/>
      <c r="L3399" s="78"/>
      <c r="M3399" s="19"/>
      <c r="N3399" s="10"/>
    </row>
    <row r="3400" spans="7:14" x14ac:dyDescent="0.75">
      <c r="G3400" s="10"/>
      <c r="H3400" s="10"/>
      <c r="I3400" s="39"/>
      <c r="J3400" s="103"/>
      <c r="K3400" s="39"/>
      <c r="L3400" s="10"/>
      <c r="M3400" s="19"/>
      <c r="N3400" s="10"/>
    </row>
    <row r="3401" spans="7:14" x14ac:dyDescent="0.75">
      <c r="G3401" s="10"/>
      <c r="H3401" s="10"/>
      <c r="I3401" s="39"/>
      <c r="J3401" s="103"/>
      <c r="K3401" s="39"/>
      <c r="L3401" s="78"/>
      <c r="M3401" s="19"/>
      <c r="N3401" s="10"/>
    </row>
    <row r="3402" spans="7:14" x14ac:dyDescent="0.75">
      <c r="G3402" s="10"/>
      <c r="H3402" s="10"/>
      <c r="I3402" s="39"/>
      <c r="J3402" s="103"/>
      <c r="K3402" s="39"/>
      <c r="L3402" s="78"/>
      <c r="M3402" s="19"/>
      <c r="N3402" s="10"/>
    </row>
    <row r="3403" spans="7:14" x14ac:dyDescent="0.75">
      <c r="G3403" s="10"/>
      <c r="H3403" s="10"/>
      <c r="I3403" s="39"/>
      <c r="J3403" s="103"/>
      <c r="K3403" s="39"/>
      <c r="L3403" s="78"/>
      <c r="M3403" s="19"/>
      <c r="N3403" s="10"/>
    </row>
    <row r="3404" spans="7:14" x14ac:dyDescent="0.75">
      <c r="G3404" s="10"/>
      <c r="H3404" s="10"/>
      <c r="I3404" s="39"/>
      <c r="J3404" s="103"/>
      <c r="K3404" s="39"/>
      <c r="L3404" s="78"/>
      <c r="M3404" s="19"/>
      <c r="N3404" s="10"/>
    </row>
    <row r="3405" spans="7:14" x14ac:dyDescent="0.75">
      <c r="G3405" s="10"/>
      <c r="H3405" s="10"/>
      <c r="I3405" s="39"/>
      <c r="J3405" s="103"/>
      <c r="K3405" s="39"/>
      <c r="L3405" s="78"/>
      <c r="M3405" s="19"/>
      <c r="N3405" s="10"/>
    </row>
    <row r="3406" spans="7:14" x14ac:dyDescent="0.75">
      <c r="G3406" s="10"/>
      <c r="H3406" s="10"/>
      <c r="I3406" s="39"/>
      <c r="J3406" s="103"/>
      <c r="K3406" s="39"/>
      <c r="L3406" s="78"/>
      <c r="M3406" s="19"/>
      <c r="N3406" s="10"/>
    </row>
    <row r="3407" spans="7:14" x14ac:dyDescent="0.75">
      <c r="G3407" s="10"/>
      <c r="H3407" s="10"/>
      <c r="I3407" s="39"/>
      <c r="J3407" s="103"/>
      <c r="K3407" s="39"/>
      <c r="L3407" s="78"/>
      <c r="M3407" s="19"/>
      <c r="N3407" s="10"/>
    </row>
    <row r="3408" spans="7:14" x14ac:dyDescent="0.75">
      <c r="G3408" s="10"/>
      <c r="H3408" s="10"/>
      <c r="I3408" s="39"/>
      <c r="J3408" s="103"/>
      <c r="K3408" s="39"/>
      <c r="L3408" s="78"/>
      <c r="M3408" s="19"/>
      <c r="N3408" s="10"/>
    </row>
    <row r="3409" spans="7:14" x14ac:dyDescent="0.75">
      <c r="G3409" s="10"/>
      <c r="H3409" s="10"/>
      <c r="I3409" s="39"/>
      <c r="J3409" s="103"/>
      <c r="K3409" s="39"/>
      <c r="L3409" s="78"/>
      <c r="M3409" s="19"/>
      <c r="N3409" s="10"/>
    </row>
    <row r="3410" spans="7:14" x14ac:dyDescent="0.75">
      <c r="G3410" s="10"/>
      <c r="H3410" s="10"/>
      <c r="I3410" s="39"/>
      <c r="J3410" s="103"/>
      <c r="K3410" s="39"/>
      <c r="L3410" s="78"/>
      <c r="M3410" s="19"/>
      <c r="N3410" s="10"/>
    </row>
    <row r="3411" spans="7:14" x14ac:dyDescent="0.75">
      <c r="G3411" s="10"/>
      <c r="H3411" s="10"/>
      <c r="I3411" s="39"/>
      <c r="J3411" s="103"/>
      <c r="K3411" s="39"/>
      <c r="L3411" s="78"/>
      <c r="M3411" s="19"/>
      <c r="N3411" s="10"/>
    </row>
    <row r="3412" spans="7:14" x14ac:dyDescent="0.75">
      <c r="G3412" s="10"/>
      <c r="H3412" s="10"/>
      <c r="I3412" s="39"/>
      <c r="J3412" s="103"/>
      <c r="K3412" s="39"/>
      <c r="L3412" s="78"/>
      <c r="M3412" s="19"/>
      <c r="N3412" s="10"/>
    </row>
    <row r="3413" spans="7:14" x14ac:dyDescent="0.75">
      <c r="G3413" s="10"/>
      <c r="H3413" s="10"/>
      <c r="I3413" s="39"/>
      <c r="J3413" s="103"/>
      <c r="K3413" s="39"/>
      <c r="L3413" s="78"/>
      <c r="M3413" s="19"/>
      <c r="N3413" s="10"/>
    </row>
    <row r="3414" spans="7:14" x14ac:dyDescent="0.75">
      <c r="G3414" s="10"/>
      <c r="H3414" s="10"/>
      <c r="I3414" s="39"/>
      <c r="J3414" s="103"/>
      <c r="K3414" s="39"/>
      <c r="L3414" s="78"/>
      <c r="M3414" s="19"/>
      <c r="N3414" s="10"/>
    </row>
    <row r="3415" spans="7:14" x14ac:dyDescent="0.75">
      <c r="G3415" s="10"/>
      <c r="H3415" s="10"/>
      <c r="I3415" s="39"/>
      <c r="J3415" s="103"/>
      <c r="K3415" s="39"/>
      <c r="L3415" s="78"/>
      <c r="M3415" s="19"/>
      <c r="N3415" s="10"/>
    </row>
    <row r="3416" spans="7:14" x14ac:dyDescent="0.75">
      <c r="G3416" s="10"/>
      <c r="H3416" s="10"/>
      <c r="I3416" s="39"/>
      <c r="J3416" s="103"/>
      <c r="K3416" s="39"/>
      <c r="L3416" s="78"/>
      <c r="M3416" s="19"/>
      <c r="N3416" s="10"/>
    </row>
    <row r="3417" spans="7:14" x14ac:dyDescent="0.75">
      <c r="G3417" s="10"/>
      <c r="H3417" s="10"/>
      <c r="I3417" s="39"/>
      <c r="J3417" s="103"/>
      <c r="K3417" s="39"/>
      <c r="L3417" s="78"/>
      <c r="M3417" s="19"/>
      <c r="N3417" s="10"/>
    </row>
    <row r="3418" spans="7:14" x14ac:dyDescent="0.75">
      <c r="G3418" s="10"/>
      <c r="H3418" s="10"/>
      <c r="I3418" s="39"/>
      <c r="J3418" s="103"/>
      <c r="K3418" s="39"/>
      <c r="L3418" s="78"/>
      <c r="M3418" s="19"/>
      <c r="N3418" s="10"/>
    </row>
    <row r="3419" spans="7:14" x14ac:dyDescent="0.75">
      <c r="G3419" s="10"/>
      <c r="H3419" s="10"/>
      <c r="I3419" s="39"/>
      <c r="J3419" s="103"/>
      <c r="K3419" s="39"/>
      <c r="L3419" s="78"/>
      <c r="M3419" s="19"/>
      <c r="N3419" s="10"/>
    </row>
    <row r="3420" spans="7:14" x14ac:dyDescent="0.75">
      <c r="G3420" s="10"/>
      <c r="H3420" s="10"/>
      <c r="I3420" s="39"/>
      <c r="J3420" s="103"/>
      <c r="K3420" s="39"/>
      <c r="L3420" s="78"/>
      <c r="M3420" s="19"/>
      <c r="N3420" s="10"/>
    </row>
    <row r="3421" spans="7:14" x14ac:dyDescent="0.75">
      <c r="G3421" s="10"/>
      <c r="H3421" s="10"/>
      <c r="I3421" s="39"/>
      <c r="J3421" s="103"/>
      <c r="K3421" s="39"/>
      <c r="L3421" s="78"/>
      <c r="M3421" s="19"/>
      <c r="N3421" s="10"/>
    </row>
    <row r="3422" spans="7:14" x14ac:dyDescent="0.75">
      <c r="G3422" s="10"/>
      <c r="H3422" s="10"/>
      <c r="I3422" s="39"/>
      <c r="J3422" s="103"/>
      <c r="K3422" s="39"/>
      <c r="L3422" s="78"/>
      <c r="M3422" s="19"/>
      <c r="N3422" s="10"/>
    </row>
    <row r="3423" spans="7:14" x14ac:dyDescent="0.75">
      <c r="G3423" s="10"/>
      <c r="H3423" s="10"/>
      <c r="I3423" s="39"/>
      <c r="J3423" s="103"/>
      <c r="K3423" s="39"/>
      <c r="L3423" s="78"/>
      <c r="M3423" s="19"/>
      <c r="N3423" s="10"/>
    </row>
    <row r="3424" spans="7:14" x14ac:dyDescent="0.75">
      <c r="G3424" s="10"/>
      <c r="H3424" s="10"/>
      <c r="I3424" s="39"/>
      <c r="J3424" s="103"/>
      <c r="K3424" s="39"/>
      <c r="L3424" s="78"/>
      <c r="M3424" s="19"/>
      <c r="N3424" s="10"/>
    </row>
    <row r="3425" spans="7:14" x14ac:dyDescent="0.75">
      <c r="G3425" s="10"/>
      <c r="H3425" s="10"/>
      <c r="I3425" s="39"/>
      <c r="J3425" s="103"/>
      <c r="K3425" s="39"/>
      <c r="L3425" s="78"/>
      <c r="M3425" s="19"/>
      <c r="N3425" s="10"/>
    </row>
    <row r="3426" spans="7:14" x14ac:dyDescent="0.75">
      <c r="G3426" s="10"/>
      <c r="H3426" s="10"/>
      <c r="I3426" s="39"/>
      <c r="J3426" s="103"/>
      <c r="K3426" s="39"/>
      <c r="L3426" s="78"/>
      <c r="M3426" s="19"/>
      <c r="N3426" s="10"/>
    </row>
    <row r="3427" spans="7:14" x14ac:dyDescent="0.75">
      <c r="G3427" s="10"/>
      <c r="H3427" s="10"/>
      <c r="I3427" s="39"/>
      <c r="J3427" s="103"/>
      <c r="K3427" s="39"/>
      <c r="L3427" s="78"/>
      <c r="M3427" s="19"/>
      <c r="N3427" s="10"/>
    </row>
    <row r="3428" spans="7:14" x14ac:dyDescent="0.75">
      <c r="G3428" s="10"/>
      <c r="H3428" s="10"/>
      <c r="I3428" s="39"/>
      <c r="J3428" s="103"/>
      <c r="K3428" s="39"/>
      <c r="L3428" s="78"/>
      <c r="M3428" s="19"/>
      <c r="N3428" s="10"/>
    </row>
    <row r="3429" spans="7:14" x14ac:dyDescent="0.75">
      <c r="G3429" s="10"/>
      <c r="H3429" s="10"/>
      <c r="I3429" s="39"/>
      <c r="J3429" s="103"/>
      <c r="K3429" s="39"/>
      <c r="L3429" s="78"/>
      <c r="M3429" s="19"/>
      <c r="N3429" s="10"/>
    </row>
    <row r="3430" spans="7:14" x14ac:dyDescent="0.75">
      <c r="G3430" s="10"/>
      <c r="H3430" s="10"/>
      <c r="I3430" s="39"/>
      <c r="J3430" s="103"/>
      <c r="K3430" s="39"/>
      <c r="L3430" s="78"/>
      <c r="M3430" s="19"/>
      <c r="N3430" s="10"/>
    </row>
    <row r="3431" spans="7:14" x14ac:dyDescent="0.75">
      <c r="G3431" s="10"/>
      <c r="H3431" s="10"/>
      <c r="I3431" s="39"/>
      <c r="J3431" s="103"/>
      <c r="K3431" s="39"/>
      <c r="L3431" s="78"/>
      <c r="M3431" s="19"/>
      <c r="N3431" s="10"/>
    </row>
    <row r="3432" spans="7:14" x14ac:dyDescent="0.75">
      <c r="G3432" s="10"/>
      <c r="H3432" s="10"/>
      <c r="I3432" s="39"/>
      <c r="J3432" s="103"/>
      <c r="K3432" s="39"/>
      <c r="L3432" s="78"/>
      <c r="M3432" s="19"/>
      <c r="N3432" s="10"/>
    </row>
    <row r="3433" spans="7:14" x14ac:dyDescent="0.75">
      <c r="G3433" s="10"/>
      <c r="H3433" s="10"/>
      <c r="I3433" s="39"/>
      <c r="J3433" s="103"/>
      <c r="K3433" s="39"/>
      <c r="L3433" s="78"/>
      <c r="M3433" s="19"/>
      <c r="N3433" s="10"/>
    </row>
    <row r="3434" spans="7:14" x14ac:dyDescent="0.75">
      <c r="G3434" s="10"/>
      <c r="H3434" s="10"/>
      <c r="I3434" s="39"/>
      <c r="J3434" s="103"/>
      <c r="K3434" s="39"/>
      <c r="L3434" s="78"/>
      <c r="M3434" s="19"/>
      <c r="N3434" s="10"/>
    </row>
    <row r="3435" spans="7:14" x14ac:dyDescent="0.75">
      <c r="G3435" s="10"/>
      <c r="H3435" s="10"/>
      <c r="I3435" s="39"/>
      <c r="J3435" s="103"/>
      <c r="K3435" s="39"/>
      <c r="L3435" s="78"/>
      <c r="M3435" s="19"/>
      <c r="N3435" s="10"/>
    </row>
    <row r="3436" spans="7:14" x14ac:dyDescent="0.75">
      <c r="G3436" s="10"/>
      <c r="H3436" s="10"/>
      <c r="I3436" s="39"/>
      <c r="J3436" s="103"/>
      <c r="K3436" s="39"/>
      <c r="L3436" s="78"/>
      <c r="M3436" s="19"/>
      <c r="N3436" s="10"/>
    </row>
    <row r="3437" spans="7:14" x14ac:dyDescent="0.75">
      <c r="G3437" s="10"/>
      <c r="H3437" s="10"/>
      <c r="I3437" s="39"/>
      <c r="J3437" s="103"/>
      <c r="K3437" s="39"/>
      <c r="L3437" s="78"/>
      <c r="M3437" s="19"/>
      <c r="N3437" s="10"/>
    </row>
    <row r="3438" spans="7:14" x14ac:dyDescent="0.75">
      <c r="G3438" s="10"/>
      <c r="H3438" s="10"/>
      <c r="I3438" s="39"/>
      <c r="J3438" s="103"/>
      <c r="K3438" s="39"/>
      <c r="L3438" s="78"/>
      <c r="M3438" s="19"/>
      <c r="N3438" s="10"/>
    </row>
    <row r="3439" spans="7:14" x14ac:dyDescent="0.75">
      <c r="G3439" s="10"/>
      <c r="H3439" s="10"/>
      <c r="I3439" s="39"/>
      <c r="J3439" s="103"/>
      <c r="K3439" s="39"/>
      <c r="L3439" s="78"/>
      <c r="M3439" s="19"/>
      <c r="N3439" s="10"/>
    </row>
    <row r="3440" spans="7:14" x14ac:dyDescent="0.75">
      <c r="G3440" s="10"/>
      <c r="H3440" s="10"/>
      <c r="I3440" s="39"/>
      <c r="J3440" s="103"/>
      <c r="K3440" s="39"/>
      <c r="L3440" s="78"/>
      <c r="M3440" s="19"/>
      <c r="N3440" s="10"/>
    </row>
    <row r="3441" spans="7:14" x14ac:dyDescent="0.75">
      <c r="G3441" s="10"/>
      <c r="H3441" s="10"/>
      <c r="I3441" s="39"/>
      <c r="J3441" s="103"/>
      <c r="K3441" s="39"/>
      <c r="L3441" s="78"/>
      <c r="M3441" s="19"/>
      <c r="N3441" s="10"/>
    </row>
    <row r="3442" spans="7:14" x14ac:dyDescent="0.75">
      <c r="G3442" s="10"/>
      <c r="H3442" s="10"/>
      <c r="I3442" s="39"/>
      <c r="J3442" s="103"/>
      <c r="K3442" s="39"/>
      <c r="L3442" s="78"/>
      <c r="M3442" s="19"/>
      <c r="N3442" s="10"/>
    </row>
    <row r="3443" spans="7:14" x14ac:dyDescent="0.75">
      <c r="G3443" s="10"/>
      <c r="H3443" s="10"/>
      <c r="I3443" s="39"/>
      <c r="J3443" s="103"/>
      <c r="K3443" s="39"/>
      <c r="L3443" s="78"/>
      <c r="M3443" s="19"/>
      <c r="N3443" s="10"/>
    </row>
    <row r="3444" spans="7:14" x14ac:dyDescent="0.75">
      <c r="G3444" s="10"/>
      <c r="H3444" s="10"/>
      <c r="I3444" s="39"/>
      <c r="J3444" s="103"/>
      <c r="K3444" s="39"/>
      <c r="L3444" s="78"/>
      <c r="M3444" s="19"/>
      <c r="N3444" s="10"/>
    </row>
    <row r="3445" spans="7:14" x14ac:dyDescent="0.75">
      <c r="G3445" s="10"/>
      <c r="H3445" s="10"/>
      <c r="I3445" s="39"/>
      <c r="J3445" s="103"/>
      <c r="K3445" s="39"/>
      <c r="L3445" s="78"/>
      <c r="M3445" s="19"/>
      <c r="N3445" s="10"/>
    </row>
    <row r="3446" spans="7:14" x14ac:dyDescent="0.75">
      <c r="G3446" s="10"/>
      <c r="H3446" s="10"/>
      <c r="I3446" s="39"/>
      <c r="J3446" s="103"/>
      <c r="K3446" s="39"/>
      <c r="L3446" s="78"/>
      <c r="M3446" s="19"/>
      <c r="N3446" s="10"/>
    </row>
    <row r="3447" spans="7:14" x14ac:dyDescent="0.75">
      <c r="G3447" s="10"/>
      <c r="H3447" s="10"/>
      <c r="I3447" s="39"/>
      <c r="J3447" s="103"/>
      <c r="K3447" s="39"/>
      <c r="L3447" s="78"/>
      <c r="M3447" s="19"/>
      <c r="N3447" s="10"/>
    </row>
    <row r="3448" spans="7:14" x14ac:dyDescent="0.75">
      <c r="G3448" s="10"/>
      <c r="H3448" s="10"/>
      <c r="I3448" s="39"/>
      <c r="J3448" s="103"/>
      <c r="K3448" s="39"/>
      <c r="L3448" s="78"/>
      <c r="M3448" s="19"/>
      <c r="N3448" s="10"/>
    </row>
    <row r="3449" spans="7:14" x14ac:dyDescent="0.75">
      <c r="G3449" s="10"/>
      <c r="H3449" s="10"/>
      <c r="I3449" s="39"/>
      <c r="J3449" s="103"/>
      <c r="K3449" s="39"/>
      <c r="L3449" s="10"/>
      <c r="M3449" s="19"/>
      <c r="N3449" s="10"/>
    </row>
    <row r="3450" spans="7:14" x14ac:dyDescent="0.75">
      <c r="G3450" s="10"/>
      <c r="H3450" s="10"/>
      <c r="I3450" s="39"/>
      <c r="J3450" s="103"/>
      <c r="K3450" s="39"/>
      <c r="L3450" s="78"/>
      <c r="M3450" s="19"/>
      <c r="N3450" s="10"/>
    </row>
    <row r="3451" spans="7:14" x14ac:dyDescent="0.75">
      <c r="G3451" s="10"/>
      <c r="H3451" s="10"/>
      <c r="I3451" s="39"/>
      <c r="J3451" s="103"/>
      <c r="K3451" s="39"/>
      <c r="L3451" s="78"/>
      <c r="M3451" s="19"/>
      <c r="N3451" s="10"/>
    </row>
    <row r="3452" spans="7:14" x14ac:dyDescent="0.75">
      <c r="G3452" s="10"/>
      <c r="H3452" s="10"/>
      <c r="I3452" s="39"/>
      <c r="J3452" s="103"/>
      <c r="K3452" s="39"/>
      <c r="L3452" s="78"/>
      <c r="M3452" s="19"/>
      <c r="N3452" s="10"/>
    </row>
    <row r="3453" spans="7:14" x14ac:dyDescent="0.75">
      <c r="G3453" s="10"/>
      <c r="H3453" s="10"/>
      <c r="I3453" s="39"/>
      <c r="J3453" s="103"/>
      <c r="K3453" s="39"/>
      <c r="L3453" s="78"/>
      <c r="M3453" s="19"/>
      <c r="N3453" s="10"/>
    </row>
    <row r="3454" spans="7:14" x14ac:dyDescent="0.75">
      <c r="G3454" s="10"/>
      <c r="H3454" s="10"/>
      <c r="I3454" s="39"/>
      <c r="J3454" s="103"/>
      <c r="K3454" s="39"/>
      <c r="L3454" s="78"/>
      <c r="M3454" s="19"/>
      <c r="N3454" s="10"/>
    </row>
    <row r="3455" spans="7:14" x14ac:dyDescent="0.75">
      <c r="G3455" s="10"/>
      <c r="H3455" s="10"/>
      <c r="I3455" s="39"/>
      <c r="J3455" s="103"/>
      <c r="K3455" s="39"/>
      <c r="L3455" s="78"/>
      <c r="M3455" s="19"/>
      <c r="N3455" s="10"/>
    </row>
    <row r="3456" spans="7:14" x14ac:dyDescent="0.75">
      <c r="G3456" s="10"/>
      <c r="H3456" s="10"/>
      <c r="I3456" s="39"/>
      <c r="J3456" s="103"/>
      <c r="K3456" s="39"/>
      <c r="L3456" s="78"/>
      <c r="M3456" s="19"/>
      <c r="N3456" s="10"/>
    </row>
    <row r="3457" spans="7:14" x14ac:dyDescent="0.75">
      <c r="G3457" s="10"/>
      <c r="H3457" s="10"/>
      <c r="I3457" s="39"/>
      <c r="J3457" s="103"/>
      <c r="K3457" s="39"/>
      <c r="L3457" s="78"/>
      <c r="M3457" s="19"/>
      <c r="N3457" s="10"/>
    </row>
    <row r="3458" spans="7:14" x14ac:dyDescent="0.75">
      <c r="G3458" s="10"/>
      <c r="H3458" s="10"/>
      <c r="I3458" s="39"/>
      <c r="J3458" s="103"/>
      <c r="K3458" s="39"/>
      <c r="L3458" s="78"/>
      <c r="M3458" s="19"/>
      <c r="N3458" s="10"/>
    </row>
    <row r="3459" spans="7:14" x14ac:dyDescent="0.75">
      <c r="G3459" s="10"/>
      <c r="H3459" s="10"/>
      <c r="I3459" s="39"/>
      <c r="J3459" s="103"/>
      <c r="K3459" s="39"/>
      <c r="L3459" s="78"/>
      <c r="M3459" s="19"/>
      <c r="N3459" s="10"/>
    </row>
    <row r="3460" spans="7:14" x14ac:dyDescent="0.75">
      <c r="G3460" s="10"/>
      <c r="H3460" s="10"/>
      <c r="I3460" s="39"/>
      <c r="J3460" s="103"/>
      <c r="K3460" s="39"/>
      <c r="L3460" s="78"/>
      <c r="M3460" s="19"/>
      <c r="N3460" s="10"/>
    </row>
    <row r="3461" spans="7:14" x14ac:dyDescent="0.75">
      <c r="G3461" s="10"/>
      <c r="H3461" s="10"/>
      <c r="I3461" s="39"/>
      <c r="J3461" s="103"/>
      <c r="K3461" s="39"/>
      <c r="L3461" s="78"/>
      <c r="M3461" s="19"/>
      <c r="N3461" s="10"/>
    </row>
    <row r="3462" spans="7:14" x14ac:dyDescent="0.75">
      <c r="G3462" s="10"/>
      <c r="H3462" s="10"/>
      <c r="I3462" s="39"/>
      <c r="J3462" s="103"/>
      <c r="K3462" s="39"/>
      <c r="L3462" s="78"/>
      <c r="M3462" s="19"/>
      <c r="N3462" s="10"/>
    </row>
    <row r="3463" spans="7:14" x14ac:dyDescent="0.75">
      <c r="G3463" s="10"/>
      <c r="H3463" s="10"/>
      <c r="I3463" s="39"/>
      <c r="J3463" s="103"/>
      <c r="K3463" s="39"/>
      <c r="L3463" s="78"/>
      <c r="M3463" s="19"/>
      <c r="N3463" s="10"/>
    </row>
    <row r="3464" spans="7:14" x14ac:dyDescent="0.75">
      <c r="G3464" s="10"/>
      <c r="H3464" s="10"/>
      <c r="I3464" s="39"/>
      <c r="J3464" s="103"/>
      <c r="K3464" s="39"/>
      <c r="L3464" s="78"/>
      <c r="M3464" s="19"/>
      <c r="N3464" s="10"/>
    </row>
    <row r="3465" spans="7:14" x14ac:dyDescent="0.75">
      <c r="G3465" s="10"/>
      <c r="H3465" s="10"/>
      <c r="I3465" s="39"/>
      <c r="J3465" s="103"/>
      <c r="K3465" s="39"/>
      <c r="L3465" s="78"/>
      <c r="M3465" s="19"/>
      <c r="N3465" s="10"/>
    </row>
    <row r="3466" spans="7:14" x14ac:dyDescent="0.75">
      <c r="G3466" s="10"/>
      <c r="H3466" s="10"/>
      <c r="I3466" s="39"/>
      <c r="J3466" s="103"/>
      <c r="K3466" s="39"/>
      <c r="L3466" s="78"/>
      <c r="M3466" s="19"/>
      <c r="N3466" s="10"/>
    </row>
    <row r="3467" spans="7:14" x14ac:dyDescent="0.75">
      <c r="G3467" s="10"/>
      <c r="H3467" s="10"/>
      <c r="I3467" s="39"/>
      <c r="J3467" s="103"/>
      <c r="K3467" s="39"/>
      <c r="L3467" s="78"/>
      <c r="M3467" s="19"/>
      <c r="N3467" s="10"/>
    </row>
    <row r="3468" spans="7:14" x14ac:dyDescent="0.75">
      <c r="G3468" s="10"/>
      <c r="H3468" s="10"/>
      <c r="I3468" s="39"/>
      <c r="J3468" s="103"/>
      <c r="K3468" s="39"/>
      <c r="L3468" s="78"/>
      <c r="M3468" s="19"/>
      <c r="N3468" s="10"/>
    </row>
    <row r="3469" spans="7:14" x14ac:dyDescent="0.75">
      <c r="G3469" s="10"/>
      <c r="H3469" s="10"/>
      <c r="I3469" s="39"/>
      <c r="J3469" s="103"/>
      <c r="K3469" s="39"/>
      <c r="L3469" s="78"/>
      <c r="M3469" s="19"/>
      <c r="N3469" s="10"/>
    </row>
    <row r="3470" spans="7:14" x14ac:dyDescent="0.75">
      <c r="G3470" s="10"/>
      <c r="H3470" s="10"/>
      <c r="I3470" s="39"/>
      <c r="J3470" s="103"/>
      <c r="K3470" s="39"/>
      <c r="L3470" s="78"/>
      <c r="M3470" s="19"/>
      <c r="N3470" s="10"/>
    </row>
    <row r="3471" spans="7:14" x14ac:dyDescent="0.75">
      <c r="G3471" s="10"/>
      <c r="H3471" s="10"/>
      <c r="I3471" s="39"/>
      <c r="J3471" s="103"/>
      <c r="K3471" s="39"/>
      <c r="L3471" s="78"/>
      <c r="M3471" s="19"/>
      <c r="N3471" s="10"/>
    </row>
    <row r="3472" spans="7:14" x14ac:dyDescent="0.75">
      <c r="G3472" s="10"/>
      <c r="H3472" s="10"/>
      <c r="I3472" s="39"/>
      <c r="J3472" s="103"/>
      <c r="K3472" s="39"/>
      <c r="L3472" s="78"/>
      <c r="M3472" s="19"/>
      <c r="N3472" s="10"/>
    </row>
    <row r="3473" spans="7:14" x14ac:dyDescent="0.75">
      <c r="G3473" s="10"/>
      <c r="H3473" s="10"/>
      <c r="I3473" s="39"/>
      <c r="J3473" s="103"/>
      <c r="K3473" s="39"/>
      <c r="L3473" s="78"/>
      <c r="M3473" s="19"/>
      <c r="N3473" s="10"/>
    </row>
    <row r="3474" spans="7:14" x14ac:dyDescent="0.75">
      <c r="G3474" s="10"/>
      <c r="H3474" s="10"/>
      <c r="I3474" s="39"/>
      <c r="J3474" s="103"/>
      <c r="K3474" s="39"/>
      <c r="L3474" s="78"/>
      <c r="M3474" s="19"/>
      <c r="N3474" s="10"/>
    </row>
    <row r="3475" spans="7:14" x14ac:dyDescent="0.75">
      <c r="G3475" s="10"/>
      <c r="H3475" s="10"/>
      <c r="I3475" s="39"/>
      <c r="J3475" s="103"/>
      <c r="K3475" s="39"/>
      <c r="L3475" s="78"/>
      <c r="M3475" s="19"/>
      <c r="N3475" s="10"/>
    </row>
    <row r="3476" spans="7:14" x14ac:dyDescent="0.75">
      <c r="G3476" s="10"/>
      <c r="H3476" s="10"/>
      <c r="I3476" s="39"/>
      <c r="J3476" s="103"/>
      <c r="K3476" s="39"/>
      <c r="L3476" s="10"/>
      <c r="M3476" s="19"/>
      <c r="N3476" s="10"/>
    </row>
    <row r="3477" spans="7:14" x14ac:dyDescent="0.75">
      <c r="G3477" s="10"/>
      <c r="H3477" s="10"/>
      <c r="I3477" s="39"/>
      <c r="J3477" s="103"/>
      <c r="K3477" s="39"/>
      <c r="L3477" s="78"/>
      <c r="M3477" s="19"/>
      <c r="N3477" s="10"/>
    </row>
    <row r="3478" spans="7:14" x14ac:dyDescent="0.75">
      <c r="G3478" s="10"/>
      <c r="H3478" s="10"/>
      <c r="I3478" s="39"/>
      <c r="J3478" s="103"/>
      <c r="K3478" s="39"/>
      <c r="L3478" s="78"/>
      <c r="M3478" s="19"/>
      <c r="N3478" s="10"/>
    </row>
    <row r="3479" spans="7:14" x14ac:dyDescent="0.75">
      <c r="G3479" s="10"/>
      <c r="H3479" s="10"/>
      <c r="I3479" s="39"/>
      <c r="J3479" s="103"/>
      <c r="K3479" s="39"/>
      <c r="L3479" s="78"/>
      <c r="M3479" s="19"/>
      <c r="N3479" s="10"/>
    </row>
    <row r="3480" spans="7:14" x14ac:dyDescent="0.75">
      <c r="G3480" s="10"/>
      <c r="H3480" s="10"/>
      <c r="I3480" s="39"/>
      <c r="J3480" s="103"/>
      <c r="K3480" s="39"/>
      <c r="L3480" s="78"/>
      <c r="M3480" s="19"/>
      <c r="N3480" s="10"/>
    </row>
    <row r="3481" spans="7:14" x14ac:dyDescent="0.75">
      <c r="G3481" s="10"/>
      <c r="H3481" s="10"/>
      <c r="I3481" s="39"/>
      <c r="J3481" s="103"/>
      <c r="K3481" s="39"/>
      <c r="L3481" s="78"/>
      <c r="M3481" s="19"/>
      <c r="N3481" s="10"/>
    </row>
    <row r="3482" spans="7:14" x14ac:dyDescent="0.75">
      <c r="G3482" s="10"/>
      <c r="H3482" s="10"/>
      <c r="I3482" s="39"/>
      <c r="J3482" s="103"/>
      <c r="K3482" s="39"/>
      <c r="L3482" s="78"/>
      <c r="M3482" s="19"/>
      <c r="N3482" s="10"/>
    </row>
    <row r="3483" spans="7:14" x14ac:dyDescent="0.75">
      <c r="G3483" s="10"/>
      <c r="H3483" s="10"/>
      <c r="I3483" s="39"/>
      <c r="J3483" s="103"/>
      <c r="K3483" s="39"/>
      <c r="L3483" s="78"/>
      <c r="M3483" s="19"/>
      <c r="N3483" s="10"/>
    </row>
    <row r="3484" spans="7:14" x14ac:dyDescent="0.75">
      <c r="G3484" s="10"/>
      <c r="H3484" s="10"/>
      <c r="I3484" s="39"/>
      <c r="J3484" s="103"/>
      <c r="K3484" s="39"/>
      <c r="L3484" s="10"/>
      <c r="M3484" s="19"/>
      <c r="N3484" s="10"/>
    </row>
    <row r="3485" spans="7:14" x14ac:dyDescent="0.75">
      <c r="G3485" s="10"/>
      <c r="H3485" s="10"/>
      <c r="I3485" s="39"/>
      <c r="J3485" s="103"/>
      <c r="K3485" s="39"/>
      <c r="L3485" s="78"/>
      <c r="M3485" s="19"/>
      <c r="N3485" s="10"/>
    </row>
    <row r="3486" spans="7:14" x14ac:dyDescent="0.75">
      <c r="G3486" s="10"/>
      <c r="H3486" s="10"/>
      <c r="I3486" s="39"/>
      <c r="J3486" s="103"/>
      <c r="K3486" s="39"/>
      <c r="L3486" s="78"/>
      <c r="M3486" s="19"/>
      <c r="N3486" s="10"/>
    </row>
    <row r="3487" spans="7:14" x14ac:dyDescent="0.75">
      <c r="G3487" s="10"/>
      <c r="H3487" s="10"/>
      <c r="I3487" s="39"/>
      <c r="J3487" s="103"/>
      <c r="K3487" s="39"/>
      <c r="L3487" s="78"/>
      <c r="M3487" s="19"/>
      <c r="N3487" s="10"/>
    </row>
    <row r="3488" spans="7:14" x14ac:dyDescent="0.75">
      <c r="G3488" s="10"/>
      <c r="H3488" s="10"/>
      <c r="I3488" s="39"/>
      <c r="J3488" s="103"/>
      <c r="K3488" s="39"/>
      <c r="L3488" s="78"/>
      <c r="M3488" s="19"/>
      <c r="N3488" s="10"/>
    </row>
    <row r="3489" spans="7:14" x14ac:dyDescent="0.75">
      <c r="G3489" s="10"/>
      <c r="H3489" s="10"/>
      <c r="I3489" s="39"/>
      <c r="J3489" s="103"/>
      <c r="K3489" s="39"/>
      <c r="L3489" s="78"/>
      <c r="M3489" s="19"/>
      <c r="N3489" s="10"/>
    </row>
    <row r="3490" spans="7:14" x14ac:dyDescent="0.75">
      <c r="G3490" s="10"/>
      <c r="H3490" s="10"/>
      <c r="I3490" s="39"/>
      <c r="J3490" s="103"/>
      <c r="K3490" s="39"/>
      <c r="L3490" s="10"/>
      <c r="M3490" s="19"/>
      <c r="N3490" s="10"/>
    </row>
    <row r="3491" spans="7:14" x14ac:dyDescent="0.75">
      <c r="G3491" s="10"/>
      <c r="H3491" s="10"/>
      <c r="I3491" s="39"/>
      <c r="J3491" s="103"/>
      <c r="K3491" s="39"/>
      <c r="L3491" s="10"/>
      <c r="M3491" s="19"/>
      <c r="N3491" s="10"/>
    </row>
    <row r="3492" spans="7:14" x14ac:dyDescent="0.75">
      <c r="G3492" s="10"/>
      <c r="H3492" s="10"/>
      <c r="I3492" s="39"/>
      <c r="J3492" s="103"/>
      <c r="K3492" s="39"/>
      <c r="L3492" s="78"/>
      <c r="M3492" s="19"/>
      <c r="N3492" s="10"/>
    </row>
    <row r="3493" spans="7:14" x14ac:dyDescent="0.75">
      <c r="G3493" s="10"/>
      <c r="H3493" s="10"/>
      <c r="I3493" s="39"/>
      <c r="J3493" s="103"/>
      <c r="K3493" s="39"/>
      <c r="L3493" s="78"/>
      <c r="M3493" s="19"/>
      <c r="N3493" s="10"/>
    </row>
    <row r="3494" spans="7:14" x14ac:dyDescent="0.75">
      <c r="G3494" s="10"/>
      <c r="H3494" s="10"/>
      <c r="I3494" s="39"/>
      <c r="J3494" s="103"/>
      <c r="K3494" s="39"/>
      <c r="L3494" s="78"/>
      <c r="M3494" s="19"/>
      <c r="N3494" s="10"/>
    </row>
    <row r="3495" spans="7:14" x14ac:dyDescent="0.75">
      <c r="G3495" s="10"/>
      <c r="H3495" s="10"/>
      <c r="I3495" s="39"/>
      <c r="J3495" s="103"/>
      <c r="K3495" s="39"/>
      <c r="L3495" s="78"/>
      <c r="M3495" s="19"/>
      <c r="N3495" s="10"/>
    </row>
    <row r="3496" spans="7:14" x14ac:dyDescent="0.75">
      <c r="G3496" s="10"/>
      <c r="H3496" s="10"/>
      <c r="I3496" s="39"/>
      <c r="J3496" s="103"/>
      <c r="K3496" s="39"/>
      <c r="L3496" s="78"/>
      <c r="M3496" s="19"/>
      <c r="N3496" s="10"/>
    </row>
    <row r="3497" spans="7:14" x14ac:dyDescent="0.75">
      <c r="G3497" s="10"/>
      <c r="H3497" s="10"/>
      <c r="I3497" s="39"/>
      <c r="J3497" s="103"/>
      <c r="K3497" s="39"/>
      <c r="L3497" s="78"/>
      <c r="M3497" s="19"/>
      <c r="N3497" s="10"/>
    </row>
    <row r="3498" spans="7:14" x14ac:dyDescent="0.75">
      <c r="G3498" s="10"/>
      <c r="H3498" s="10"/>
      <c r="I3498" s="39"/>
      <c r="J3498" s="103"/>
      <c r="K3498" s="39"/>
      <c r="L3498" s="78"/>
      <c r="M3498" s="19"/>
      <c r="N3498" s="10"/>
    </row>
    <row r="3499" spans="7:14" x14ac:dyDescent="0.75">
      <c r="G3499" s="10"/>
      <c r="H3499" s="10"/>
      <c r="I3499" s="39"/>
      <c r="J3499" s="103"/>
      <c r="K3499" s="39"/>
      <c r="L3499" s="78"/>
      <c r="M3499" s="19"/>
      <c r="N3499" s="10"/>
    </row>
    <row r="3500" spans="7:14" x14ac:dyDescent="0.75">
      <c r="G3500" s="10"/>
      <c r="H3500" s="10"/>
      <c r="I3500" s="39"/>
      <c r="J3500" s="103"/>
      <c r="K3500" s="39"/>
      <c r="L3500" s="78"/>
      <c r="M3500" s="19"/>
      <c r="N3500" s="10"/>
    </row>
    <row r="3501" spans="7:14" x14ac:dyDescent="0.75">
      <c r="G3501" s="10"/>
      <c r="H3501" s="10"/>
      <c r="I3501" s="39"/>
      <c r="J3501" s="103"/>
      <c r="K3501" s="39"/>
      <c r="L3501" s="78"/>
      <c r="M3501" s="19"/>
      <c r="N3501" s="10"/>
    </row>
    <row r="3502" spans="7:14" x14ac:dyDescent="0.75">
      <c r="G3502" s="10"/>
      <c r="H3502" s="10"/>
      <c r="I3502" s="39"/>
      <c r="J3502" s="103"/>
      <c r="K3502" s="39"/>
      <c r="L3502" s="78"/>
      <c r="M3502" s="19"/>
      <c r="N3502" s="10"/>
    </row>
    <row r="3503" spans="7:14" x14ac:dyDescent="0.75">
      <c r="G3503" s="10"/>
      <c r="H3503" s="10"/>
      <c r="I3503" s="39"/>
      <c r="J3503" s="103"/>
      <c r="K3503" s="39"/>
      <c r="L3503" s="10"/>
      <c r="M3503" s="19"/>
      <c r="N3503" s="10"/>
    </row>
    <row r="3504" spans="7:14" x14ac:dyDescent="0.75">
      <c r="G3504" s="10"/>
      <c r="H3504" s="10"/>
      <c r="I3504" s="39"/>
      <c r="J3504" s="103"/>
      <c r="K3504" s="39"/>
      <c r="L3504" s="78"/>
      <c r="M3504" s="19"/>
      <c r="N3504" s="10"/>
    </row>
    <row r="3505" spans="7:14" x14ac:dyDescent="0.75">
      <c r="G3505" s="10"/>
      <c r="H3505" s="10"/>
      <c r="I3505" s="39"/>
      <c r="J3505" s="103"/>
      <c r="K3505" s="39"/>
      <c r="L3505" s="78"/>
      <c r="M3505" s="19"/>
      <c r="N3505" s="10"/>
    </row>
    <row r="3506" spans="7:14" x14ac:dyDescent="0.75">
      <c r="G3506" s="10"/>
      <c r="H3506" s="10"/>
      <c r="I3506" s="39"/>
      <c r="J3506" s="103"/>
      <c r="K3506" s="39"/>
      <c r="L3506" s="78"/>
      <c r="M3506" s="19"/>
      <c r="N3506" s="10"/>
    </row>
    <row r="3507" spans="7:14" x14ac:dyDescent="0.75">
      <c r="G3507" s="10"/>
      <c r="H3507" s="10"/>
      <c r="I3507" s="39"/>
      <c r="J3507" s="103"/>
      <c r="K3507" s="39"/>
      <c r="L3507" s="78"/>
      <c r="M3507" s="19"/>
      <c r="N3507" s="10"/>
    </row>
    <row r="3508" spans="7:14" x14ac:dyDescent="0.75">
      <c r="G3508" s="10"/>
      <c r="H3508" s="10"/>
      <c r="I3508" s="39"/>
      <c r="J3508" s="103"/>
      <c r="K3508" s="39"/>
      <c r="L3508" s="78"/>
      <c r="M3508" s="19"/>
      <c r="N3508" s="10"/>
    </row>
    <row r="3509" spans="7:14" x14ac:dyDescent="0.75">
      <c r="G3509" s="10"/>
      <c r="H3509" s="10"/>
      <c r="I3509" s="39"/>
      <c r="J3509" s="103"/>
      <c r="K3509" s="39"/>
      <c r="L3509" s="78"/>
      <c r="M3509" s="19"/>
      <c r="N3509" s="10"/>
    </row>
    <row r="3510" spans="7:14" x14ac:dyDescent="0.75">
      <c r="G3510" s="10"/>
      <c r="H3510" s="10"/>
      <c r="I3510" s="39"/>
      <c r="J3510" s="103"/>
      <c r="K3510" s="39"/>
      <c r="L3510" s="78"/>
      <c r="M3510" s="19"/>
      <c r="N3510" s="10"/>
    </row>
    <row r="3511" spans="7:14" x14ac:dyDescent="0.75">
      <c r="G3511" s="10"/>
      <c r="H3511" s="10"/>
      <c r="I3511" s="39"/>
      <c r="J3511" s="103"/>
      <c r="K3511" s="39"/>
      <c r="L3511" s="10"/>
      <c r="M3511" s="19"/>
      <c r="N3511" s="10"/>
    </row>
    <row r="3512" spans="7:14" x14ac:dyDescent="0.75">
      <c r="G3512" s="10"/>
      <c r="H3512" s="10"/>
      <c r="I3512" s="39"/>
      <c r="J3512" s="103"/>
      <c r="K3512" s="39"/>
      <c r="L3512" s="78"/>
      <c r="M3512" s="19"/>
      <c r="N3512" s="10"/>
    </row>
    <row r="3513" spans="7:14" x14ac:dyDescent="0.75">
      <c r="G3513" s="10"/>
      <c r="H3513" s="10"/>
      <c r="I3513" s="39"/>
      <c r="J3513" s="103"/>
      <c r="K3513" s="39"/>
      <c r="L3513" s="78"/>
      <c r="M3513" s="19"/>
      <c r="N3513" s="10"/>
    </row>
    <row r="3514" spans="7:14" x14ac:dyDescent="0.75">
      <c r="G3514" s="10"/>
      <c r="H3514" s="10"/>
      <c r="I3514" s="39"/>
      <c r="J3514" s="103"/>
      <c r="K3514" s="39"/>
      <c r="L3514" s="78"/>
      <c r="M3514" s="19"/>
      <c r="N3514" s="10"/>
    </row>
    <row r="3515" spans="7:14" x14ac:dyDescent="0.75">
      <c r="G3515" s="10"/>
      <c r="H3515" s="10"/>
      <c r="I3515" s="39"/>
      <c r="J3515" s="103"/>
      <c r="K3515" s="39"/>
      <c r="L3515" s="78"/>
      <c r="M3515" s="19"/>
      <c r="N3515" s="10"/>
    </row>
    <row r="3516" spans="7:14" x14ac:dyDescent="0.75">
      <c r="G3516" s="10"/>
      <c r="H3516" s="10"/>
      <c r="I3516" s="39"/>
      <c r="J3516" s="103"/>
      <c r="K3516" s="39"/>
      <c r="L3516" s="78"/>
      <c r="M3516" s="19"/>
      <c r="N3516" s="10"/>
    </row>
    <row r="3517" spans="7:14" x14ac:dyDescent="0.75">
      <c r="G3517" s="10"/>
      <c r="H3517" s="10"/>
      <c r="I3517" s="39"/>
      <c r="J3517" s="103"/>
      <c r="K3517" s="39"/>
      <c r="L3517" s="78"/>
      <c r="M3517" s="19"/>
      <c r="N3517" s="10"/>
    </row>
    <row r="3518" spans="7:14" x14ac:dyDescent="0.75">
      <c r="G3518" s="10"/>
      <c r="H3518" s="10"/>
      <c r="I3518" s="39"/>
      <c r="J3518" s="103"/>
      <c r="K3518" s="39"/>
      <c r="L3518" s="78"/>
      <c r="M3518" s="19"/>
      <c r="N3518" s="10"/>
    </row>
    <row r="3519" spans="7:14" x14ac:dyDescent="0.75">
      <c r="G3519" s="10"/>
      <c r="H3519" s="10"/>
      <c r="I3519" s="39"/>
      <c r="J3519" s="103"/>
      <c r="K3519" s="39"/>
      <c r="L3519" s="78"/>
      <c r="M3519" s="19"/>
      <c r="N3519" s="10"/>
    </row>
    <row r="3520" spans="7:14" x14ac:dyDescent="0.75">
      <c r="G3520" s="10"/>
      <c r="H3520" s="10"/>
      <c r="I3520" s="39"/>
      <c r="J3520" s="103"/>
      <c r="K3520" s="39"/>
      <c r="L3520" s="78"/>
      <c r="M3520" s="19"/>
      <c r="N3520" s="10"/>
    </row>
    <row r="3521" spans="7:14" x14ac:dyDescent="0.75">
      <c r="G3521" s="10"/>
      <c r="H3521" s="10"/>
      <c r="I3521" s="39"/>
      <c r="J3521" s="103"/>
      <c r="K3521" s="39"/>
      <c r="L3521" s="78"/>
      <c r="M3521" s="19"/>
      <c r="N3521" s="10"/>
    </row>
    <row r="3522" spans="7:14" x14ac:dyDescent="0.75">
      <c r="G3522" s="10"/>
      <c r="H3522" s="10"/>
      <c r="I3522" s="39"/>
      <c r="J3522" s="103"/>
      <c r="K3522" s="39"/>
      <c r="L3522" s="78"/>
      <c r="M3522" s="19"/>
      <c r="N3522" s="10"/>
    </row>
    <row r="3523" spans="7:14" x14ac:dyDescent="0.75">
      <c r="G3523" s="10"/>
      <c r="H3523" s="10"/>
      <c r="I3523" s="39"/>
      <c r="J3523" s="103"/>
      <c r="K3523" s="39"/>
      <c r="L3523" s="78"/>
      <c r="M3523" s="19"/>
      <c r="N3523" s="10"/>
    </row>
    <row r="3524" spans="7:14" x14ac:dyDescent="0.75">
      <c r="G3524" s="10"/>
      <c r="H3524" s="10"/>
      <c r="I3524" s="39"/>
      <c r="J3524" s="103"/>
      <c r="K3524" s="39"/>
      <c r="L3524" s="78"/>
      <c r="M3524" s="19"/>
      <c r="N3524" s="10"/>
    </row>
    <row r="3525" spans="7:14" x14ac:dyDescent="0.75">
      <c r="G3525" s="10"/>
      <c r="H3525" s="10"/>
      <c r="I3525" s="39"/>
      <c r="J3525" s="103"/>
      <c r="K3525" s="39"/>
      <c r="L3525" s="10"/>
      <c r="M3525" s="19"/>
      <c r="N3525" s="10"/>
    </row>
    <row r="3526" spans="7:14" x14ac:dyDescent="0.75">
      <c r="G3526" s="10"/>
      <c r="H3526" s="10"/>
      <c r="I3526" s="39"/>
      <c r="J3526" s="103"/>
      <c r="K3526" s="39"/>
      <c r="L3526" s="78"/>
      <c r="M3526" s="19"/>
      <c r="N3526" s="10"/>
    </row>
    <row r="3527" spans="7:14" x14ac:dyDescent="0.75">
      <c r="G3527" s="10"/>
      <c r="H3527" s="10"/>
      <c r="I3527" s="39"/>
      <c r="J3527" s="103"/>
      <c r="K3527" s="39"/>
      <c r="L3527" s="78"/>
      <c r="M3527" s="19"/>
      <c r="N3527" s="10"/>
    </row>
    <row r="3528" spans="7:14" x14ac:dyDescent="0.75">
      <c r="G3528" s="10"/>
      <c r="H3528" s="10"/>
      <c r="I3528" s="39"/>
      <c r="J3528" s="103"/>
      <c r="K3528" s="39"/>
      <c r="L3528" s="10"/>
      <c r="M3528" s="19"/>
      <c r="N3528" s="10"/>
    </row>
    <row r="3529" spans="7:14" x14ac:dyDescent="0.75">
      <c r="G3529" s="10"/>
      <c r="H3529" s="10"/>
      <c r="I3529" s="39"/>
      <c r="J3529" s="103"/>
      <c r="K3529" s="39"/>
      <c r="L3529" s="10"/>
      <c r="M3529" s="19"/>
      <c r="N3529" s="10"/>
    </row>
    <row r="3530" spans="7:14" x14ac:dyDescent="0.75">
      <c r="G3530" s="10"/>
      <c r="H3530" s="10"/>
      <c r="I3530" s="39"/>
      <c r="J3530" s="103"/>
      <c r="K3530" s="39"/>
      <c r="L3530" s="10"/>
      <c r="M3530" s="19"/>
      <c r="N3530" s="10"/>
    </row>
    <row r="3531" spans="7:14" x14ac:dyDescent="0.75">
      <c r="G3531" s="10"/>
      <c r="H3531" s="10"/>
      <c r="I3531" s="39"/>
      <c r="J3531" s="103"/>
      <c r="K3531" s="39"/>
      <c r="L3531" s="78"/>
      <c r="M3531" s="19"/>
      <c r="N3531" s="10"/>
    </row>
    <row r="3532" spans="7:14" x14ac:dyDescent="0.75">
      <c r="G3532" s="10"/>
      <c r="H3532" s="10"/>
      <c r="I3532" s="39"/>
      <c r="J3532" s="103"/>
      <c r="K3532" s="39"/>
      <c r="L3532" s="78"/>
      <c r="M3532" s="19"/>
      <c r="N3532" s="10"/>
    </row>
    <row r="3533" spans="7:14" x14ac:dyDescent="0.75">
      <c r="G3533" s="10"/>
      <c r="H3533" s="10"/>
      <c r="I3533" s="39"/>
      <c r="J3533" s="103"/>
      <c r="K3533" s="39"/>
      <c r="L3533" s="78"/>
      <c r="M3533" s="19"/>
      <c r="N3533" s="10"/>
    </row>
    <row r="3534" spans="7:14" x14ac:dyDescent="0.75">
      <c r="G3534" s="10"/>
      <c r="H3534" s="10"/>
      <c r="I3534" s="39"/>
      <c r="J3534" s="103"/>
      <c r="K3534" s="39"/>
      <c r="L3534" s="10"/>
      <c r="M3534" s="19"/>
      <c r="N3534" s="10"/>
    </row>
    <row r="3535" spans="7:14" x14ac:dyDescent="0.75">
      <c r="G3535" s="10"/>
      <c r="H3535" s="10"/>
      <c r="I3535" s="39"/>
      <c r="J3535" s="103"/>
      <c r="K3535" s="39"/>
      <c r="L3535" s="10"/>
      <c r="M3535" s="19"/>
      <c r="N3535" s="10"/>
    </row>
    <row r="3536" spans="7:14" x14ac:dyDescent="0.75">
      <c r="G3536" s="10"/>
      <c r="H3536" s="10"/>
      <c r="I3536" s="39"/>
      <c r="J3536" s="103"/>
      <c r="K3536" s="39"/>
      <c r="L3536" s="10"/>
      <c r="M3536" s="19"/>
      <c r="N3536" s="10"/>
    </row>
    <row r="3537" spans="7:14" x14ac:dyDescent="0.75">
      <c r="G3537" s="10"/>
      <c r="H3537" s="10"/>
      <c r="I3537" s="39"/>
      <c r="J3537" s="103"/>
      <c r="K3537" s="39"/>
      <c r="L3537" s="10"/>
      <c r="M3537" s="19"/>
      <c r="N3537" s="10"/>
    </row>
    <row r="3538" spans="7:14" x14ac:dyDescent="0.75">
      <c r="G3538" s="10"/>
      <c r="H3538" s="10"/>
      <c r="I3538" s="39"/>
      <c r="J3538" s="103"/>
      <c r="K3538" s="39"/>
      <c r="L3538" s="10"/>
      <c r="M3538" s="19"/>
      <c r="N3538" s="10"/>
    </row>
    <row r="3539" spans="7:14" x14ac:dyDescent="0.75">
      <c r="G3539" s="10"/>
      <c r="H3539" s="10"/>
      <c r="I3539" s="39"/>
      <c r="J3539" s="103"/>
      <c r="K3539" s="39"/>
      <c r="L3539" s="78"/>
      <c r="M3539" s="19"/>
      <c r="N3539" s="10"/>
    </row>
    <row r="3540" spans="7:14" x14ac:dyDescent="0.75">
      <c r="G3540" s="10"/>
      <c r="H3540" s="10"/>
      <c r="I3540" s="39"/>
      <c r="J3540" s="103"/>
      <c r="K3540" s="39"/>
      <c r="L3540" s="78"/>
      <c r="M3540" s="19"/>
      <c r="N3540" s="10"/>
    </row>
    <row r="3541" spans="7:14" x14ac:dyDescent="0.75">
      <c r="G3541" s="10"/>
      <c r="H3541" s="10"/>
      <c r="I3541" s="39"/>
      <c r="J3541" s="103"/>
      <c r="K3541" s="39"/>
      <c r="L3541" s="78"/>
      <c r="M3541" s="19"/>
      <c r="N3541" s="10"/>
    </row>
    <row r="3542" spans="7:14" x14ac:dyDescent="0.75">
      <c r="G3542" s="10"/>
      <c r="H3542" s="10"/>
      <c r="I3542" s="39"/>
      <c r="J3542" s="103"/>
      <c r="K3542" s="39"/>
      <c r="L3542" s="10"/>
      <c r="M3542" s="19"/>
      <c r="N3542" s="10"/>
    </row>
    <row r="3543" spans="7:14" x14ac:dyDescent="0.75">
      <c r="G3543" s="10"/>
      <c r="H3543" s="10"/>
      <c r="I3543" s="39"/>
      <c r="J3543" s="103"/>
      <c r="K3543" s="39"/>
      <c r="L3543" s="10"/>
      <c r="M3543" s="19"/>
      <c r="N3543" s="10"/>
    </row>
    <row r="3544" spans="7:14" x14ac:dyDescent="0.75">
      <c r="G3544" s="10"/>
      <c r="H3544" s="10"/>
      <c r="I3544" s="39"/>
      <c r="J3544" s="103"/>
      <c r="K3544" s="39"/>
      <c r="L3544" s="10"/>
      <c r="M3544" s="19"/>
      <c r="N3544" s="10"/>
    </row>
    <row r="3545" spans="7:14" x14ac:dyDescent="0.75">
      <c r="G3545" s="10"/>
      <c r="H3545" s="10"/>
      <c r="I3545" s="39"/>
      <c r="J3545" s="103"/>
      <c r="K3545" s="39"/>
      <c r="L3545" s="78"/>
      <c r="M3545" s="19"/>
      <c r="N3545" s="10"/>
    </row>
    <row r="3546" spans="7:14" x14ac:dyDescent="0.75">
      <c r="G3546" s="10"/>
      <c r="H3546" s="10"/>
      <c r="I3546" s="39"/>
      <c r="J3546" s="103"/>
      <c r="K3546" s="39"/>
      <c r="L3546" s="78"/>
      <c r="M3546" s="19"/>
      <c r="N3546" s="10"/>
    </row>
    <row r="3547" spans="7:14" x14ac:dyDescent="0.75">
      <c r="G3547" s="10"/>
      <c r="H3547" s="10"/>
      <c r="I3547" s="39"/>
      <c r="J3547" s="103"/>
      <c r="K3547" s="39"/>
      <c r="L3547" s="78"/>
      <c r="M3547" s="19"/>
      <c r="N3547" s="10"/>
    </row>
    <row r="3548" spans="7:14" x14ac:dyDescent="0.75">
      <c r="G3548" s="10"/>
      <c r="H3548" s="10"/>
      <c r="I3548" s="39"/>
      <c r="J3548" s="103"/>
      <c r="K3548" s="39"/>
      <c r="L3548" s="78"/>
      <c r="M3548" s="19"/>
      <c r="N3548" s="10"/>
    </row>
    <row r="3549" spans="7:14" x14ac:dyDescent="0.75">
      <c r="G3549" s="10"/>
      <c r="H3549" s="10"/>
      <c r="I3549" s="39"/>
      <c r="J3549" s="103"/>
      <c r="K3549" s="39"/>
      <c r="L3549" s="10"/>
      <c r="M3549" s="19"/>
      <c r="N3549" s="10"/>
    </row>
    <row r="3550" spans="7:14" x14ac:dyDescent="0.75">
      <c r="G3550" s="10"/>
      <c r="H3550" s="10"/>
      <c r="I3550" s="39"/>
      <c r="J3550" s="103"/>
      <c r="K3550" s="39"/>
      <c r="L3550" s="10"/>
      <c r="M3550" s="19"/>
      <c r="N3550" s="10"/>
    </row>
    <row r="3551" spans="7:14" x14ac:dyDescent="0.75">
      <c r="G3551" s="10"/>
      <c r="H3551" s="10"/>
      <c r="I3551" s="39"/>
      <c r="J3551" s="103"/>
      <c r="K3551" s="39"/>
      <c r="L3551" s="10"/>
      <c r="M3551" s="19"/>
      <c r="N3551" s="10"/>
    </row>
    <row r="3552" spans="7:14" x14ac:dyDescent="0.75">
      <c r="G3552" s="10"/>
      <c r="H3552" s="10"/>
      <c r="I3552" s="39"/>
      <c r="J3552" s="103"/>
      <c r="K3552" s="39"/>
      <c r="L3552" s="78"/>
      <c r="M3552" s="19"/>
      <c r="N3552" s="10"/>
    </row>
    <row r="3553" spans="7:14" x14ac:dyDescent="0.75">
      <c r="G3553" s="10"/>
      <c r="H3553" s="10"/>
      <c r="I3553" s="39"/>
      <c r="J3553" s="103"/>
      <c r="K3553" s="39"/>
      <c r="L3553" s="78"/>
      <c r="M3553" s="19"/>
      <c r="N3553" s="10"/>
    </row>
    <row r="3554" spans="7:14" x14ac:dyDescent="0.75">
      <c r="G3554" s="10"/>
      <c r="H3554" s="10"/>
      <c r="I3554" s="39"/>
      <c r="J3554" s="103"/>
      <c r="K3554" s="39"/>
      <c r="L3554" s="78"/>
      <c r="M3554" s="19"/>
      <c r="N3554" s="10"/>
    </row>
    <row r="3555" spans="7:14" x14ac:dyDescent="0.75">
      <c r="G3555" s="10"/>
      <c r="H3555" s="10"/>
      <c r="I3555" s="39"/>
      <c r="J3555" s="103"/>
      <c r="K3555" s="39"/>
      <c r="L3555" s="10"/>
      <c r="M3555" s="19"/>
      <c r="N3555" s="10"/>
    </row>
    <row r="3556" spans="7:14" x14ac:dyDescent="0.75">
      <c r="G3556" s="10"/>
      <c r="H3556" s="10"/>
      <c r="I3556" s="39"/>
      <c r="J3556" s="103"/>
      <c r="K3556" s="39"/>
      <c r="L3556" s="78"/>
      <c r="M3556" s="19"/>
      <c r="N3556" s="10"/>
    </row>
    <row r="3557" spans="7:14" x14ac:dyDescent="0.75">
      <c r="G3557" s="10"/>
      <c r="H3557" s="10"/>
      <c r="I3557" s="39"/>
      <c r="J3557" s="103"/>
      <c r="K3557" s="39"/>
      <c r="L3557" s="78"/>
      <c r="M3557" s="19"/>
      <c r="N3557" s="10"/>
    </row>
    <row r="3558" spans="7:14" x14ac:dyDescent="0.75">
      <c r="G3558" s="10"/>
      <c r="H3558" s="10"/>
      <c r="I3558" s="39"/>
      <c r="J3558" s="103"/>
      <c r="K3558" s="39"/>
      <c r="L3558" s="78"/>
      <c r="M3558" s="19"/>
      <c r="N3558" s="10"/>
    </row>
    <row r="3559" spans="7:14" x14ac:dyDescent="0.75">
      <c r="G3559" s="10"/>
      <c r="H3559" s="10"/>
      <c r="I3559" s="39"/>
      <c r="J3559" s="103"/>
      <c r="K3559" s="39"/>
      <c r="L3559" s="78"/>
      <c r="M3559" s="19"/>
      <c r="N3559" s="10"/>
    </row>
    <row r="3560" spans="7:14" x14ac:dyDescent="0.75">
      <c r="G3560" s="10"/>
      <c r="H3560" s="10"/>
      <c r="I3560" s="39"/>
      <c r="J3560" s="103"/>
      <c r="K3560" s="39"/>
      <c r="L3560" s="78"/>
      <c r="M3560" s="19"/>
      <c r="N3560" s="10"/>
    </row>
    <row r="3561" spans="7:14" x14ac:dyDescent="0.75">
      <c r="G3561" s="10"/>
      <c r="H3561" s="10"/>
      <c r="I3561" s="39"/>
      <c r="J3561" s="103"/>
      <c r="K3561" s="39"/>
      <c r="L3561" s="78"/>
      <c r="M3561" s="19"/>
      <c r="N3561" s="10"/>
    </row>
    <row r="3562" spans="7:14" x14ac:dyDescent="0.75">
      <c r="G3562" s="10"/>
      <c r="H3562" s="10"/>
      <c r="I3562" s="39"/>
      <c r="J3562" s="103"/>
      <c r="K3562" s="39"/>
      <c r="L3562" s="78"/>
      <c r="M3562" s="19"/>
      <c r="N3562" s="10"/>
    </row>
    <row r="3563" spans="7:14" x14ac:dyDescent="0.75">
      <c r="G3563" s="10"/>
      <c r="H3563" s="10"/>
      <c r="I3563" s="39"/>
      <c r="J3563" s="103"/>
      <c r="K3563" s="39"/>
      <c r="L3563" s="78"/>
      <c r="M3563" s="19"/>
      <c r="N3563" s="10"/>
    </row>
    <row r="3564" spans="7:14" x14ac:dyDescent="0.75">
      <c r="G3564" s="10"/>
      <c r="H3564" s="10"/>
      <c r="I3564" s="39"/>
      <c r="J3564" s="103"/>
      <c r="K3564" s="39"/>
      <c r="L3564" s="78"/>
      <c r="M3564" s="19"/>
      <c r="N3564" s="10"/>
    </row>
    <row r="3565" spans="7:14" x14ac:dyDescent="0.75">
      <c r="G3565" s="10"/>
      <c r="H3565" s="10"/>
      <c r="I3565" s="39"/>
      <c r="J3565" s="103"/>
      <c r="K3565" s="39"/>
      <c r="L3565" s="78"/>
      <c r="M3565" s="19"/>
      <c r="N3565" s="10"/>
    </row>
    <row r="3566" spans="7:14" x14ac:dyDescent="0.75">
      <c r="G3566" s="10"/>
      <c r="H3566" s="10"/>
      <c r="I3566" s="39"/>
      <c r="J3566" s="103"/>
      <c r="K3566" s="39"/>
      <c r="L3566" s="78"/>
      <c r="M3566" s="19"/>
      <c r="N3566" s="10"/>
    </row>
    <row r="3567" spans="7:14" x14ac:dyDescent="0.75">
      <c r="G3567" s="10"/>
      <c r="H3567" s="10"/>
      <c r="I3567" s="39"/>
      <c r="J3567" s="103"/>
      <c r="K3567" s="39"/>
      <c r="L3567" s="78"/>
      <c r="M3567" s="19"/>
      <c r="N3567" s="10"/>
    </row>
    <row r="3568" spans="7:14" x14ac:dyDescent="0.75">
      <c r="G3568" s="10"/>
      <c r="H3568" s="10"/>
      <c r="I3568" s="39"/>
      <c r="J3568" s="103"/>
      <c r="K3568" s="39"/>
      <c r="L3568" s="78"/>
      <c r="M3568" s="19"/>
      <c r="N3568" s="10"/>
    </row>
    <row r="3569" spans="7:14" x14ac:dyDescent="0.75">
      <c r="G3569" s="10"/>
      <c r="H3569" s="10"/>
      <c r="I3569" s="39"/>
      <c r="J3569" s="103"/>
      <c r="K3569" s="39"/>
      <c r="L3569" s="10"/>
      <c r="M3569" s="19"/>
      <c r="N3569" s="10"/>
    </row>
    <row r="3570" spans="7:14" x14ac:dyDescent="0.75">
      <c r="G3570" s="10"/>
      <c r="H3570" s="10"/>
      <c r="I3570" s="39"/>
      <c r="J3570" s="103"/>
      <c r="K3570" s="39"/>
      <c r="L3570" s="78"/>
      <c r="M3570" s="19"/>
      <c r="N3570" s="10"/>
    </row>
    <row r="3571" spans="7:14" x14ac:dyDescent="0.75">
      <c r="G3571" s="10"/>
      <c r="H3571" s="10"/>
      <c r="I3571" s="39"/>
      <c r="J3571" s="103"/>
      <c r="K3571" s="39"/>
      <c r="L3571" s="78"/>
      <c r="M3571" s="19"/>
      <c r="N3571" s="10"/>
    </row>
    <row r="3572" spans="7:14" x14ac:dyDescent="0.75">
      <c r="G3572" s="10"/>
      <c r="H3572" s="10"/>
      <c r="I3572" s="39"/>
      <c r="J3572" s="103"/>
      <c r="K3572" s="39"/>
      <c r="L3572" s="78"/>
      <c r="M3572" s="19"/>
      <c r="N3572" s="10"/>
    </row>
    <row r="3573" spans="7:14" x14ac:dyDescent="0.75">
      <c r="G3573" s="10"/>
      <c r="H3573" s="10"/>
      <c r="I3573" s="39"/>
      <c r="J3573" s="103"/>
      <c r="K3573" s="39"/>
      <c r="L3573" s="78"/>
      <c r="M3573" s="19"/>
      <c r="N3573" s="10"/>
    </row>
    <row r="3574" spans="7:14" x14ac:dyDescent="0.75">
      <c r="G3574" s="10"/>
      <c r="H3574" s="10"/>
      <c r="I3574" s="39"/>
      <c r="J3574" s="103"/>
      <c r="K3574" s="39"/>
      <c r="L3574" s="78"/>
      <c r="M3574" s="19"/>
      <c r="N3574" s="10"/>
    </row>
    <row r="3575" spans="7:14" x14ac:dyDescent="0.75">
      <c r="G3575" s="10"/>
      <c r="H3575" s="10"/>
      <c r="I3575" s="39"/>
      <c r="J3575" s="103"/>
      <c r="K3575" s="39"/>
      <c r="L3575" s="78"/>
      <c r="M3575" s="19"/>
      <c r="N3575" s="10"/>
    </row>
    <row r="3576" spans="7:14" x14ac:dyDescent="0.75">
      <c r="G3576" s="10"/>
      <c r="H3576" s="10"/>
      <c r="I3576" s="39"/>
      <c r="J3576" s="103"/>
      <c r="K3576" s="39"/>
      <c r="L3576" s="78"/>
      <c r="M3576" s="19"/>
      <c r="N3576" s="10"/>
    </row>
    <row r="3577" spans="7:14" x14ac:dyDescent="0.75">
      <c r="G3577" s="10"/>
      <c r="H3577" s="10"/>
      <c r="I3577" s="39"/>
      <c r="J3577" s="103"/>
      <c r="K3577" s="39"/>
      <c r="L3577" s="78"/>
      <c r="M3577" s="19"/>
      <c r="N3577" s="10"/>
    </row>
    <row r="3578" spans="7:14" x14ac:dyDescent="0.75">
      <c r="G3578" s="10"/>
      <c r="H3578" s="10"/>
      <c r="I3578" s="39"/>
      <c r="J3578" s="103"/>
      <c r="K3578" s="39"/>
      <c r="L3578" s="78"/>
      <c r="M3578" s="19"/>
      <c r="N3578" s="10"/>
    </row>
    <row r="3579" spans="7:14" x14ac:dyDescent="0.75">
      <c r="G3579" s="10"/>
      <c r="H3579" s="10"/>
      <c r="I3579" s="39"/>
      <c r="J3579" s="103"/>
      <c r="K3579" s="39"/>
      <c r="L3579" s="78"/>
      <c r="M3579" s="19"/>
      <c r="N3579" s="10"/>
    </row>
    <row r="3580" spans="7:14" x14ac:dyDescent="0.75">
      <c r="G3580" s="10"/>
      <c r="H3580" s="10"/>
      <c r="I3580" s="39"/>
      <c r="J3580" s="103"/>
      <c r="K3580" s="39"/>
      <c r="L3580" s="78"/>
      <c r="M3580" s="19"/>
      <c r="N3580" s="10"/>
    </row>
    <row r="3581" spans="7:14" x14ac:dyDescent="0.75">
      <c r="G3581" s="10"/>
      <c r="H3581" s="10"/>
      <c r="I3581" s="39"/>
      <c r="J3581" s="103"/>
      <c r="K3581" s="39"/>
      <c r="L3581" s="78"/>
      <c r="M3581" s="19"/>
      <c r="N3581" s="10"/>
    </row>
    <row r="3582" spans="7:14" x14ac:dyDescent="0.75">
      <c r="G3582" s="10"/>
      <c r="H3582" s="10"/>
      <c r="I3582" s="39"/>
      <c r="J3582" s="103"/>
      <c r="K3582" s="39"/>
      <c r="L3582" s="78"/>
      <c r="M3582" s="19"/>
      <c r="N3582" s="10"/>
    </row>
    <row r="3583" spans="7:14" x14ac:dyDescent="0.75">
      <c r="G3583" s="10"/>
      <c r="H3583" s="10"/>
      <c r="I3583" s="39"/>
      <c r="J3583" s="103"/>
      <c r="K3583" s="39"/>
      <c r="L3583" s="78"/>
      <c r="M3583" s="19"/>
      <c r="N3583" s="10"/>
    </row>
    <row r="3584" spans="7:14" x14ac:dyDescent="0.75">
      <c r="G3584" s="10"/>
      <c r="H3584" s="10"/>
      <c r="I3584" s="39"/>
      <c r="J3584" s="103"/>
      <c r="K3584" s="39"/>
      <c r="L3584" s="78"/>
      <c r="M3584" s="19"/>
      <c r="N3584" s="10"/>
    </row>
    <row r="3585" spans="7:14" x14ac:dyDescent="0.75">
      <c r="G3585" s="10"/>
      <c r="H3585" s="10"/>
      <c r="I3585" s="39"/>
      <c r="J3585" s="103"/>
      <c r="K3585" s="39"/>
      <c r="L3585" s="78"/>
      <c r="M3585" s="19"/>
      <c r="N3585" s="10"/>
    </row>
    <row r="3586" spans="7:14" x14ac:dyDescent="0.75">
      <c r="G3586" s="10"/>
      <c r="H3586" s="10"/>
      <c r="I3586" s="39"/>
      <c r="J3586" s="103"/>
      <c r="K3586" s="39"/>
      <c r="L3586" s="78"/>
      <c r="M3586" s="19"/>
      <c r="N3586" s="10"/>
    </row>
    <row r="3587" spans="7:14" x14ac:dyDescent="0.75">
      <c r="G3587" s="10"/>
      <c r="H3587" s="10"/>
      <c r="I3587" s="39"/>
      <c r="J3587" s="103"/>
      <c r="K3587" s="39"/>
      <c r="L3587" s="10"/>
      <c r="M3587" s="19"/>
      <c r="N3587" s="10"/>
    </row>
    <row r="3588" spans="7:14" x14ac:dyDescent="0.75">
      <c r="G3588" s="10"/>
      <c r="H3588" s="10"/>
      <c r="I3588" s="39"/>
      <c r="J3588" s="103"/>
      <c r="K3588" s="39"/>
      <c r="L3588" s="78"/>
      <c r="M3588" s="19"/>
      <c r="N3588" s="10"/>
    </row>
    <row r="3589" spans="7:14" x14ac:dyDescent="0.75">
      <c r="G3589" s="10"/>
      <c r="H3589" s="10"/>
      <c r="I3589" s="39"/>
      <c r="J3589" s="103"/>
      <c r="K3589" s="39"/>
      <c r="L3589" s="78"/>
      <c r="M3589" s="19"/>
      <c r="N3589" s="10"/>
    </row>
    <row r="3590" spans="7:14" x14ac:dyDescent="0.75">
      <c r="G3590" s="10"/>
      <c r="H3590" s="10"/>
      <c r="I3590" s="39"/>
      <c r="J3590" s="103"/>
      <c r="K3590" s="39"/>
      <c r="L3590" s="78"/>
      <c r="M3590" s="19"/>
      <c r="N3590" s="10"/>
    </row>
    <row r="3591" spans="7:14" x14ac:dyDescent="0.75">
      <c r="G3591" s="10"/>
      <c r="H3591" s="10"/>
      <c r="I3591" s="39"/>
      <c r="J3591" s="103"/>
      <c r="K3591" s="39"/>
      <c r="L3591" s="78"/>
      <c r="M3591" s="19"/>
      <c r="N3591" s="10"/>
    </row>
    <row r="3592" spans="7:14" x14ac:dyDescent="0.75">
      <c r="G3592" s="10"/>
      <c r="H3592" s="10"/>
      <c r="I3592" s="39"/>
      <c r="J3592" s="103"/>
      <c r="K3592" s="39"/>
      <c r="L3592" s="78"/>
      <c r="M3592" s="19"/>
      <c r="N3592" s="10"/>
    </row>
    <row r="3593" spans="7:14" x14ac:dyDescent="0.75">
      <c r="G3593" s="10"/>
      <c r="H3593" s="10"/>
      <c r="I3593" s="39"/>
      <c r="J3593" s="103"/>
      <c r="K3593" s="39"/>
      <c r="L3593" s="78"/>
      <c r="M3593" s="19"/>
      <c r="N3593" s="10"/>
    </row>
    <row r="3594" spans="7:14" x14ac:dyDescent="0.75">
      <c r="G3594" s="10"/>
      <c r="H3594" s="10"/>
      <c r="I3594" s="39"/>
      <c r="J3594" s="103"/>
      <c r="K3594" s="39"/>
      <c r="L3594" s="78"/>
      <c r="M3594" s="19"/>
      <c r="N3594" s="10"/>
    </row>
    <row r="3595" spans="7:14" x14ac:dyDescent="0.75">
      <c r="G3595" s="10"/>
      <c r="H3595" s="10"/>
      <c r="I3595" s="39"/>
      <c r="J3595" s="103"/>
      <c r="K3595" s="39"/>
      <c r="L3595" s="78"/>
      <c r="M3595" s="19"/>
      <c r="N3595" s="10"/>
    </row>
    <row r="3596" spans="7:14" x14ac:dyDescent="0.75">
      <c r="G3596" s="10"/>
      <c r="H3596" s="10"/>
      <c r="I3596" s="39"/>
      <c r="J3596" s="103"/>
      <c r="K3596" s="39"/>
      <c r="L3596" s="78"/>
      <c r="M3596" s="19"/>
      <c r="N3596" s="10"/>
    </row>
    <row r="3597" spans="7:14" x14ac:dyDescent="0.75">
      <c r="G3597" s="10"/>
      <c r="H3597" s="10"/>
      <c r="I3597" s="39"/>
      <c r="J3597" s="103"/>
      <c r="K3597" s="39"/>
      <c r="L3597" s="78"/>
      <c r="M3597" s="19"/>
      <c r="N3597" s="10"/>
    </row>
    <row r="3598" spans="7:14" x14ac:dyDescent="0.75">
      <c r="G3598" s="10"/>
      <c r="H3598" s="10"/>
      <c r="I3598" s="39"/>
      <c r="J3598" s="103"/>
      <c r="K3598" s="39"/>
      <c r="L3598" s="78"/>
      <c r="M3598" s="19"/>
      <c r="N3598" s="10"/>
    </row>
    <row r="3599" spans="7:14" x14ac:dyDescent="0.75">
      <c r="G3599" s="10"/>
      <c r="H3599" s="10"/>
      <c r="I3599" s="39"/>
      <c r="J3599" s="103"/>
      <c r="K3599" s="39"/>
      <c r="L3599" s="78"/>
      <c r="M3599" s="19"/>
      <c r="N3599" s="10"/>
    </row>
    <row r="3600" spans="7:14" x14ac:dyDescent="0.75">
      <c r="G3600" s="10"/>
      <c r="H3600" s="10"/>
      <c r="I3600" s="39"/>
      <c r="J3600" s="103"/>
      <c r="K3600" s="39"/>
      <c r="L3600" s="78"/>
      <c r="M3600" s="19"/>
      <c r="N3600" s="10"/>
    </row>
    <row r="3601" spans="7:14" x14ac:dyDescent="0.75">
      <c r="G3601" s="10"/>
      <c r="H3601" s="10"/>
      <c r="I3601" s="39"/>
      <c r="J3601" s="103"/>
      <c r="K3601" s="39"/>
      <c r="L3601" s="78"/>
      <c r="M3601" s="19"/>
      <c r="N3601" s="10"/>
    </row>
    <row r="3602" spans="7:14" x14ac:dyDescent="0.75">
      <c r="G3602" s="10"/>
      <c r="H3602" s="10"/>
      <c r="I3602" s="39"/>
      <c r="J3602" s="103"/>
      <c r="K3602" s="39"/>
      <c r="L3602" s="78"/>
      <c r="M3602" s="19"/>
      <c r="N3602" s="10"/>
    </row>
    <row r="3603" spans="7:14" x14ac:dyDescent="0.75">
      <c r="G3603" s="10"/>
      <c r="H3603" s="10"/>
      <c r="I3603" s="39"/>
      <c r="J3603" s="103"/>
      <c r="K3603" s="39"/>
      <c r="L3603" s="78"/>
      <c r="M3603" s="19"/>
      <c r="N3603" s="10"/>
    </row>
    <row r="3604" spans="7:14" x14ac:dyDescent="0.75">
      <c r="G3604" s="10"/>
      <c r="H3604" s="10"/>
      <c r="I3604" s="39"/>
      <c r="J3604" s="103"/>
      <c r="K3604" s="39"/>
      <c r="L3604" s="10"/>
      <c r="M3604" s="19"/>
      <c r="N3604" s="10"/>
    </row>
    <row r="3605" spans="7:14" x14ac:dyDescent="0.75">
      <c r="G3605" s="10"/>
      <c r="H3605" s="10"/>
      <c r="I3605" s="39"/>
      <c r="J3605" s="103"/>
      <c r="K3605" s="39"/>
      <c r="L3605" s="78"/>
      <c r="M3605" s="19"/>
      <c r="N3605" s="10"/>
    </row>
    <row r="3606" spans="7:14" x14ac:dyDescent="0.75">
      <c r="G3606" s="10"/>
      <c r="H3606" s="10"/>
      <c r="I3606" s="39"/>
      <c r="J3606" s="103"/>
      <c r="K3606" s="39"/>
      <c r="L3606" s="78"/>
      <c r="M3606" s="19"/>
      <c r="N3606" s="10"/>
    </row>
    <row r="3607" spans="7:14" x14ac:dyDescent="0.75">
      <c r="G3607" s="10"/>
      <c r="H3607" s="10"/>
      <c r="I3607" s="39"/>
      <c r="J3607" s="103"/>
      <c r="K3607" s="39"/>
      <c r="L3607" s="78"/>
      <c r="M3607" s="19"/>
      <c r="N3607" s="10"/>
    </row>
    <row r="3608" spans="7:14" x14ac:dyDescent="0.75">
      <c r="G3608" s="10"/>
      <c r="H3608" s="10"/>
      <c r="I3608" s="39"/>
      <c r="J3608" s="103"/>
      <c r="K3608" s="39"/>
      <c r="L3608" s="78"/>
      <c r="M3608" s="19"/>
      <c r="N3608" s="10"/>
    </row>
    <row r="3609" spans="7:14" x14ac:dyDescent="0.75">
      <c r="G3609" s="10"/>
      <c r="H3609" s="10"/>
      <c r="I3609" s="39"/>
      <c r="J3609" s="103"/>
      <c r="K3609" s="39"/>
      <c r="L3609" s="78"/>
      <c r="M3609" s="19"/>
      <c r="N3609" s="10"/>
    </row>
    <row r="3610" spans="7:14" x14ac:dyDescent="0.75">
      <c r="G3610" s="10"/>
      <c r="H3610" s="10"/>
      <c r="I3610" s="39"/>
      <c r="J3610" s="103"/>
      <c r="K3610" s="39"/>
      <c r="L3610" s="78"/>
      <c r="M3610" s="19"/>
      <c r="N3610" s="10"/>
    </row>
    <row r="3611" spans="7:14" x14ac:dyDescent="0.75">
      <c r="G3611" s="10"/>
      <c r="H3611" s="10"/>
      <c r="I3611" s="39"/>
      <c r="J3611" s="103"/>
      <c r="K3611" s="39"/>
      <c r="L3611" s="78"/>
      <c r="M3611" s="19"/>
      <c r="N3611" s="10"/>
    </row>
    <row r="3612" spans="7:14" x14ac:dyDescent="0.75">
      <c r="G3612" s="10"/>
      <c r="H3612" s="10"/>
      <c r="I3612" s="39"/>
      <c r="J3612" s="103"/>
      <c r="K3612" s="39"/>
      <c r="L3612" s="78"/>
      <c r="M3612" s="19"/>
      <c r="N3612" s="10"/>
    </row>
    <row r="3613" spans="7:14" x14ac:dyDescent="0.75">
      <c r="G3613" s="10"/>
      <c r="H3613" s="10"/>
      <c r="I3613" s="39"/>
      <c r="J3613" s="103"/>
      <c r="K3613" s="39"/>
      <c r="L3613" s="78"/>
      <c r="M3613" s="19"/>
      <c r="N3613" s="10"/>
    </row>
    <row r="3614" spans="7:14" x14ac:dyDescent="0.75">
      <c r="G3614" s="10"/>
      <c r="H3614" s="10"/>
      <c r="I3614" s="39"/>
      <c r="J3614" s="103"/>
      <c r="K3614" s="39"/>
      <c r="L3614" s="78"/>
      <c r="M3614" s="19"/>
      <c r="N3614" s="10"/>
    </row>
    <row r="3615" spans="7:14" x14ac:dyDescent="0.75">
      <c r="G3615" s="10"/>
      <c r="H3615" s="10"/>
      <c r="I3615" s="39"/>
      <c r="J3615" s="103"/>
      <c r="K3615" s="39"/>
      <c r="L3615" s="78"/>
      <c r="M3615" s="19"/>
      <c r="N3615" s="10"/>
    </row>
    <row r="3616" spans="7:14" x14ac:dyDescent="0.75">
      <c r="G3616" s="10"/>
      <c r="H3616" s="10"/>
      <c r="I3616" s="39"/>
      <c r="J3616" s="103"/>
      <c r="K3616" s="39"/>
      <c r="L3616" s="78"/>
      <c r="M3616" s="19"/>
      <c r="N3616" s="10"/>
    </row>
    <row r="3617" spans="7:14" x14ac:dyDescent="0.75">
      <c r="G3617" s="10"/>
      <c r="H3617" s="10"/>
      <c r="I3617" s="39"/>
      <c r="J3617" s="103"/>
      <c r="K3617" s="39"/>
      <c r="L3617" s="78"/>
      <c r="M3617" s="19"/>
      <c r="N3617" s="10"/>
    </row>
    <row r="3618" spans="7:14" x14ac:dyDescent="0.75">
      <c r="G3618" s="10"/>
      <c r="H3618" s="10"/>
      <c r="I3618" s="39"/>
      <c r="J3618" s="103"/>
      <c r="K3618" s="39"/>
      <c r="L3618" s="10"/>
      <c r="M3618" s="19"/>
      <c r="N3618" s="10"/>
    </row>
    <row r="3619" spans="7:14" x14ac:dyDescent="0.75">
      <c r="G3619" s="10"/>
      <c r="H3619" s="10"/>
      <c r="I3619" s="39"/>
      <c r="J3619" s="103"/>
      <c r="K3619" s="39"/>
      <c r="L3619" s="78"/>
      <c r="M3619" s="19"/>
      <c r="N3619" s="10"/>
    </row>
    <row r="3620" spans="7:14" x14ac:dyDescent="0.75">
      <c r="G3620" s="10"/>
      <c r="H3620" s="10"/>
      <c r="I3620" s="39"/>
      <c r="J3620" s="103"/>
      <c r="K3620" s="39"/>
      <c r="L3620" s="78"/>
      <c r="M3620" s="19"/>
      <c r="N3620" s="10"/>
    </row>
    <row r="3621" spans="7:14" x14ac:dyDescent="0.75">
      <c r="G3621" s="10"/>
      <c r="H3621" s="10"/>
      <c r="I3621" s="39"/>
      <c r="J3621" s="103"/>
      <c r="K3621" s="39"/>
      <c r="L3621" s="78"/>
      <c r="M3621" s="19"/>
      <c r="N3621" s="10"/>
    </row>
    <row r="3622" spans="7:14" x14ac:dyDescent="0.75">
      <c r="G3622" s="10"/>
      <c r="H3622" s="10"/>
      <c r="I3622" s="39"/>
      <c r="J3622" s="103"/>
      <c r="K3622" s="39"/>
      <c r="L3622" s="78"/>
      <c r="M3622" s="19"/>
      <c r="N3622" s="10"/>
    </row>
    <row r="3623" spans="7:14" x14ac:dyDescent="0.75">
      <c r="G3623" s="10"/>
      <c r="H3623" s="10"/>
      <c r="I3623" s="39"/>
      <c r="J3623" s="103"/>
      <c r="K3623" s="39"/>
      <c r="L3623" s="78"/>
      <c r="M3623" s="19"/>
      <c r="N3623" s="10"/>
    </row>
    <row r="3624" spans="7:14" x14ac:dyDescent="0.75">
      <c r="G3624" s="10"/>
      <c r="H3624" s="10"/>
      <c r="I3624" s="39"/>
      <c r="J3624" s="103"/>
      <c r="K3624" s="39"/>
      <c r="L3624" s="78"/>
      <c r="M3624" s="19"/>
      <c r="N3624" s="10"/>
    </row>
    <row r="3625" spans="7:14" x14ac:dyDescent="0.75">
      <c r="G3625" s="10"/>
      <c r="H3625" s="10"/>
      <c r="I3625" s="39"/>
      <c r="J3625" s="103"/>
      <c r="K3625" s="39"/>
      <c r="L3625" s="78"/>
      <c r="M3625" s="19"/>
      <c r="N3625" s="10"/>
    </row>
    <row r="3626" spans="7:14" x14ac:dyDescent="0.75">
      <c r="G3626" s="10"/>
      <c r="H3626" s="10"/>
      <c r="I3626" s="39"/>
      <c r="J3626" s="103"/>
      <c r="K3626" s="39"/>
      <c r="L3626" s="10"/>
      <c r="M3626" s="19"/>
      <c r="N3626" s="10"/>
    </row>
    <row r="3627" spans="7:14" x14ac:dyDescent="0.75">
      <c r="G3627" s="10"/>
      <c r="H3627" s="10"/>
      <c r="I3627" s="39"/>
      <c r="J3627" s="103"/>
      <c r="K3627" s="39"/>
      <c r="L3627" s="10"/>
      <c r="M3627" s="19"/>
      <c r="N3627" s="10"/>
    </row>
    <row r="3628" spans="7:14" x14ac:dyDescent="0.75">
      <c r="G3628" s="10"/>
      <c r="H3628" s="10"/>
      <c r="I3628" s="39"/>
      <c r="J3628" s="103"/>
      <c r="K3628" s="39"/>
      <c r="L3628" s="10"/>
      <c r="M3628" s="19"/>
      <c r="N3628" s="10"/>
    </row>
    <row r="3629" spans="7:14" x14ac:dyDescent="0.75">
      <c r="G3629" s="10"/>
      <c r="H3629" s="10"/>
      <c r="I3629" s="39"/>
      <c r="J3629" s="103"/>
      <c r="K3629" s="39"/>
      <c r="L3629" s="78"/>
      <c r="M3629" s="19"/>
      <c r="N3629" s="10"/>
    </row>
    <row r="3630" spans="7:14" x14ac:dyDescent="0.75">
      <c r="G3630" s="10"/>
      <c r="H3630" s="10"/>
      <c r="I3630" s="39"/>
      <c r="J3630" s="103"/>
      <c r="K3630" s="39"/>
      <c r="L3630" s="78"/>
      <c r="M3630" s="19"/>
      <c r="N3630" s="10"/>
    </row>
    <row r="3631" spans="7:14" x14ac:dyDescent="0.75">
      <c r="G3631" s="10"/>
      <c r="H3631" s="10"/>
      <c r="I3631" s="39"/>
      <c r="J3631" s="103"/>
      <c r="K3631" s="39"/>
      <c r="L3631" s="78"/>
      <c r="M3631" s="19"/>
      <c r="N3631" s="10"/>
    </row>
    <row r="3632" spans="7:14" x14ac:dyDescent="0.75">
      <c r="G3632" s="10"/>
      <c r="H3632" s="10"/>
      <c r="I3632" s="39"/>
      <c r="J3632" s="103"/>
      <c r="K3632" s="39"/>
      <c r="L3632" s="78"/>
      <c r="M3632" s="19"/>
      <c r="N3632" s="10"/>
    </row>
    <row r="3633" spans="7:14" x14ac:dyDescent="0.75">
      <c r="G3633" s="10"/>
      <c r="H3633" s="10"/>
      <c r="I3633" s="39"/>
      <c r="J3633" s="103"/>
      <c r="K3633" s="39"/>
      <c r="L3633" s="78"/>
      <c r="M3633" s="19"/>
      <c r="N3633" s="10"/>
    </row>
    <row r="3634" spans="7:14" x14ac:dyDescent="0.75">
      <c r="G3634" s="10"/>
      <c r="H3634" s="10"/>
      <c r="I3634" s="39"/>
      <c r="J3634" s="103"/>
      <c r="K3634" s="39"/>
      <c r="L3634" s="78"/>
      <c r="M3634" s="19"/>
      <c r="N3634" s="10"/>
    </row>
    <row r="3635" spans="7:14" x14ac:dyDescent="0.75">
      <c r="G3635" s="10"/>
      <c r="H3635" s="10"/>
      <c r="I3635" s="39"/>
      <c r="J3635" s="103"/>
      <c r="K3635" s="39"/>
      <c r="L3635" s="78"/>
      <c r="M3635" s="19"/>
      <c r="N3635" s="10"/>
    </row>
    <row r="3636" spans="7:14" x14ac:dyDescent="0.75">
      <c r="G3636" s="10"/>
      <c r="H3636" s="10"/>
      <c r="I3636" s="39"/>
      <c r="J3636" s="103"/>
      <c r="K3636" s="39"/>
      <c r="L3636" s="78"/>
      <c r="M3636" s="19"/>
      <c r="N3636" s="10"/>
    </row>
    <row r="3637" spans="7:14" x14ac:dyDescent="0.75">
      <c r="G3637" s="10"/>
      <c r="H3637" s="10"/>
      <c r="I3637" s="39"/>
      <c r="J3637" s="103"/>
      <c r="K3637" s="39"/>
      <c r="L3637" s="78"/>
      <c r="M3637" s="19"/>
      <c r="N3637" s="10"/>
    </row>
    <row r="3638" spans="7:14" x14ac:dyDescent="0.75">
      <c r="G3638" s="10"/>
      <c r="H3638" s="10"/>
      <c r="I3638" s="39"/>
      <c r="J3638" s="103"/>
      <c r="K3638" s="39"/>
      <c r="L3638" s="78"/>
      <c r="M3638" s="19"/>
      <c r="N3638" s="10"/>
    </row>
    <row r="3639" spans="7:14" x14ac:dyDescent="0.75">
      <c r="G3639" s="10"/>
      <c r="H3639" s="10"/>
      <c r="I3639" s="39"/>
      <c r="J3639" s="103"/>
      <c r="K3639" s="39"/>
      <c r="L3639" s="78"/>
      <c r="M3639" s="19"/>
      <c r="N3639" s="10"/>
    </row>
    <row r="3640" spans="7:14" x14ac:dyDescent="0.75">
      <c r="G3640" s="10"/>
      <c r="H3640" s="10"/>
      <c r="I3640" s="39"/>
      <c r="J3640" s="103"/>
      <c r="K3640" s="39"/>
      <c r="L3640" s="78"/>
      <c r="M3640" s="19"/>
      <c r="N3640" s="10"/>
    </row>
    <row r="3641" spans="7:14" x14ac:dyDescent="0.75">
      <c r="G3641" s="10"/>
      <c r="H3641" s="10"/>
      <c r="I3641" s="39"/>
      <c r="J3641" s="103"/>
      <c r="K3641" s="39"/>
      <c r="L3641" s="78"/>
      <c r="M3641" s="19"/>
      <c r="N3641" s="10"/>
    </row>
    <row r="3642" spans="7:14" x14ac:dyDescent="0.75">
      <c r="G3642" s="10"/>
      <c r="H3642" s="10"/>
      <c r="I3642" s="39"/>
      <c r="J3642" s="103"/>
      <c r="K3642" s="39"/>
      <c r="L3642" s="78"/>
      <c r="M3642" s="19"/>
      <c r="N3642" s="10"/>
    </row>
    <row r="3643" spans="7:14" x14ac:dyDescent="0.75">
      <c r="G3643" s="10"/>
      <c r="H3643" s="10"/>
      <c r="I3643" s="39"/>
      <c r="J3643" s="103"/>
      <c r="K3643" s="39"/>
      <c r="L3643" s="78"/>
      <c r="M3643" s="19"/>
      <c r="N3643" s="10"/>
    </row>
    <row r="3644" spans="7:14" x14ac:dyDescent="0.75">
      <c r="G3644" s="10"/>
      <c r="H3644" s="10"/>
      <c r="I3644" s="39"/>
      <c r="J3644" s="103"/>
      <c r="K3644" s="39"/>
      <c r="L3644" s="78"/>
      <c r="M3644" s="19"/>
      <c r="N3644" s="10"/>
    </row>
    <row r="3645" spans="7:14" x14ac:dyDescent="0.75">
      <c r="G3645" s="10"/>
      <c r="H3645" s="10"/>
      <c r="I3645" s="39"/>
      <c r="J3645" s="103"/>
      <c r="K3645" s="39"/>
      <c r="L3645" s="78"/>
      <c r="M3645" s="19"/>
      <c r="N3645" s="10"/>
    </row>
    <row r="3646" spans="7:14" x14ac:dyDescent="0.75">
      <c r="G3646" s="10"/>
      <c r="H3646" s="10"/>
      <c r="I3646" s="39"/>
      <c r="J3646" s="103"/>
      <c r="K3646" s="39"/>
      <c r="L3646" s="78"/>
      <c r="M3646" s="19"/>
      <c r="N3646" s="10"/>
    </row>
    <row r="3647" spans="7:14" x14ac:dyDescent="0.75">
      <c r="G3647" s="10"/>
      <c r="H3647" s="10"/>
      <c r="I3647" s="39"/>
      <c r="J3647" s="103"/>
      <c r="K3647" s="39"/>
      <c r="L3647" s="78"/>
      <c r="M3647" s="19"/>
      <c r="N3647" s="10"/>
    </row>
    <row r="3648" spans="7:14" x14ac:dyDescent="0.75">
      <c r="G3648" s="10"/>
      <c r="H3648" s="10"/>
      <c r="I3648" s="39"/>
      <c r="J3648" s="103"/>
      <c r="K3648" s="39"/>
      <c r="L3648" s="78"/>
      <c r="M3648" s="19"/>
      <c r="N3648" s="10"/>
    </row>
    <row r="3649" spans="7:14" x14ac:dyDescent="0.75">
      <c r="G3649" s="10"/>
      <c r="H3649" s="10"/>
      <c r="I3649" s="39"/>
      <c r="J3649" s="103"/>
      <c r="K3649" s="39"/>
      <c r="L3649" s="78"/>
      <c r="M3649" s="19"/>
      <c r="N3649" s="10"/>
    </row>
    <row r="3650" spans="7:14" x14ac:dyDescent="0.75">
      <c r="G3650" s="10"/>
      <c r="H3650" s="10"/>
      <c r="I3650" s="39"/>
      <c r="J3650" s="103"/>
      <c r="K3650" s="39"/>
      <c r="L3650" s="10"/>
      <c r="M3650" s="19"/>
      <c r="N3650" s="10"/>
    </row>
    <row r="3651" spans="7:14" x14ac:dyDescent="0.75">
      <c r="G3651" s="10"/>
      <c r="H3651" s="10"/>
      <c r="I3651" s="39"/>
      <c r="J3651" s="103"/>
      <c r="K3651" s="39"/>
      <c r="L3651" s="78"/>
      <c r="M3651" s="19"/>
      <c r="N3651" s="10"/>
    </row>
    <row r="3652" spans="7:14" x14ac:dyDescent="0.75">
      <c r="G3652" s="10"/>
      <c r="H3652" s="10"/>
      <c r="I3652" s="39"/>
      <c r="J3652" s="103"/>
      <c r="K3652" s="39"/>
      <c r="L3652" s="78"/>
      <c r="M3652" s="19"/>
      <c r="N3652" s="10"/>
    </row>
    <row r="3653" spans="7:14" x14ac:dyDescent="0.75">
      <c r="G3653" s="10"/>
      <c r="H3653" s="10"/>
      <c r="I3653" s="39"/>
      <c r="J3653" s="103"/>
      <c r="K3653" s="39"/>
      <c r="L3653" s="78"/>
      <c r="M3653" s="19"/>
      <c r="N3653" s="10"/>
    </row>
    <row r="3654" spans="7:14" x14ac:dyDescent="0.75">
      <c r="G3654" s="10"/>
      <c r="H3654" s="10"/>
      <c r="I3654" s="39"/>
      <c r="J3654" s="103"/>
      <c r="K3654" s="39"/>
      <c r="L3654" s="78"/>
      <c r="M3654" s="19"/>
      <c r="N3654" s="10"/>
    </row>
    <row r="3655" spans="7:14" x14ac:dyDescent="0.75">
      <c r="G3655" s="10"/>
      <c r="H3655" s="10"/>
      <c r="I3655" s="39"/>
      <c r="J3655" s="103"/>
      <c r="K3655" s="39"/>
      <c r="L3655" s="78"/>
      <c r="M3655" s="19"/>
      <c r="N3655" s="10"/>
    </row>
    <row r="3656" spans="7:14" x14ac:dyDescent="0.75">
      <c r="G3656" s="10"/>
      <c r="H3656" s="10"/>
      <c r="I3656" s="39"/>
      <c r="J3656" s="103"/>
      <c r="K3656" s="39"/>
      <c r="L3656" s="78"/>
      <c r="M3656" s="19"/>
      <c r="N3656" s="10"/>
    </row>
    <row r="3657" spans="7:14" x14ac:dyDescent="0.75">
      <c r="G3657" s="10"/>
      <c r="H3657" s="10"/>
      <c r="I3657" s="39"/>
      <c r="J3657" s="103"/>
      <c r="K3657" s="39"/>
      <c r="L3657" s="78"/>
      <c r="M3657" s="19"/>
      <c r="N3657" s="10"/>
    </row>
    <row r="3658" spans="7:14" x14ac:dyDescent="0.75">
      <c r="G3658" s="10"/>
      <c r="H3658" s="10"/>
      <c r="I3658" s="39"/>
      <c r="J3658" s="103"/>
      <c r="K3658" s="39"/>
      <c r="L3658" s="10"/>
      <c r="M3658" s="19"/>
      <c r="N3658" s="10"/>
    </row>
    <row r="3659" spans="7:14" x14ac:dyDescent="0.75">
      <c r="G3659" s="10"/>
      <c r="H3659" s="10"/>
      <c r="I3659" s="39"/>
      <c r="J3659" s="103"/>
      <c r="K3659" s="39"/>
      <c r="L3659" s="10"/>
      <c r="M3659" s="19"/>
      <c r="N3659" s="10"/>
    </row>
    <row r="3660" spans="7:14" x14ac:dyDescent="0.75">
      <c r="G3660" s="10"/>
      <c r="H3660" s="10"/>
      <c r="I3660" s="39"/>
      <c r="J3660" s="103"/>
      <c r="K3660" s="39"/>
      <c r="L3660" s="10"/>
      <c r="M3660" s="19"/>
      <c r="N3660" s="10"/>
    </row>
    <row r="3661" spans="7:14" x14ac:dyDescent="0.75">
      <c r="G3661" s="10"/>
      <c r="H3661" s="10"/>
      <c r="I3661" s="39"/>
      <c r="J3661" s="103"/>
      <c r="K3661" s="39"/>
      <c r="L3661" s="78"/>
      <c r="M3661" s="19"/>
      <c r="N3661" s="10"/>
    </row>
    <row r="3662" spans="7:14" x14ac:dyDescent="0.75">
      <c r="G3662" s="10"/>
      <c r="H3662" s="10"/>
      <c r="I3662" s="39"/>
      <c r="J3662" s="103"/>
      <c r="K3662" s="39"/>
      <c r="L3662" s="78"/>
      <c r="M3662" s="19"/>
      <c r="N3662" s="10"/>
    </row>
    <row r="3663" spans="7:14" x14ac:dyDescent="0.75">
      <c r="G3663" s="10"/>
      <c r="H3663" s="10"/>
      <c r="I3663" s="39"/>
      <c r="J3663" s="103"/>
      <c r="K3663" s="39"/>
      <c r="L3663" s="78"/>
      <c r="M3663" s="19"/>
      <c r="N3663" s="10"/>
    </row>
    <row r="3664" spans="7:14" x14ac:dyDescent="0.75">
      <c r="G3664" s="10"/>
      <c r="H3664" s="10"/>
      <c r="I3664" s="39"/>
      <c r="J3664" s="103"/>
      <c r="K3664" s="39"/>
      <c r="L3664" s="78"/>
      <c r="M3664" s="19"/>
      <c r="N3664" s="10"/>
    </row>
    <row r="3665" spans="7:14" x14ac:dyDescent="0.75">
      <c r="G3665" s="10"/>
      <c r="H3665" s="10"/>
      <c r="I3665" s="39"/>
      <c r="J3665" s="103"/>
      <c r="K3665" s="39"/>
      <c r="L3665" s="10"/>
      <c r="M3665" s="19"/>
      <c r="N3665" s="10"/>
    </row>
    <row r="3666" spans="7:14" x14ac:dyDescent="0.75">
      <c r="G3666" s="10"/>
      <c r="H3666" s="10"/>
      <c r="I3666" s="39"/>
      <c r="J3666" s="103"/>
      <c r="K3666" s="39"/>
      <c r="L3666" s="10"/>
      <c r="M3666" s="19"/>
      <c r="N3666" s="10"/>
    </row>
    <row r="3667" spans="7:14" x14ac:dyDescent="0.75">
      <c r="G3667" s="10"/>
      <c r="H3667" s="10"/>
      <c r="I3667" s="39"/>
      <c r="J3667" s="103"/>
      <c r="K3667" s="39"/>
      <c r="L3667" s="78"/>
      <c r="M3667" s="19"/>
      <c r="N3667" s="10"/>
    </row>
    <row r="3668" spans="7:14" x14ac:dyDescent="0.75">
      <c r="G3668" s="10"/>
      <c r="H3668" s="10"/>
      <c r="I3668" s="39"/>
      <c r="J3668" s="103"/>
      <c r="K3668" s="39"/>
      <c r="L3668" s="78"/>
      <c r="M3668" s="19"/>
      <c r="N3668" s="10"/>
    </row>
    <row r="3669" spans="7:14" x14ac:dyDescent="0.75">
      <c r="G3669" s="10"/>
      <c r="H3669" s="10"/>
      <c r="I3669" s="39"/>
      <c r="J3669" s="103"/>
      <c r="K3669" s="39"/>
      <c r="L3669" s="78"/>
      <c r="M3669" s="19"/>
      <c r="N3669" s="10"/>
    </row>
    <row r="3670" spans="7:14" x14ac:dyDescent="0.75">
      <c r="G3670" s="10"/>
      <c r="H3670" s="10"/>
      <c r="I3670" s="39"/>
      <c r="J3670" s="103"/>
      <c r="K3670" s="39"/>
      <c r="L3670" s="78"/>
      <c r="M3670" s="19"/>
      <c r="N3670" s="10"/>
    </row>
    <row r="3671" spans="7:14" x14ac:dyDescent="0.75">
      <c r="G3671" s="10"/>
      <c r="H3671" s="10"/>
      <c r="I3671" s="39"/>
      <c r="J3671" s="103"/>
      <c r="K3671" s="39"/>
      <c r="L3671" s="78"/>
      <c r="M3671" s="19"/>
      <c r="N3671" s="10"/>
    </row>
    <row r="3672" spans="7:14" x14ac:dyDescent="0.75">
      <c r="G3672" s="10"/>
      <c r="H3672" s="10"/>
      <c r="I3672" s="39"/>
      <c r="J3672" s="103"/>
      <c r="K3672" s="39"/>
      <c r="L3672" s="10"/>
      <c r="M3672" s="19"/>
      <c r="N3672" s="10"/>
    </row>
    <row r="3673" spans="7:14" x14ac:dyDescent="0.75">
      <c r="G3673" s="10"/>
      <c r="H3673" s="10"/>
      <c r="I3673" s="39"/>
      <c r="J3673" s="103"/>
      <c r="K3673" s="39"/>
      <c r="L3673" s="78"/>
      <c r="M3673" s="19"/>
      <c r="N3673" s="10"/>
    </row>
    <row r="3674" spans="7:14" x14ac:dyDescent="0.75">
      <c r="G3674" s="10"/>
      <c r="H3674" s="10"/>
      <c r="I3674" s="39"/>
      <c r="J3674" s="103"/>
      <c r="K3674" s="39"/>
      <c r="L3674" s="78"/>
      <c r="M3674" s="19"/>
      <c r="N3674" s="10"/>
    </row>
    <row r="3675" spans="7:14" x14ac:dyDescent="0.75">
      <c r="G3675" s="10"/>
      <c r="H3675" s="10"/>
      <c r="I3675" s="39"/>
      <c r="J3675" s="103"/>
      <c r="K3675" s="39"/>
      <c r="L3675" s="78"/>
      <c r="M3675" s="19"/>
      <c r="N3675" s="10"/>
    </row>
    <row r="3676" spans="7:14" x14ac:dyDescent="0.75">
      <c r="G3676" s="10"/>
      <c r="H3676" s="10"/>
      <c r="I3676" s="39"/>
      <c r="J3676" s="103"/>
      <c r="K3676" s="39"/>
      <c r="L3676" s="78"/>
      <c r="M3676" s="19"/>
      <c r="N3676" s="10"/>
    </row>
    <row r="3677" spans="7:14" x14ac:dyDescent="0.75">
      <c r="G3677" s="10"/>
      <c r="H3677" s="10"/>
      <c r="I3677" s="39"/>
      <c r="J3677" s="103"/>
      <c r="K3677" s="39"/>
      <c r="L3677" s="78"/>
      <c r="M3677" s="19"/>
      <c r="N3677" s="10"/>
    </row>
    <row r="3678" spans="7:14" x14ac:dyDescent="0.75">
      <c r="G3678" s="10"/>
      <c r="H3678" s="10"/>
      <c r="I3678" s="39"/>
      <c r="J3678" s="103"/>
      <c r="K3678" s="39"/>
      <c r="L3678" s="78"/>
      <c r="M3678" s="19"/>
      <c r="N3678" s="10"/>
    </row>
    <row r="3679" spans="7:14" x14ac:dyDescent="0.75">
      <c r="G3679" s="10"/>
      <c r="H3679" s="10"/>
      <c r="I3679" s="39"/>
      <c r="J3679" s="103"/>
      <c r="K3679" s="39"/>
      <c r="L3679" s="78"/>
      <c r="M3679" s="19"/>
      <c r="N3679" s="10"/>
    </row>
    <row r="3680" spans="7:14" x14ac:dyDescent="0.75">
      <c r="G3680" s="10"/>
      <c r="H3680" s="10"/>
      <c r="I3680" s="39"/>
      <c r="J3680" s="103"/>
      <c r="K3680" s="39"/>
      <c r="L3680" s="78"/>
      <c r="M3680" s="19"/>
      <c r="N3680" s="10"/>
    </row>
    <row r="3681" spans="7:14" x14ac:dyDescent="0.75">
      <c r="G3681" s="10"/>
      <c r="H3681" s="10"/>
      <c r="I3681" s="39"/>
      <c r="J3681" s="103"/>
      <c r="K3681" s="39"/>
      <c r="L3681" s="78"/>
      <c r="M3681" s="19"/>
      <c r="N3681" s="10"/>
    </row>
    <row r="3682" spans="7:14" x14ac:dyDescent="0.75">
      <c r="G3682" s="10"/>
      <c r="H3682" s="10"/>
      <c r="I3682" s="39"/>
      <c r="J3682" s="103"/>
      <c r="K3682" s="39"/>
      <c r="L3682" s="78"/>
      <c r="M3682" s="19"/>
      <c r="N3682" s="10"/>
    </row>
    <row r="3683" spans="7:14" x14ac:dyDescent="0.75">
      <c r="G3683" s="10"/>
      <c r="H3683" s="10"/>
      <c r="I3683" s="39"/>
      <c r="J3683" s="103"/>
      <c r="K3683" s="39"/>
      <c r="L3683" s="78"/>
      <c r="M3683" s="19"/>
      <c r="N3683" s="10"/>
    </row>
    <row r="3684" spans="7:14" x14ac:dyDescent="0.75">
      <c r="G3684" s="10"/>
      <c r="H3684" s="10"/>
      <c r="I3684" s="39"/>
      <c r="J3684" s="103"/>
      <c r="K3684" s="39"/>
      <c r="L3684" s="78"/>
      <c r="M3684" s="19"/>
      <c r="N3684" s="10"/>
    </row>
    <row r="3685" spans="7:14" x14ac:dyDescent="0.75">
      <c r="G3685" s="10"/>
      <c r="H3685" s="10"/>
      <c r="I3685" s="39"/>
      <c r="J3685" s="103"/>
      <c r="K3685" s="39"/>
      <c r="L3685" s="78"/>
      <c r="M3685" s="19"/>
      <c r="N3685" s="10"/>
    </row>
    <row r="3686" spans="7:14" x14ac:dyDescent="0.75">
      <c r="G3686" s="10"/>
      <c r="H3686" s="10"/>
      <c r="I3686" s="39"/>
      <c r="J3686" s="103"/>
      <c r="K3686" s="39"/>
      <c r="L3686" s="78"/>
      <c r="M3686" s="19"/>
      <c r="N3686" s="10"/>
    </row>
    <row r="3687" spans="7:14" x14ac:dyDescent="0.75">
      <c r="G3687" s="10"/>
      <c r="H3687" s="10"/>
      <c r="I3687" s="39"/>
      <c r="J3687" s="103"/>
      <c r="K3687" s="39"/>
      <c r="L3687" s="78"/>
      <c r="M3687" s="19"/>
      <c r="N3687" s="10"/>
    </row>
    <row r="3688" spans="7:14" x14ac:dyDescent="0.75">
      <c r="G3688" s="10"/>
      <c r="H3688" s="10"/>
      <c r="I3688" s="39"/>
      <c r="J3688" s="103"/>
      <c r="K3688" s="39"/>
      <c r="L3688" s="78"/>
      <c r="M3688" s="19"/>
      <c r="N3688" s="10"/>
    </row>
    <row r="3689" spans="7:14" x14ac:dyDescent="0.75">
      <c r="G3689" s="10"/>
      <c r="H3689" s="10"/>
      <c r="I3689" s="39"/>
      <c r="J3689" s="103"/>
      <c r="K3689" s="39"/>
      <c r="L3689" s="78"/>
      <c r="M3689" s="19"/>
      <c r="N3689" s="10"/>
    </row>
    <row r="3690" spans="7:14" x14ac:dyDescent="0.75">
      <c r="G3690" s="10"/>
      <c r="H3690" s="10"/>
      <c r="I3690" s="39"/>
      <c r="J3690" s="103"/>
      <c r="K3690" s="39"/>
      <c r="L3690" s="78"/>
      <c r="M3690" s="19"/>
      <c r="N3690" s="10"/>
    </row>
    <row r="3691" spans="7:14" x14ac:dyDescent="0.75">
      <c r="G3691" s="10"/>
      <c r="H3691" s="10"/>
      <c r="I3691" s="39"/>
      <c r="J3691" s="103"/>
      <c r="K3691" s="39"/>
      <c r="L3691" s="78"/>
      <c r="M3691" s="19"/>
      <c r="N3691" s="10"/>
    </row>
    <row r="3692" spans="7:14" x14ac:dyDescent="0.75">
      <c r="G3692" s="10"/>
      <c r="H3692" s="10"/>
      <c r="I3692" s="39"/>
      <c r="J3692" s="103"/>
      <c r="K3692" s="39"/>
      <c r="L3692" s="78"/>
      <c r="M3692" s="19"/>
      <c r="N3692" s="10"/>
    </row>
    <row r="3693" spans="7:14" x14ac:dyDescent="0.75">
      <c r="G3693" s="10"/>
      <c r="H3693" s="10"/>
      <c r="I3693" s="39"/>
      <c r="J3693" s="103"/>
      <c r="K3693" s="39"/>
      <c r="L3693" s="78"/>
      <c r="M3693" s="19"/>
      <c r="N3693" s="10"/>
    </row>
    <row r="3694" spans="7:14" x14ac:dyDescent="0.75">
      <c r="G3694" s="10"/>
      <c r="H3694" s="10"/>
      <c r="I3694" s="39"/>
      <c r="J3694" s="103"/>
      <c r="K3694" s="39"/>
      <c r="L3694" s="78"/>
      <c r="M3694" s="19"/>
      <c r="N3694" s="10"/>
    </row>
    <row r="3695" spans="7:14" x14ac:dyDescent="0.75">
      <c r="G3695" s="10"/>
      <c r="H3695" s="10"/>
      <c r="I3695" s="39"/>
      <c r="J3695" s="103"/>
      <c r="K3695" s="39"/>
      <c r="L3695" s="78"/>
      <c r="M3695" s="19"/>
      <c r="N3695" s="10"/>
    </row>
    <row r="3696" spans="7:14" x14ac:dyDescent="0.75">
      <c r="G3696" s="10"/>
      <c r="H3696" s="10"/>
      <c r="I3696" s="39"/>
      <c r="J3696" s="103"/>
      <c r="K3696" s="39"/>
      <c r="L3696" s="10"/>
      <c r="M3696" s="19"/>
      <c r="N3696" s="10"/>
    </row>
    <row r="3697" spans="7:14" x14ac:dyDescent="0.75">
      <c r="G3697" s="10"/>
      <c r="H3697" s="10"/>
      <c r="I3697" s="39"/>
      <c r="J3697" s="103"/>
      <c r="K3697" s="39"/>
      <c r="L3697" s="10"/>
      <c r="M3697" s="19"/>
      <c r="N3697" s="10"/>
    </row>
    <row r="3698" spans="7:14" x14ac:dyDescent="0.75">
      <c r="G3698" s="10"/>
      <c r="H3698" s="10"/>
      <c r="I3698" s="39"/>
      <c r="J3698" s="103"/>
      <c r="K3698" s="39"/>
      <c r="L3698" s="10"/>
      <c r="M3698" s="19"/>
      <c r="N3698" s="10"/>
    </row>
    <row r="3699" spans="7:14" x14ac:dyDescent="0.75">
      <c r="G3699" s="10"/>
      <c r="H3699" s="10"/>
      <c r="I3699" s="39"/>
      <c r="J3699" s="103"/>
      <c r="K3699" s="39"/>
      <c r="L3699" s="78"/>
      <c r="M3699" s="19"/>
      <c r="N3699" s="10"/>
    </row>
    <row r="3700" spans="7:14" x14ac:dyDescent="0.75">
      <c r="G3700" s="10"/>
      <c r="H3700" s="10"/>
      <c r="I3700" s="39"/>
      <c r="J3700" s="103"/>
      <c r="K3700" s="39"/>
      <c r="L3700" s="78"/>
      <c r="M3700" s="19"/>
      <c r="N3700" s="10"/>
    </row>
    <row r="3701" spans="7:14" x14ac:dyDescent="0.75">
      <c r="G3701" s="10"/>
      <c r="H3701" s="10"/>
      <c r="I3701" s="39"/>
      <c r="J3701" s="103"/>
      <c r="K3701" s="39"/>
      <c r="L3701" s="78"/>
      <c r="M3701" s="19"/>
      <c r="N3701" s="10"/>
    </row>
    <row r="3702" spans="7:14" x14ac:dyDescent="0.75">
      <c r="G3702" s="10"/>
      <c r="H3702" s="10"/>
      <c r="I3702" s="39"/>
      <c r="J3702" s="103"/>
      <c r="K3702" s="39"/>
      <c r="L3702" s="78"/>
      <c r="M3702" s="19"/>
      <c r="N3702" s="10"/>
    </row>
    <row r="3703" spans="7:14" x14ac:dyDescent="0.75">
      <c r="G3703" s="10"/>
      <c r="H3703" s="10"/>
      <c r="I3703" s="39"/>
      <c r="J3703" s="103"/>
      <c r="K3703" s="39"/>
      <c r="L3703" s="78"/>
      <c r="M3703" s="19"/>
      <c r="N3703" s="10"/>
    </row>
    <row r="3704" spans="7:14" x14ac:dyDescent="0.75">
      <c r="G3704" s="10"/>
      <c r="H3704" s="10"/>
      <c r="I3704" s="39"/>
      <c r="J3704" s="103"/>
      <c r="K3704" s="39"/>
      <c r="L3704" s="78"/>
      <c r="M3704" s="19"/>
      <c r="N3704" s="10"/>
    </row>
    <row r="3705" spans="7:14" x14ac:dyDescent="0.75">
      <c r="G3705" s="10"/>
      <c r="H3705" s="10"/>
      <c r="I3705" s="39"/>
      <c r="J3705" s="103"/>
      <c r="K3705" s="39"/>
      <c r="L3705" s="78"/>
      <c r="M3705" s="19"/>
      <c r="N3705" s="10"/>
    </row>
    <row r="3706" spans="7:14" x14ac:dyDescent="0.75">
      <c r="G3706" s="10"/>
      <c r="H3706" s="10"/>
      <c r="I3706" s="39"/>
      <c r="J3706" s="103"/>
      <c r="K3706" s="39"/>
      <c r="L3706" s="10"/>
      <c r="M3706" s="19"/>
      <c r="N3706" s="10"/>
    </row>
    <row r="3707" spans="7:14" x14ac:dyDescent="0.75">
      <c r="G3707" s="10"/>
      <c r="H3707" s="10"/>
      <c r="I3707" s="39"/>
      <c r="J3707" s="103"/>
      <c r="K3707" s="39"/>
      <c r="L3707" s="10"/>
      <c r="M3707" s="19"/>
      <c r="N3707" s="10"/>
    </row>
    <row r="3708" spans="7:14" x14ac:dyDescent="0.75">
      <c r="G3708" s="10"/>
      <c r="H3708" s="10"/>
      <c r="I3708" s="39"/>
      <c r="J3708" s="103"/>
      <c r="K3708" s="39"/>
      <c r="L3708" s="78"/>
      <c r="M3708" s="19"/>
      <c r="N3708" s="10"/>
    </row>
    <row r="3709" spans="7:14" x14ac:dyDescent="0.75">
      <c r="G3709" s="10"/>
      <c r="H3709" s="10"/>
      <c r="I3709" s="39"/>
      <c r="J3709" s="103"/>
      <c r="K3709" s="39"/>
      <c r="L3709" s="78"/>
      <c r="M3709" s="19"/>
      <c r="N3709" s="10"/>
    </row>
    <row r="3710" spans="7:14" x14ac:dyDescent="0.75">
      <c r="G3710" s="10"/>
      <c r="H3710" s="10"/>
      <c r="I3710" s="39"/>
      <c r="J3710" s="103"/>
      <c r="K3710" s="39"/>
      <c r="L3710" s="78"/>
      <c r="M3710" s="19"/>
      <c r="N3710" s="10"/>
    </row>
    <row r="3711" spans="7:14" x14ac:dyDescent="0.75">
      <c r="G3711" s="10"/>
      <c r="H3711" s="10"/>
      <c r="I3711" s="39"/>
      <c r="J3711" s="103"/>
      <c r="K3711" s="39"/>
      <c r="L3711" s="78"/>
      <c r="M3711" s="19"/>
      <c r="N3711" s="10"/>
    </row>
    <row r="3712" spans="7:14" x14ac:dyDescent="0.75">
      <c r="G3712" s="10"/>
      <c r="H3712" s="10"/>
      <c r="I3712" s="39"/>
      <c r="J3712" s="103"/>
      <c r="K3712" s="39"/>
      <c r="L3712" s="78"/>
      <c r="M3712" s="19"/>
      <c r="N3712" s="10"/>
    </row>
    <row r="3713" spans="7:14" x14ac:dyDescent="0.75">
      <c r="G3713" s="10"/>
      <c r="H3713" s="10"/>
      <c r="I3713" s="39"/>
      <c r="J3713" s="103"/>
      <c r="K3713" s="39"/>
      <c r="L3713" s="78"/>
      <c r="M3713" s="19"/>
      <c r="N3713" s="10"/>
    </row>
    <row r="3714" spans="7:14" x14ac:dyDescent="0.75">
      <c r="G3714" s="10"/>
      <c r="H3714" s="10"/>
      <c r="I3714" s="39"/>
      <c r="J3714" s="103"/>
      <c r="K3714" s="39"/>
      <c r="L3714" s="78"/>
      <c r="M3714" s="19"/>
      <c r="N3714" s="10"/>
    </row>
    <row r="3715" spans="7:14" x14ac:dyDescent="0.75">
      <c r="G3715" s="10"/>
      <c r="H3715" s="10"/>
      <c r="I3715" s="39"/>
      <c r="J3715" s="103"/>
      <c r="K3715" s="39"/>
      <c r="L3715" s="10"/>
      <c r="M3715" s="19"/>
      <c r="N3715" s="10"/>
    </row>
    <row r="3716" spans="7:14" x14ac:dyDescent="0.75">
      <c r="G3716" s="10"/>
      <c r="H3716" s="10"/>
      <c r="I3716" s="39"/>
      <c r="J3716" s="103"/>
      <c r="K3716" s="39"/>
      <c r="L3716" s="78"/>
      <c r="M3716" s="19"/>
      <c r="N3716" s="10"/>
    </row>
    <row r="3717" spans="7:14" x14ac:dyDescent="0.75">
      <c r="G3717" s="10"/>
      <c r="H3717" s="10"/>
      <c r="I3717" s="39"/>
      <c r="J3717" s="103"/>
      <c r="K3717" s="39"/>
      <c r="L3717" s="10"/>
      <c r="M3717" s="19"/>
      <c r="N3717" s="10"/>
    </row>
    <row r="3718" spans="7:14" x14ac:dyDescent="0.75">
      <c r="G3718" s="10"/>
      <c r="H3718" s="10"/>
      <c r="I3718" s="39"/>
      <c r="J3718" s="103"/>
      <c r="K3718" s="39"/>
      <c r="L3718" s="10"/>
      <c r="M3718" s="19"/>
      <c r="N3718" s="10"/>
    </row>
    <row r="3719" spans="7:14" x14ac:dyDescent="0.75">
      <c r="G3719" s="10"/>
      <c r="H3719" s="10"/>
      <c r="I3719" s="39"/>
      <c r="J3719" s="103"/>
      <c r="K3719" s="39"/>
      <c r="L3719" s="10"/>
      <c r="M3719" s="19"/>
      <c r="N3719" s="10"/>
    </row>
    <row r="3720" spans="7:14" x14ac:dyDescent="0.75">
      <c r="G3720" s="10"/>
      <c r="H3720" s="10"/>
      <c r="I3720" s="39"/>
      <c r="J3720" s="103"/>
      <c r="K3720" s="39"/>
      <c r="L3720" s="78"/>
      <c r="M3720" s="19"/>
      <c r="N3720" s="10"/>
    </row>
    <row r="3721" spans="7:14" x14ac:dyDescent="0.75">
      <c r="G3721" s="10"/>
      <c r="H3721" s="10"/>
      <c r="I3721" s="39"/>
      <c r="J3721" s="103"/>
      <c r="K3721" s="39"/>
      <c r="L3721" s="78"/>
      <c r="M3721" s="19"/>
      <c r="N3721" s="10"/>
    </row>
    <row r="3722" spans="7:14" x14ac:dyDescent="0.75">
      <c r="G3722" s="10"/>
      <c r="H3722" s="10"/>
      <c r="I3722" s="39"/>
      <c r="J3722" s="103"/>
      <c r="K3722" s="39"/>
      <c r="L3722" s="78"/>
      <c r="M3722" s="19"/>
      <c r="N3722" s="10"/>
    </row>
    <row r="3723" spans="7:14" x14ac:dyDescent="0.75">
      <c r="G3723" s="10"/>
      <c r="H3723" s="10"/>
      <c r="I3723" s="39"/>
      <c r="J3723" s="103"/>
      <c r="K3723" s="39"/>
      <c r="L3723" s="78"/>
      <c r="M3723" s="19"/>
      <c r="N3723" s="10"/>
    </row>
    <row r="3724" spans="7:14" x14ac:dyDescent="0.75">
      <c r="G3724" s="10"/>
      <c r="H3724" s="10"/>
      <c r="I3724" s="39"/>
      <c r="J3724" s="103"/>
      <c r="K3724" s="39"/>
      <c r="L3724" s="78"/>
      <c r="M3724" s="19"/>
      <c r="N3724" s="10"/>
    </row>
    <row r="3725" spans="7:14" x14ac:dyDescent="0.75">
      <c r="G3725" s="10"/>
      <c r="H3725" s="10"/>
      <c r="I3725" s="39"/>
      <c r="J3725" s="103"/>
      <c r="K3725" s="39"/>
      <c r="L3725" s="78"/>
      <c r="M3725" s="19"/>
      <c r="N3725" s="10"/>
    </row>
    <row r="3726" spans="7:14" x14ac:dyDescent="0.75">
      <c r="G3726" s="10"/>
      <c r="H3726" s="10"/>
      <c r="I3726" s="39"/>
      <c r="J3726" s="103"/>
      <c r="K3726" s="39"/>
      <c r="L3726" s="78"/>
      <c r="M3726" s="19"/>
      <c r="N3726" s="10"/>
    </row>
    <row r="3727" spans="7:14" x14ac:dyDescent="0.75">
      <c r="G3727" s="10"/>
      <c r="H3727" s="10"/>
      <c r="I3727" s="39"/>
      <c r="J3727" s="103"/>
      <c r="K3727" s="39"/>
      <c r="L3727" s="78"/>
      <c r="M3727" s="19"/>
      <c r="N3727" s="10"/>
    </row>
    <row r="3728" spans="7:14" x14ac:dyDescent="0.75">
      <c r="G3728" s="10"/>
      <c r="H3728" s="10"/>
      <c r="I3728" s="39"/>
      <c r="J3728" s="103"/>
      <c r="K3728" s="39"/>
      <c r="L3728" s="78"/>
      <c r="M3728" s="19"/>
      <c r="N3728" s="10"/>
    </row>
    <row r="3729" spans="7:14" x14ac:dyDescent="0.75">
      <c r="G3729" s="10"/>
      <c r="H3729" s="10"/>
      <c r="I3729" s="39"/>
      <c r="J3729" s="103"/>
      <c r="K3729" s="39"/>
      <c r="L3729" s="78"/>
      <c r="M3729" s="19"/>
      <c r="N3729" s="10"/>
    </row>
    <row r="3730" spans="7:14" x14ac:dyDescent="0.75">
      <c r="G3730" s="10"/>
      <c r="H3730" s="10"/>
      <c r="I3730" s="39"/>
      <c r="J3730" s="103"/>
      <c r="K3730" s="39"/>
      <c r="L3730" s="78"/>
      <c r="M3730" s="19"/>
      <c r="N3730" s="10"/>
    </row>
    <row r="3731" spans="7:14" x14ac:dyDescent="0.75">
      <c r="G3731" s="10"/>
      <c r="H3731" s="10"/>
      <c r="I3731" s="39"/>
      <c r="J3731" s="103"/>
      <c r="K3731" s="39"/>
      <c r="L3731" s="78"/>
      <c r="M3731" s="19"/>
      <c r="N3731" s="10"/>
    </row>
    <row r="3732" spans="7:14" x14ac:dyDescent="0.75">
      <c r="G3732" s="10"/>
      <c r="H3732" s="10"/>
      <c r="I3732" s="39"/>
      <c r="J3732" s="103"/>
      <c r="K3732" s="39"/>
      <c r="L3732" s="78"/>
      <c r="M3732" s="19"/>
      <c r="N3732" s="10"/>
    </row>
    <row r="3733" spans="7:14" x14ac:dyDescent="0.75">
      <c r="G3733" s="10"/>
      <c r="H3733" s="10"/>
      <c r="I3733" s="39"/>
      <c r="J3733" s="103"/>
      <c r="K3733" s="39"/>
      <c r="L3733" s="78"/>
      <c r="M3733" s="19"/>
      <c r="N3733" s="10"/>
    </row>
    <row r="3734" spans="7:14" x14ac:dyDescent="0.75">
      <c r="G3734" s="10"/>
      <c r="H3734" s="10"/>
      <c r="I3734" s="39"/>
      <c r="J3734" s="103"/>
      <c r="K3734" s="39"/>
      <c r="L3734" s="78"/>
      <c r="M3734" s="19"/>
      <c r="N3734" s="10"/>
    </row>
    <row r="3735" spans="7:14" x14ac:dyDescent="0.75">
      <c r="G3735" s="10"/>
      <c r="H3735" s="10"/>
      <c r="I3735" s="39"/>
      <c r="J3735" s="103"/>
      <c r="K3735" s="39"/>
      <c r="L3735" s="78"/>
      <c r="M3735" s="19"/>
      <c r="N3735" s="10"/>
    </row>
    <row r="3736" spans="7:14" x14ac:dyDescent="0.75">
      <c r="G3736" s="10"/>
      <c r="H3736" s="10"/>
      <c r="I3736" s="39"/>
      <c r="J3736" s="103"/>
      <c r="K3736" s="39"/>
      <c r="L3736" s="78"/>
      <c r="M3736" s="19"/>
      <c r="N3736" s="10"/>
    </row>
    <row r="3737" spans="7:14" x14ac:dyDescent="0.75">
      <c r="G3737" s="10"/>
      <c r="H3737" s="10"/>
      <c r="I3737" s="39"/>
      <c r="J3737" s="103"/>
      <c r="K3737" s="39"/>
      <c r="L3737" s="78"/>
      <c r="M3737" s="19"/>
      <c r="N3737" s="10"/>
    </row>
    <row r="3738" spans="7:14" x14ac:dyDescent="0.75">
      <c r="G3738" s="10"/>
      <c r="H3738" s="10"/>
      <c r="I3738" s="39"/>
      <c r="J3738" s="103"/>
      <c r="K3738" s="39"/>
      <c r="L3738" s="78"/>
      <c r="M3738" s="19"/>
      <c r="N3738" s="10"/>
    </row>
    <row r="3739" spans="7:14" x14ac:dyDescent="0.75">
      <c r="G3739" s="10"/>
      <c r="H3739" s="10"/>
      <c r="I3739" s="39"/>
      <c r="J3739" s="103"/>
      <c r="K3739" s="39"/>
      <c r="L3739" s="78"/>
      <c r="M3739" s="19"/>
      <c r="N3739" s="10"/>
    </row>
    <row r="3740" spans="7:14" x14ac:dyDescent="0.75">
      <c r="G3740" s="10"/>
      <c r="H3740" s="10"/>
      <c r="I3740" s="39"/>
      <c r="J3740" s="103"/>
      <c r="K3740" s="39"/>
      <c r="L3740" s="78"/>
      <c r="M3740" s="19"/>
      <c r="N3740" s="10"/>
    </row>
    <row r="3741" spans="7:14" x14ac:dyDescent="0.75">
      <c r="G3741" s="10"/>
      <c r="H3741" s="10"/>
      <c r="I3741" s="39"/>
      <c r="J3741" s="103"/>
      <c r="K3741" s="39"/>
      <c r="L3741" s="10"/>
      <c r="M3741" s="19"/>
      <c r="N3741" s="10"/>
    </row>
    <row r="3742" spans="7:14" x14ac:dyDescent="0.75">
      <c r="G3742" s="10"/>
      <c r="H3742" s="10"/>
      <c r="I3742" s="39"/>
      <c r="J3742" s="103"/>
      <c r="K3742" s="39"/>
      <c r="L3742" s="78"/>
      <c r="M3742" s="19"/>
      <c r="N3742" s="10"/>
    </row>
    <row r="3743" spans="7:14" x14ac:dyDescent="0.75">
      <c r="G3743" s="10"/>
      <c r="H3743" s="10"/>
      <c r="I3743" s="39"/>
      <c r="J3743" s="103"/>
      <c r="K3743" s="39"/>
      <c r="L3743" s="78"/>
      <c r="M3743" s="19"/>
      <c r="N3743" s="10"/>
    </row>
    <row r="3744" spans="7:14" x14ac:dyDescent="0.75">
      <c r="G3744" s="10"/>
      <c r="H3744" s="10"/>
      <c r="I3744" s="39"/>
      <c r="J3744" s="103"/>
      <c r="K3744" s="39"/>
      <c r="L3744" s="78"/>
      <c r="M3744" s="19"/>
      <c r="N3744" s="10"/>
    </row>
    <row r="3745" spans="7:14" x14ac:dyDescent="0.75">
      <c r="G3745" s="10"/>
      <c r="H3745" s="10"/>
      <c r="I3745" s="39"/>
      <c r="J3745" s="103"/>
      <c r="K3745" s="39"/>
      <c r="L3745" s="78"/>
      <c r="M3745" s="19"/>
      <c r="N3745" s="10"/>
    </row>
    <row r="3746" spans="7:14" x14ac:dyDescent="0.75">
      <c r="G3746" s="10"/>
      <c r="H3746" s="10"/>
      <c r="I3746" s="39"/>
      <c r="J3746" s="103"/>
      <c r="K3746" s="39"/>
      <c r="L3746" s="78"/>
      <c r="M3746" s="19"/>
      <c r="N3746" s="10"/>
    </row>
    <row r="3747" spans="7:14" x14ac:dyDescent="0.75">
      <c r="G3747" s="10"/>
      <c r="H3747" s="10"/>
      <c r="I3747" s="39"/>
      <c r="J3747" s="103"/>
      <c r="K3747" s="39"/>
      <c r="L3747" s="78"/>
      <c r="M3747" s="19"/>
      <c r="N3747" s="10"/>
    </row>
    <row r="3748" spans="7:14" x14ac:dyDescent="0.75">
      <c r="G3748" s="10"/>
      <c r="H3748" s="10"/>
      <c r="I3748" s="39"/>
      <c r="J3748" s="103"/>
      <c r="K3748" s="39"/>
      <c r="L3748" s="78"/>
      <c r="M3748" s="19"/>
      <c r="N3748" s="10"/>
    </row>
    <row r="3749" spans="7:14" x14ac:dyDescent="0.75">
      <c r="G3749" s="10"/>
      <c r="H3749" s="10"/>
      <c r="I3749" s="39"/>
      <c r="J3749" s="103"/>
      <c r="K3749" s="39"/>
      <c r="L3749" s="78"/>
      <c r="M3749" s="19"/>
      <c r="N3749" s="10"/>
    </row>
    <row r="3750" spans="7:14" x14ac:dyDescent="0.75">
      <c r="G3750" s="10"/>
      <c r="H3750" s="10"/>
      <c r="I3750" s="39"/>
      <c r="J3750" s="103"/>
      <c r="K3750" s="39"/>
      <c r="L3750" s="78"/>
      <c r="M3750" s="19"/>
      <c r="N3750" s="10"/>
    </row>
    <row r="3751" spans="7:14" x14ac:dyDescent="0.75">
      <c r="G3751" s="10"/>
      <c r="H3751" s="10"/>
      <c r="I3751" s="39"/>
      <c r="J3751" s="103"/>
      <c r="K3751" s="39"/>
      <c r="L3751" s="78"/>
      <c r="M3751" s="19"/>
      <c r="N3751" s="10"/>
    </row>
    <row r="3752" spans="7:14" x14ac:dyDescent="0.75">
      <c r="G3752" s="10"/>
      <c r="H3752" s="10"/>
      <c r="I3752" s="39"/>
      <c r="J3752" s="103"/>
      <c r="K3752" s="39"/>
      <c r="L3752" s="78"/>
      <c r="M3752" s="19"/>
      <c r="N3752" s="10"/>
    </row>
    <row r="3753" spans="7:14" x14ac:dyDescent="0.75">
      <c r="G3753" s="10"/>
      <c r="H3753" s="10"/>
      <c r="I3753" s="39"/>
      <c r="J3753" s="103"/>
      <c r="K3753" s="39"/>
      <c r="L3753" s="78"/>
      <c r="M3753" s="19"/>
      <c r="N3753" s="10"/>
    </row>
    <row r="3754" spans="7:14" x14ac:dyDescent="0.75">
      <c r="G3754" s="10"/>
      <c r="H3754" s="10"/>
      <c r="I3754" s="39"/>
      <c r="J3754" s="103"/>
      <c r="K3754" s="39"/>
      <c r="L3754" s="78"/>
      <c r="M3754" s="19"/>
      <c r="N3754" s="10"/>
    </row>
    <row r="3755" spans="7:14" x14ac:dyDescent="0.75">
      <c r="G3755" s="10"/>
      <c r="H3755" s="10"/>
      <c r="I3755" s="39"/>
      <c r="J3755" s="103"/>
      <c r="K3755" s="39"/>
      <c r="L3755" s="78"/>
      <c r="M3755" s="19"/>
      <c r="N3755" s="10"/>
    </row>
    <row r="3756" spans="7:14" x14ac:dyDescent="0.75">
      <c r="G3756" s="10"/>
      <c r="H3756" s="10"/>
      <c r="I3756" s="39"/>
      <c r="J3756" s="103"/>
      <c r="K3756" s="39"/>
      <c r="L3756" s="10"/>
      <c r="M3756" s="19"/>
      <c r="N3756" s="10"/>
    </row>
    <row r="3757" spans="7:14" x14ac:dyDescent="0.75">
      <c r="G3757" s="10"/>
      <c r="H3757" s="10"/>
      <c r="I3757" s="39"/>
      <c r="J3757" s="103"/>
      <c r="K3757" s="39"/>
      <c r="L3757" s="78"/>
      <c r="M3757" s="19"/>
      <c r="N3757" s="10"/>
    </row>
    <row r="3758" spans="7:14" x14ac:dyDescent="0.75">
      <c r="G3758" s="10"/>
      <c r="H3758" s="10"/>
      <c r="I3758" s="39"/>
      <c r="J3758" s="103"/>
      <c r="K3758" s="39"/>
      <c r="L3758" s="78"/>
      <c r="M3758" s="19"/>
      <c r="N3758" s="10"/>
    </row>
    <row r="3759" spans="7:14" x14ac:dyDescent="0.75">
      <c r="G3759" s="10"/>
      <c r="H3759" s="10"/>
      <c r="I3759" s="39"/>
      <c r="J3759" s="103"/>
      <c r="K3759" s="39"/>
      <c r="L3759" s="78"/>
      <c r="M3759" s="19"/>
      <c r="N3759" s="10"/>
    </row>
    <row r="3760" spans="7:14" x14ac:dyDescent="0.75">
      <c r="G3760" s="10"/>
      <c r="H3760" s="10"/>
      <c r="I3760" s="39"/>
      <c r="J3760" s="103"/>
      <c r="K3760" s="39"/>
      <c r="L3760" s="78"/>
      <c r="M3760" s="19"/>
      <c r="N3760" s="10"/>
    </row>
    <row r="3761" spans="7:14" x14ac:dyDescent="0.75">
      <c r="G3761" s="10"/>
      <c r="H3761" s="10"/>
      <c r="I3761" s="39"/>
      <c r="J3761" s="103"/>
      <c r="K3761" s="39"/>
      <c r="L3761" s="78"/>
      <c r="M3761" s="19"/>
      <c r="N3761" s="10"/>
    </row>
    <row r="3762" spans="7:14" x14ac:dyDescent="0.75">
      <c r="G3762" s="10"/>
      <c r="H3762" s="10"/>
      <c r="I3762" s="39"/>
      <c r="J3762" s="103"/>
      <c r="K3762" s="39"/>
      <c r="L3762" s="78"/>
      <c r="M3762" s="19"/>
      <c r="N3762" s="10"/>
    </row>
    <row r="3763" spans="7:14" x14ac:dyDescent="0.75">
      <c r="G3763" s="10"/>
      <c r="H3763" s="10"/>
      <c r="I3763" s="39"/>
      <c r="J3763" s="103"/>
      <c r="K3763" s="39"/>
      <c r="L3763" s="78"/>
      <c r="M3763" s="19"/>
      <c r="N3763" s="10"/>
    </row>
    <row r="3764" spans="7:14" x14ac:dyDescent="0.75">
      <c r="G3764" s="10"/>
      <c r="H3764" s="10"/>
      <c r="I3764" s="39"/>
      <c r="J3764" s="103"/>
      <c r="K3764" s="39"/>
      <c r="L3764" s="78"/>
      <c r="M3764" s="19"/>
      <c r="N3764" s="10"/>
    </row>
    <row r="3765" spans="7:14" x14ac:dyDescent="0.75">
      <c r="G3765" s="10"/>
      <c r="H3765" s="10"/>
      <c r="I3765" s="39"/>
      <c r="J3765" s="103"/>
      <c r="K3765" s="39"/>
      <c r="L3765" s="10"/>
      <c r="M3765" s="19"/>
      <c r="N3765" s="10"/>
    </row>
    <row r="3766" spans="7:14" x14ac:dyDescent="0.75">
      <c r="G3766" s="10"/>
      <c r="H3766" s="10"/>
      <c r="I3766" s="39"/>
      <c r="J3766" s="103"/>
      <c r="K3766" s="39"/>
      <c r="L3766" s="78"/>
      <c r="M3766" s="19"/>
      <c r="N3766" s="10"/>
    </row>
    <row r="3767" spans="7:14" x14ac:dyDescent="0.75">
      <c r="G3767" s="10"/>
      <c r="H3767" s="10"/>
      <c r="I3767" s="39"/>
      <c r="J3767" s="103"/>
      <c r="K3767" s="39"/>
      <c r="L3767" s="78"/>
      <c r="M3767" s="19"/>
      <c r="N3767" s="10"/>
    </row>
    <row r="3768" spans="7:14" x14ac:dyDescent="0.75">
      <c r="G3768" s="10"/>
      <c r="H3768" s="10"/>
      <c r="I3768" s="39"/>
      <c r="J3768" s="103"/>
      <c r="K3768" s="39"/>
      <c r="L3768" s="78"/>
      <c r="M3768" s="19"/>
      <c r="N3768" s="10"/>
    </row>
    <row r="3769" spans="7:14" x14ac:dyDescent="0.75">
      <c r="G3769" s="10"/>
      <c r="H3769" s="10"/>
      <c r="I3769" s="39"/>
      <c r="J3769" s="103"/>
      <c r="K3769" s="39"/>
      <c r="L3769" s="78"/>
      <c r="M3769" s="19"/>
      <c r="N3769" s="10"/>
    </row>
    <row r="3770" spans="7:14" x14ac:dyDescent="0.75">
      <c r="G3770" s="10"/>
      <c r="H3770" s="10"/>
      <c r="I3770" s="39"/>
      <c r="J3770" s="103"/>
      <c r="K3770" s="39"/>
      <c r="L3770" s="78"/>
      <c r="M3770" s="19"/>
      <c r="N3770" s="10"/>
    </row>
    <row r="3771" spans="7:14" x14ac:dyDescent="0.75">
      <c r="G3771" s="10"/>
      <c r="H3771" s="10"/>
      <c r="I3771" s="39"/>
      <c r="J3771" s="103"/>
      <c r="K3771" s="39"/>
      <c r="L3771" s="78"/>
      <c r="M3771" s="19"/>
      <c r="N3771" s="10"/>
    </row>
    <row r="3772" spans="7:14" x14ac:dyDescent="0.75">
      <c r="G3772" s="10"/>
      <c r="H3772" s="10"/>
      <c r="I3772" s="39"/>
      <c r="J3772" s="103"/>
      <c r="K3772" s="39"/>
      <c r="L3772" s="78"/>
      <c r="M3772" s="19"/>
      <c r="N3772" s="10"/>
    </row>
    <row r="3773" spans="7:14" x14ac:dyDescent="0.75">
      <c r="G3773" s="10"/>
      <c r="H3773" s="10"/>
      <c r="I3773" s="39"/>
      <c r="J3773" s="103"/>
      <c r="K3773" s="39"/>
      <c r="L3773" s="78"/>
      <c r="M3773" s="19"/>
      <c r="N3773" s="10"/>
    </row>
    <row r="3774" spans="7:14" x14ac:dyDescent="0.75">
      <c r="G3774" s="10"/>
      <c r="H3774" s="10"/>
      <c r="I3774" s="39"/>
      <c r="J3774" s="103"/>
      <c r="K3774" s="39"/>
      <c r="L3774" s="78"/>
      <c r="M3774" s="19"/>
      <c r="N3774" s="10"/>
    </row>
    <row r="3775" spans="7:14" x14ac:dyDescent="0.75">
      <c r="G3775" s="10"/>
      <c r="H3775" s="10"/>
      <c r="I3775" s="39"/>
      <c r="J3775" s="103"/>
      <c r="K3775" s="39"/>
      <c r="L3775" s="78"/>
      <c r="M3775" s="19"/>
      <c r="N3775" s="10"/>
    </row>
    <row r="3776" spans="7:14" x14ac:dyDescent="0.75">
      <c r="G3776" s="10"/>
      <c r="H3776" s="10"/>
      <c r="I3776" s="39"/>
      <c r="J3776" s="103"/>
      <c r="K3776" s="39"/>
      <c r="L3776" s="78"/>
      <c r="M3776" s="19"/>
      <c r="N3776" s="10"/>
    </row>
    <row r="3777" spans="7:14" x14ac:dyDescent="0.75">
      <c r="G3777" s="10"/>
      <c r="H3777" s="10"/>
      <c r="I3777" s="39"/>
      <c r="J3777" s="103"/>
      <c r="K3777" s="39"/>
      <c r="L3777" s="78"/>
      <c r="M3777" s="19"/>
      <c r="N3777" s="10"/>
    </row>
    <row r="3778" spans="7:14" x14ac:dyDescent="0.75">
      <c r="G3778" s="10"/>
      <c r="H3778" s="10"/>
      <c r="I3778" s="39"/>
      <c r="J3778" s="103"/>
      <c r="K3778" s="39"/>
      <c r="L3778" s="78"/>
      <c r="M3778" s="19"/>
      <c r="N3778" s="10"/>
    </row>
    <row r="3779" spans="7:14" x14ac:dyDescent="0.75">
      <c r="G3779" s="10"/>
      <c r="H3779" s="10"/>
      <c r="I3779" s="39"/>
      <c r="J3779" s="103"/>
      <c r="K3779" s="39"/>
      <c r="L3779" s="78"/>
      <c r="M3779" s="19"/>
      <c r="N3779" s="10"/>
    </row>
    <row r="3780" spans="7:14" x14ac:dyDescent="0.75">
      <c r="G3780" s="10"/>
      <c r="H3780" s="10"/>
      <c r="I3780" s="39"/>
      <c r="J3780" s="103"/>
      <c r="K3780" s="39"/>
      <c r="L3780" s="78"/>
      <c r="M3780" s="19"/>
      <c r="N3780" s="10"/>
    </row>
    <row r="3781" spans="7:14" x14ac:dyDescent="0.75">
      <c r="G3781" s="10"/>
      <c r="H3781" s="10"/>
      <c r="I3781" s="39"/>
      <c r="J3781" s="103"/>
      <c r="K3781" s="39"/>
      <c r="L3781" s="78"/>
      <c r="M3781" s="19"/>
      <c r="N3781" s="10"/>
    </row>
    <row r="3782" spans="7:14" x14ac:dyDescent="0.75">
      <c r="G3782" s="10"/>
      <c r="H3782" s="10"/>
      <c r="I3782" s="39"/>
      <c r="J3782" s="103"/>
      <c r="K3782" s="39"/>
      <c r="L3782" s="78"/>
      <c r="M3782" s="19"/>
      <c r="N3782" s="10"/>
    </row>
    <row r="3783" spans="7:14" x14ac:dyDescent="0.75">
      <c r="G3783" s="10"/>
      <c r="H3783" s="10"/>
      <c r="I3783" s="39"/>
      <c r="J3783" s="103"/>
      <c r="K3783" s="39"/>
      <c r="L3783" s="78"/>
      <c r="M3783" s="19"/>
      <c r="N3783" s="10"/>
    </row>
    <row r="3784" spans="7:14" x14ac:dyDescent="0.75">
      <c r="G3784" s="10"/>
      <c r="H3784" s="10"/>
      <c r="I3784" s="39"/>
      <c r="J3784" s="103"/>
      <c r="K3784" s="39"/>
      <c r="L3784" s="78"/>
      <c r="M3784" s="19"/>
      <c r="N3784" s="10"/>
    </row>
    <row r="3785" spans="7:14" x14ac:dyDescent="0.75">
      <c r="G3785" s="10"/>
      <c r="H3785" s="10"/>
      <c r="I3785" s="39"/>
      <c r="J3785" s="103"/>
      <c r="K3785" s="39"/>
      <c r="L3785" s="78"/>
      <c r="M3785" s="19"/>
      <c r="N3785" s="10"/>
    </row>
    <row r="3786" spans="7:14" x14ac:dyDescent="0.75">
      <c r="G3786" s="10"/>
      <c r="H3786" s="10"/>
      <c r="I3786" s="39"/>
      <c r="J3786" s="103"/>
      <c r="K3786" s="39"/>
      <c r="L3786" s="78"/>
      <c r="M3786" s="19"/>
      <c r="N3786" s="10"/>
    </row>
    <row r="3787" spans="7:14" x14ac:dyDescent="0.75">
      <c r="G3787" s="10"/>
      <c r="H3787" s="10"/>
      <c r="I3787" s="39"/>
      <c r="J3787" s="103"/>
      <c r="K3787" s="39"/>
      <c r="L3787" s="78"/>
      <c r="M3787" s="19"/>
      <c r="N3787" s="10"/>
    </row>
    <row r="3788" spans="7:14" x14ac:dyDescent="0.75">
      <c r="G3788" s="10"/>
      <c r="H3788" s="10"/>
      <c r="I3788" s="39"/>
      <c r="J3788" s="103"/>
      <c r="K3788" s="39"/>
      <c r="L3788" s="78"/>
      <c r="M3788" s="19"/>
      <c r="N3788" s="10"/>
    </row>
    <row r="3789" spans="7:14" x14ac:dyDescent="0.75">
      <c r="G3789" s="10"/>
      <c r="H3789" s="10"/>
      <c r="I3789" s="39"/>
      <c r="J3789" s="103"/>
      <c r="K3789" s="39"/>
      <c r="L3789" s="78"/>
      <c r="M3789" s="19"/>
      <c r="N3789" s="10"/>
    </row>
    <row r="3790" spans="7:14" x14ac:dyDescent="0.75">
      <c r="G3790" s="10"/>
      <c r="H3790" s="10"/>
      <c r="I3790" s="39"/>
      <c r="J3790" s="103"/>
      <c r="K3790" s="39"/>
      <c r="L3790" s="78"/>
      <c r="M3790" s="19"/>
      <c r="N3790" s="10"/>
    </row>
    <row r="3791" spans="7:14" x14ac:dyDescent="0.75">
      <c r="G3791" s="10"/>
      <c r="H3791" s="10"/>
      <c r="I3791" s="39"/>
      <c r="J3791" s="103"/>
      <c r="K3791" s="39"/>
      <c r="L3791" s="78"/>
      <c r="M3791" s="19"/>
      <c r="N3791" s="10"/>
    </row>
    <row r="3792" spans="7:14" x14ac:dyDescent="0.75">
      <c r="G3792" s="10"/>
      <c r="H3792" s="10"/>
      <c r="I3792" s="39"/>
      <c r="J3792" s="103"/>
      <c r="K3792" s="39"/>
      <c r="L3792" s="78"/>
      <c r="M3792" s="19"/>
      <c r="N3792" s="10"/>
    </row>
    <row r="3793" spans="7:14" x14ac:dyDescent="0.75">
      <c r="G3793" s="10"/>
      <c r="H3793" s="10"/>
      <c r="I3793" s="39"/>
      <c r="J3793" s="103"/>
      <c r="K3793" s="39"/>
      <c r="L3793" s="10"/>
      <c r="M3793" s="19"/>
      <c r="N3793" s="10"/>
    </row>
    <row r="3794" spans="7:14" x14ac:dyDescent="0.75">
      <c r="G3794" s="10"/>
      <c r="H3794" s="10"/>
      <c r="I3794" s="39"/>
      <c r="J3794" s="103"/>
      <c r="K3794" s="39"/>
      <c r="L3794" s="10"/>
      <c r="M3794" s="19"/>
      <c r="N3794" s="10"/>
    </row>
    <row r="3795" spans="7:14" x14ac:dyDescent="0.75">
      <c r="G3795" s="10"/>
      <c r="H3795" s="10"/>
      <c r="I3795" s="39"/>
      <c r="J3795" s="103"/>
      <c r="K3795" s="39"/>
      <c r="L3795" s="10"/>
      <c r="M3795" s="19"/>
      <c r="N3795" s="10"/>
    </row>
    <row r="3796" spans="7:14" x14ac:dyDescent="0.75">
      <c r="G3796" s="10"/>
      <c r="H3796" s="10"/>
      <c r="I3796" s="39"/>
      <c r="J3796" s="103"/>
      <c r="K3796" s="39"/>
      <c r="L3796" s="10"/>
      <c r="M3796" s="19"/>
      <c r="N3796" s="10"/>
    </row>
    <row r="3797" spans="7:14" x14ac:dyDescent="0.75">
      <c r="G3797" s="10"/>
      <c r="H3797" s="10"/>
      <c r="I3797" s="39"/>
      <c r="J3797" s="103"/>
      <c r="K3797" s="39"/>
      <c r="L3797" s="78"/>
      <c r="M3797" s="19"/>
      <c r="N3797" s="10"/>
    </row>
    <row r="3798" spans="7:14" x14ac:dyDescent="0.75">
      <c r="G3798" s="10"/>
      <c r="H3798" s="10"/>
      <c r="I3798" s="39"/>
      <c r="J3798" s="103"/>
      <c r="K3798" s="39"/>
      <c r="L3798" s="78"/>
      <c r="M3798" s="19"/>
      <c r="N3798" s="10"/>
    </row>
    <row r="3799" spans="7:14" x14ac:dyDescent="0.75">
      <c r="G3799" s="10"/>
      <c r="H3799" s="10"/>
      <c r="I3799" s="39"/>
      <c r="J3799" s="103"/>
      <c r="K3799" s="39"/>
      <c r="L3799" s="78"/>
      <c r="M3799" s="19"/>
      <c r="N3799" s="10"/>
    </row>
    <row r="3800" spans="7:14" x14ac:dyDescent="0.75">
      <c r="G3800" s="10"/>
      <c r="H3800" s="10"/>
      <c r="I3800" s="39"/>
      <c r="J3800" s="103"/>
      <c r="K3800" s="39"/>
      <c r="L3800" s="78"/>
      <c r="M3800" s="19"/>
      <c r="N3800" s="10"/>
    </row>
    <row r="3801" spans="7:14" x14ac:dyDescent="0.75">
      <c r="G3801" s="10"/>
      <c r="H3801" s="10"/>
      <c r="I3801" s="39"/>
      <c r="J3801" s="103"/>
      <c r="K3801" s="39"/>
      <c r="L3801" s="78"/>
      <c r="M3801" s="19"/>
      <c r="N3801" s="10"/>
    </row>
    <row r="3802" spans="7:14" x14ac:dyDescent="0.75">
      <c r="G3802" s="10"/>
      <c r="H3802" s="10"/>
      <c r="I3802" s="39"/>
      <c r="J3802" s="103"/>
      <c r="K3802" s="39"/>
      <c r="L3802" s="78"/>
      <c r="M3802" s="19"/>
      <c r="N3802" s="10"/>
    </row>
    <row r="3803" spans="7:14" x14ac:dyDescent="0.75">
      <c r="G3803" s="10"/>
      <c r="H3803" s="10"/>
      <c r="I3803" s="39"/>
      <c r="J3803" s="103"/>
      <c r="K3803" s="39"/>
      <c r="L3803" s="78"/>
      <c r="M3803" s="19"/>
      <c r="N3803" s="10"/>
    </row>
    <row r="3804" spans="7:14" x14ac:dyDescent="0.75">
      <c r="G3804" s="10"/>
      <c r="H3804" s="10"/>
      <c r="I3804" s="39"/>
      <c r="J3804" s="103"/>
      <c r="K3804" s="39"/>
      <c r="L3804" s="78"/>
      <c r="M3804" s="19"/>
      <c r="N3804" s="10"/>
    </row>
    <row r="3805" spans="7:14" x14ac:dyDescent="0.75">
      <c r="G3805" s="10"/>
      <c r="H3805" s="10"/>
      <c r="I3805" s="39"/>
      <c r="J3805" s="103"/>
      <c r="K3805" s="39"/>
      <c r="L3805" s="78"/>
      <c r="M3805" s="19"/>
      <c r="N3805" s="10"/>
    </row>
    <row r="3806" spans="7:14" x14ac:dyDescent="0.75">
      <c r="G3806" s="10"/>
      <c r="H3806" s="10"/>
      <c r="I3806" s="39"/>
      <c r="J3806" s="103"/>
      <c r="K3806" s="39"/>
      <c r="L3806" s="78"/>
      <c r="M3806" s="19"/>
      <c r="N3806" s="10"/>
    </row>
    <row r="3807" spans="7:14" x14ac:dyDescent="0.75">
      <c r="G3807" s="10"/>
      <c r="H3807" s="10"/>
      <c r="I3807" s="39"/>
      <c r="J3807" s="103"/>
      <c r="K3807" s="39"/>
      <c r="L3807" s="10"/>
      <c r="M3807" s="19"/>
      <c r="N3807" s="10"/>
    </row>
    <row r="3808" spans="7:14" x14ac:dyDescent="0.75">
      <c r="G3808" s="10"/>
      <c r="H3808" s="10"/>
      <c r="I3808" s="39"/>
      <c r="J3808" s="103"/>
      <c r="K3808" s="39"/>
      <c r="L3808" s="78"/>
      <c r="M3808" s="19"/>
      <c r="N3808" s="10"/>
    </row>
    <row r="3809" spans="7:14" x14ac:dyDescent="0.75">
      <c r="G3809" s="10"/>
      <c r="H3809" s="10"/>
      <c r="I3809" s="39"/>
      <c r="J3809" s="103"/>
      <c r="K3809" s="39"/>
      <c r="L3809" s="78"/>
      <c r="M3809" s="19"/>
      <c r="N3809" s="10"/>
    </row>
    <row r="3810" spans="7:14" x14ac:dyDescent="0.75">
      <c r="G3810" s="10"/>
      <c r="H3810" s="10"/>
      <c r="I3810" s="39"/>
      <c r="J3810" s="103"/>
      <c r="K3810" s="39"/>
      <c r="L3810" s="78"/>
      <c r="M3810" s="19"/>
      <c r="N3810" s="10"/>
    </row>
    <row r="3811" spans="7:14" x14ac:dyDescent="0.75">
      <c r="G3811" s="10"/>
      <c r="H3811" s="10"/>
      <c r="I3811" s="39"/>
      <c r="J3811" s="103"/>
      <c r="K3811" s="39"/>
      <c r="L3811" s="78"/>
      <c r="M3811" s="19"/>
      <c r="N3811" s="10"/>
    </row>
    <row r="3812" spans="7:14" x14ac:dyDescent="0.75">
      <c r="G3812" s="10"/>
      <c r="H3812" s="10"/>
      <c r="I3812" s="39"/>
      <c r="J3812" s="103"/>
      <c r="K3812" s="39"/>
      <c r="L3812" s="78"/>
      <c r="M3812" s="19"/>
      <c r="N3812" s="10"/>
    </row>
    <row r="3813" spans="7:14" x14ac:dyDescent="0.75">
      <c r="G3813" s="10"/>
      <c r="H3813" s="10"/>
      <c r="I3813" s="39"/>
      <c r="J3813" s="103"/>
      <c r="K3813" s="39"/>
      <c r="L3813" s="78"/>
      <c r="M3813" s="19"/>
      <c r="N3813" s="10"/>
    </row>
    <row r="3814" spans="7:14" x14ac:dyDescent="0.75">
      <c r="G3814" s="10"/>
      <c r="H3814" s="10"/>
      <c r="I3814" s="39"/>
      <c r="J3814" s="103"/>
      <c r="K3814" s="39"/>
      <c r="L3814" s="78"/>
      <c r="M3814" s="19"/>
      <c r="N3814" s="10"/>
    </row>
    <row r="3815" spans="7:14" x14ac:dyDescent="0.75">
      <c r="G3815" s="10"/>
      <c r="H3815" s="10"/>
      <c r="I3815" s="39"/>
      <c r="J3815" s="103"/>
      <c r="K3815" s="39"/>
      <c r="L3815" s="78"/>
      <c r="M3815" s="19"/>
      <c r="N3815" s="10"/>
    </row>
    <row r="3816" spans="7:14" x14ac:dyDescent="0.75">
      <c r="G3816" s="10"/>
      <c r="H3816" s="10"/>
      <c r="I3816" s="39"/>
      <c r="J3816" s="103"/>
      <c r="K3816" s="39"/>
      <c r="L3816" s="78"/>
      <c r="M3816" s="19"/>
      <c r="N3816" s="10"/>
    </row>
    <row r="3817" spans="7:14" x14ac:dyDescent="0.75">
      <c r="G3817" s="10"/>
      <c r="H3817" s="10"/>
      <c r="I3817" s="39"/>
      <c r="J3817" s="103"/>
      <c r="K3817" s="39"/>
      <c r="L3817" s="78"/>
      <c r="M3817" s="19"/>
      <c r="N3817" s="10"/>
    </row>
    <row r="3818" spans="7:14" x14ac:dyDescent="0.75">
      <c r="G3818" s="10"/>
      <c r="H3818" s="10"/>
      <c r="I3818" s="39"/>
      <c r="J3818" s="103"/>
      <c r="K3818" s="39"/>
      <c r="L3818" s="78"/>
      <c r="M3818" s="19"/>
      <c r="N3818" s="10"/>
    </row>
    <row r="3819" spans="7:14" x14ac:dyDescent="0.75">
      <c r="G3819" s="10"/>
      <c r="H3819" s="10"/>
      <c r="I3819" s="39"/>
      <c r="J3819" s="103"/>
      <c r="K3819" s="39"/>
      <c r="L3819" s="78"/>
      <c r="M3819" s="19"/>
      <c r="N3819" s="10"/>
    </row>
    <row r="3820" spans="7:14" x14ac:dyDescent="0.75">
      <c r="G3820" s="10"/>
      <c r="H3820" s="10"/>
      <c r="I3820" s="39"/>
      <c r="J3820" s="103"/>
      <c r="K3820" s="39"/>
      <c r="L3820" s="78"/>
      <c r="M3820" s="19"/>
      <c r="N3820" s="10"/>
    </row>
    <row r="3821" spans="7:14" x14ac:dyDescent="0.75">
      <c r="G3821" s="10"/>
      <c r="H3821" s="10"/>
      <c r="I3821" s="39"/>
      <c r="J3821" s="103"/>
      <c r="K3821" s="39"/>
      <c r="L3821" s="10"/>
      <c r="M3821" s="19"/>
      <c r="N3821" s="10"/>
    </row>
    <row r="3822" spans="7:14" x14ac:dyDescent="0.75">
      <c r="G3822" s="10"/>
      <c r="H3822" s="10"/>
      <c r="I3822" s="39"/>
      <c r="J3822" s="103"/>
      <c r="K3822" s="39"/>
      <c r="L3822" s="78"/>
      <c r="M3822" s="19"/>
      <c r="N3822" s="10"/>
    </row>
    <row r="3823" spans="7:14" x14ac:dyDescent="0.75">
      <c r="G3823" s="10"/>
      <c r="H3823" s="10"/>
      <c r="I3823" s="39"/>
      <c r="J3823" s="103"/>
      <c r="K3823" s="39"/>
      <c r="L3823" s="78"/>
      <c r="M3823" s="19"/>
      <c r="N3823" s="10"/>
    </row>
    <row r="3824" spans="7:14" x14ac:dyDescent="0.75">
      <c r="G3824" s="10"/>
      <c r="H3824" s="10"/>
      <c r="I3824" s="39"/>
      <c r="J3824" s="103"/>
      <c r="K3824" s="39"/>
      <c r="L3824" s="78"/>
      <c r="M3824" s="19"/>
      <c r="N3824" s="10"/>
    </row>
    <row r="3825" spans="7:14" x14ac:dyDescent="0.75">
      <c r="G3825" s="10"/>
      <c r="H3825" s="10"/>
      <c r="I3825" s="39"/>
      <c r="J3825" s="103"/>
      <c r="K3825" s="39"/>
      <c r="L3825" s="78"/>
      <c r="M3825" s="19"/>
      <c r="N3825" s="10"/>
    </row>
    <row r="3826" spans="7:14" x14ac:dyDescent="0.75">
      <c r="G3826" s="10"/>
      <c r="H3826" s="10"/>
      <c r="I3826" s="39"/>
      <c r="J3826" s="103"/>
      <c r="K3826" s="39"/>
      <c r="L3826" s="78"/>
      <c r="M3826" s="19"/>
      <c r="N3826" s="10"/>
    </row>
    <row r="3827" spans="7:14" x14ac:dyDescent="0.75">
      <c r="G3827" s="10"/>
      <c r="H3827" s="10"/>
      <c r="I3827" s="39"/>
      <c r="J3827" s="103"/>
      <c r="K3827" s="39"/>
      <c r="L3827" s="78"/>
      <c r="M3827" s="19"/>
      <c r="N3827" s="10"/>
    </row>
    <row r="3828" spans="7:14" x14ac:dyDescent="0.75">
      <c r="G3828" s="10"/>
      <c r="H3828" s="10"/>
      <c r="I3828" s="39"/>
      <c r="J3828" s="103"/>
      <c r="K3828" s="39"/>
      <c r="L3828" s="78"/>
      <c r="M3828" s="19"/>
      <c r="N3828" s="10"/>
    </row>
    <row r="3829" spans="7:14" x14ac:dyDescent="0.75">
      <c r="G3829" s="10"/>
      <c r="H3829" s="10"/>
      <c r="I3829" s="39"/>
      <c r="J3829" s="103"/>
      <c r="K3829" s="39"/>
      <c r="L3829" s="10"/>
      <c r="M3829" s="19"/>
      <c r="N3829" s="10"/>
    </row>
    <row r="3830" spans="7:14" x14ac:dyDescent="0.75">
      <c r="G3830" s="10"/>
      <c r="H3830" s="10"/>
      <c r="I3830" s="39"/>
      <c r="J3830" s="103"/>
      <c r="K3830" s="39"/>
      <c r="L3830" s="10"/>
      <c r="M3830" s="19"/>
      <c r="N3830" s="10"/>
    </row>
    <row r="3831" spans="7:14" x14ac:dyDescent="0.75">
      <c r="G3831" s="10"/>
      <c r="H3831" s="10"/>
      <c r="I3831" s="39"/>
      <c r="J3831" s="103"/>
      <c r="K3831" s="39"/>
      <c r="L3831" s="10"/>
      <c r="M3831" s="19"/>
      <c r="N3831" s="10"/>
    </row>
    <row r="3832" spans="7:14" x14ac:dyDescent="0.75">
      <c r="G3832" s="10"/>
      <c r="H3832" s="10"/>
      <c r="I3832" s="39"/>
      <c r="J3832" s="103"/>
      <c r="K3832" s="39"/>
      <c r="L3832" s="78"/>
      <c r="M3832" s="19"/>
      <c r="N3832" s="10"/>
    </row>
    <row r="3833" spans="7:14" x14ac:dyDescent="0.75">
      <c r="G3833" s="10"/>
      <c r="H3833" s="10"/>
      <c r="I3833" s="39"/>
      <c r="J3833" s="103"/>
      <c r="K3833" s="39"/>
      <c r="L3833" s="78"/>
      <c r="M3833" s="19"/>
      <c r="N3833" s="10"/>
    </row>
    <row r="3834" spans="7:14" x14ac:dyDescent="0.75">
      <c r="G3834" s="10"/>
      <c r="H3834" s="10"/>
      <c r="I3834" s="39"/>
      <c r="J3834" s="103"/>
      <c r="K3834" s="39"/>
      <c r="L3834" s="78"/>
      <c r="M3834" s="19"/>
      <c r="N3834" s="10"/>
    </row>
    <row r="3835" spans="7:14" x14ac:dyDescent="0.75">
      <c r="G3835" s="10"/>
      <c r="H3835" s="10"/>
      <c r="I3835" s="39"/>
      <c r="J3835" s="103"/>
      <c r="K3835" s="39"/>
      <c r="L3835" s="78"/>
      <c r="M3835" s="19"/>
      <c r="N3835" s="10"/>
    </row>
    <row r="3836" spans="7:14" x14ac:dyDescent="0.75">
      <c r="G3836" s="10"/>
      <c r="H3836" s="10"/>
      <c r="I3836" s="39"/>
      <c r="J3836" s="103"/>
      <c r="K3836" s="39"/>
      <c r="L3836" s="78"/>
      <c r="M3836" s="19"/>
      <c r="N3836" s="10"/>
    </row>
    <row r="3837" spans="7:14" x14ac:dyDescent="0.75">
      <c r="G3837" s="10"/>
      <c r="H3837" s="10"/>
      <c r="I3837" s="39"/>
      <c r="J3837" s="103"/>
      <c r="K3837" s="39"/>
      <c r="L3837" s="78"/>
      <c r="M3837" s="19"/>
      <c r="N3837" s="10"/>
    </row>
    <row r="3838" spans="7:14" x14ac:dyDescent="0.75">
      <c r="G3838" s="10"/>
      <c r="H3838" s="10"/>
      <c r="I3838" s="39"/>
      <c r="J3838" s="103"/>
      <c r="K3838" s="39"/>
      <c r="L3838" s="78"/>
      <c r="M3838" s="19"/>
      <c r="N3838" s="10"/>
    </row>
    <row r="3839" spans="7:14" x14ac:dyDescent="0.75">
      <c r="G3839" s="10"/>
      <c r="H3839" s="10"/>
      <c r="I3839" s="39"/>
      <c r="J3839" s="103"/>
      <c r="K3839" s="39"/>
      <c r="L3839" s="78"/>
      <c r="M3839" s="19"/>
      <c r="N3839" s="10"/>
    </row>
    <row r="3840" spans="7:14" x14ac:dyDescent="0.75">
      <c r="G3840" s="10"/>
      <c r="H3840" s="10"/>
      <c r="I3840" s="39"/>
      <c r="J3840" s="103"/>
      <c r="K3840" s="39"/>
      <c r="L3840" s="78"/>
      <c r="M3840" s="19"/>
      <c r="N3840" s="10"/>
    </row>
    <row r="3841" spans="7:14" x14ac:dyDescent="0.75">
      <c r="G3841" s="10"/>
      <c r="H3841" s="10"/>
      <c r="I3841" s="39"/>
      <c r="J3841" s="103"/>
      <c r="K3841" s="39"/>
      <c r="L3841" s="78"/>
      <c r="M3841" s="19"/>
      <c r="N3841" s="10"/>
    </row>
    <row r="3842" spans="7:14" x14ac:dyDescent="0.75">
      <c r="G3842" s="10"/>
      <c r="H3842" s="10"/>
      <c r="I3842" s="39"/>
      <c r="J3842" s="103"/>
      <c r="K3842" s="39"/>
      <c r="L3842" s="78"/>
      <c r="M3842" s="19"/>
      <c r="N3842" s="10"/>
    </row>
    <row r="3843" spans="7:14" x14ac:dyDescent="0.75">
      <c r="G3843" s="10"/>
      <c r="H3843" s="10"/>
      <c r="I3843" s="39"/>
      <c r="J3843" s="103"/>
      <c r="K3843" s="39"/>
      <c r="L3843" s="78"/>
      <c r="M3843" s="19"/>
      <c r="N3843" s="10"/>
    </row>
    <row r="3844" spans="7:14" x14ac:dyDescent="0.75">
      <c r="G3844" s="10"/>
      <c r="H3844" s="10"/>
      <c r="I3844" s="39"/>
      <c r="J3844" s="103"/>
      <c r="K3844" s="39"/>
      <c r="L3844" s="78"/>
      <c r="M3844" s="19"/>
      <c r="N3844" s="10"/>
    </row>
    <row r="3845" spans="7:14" x14ac:dyDescent="0.75">
      <c r="G3845" s="10"/>
      <c r="H3845" s="10"/>
      <c r="I3845" s="39"/>
      <c r="J3845" s="103"/>
      <c r="K3845" s="39"/>
      <c r="L3845" s="78"/>
      <c r="M3845" s="19"/>
      <c r="N3845" s="10"/>
    </row>
    <row r="3846" spans="7:14" x14ac:dyDescent="0.75">
      <c r="G3846" s="10"/>
      <c r="H3846" s="10"/>
      <c r="I3846" s="39"/>
      <c r="J3846" s="103"/>
      <c r="K3846" s="39"/>
      <c r="L3846" s="78"/>
      <c r="M3846" s="19"/>
      <c r="N3846" s="10"/>
    </row>
    <row r="3847" spans="7:14" x14ac:dyDescent="0.75">
      <c r="G3847" s="10"/>
      <c r="H3847" s="10"/>
      <c r="I3847" s="39"/>
      <c r="J3847" s="103"/>
      <c r="K3847" s="39"/>
      <c r="L3847" s="78"/>
      <c r="M3847" s="19"/>
      <c r="N3847" s="10"/>
    </row>
    <row r="3848" spans="7:14" x14ac:dyDescent="0.75">
      <c r="G3848" s="10"/>
      <c r="H3848" s="10"/>
      <c r="I3848" s="39"/>
      <c r="J3848" s="103"/>
      <c r="K3848" s="39"/>
      <c r="L3848" s="78"/>
      <c r="M3848" s="19"/>
      <c r="N3848" s="10"/>
    </row>
    <row r="3849" spans="7:14" x14ac:dyDescent="0.75">
      <c r="G3849" s="10"/>
      <c r="H3849" s="10"/>
      <c r="I3849" s="39"/>
      <c r="J3849" s="103"/>
      <c r="K3849" s="39"/>
      <c r="L3849" s="78"/>
      <c r="M3849" s="19"/>
      <c r="N3849" s="10"/>
    </row>
    <row r="3850" spans="7:14" x14ac:dyDescent="0.75">
      <c r="G3850" s="10"/>
      <c r="H3850" s="10"/>
      <c r="I3850" s="39"/>
      <c r="J3850" s="103"/>
      <c r="K3850" s="39"/>
      <c r="L3850" s="78"/>
      <c r="M3850" s="19"/>
      <c r="N3850" s="10"/>
    </row>
    <row r="3851" spans="7:14" x14ac:dyDescent="0.75">
      <c r="G3851" s="10"/>
      <c r="H3851" s="10"/>
      <c r="I3851" s="39"/>
      <c r="J3851" s="103"/>
      <c r="K3851" s="39"/>
      <c r="L3851" s="78"/>
      <c r="M3851" s="19"/>
      <c r="N3851" s="10"/>
    </row>
    <row r="3852" spans="7:14" x14ac:dyDescent="0.75">
      <c r="G3852" s="10"/>
      <c r="H3852" s="10"/>
      <c r="I3852" s="39"/>
      <c r="J3852" s="103"/>
      <c r="K3852" s="39"/>
      <c r="L3852" s="78"/>
      <c r="M3852" s="19"/>
      <c r="N3852" s="10"/>
    </row>
    <row r="3853" spans="7:14" x14ac:dyDescent="0.75">
      <c r="G3853" s="10"/>
      <c r="H3853" s="10"/>
      <c r="I3853" s="39"/>
      <c r="J3853" s="103"/>
      <c r="K3853" s="39"/>
      <c r="L3853" s="78"/>
      <c r="M3853" s="19"/>
      <c r="N3853" s="10"/>
    </row>
    <row r="3854" spans="7:14" x14ac:dyDescent="0.75">
      <c r="G3854" s="10"/>
      <c r="H3854" s="10"/>
      <c r="I3854" s="39"/>
      <c r="J3854" s="103"/>
      <c r="K3854" s="39"/>
      <c r="L3854" s="78"/>
      <c r="M3854" s="19"/>
      <c r="N3854" s="10"/>
    </row>
    <row r="3855" spans="7:14" x14ac:dyDescent="0.75">
      <c r="G3855" s="10"/>
      <c r="H3855" s="10"/>
      <c r="I3855" s="39"/>
      <c r="J3855" s="103"/>
      <c r="K3855" s="39"/>
      <c r="L3855" s="78"/>
      <c r="M3855" s="19"/>
      <c r="N3855" s="10"/>
    </row>
    <row r="3856" spans="7:14" x14ac:dyDescent="0.75">
      <c r="G3856" s="10"/>
      <c r="H3856" s="10"/>
      <c r="I3856" s="39"/>
      <c r="J3856" s="103"/>
      <c r="K3856" s="39"/>
      <c r="L3856" s="78"/>
      <c r="M3856" s="19"/>
      <c r="N3856" s="10"/>
    </row>
    <row r="3857" spans="7:14" x14ac:dyDescent="0.75">
      <c r="G3857" s="10"/>
      <c r="H3857" s="10"/>
      <c r="I3857" s="39"/>
      <c r="J3857" s="103"/>
      <c r="K3857" s="39"/>
      <c r="L3857" s="78"/>
      <c r="M3857" s="19"/>
      <c r="N3857" s="10"/>
    </row>
    <row r="3858" spans="7:14" x14ac:dyDescent="0.75">
      <c r="G3858" s="10"/>
      <c r="H3858" s="10"/>
      <c r="I3858" s="39"/>
      <c r="J3858" s="103"/>
      <c r="K3858" s="39"/>
      <c r="L3858" s="78"/>
      <c r="M3858" s="19"/>
      <c r="N3858" s="10"/>
    </row>
    <row r="3859" spans="7:14" x14ac:dyDescent="0.75">
      <c r="G3859" s="10"/>
      <c r="H3859" s="10"/>
      <c r="I3859" s="39"/>
      <c r="J3859" s="103"/>
      <c r="K3859" s="39"/>
      <c r="L3859" s="78"/>
      <c r="M3859" s="19"/>
      <c r="N3859" s="10"/>
    </row>
    <row r="3860" spans="7:14" x14ac:dyDescent="0.75">
      <c r="G3860" s="10"/>
      <c r="H3860" s="10"/>
      <c r="I3860" s="39"/>
      <c r="J3860" s="103"/>
      <c r="K3860" s="39"/>
      <c r="L3860" s="78"/>
      <c r="M3860" s="19"/>
      <c r="N3860" s="10"/>
    </row>
    <row r="3861" spans="7:14" x14ac:dyDescent="0.75">
      <c r="G3861" s="10"/>
      <c r="H3861" s="10"/>
      <c r="I3861" s="39"/>
      <c r="J3861" s="103"/>
      <c r="K3861" s="39"/>
      <c r="L3861" s="78"/>
      <c r="M3861" s="19"/>
      <c r="N3861" s="10"/>
    </row>
    <row r="3862" spans="7:14" x14ac:dyDescent="0.75">
      <c r="G3862" s="10"/>
      <c r="H3862" s="10"/>
      <c r="I3862" s="39"/>
      <c r="J3862" s="103"/>
      <c r="K3862" s="39"/>
      <c r="L3862" s="78"/>
      <c r="M3862" s="19"/>
      <c r="N3862" s="10"/>
    </row>
    <row r="3863" spans="7:14" x14ac:dyDescent="0.75">
      <c r="G3863" s="10"/>
      <c r="H3863" s="10"/>
      <c r="I3863" s="39"/>
      <c r="J3863" s="103"/>
      <c r="K3863" s="39"/>
      <c r="L3863" s="78"/>
      <c r="M3863" s="19"/>
      <c r="N3863" s="10"/>
    </row>
    <row r="3864" spans="7:14" x14ac:dyDescent="0.75">
      <c r="G3864" s="10"/>
      <c r="H3864" s="10"/>
      <c r="I3864" s="39"/>
      <c r="J3864" s="103"/>
      <c r="K3864" s="39"/>
      <c r="L3864" s="78"/>
      <c r="M3864" s="19"/>
      <c r="N3864" s="10"/>
    </row>
    <row r="3865" spans="7:14" x14ac:dyDescent="0.75">
      <c r="G3865" s="10"/>
      <c r="H3865" s="10"/>
      <c r="I3865" s="39"/>
      <c r="J3865" s="103"/>
      <c r="K3865" s="39"/>
      <c r="L3865" s="78"/>
      <c r="M3865" s="19"/>
      <c r="N3865" s="10"/>
    </row>
    <row r="3866" spans="7:14" x14ac:dyDescent="0.75">
      <c r="G3866" s="10"/>
      <c r="H3866" s="10"/>
      <c r="I3866" s="39"/>
      <c r="J3866" s="103"/>
      <c r="K3866" s="39"/>
      <c r="L3866" s="78"/>
      <c r="M3866" s="19"/>
      <c r="N3866" s="10"/>
    </row>
    <row r="3867" spans="7:14" x14ac:dyDescent="0.75">
      <c r="G3867" s="10"/>
      <c r="H3867" s="10"/>
      <c r="I3867" s="39"/>
      <c r="J3867" s="103"/>
      <c r="K3867" s="39"/>
      <c r="L3867" s="78"/>
      <c r="M3867" s="19"/>
      <c r="N3867" s="10"/>
    </row>
    <row r="3868" spans="7:14" x14ac:dyDescent="0.75">
      <c r="G3868" s="10"/>
      <c r="H3868" s="10"/>
      <c r="I3868" s="39"/>
      <c r="J3868" s="103"/>
      <c r="K3868" s="39"/>
      <c r="L3868" s="78"/>
      <c r="M3868" s="19"/>
      <c r="N3868" s="10"/>
    </row>
    <row r="3869" spans="7:14" x14ac:dyDescent="0.75">
      <c r="G3869" s="10"/>
      <c r="H3869" s="10"/>
      <c r="I3869" s="39"/>
      <c r="J3869" s="103"/>
      <c r="K3869" s="39"/>
      <c r="L3869" s="78"/>
      <c r="M3869" s="19"/>
      <c r="N3869" s="10"/>
    </row>
    <row r="3870" spans="7:14" x14ac:dyDescent="0.75">
      <c r="G3870" s="10"/>
      <c r="H3870" s="10"/>
      <c r="I3870" s="39"/>
      <c r="J3870" s="103"/>
      <c r="K3870" s="39"/>
      <c r="L3870" s="78"/>
      <c r="M3870" s="19"/>
      <c r="N3870" s="10"/>
    </row>
    <row r="3871" spans="7:14" x14ac:dyDescent="0.75">
      <c r="G3871" s="10"/>
      <c r="H3871" s="10"/>
      <c r="I3871" s="39"/>
      <c r="J3871" s="103"/>
      <c r="K3871" s="39"/>
      <c r="L3871" s="78"/>
      <c r="M3871" s="19"/>
      <c r="N3871" s="10"/>
    </row>
    <row r="3872" spans="7:14" x14ac:dyDescent="0.75">
      <c r="G3872" s="10"/>
      <c r="H3872" s="10"/>
      <c r="I3872" s="39"/>
      <c r="J3872" s="103"/>
      <c r="K3872" s="39"/>
      <c r="L3872" s="78"/>
      <c r="M3872" s="19"/>
      <c r="N3872" s="10"/>
    </row>
    <row r="3873" spans="7:14" x14ac:dyDescent="0.75">
      <c r="G3873" s="10"/>
      <c r="H3873" s="10"/>
      <c r="I3873" s="39"/>
      <c r="J3873" s="103"/>
      <c r="K3873" s="39"/>
      <c r="L3873" s="78"/>
      <c r="M3873" s="19"/>
      <c r="N3873" s="10"/>
    </row>
    <row r="3874" spans="7:14" x14ac:dyDescent="0.75">
      <c r="G3874" s="10"/>
      <c r="H3874" s="10"/>
      <c r="I3874" s="39"/>
      <c r="J3874" s="103"/>
      <c r="K3874" s="39"/>
      <c r="L3874" s="78"/>
      <c r="M3874" s="19"/>
      <c r="N3874" s="10"/>
    </row>
    <row r="3875" spans="7:14" x14ac:dyDescent="0.75">
      <c r="G3875" s="10"/>
      <c r="H3875" s="10"/>
      <c r="I3875" s="39"/>
      <c r="J3875" s="103"/>
      <c r="K3875" s="39"/>
      <c r="L3875" s="78"/>
      <c r="M3875" s="19"/>
      <c r="N3875" s="10"/>
    </row>
    <row r="3876" spans="7:14" x14ac:dyDescent="0.75">
      <c r="G3876" s="10"/>
      <c r="H3876" s="10"/>
      <c r="I3876" s="39"/>
      <c r="J3876" s="103"/>
      <c r="K3876" s="39"/>
      <c r="L3876" s="78"/>
      <c r="M3876" s="19"/>
      <c r="N3876" s="10"/>
    </row>
    <row r="3877" spans="7:14" x14ac:dyDescent="0.75">
      <c r="G3877" s="10"/>
      <c r="H3877" s="10"/>
      <c r="I3877" s="39"/>
      <c r="J3877" s="103"/>
      <c r="K3877" s="39"/>
      <c r="L3877" s="78"/>
      <c r="M3877" s="19"/>
      <c r="N3877" s="10"/>
    </row>
    <row r="3878" spans="7:14" x14ac:dyDescent="0.75">
      <c r="G3878" s="10"/>
      <c r="H3878" s="10"/>
      <c r="I3878" s="39"/>
      <c r="J3878" s="103"/>
      <c r="K3878" s="39"/>
      <c r="L3878" s="78"/>
      <c r="M3878" s="19"/>
      <c r="N3878" s="10"/>
    </row>
    <row r="3879" spans="7:14" x14ac:dyDescent="0.75">
      <c r="G3879" s="10"/>
      <c r="H3879" s="10"/>
      <c r="I3879" s="39"/>
      <c r="J3879" s="103"/>
      <c r="K3879" s="39"/>
      <c r="L3879" s="78"/>
      <c r="M3879" s="19"/>
      <c r="N3879" s="10"/>
    </row>
    <row r="3880" spans="7:14" x14ac:dyDescent="0.75">
      <c r="G3880" s="10"/>
      <c r="H3880" s="10"/>
      <c r="I3880" s="39"/>
      <c r="J3880" s="103"/>
      <c r="K3880" s="39"/>
      <c r="L3880" s="78"/>
      <c r="M3880" s="19"/>
      <c r="N3880" s="10"/>
    </row>
    <row r="3881" spans="7:14" x14ac:dyDescent="0.75">
      <c r="G3881" s="10"/>
      <c r="H3881" s="10"/>
      <c r="I3881" s="39"/>
      <c r="J3881" s="103"/>
      <c r="K3881" s="39"/>
      <c r="L3881" s="78"/>
      <c r="M3881" s="19"/>
      <c r="N3881" s="10"/>
    </row>
    <row r="3882" spans="7:14" x14ac:dyDescent="0.75">
      <c r="G3882" s="10"/>
      <c r="H3882" s="10"/>
      <c r="I3882" s="39"/>
      <c r="J3882" s="103"/>
      <c r="K3882" s="39"/>
      <c r="L3882" s="78"/>
      <c r="M3882" s="19"/>
      <c r="N3882" s="10"/>
    </row>
    <row r="3883" spans="7:14" x14ac:dyDescent="0.75">
      <c r="G3883" s="10"/>
      <c r="H3883" s="10"/>
      <c r="I3883" s="39"/>
      <c r="J3883" s="103"/>
      <c r="K3883" s="39"/>
      <c r="L3883" s="10"/>
      <c r="M3883" s="19"/>
      <c r="N3883" s="10"/>
    </row>
    <row r="3884" spans="7:14" x14ac:dyDescent="0.75">
      <c r="G3884" s="10"/>
      <c r="H3884" s="10"/>
      <c r="I3884" s="39"/>
      <c r="J3884" s="103"/>
      <c r="K3884" s="39"/>
      <c r="L3884" s="78"/>
      <c r="M3884" s="19"/>
      <c r="N3884" s="10"/>
    </row>
    <row r="3885" spans="7:14" x14ac:dyDescent="0.75">
      <c r="G3885" s="10"/>
      <c r="H3885" s="10"/>
      <c r="I3885" s="39"/>
      <c r="J3885" s="103"/>
      <c r="K3885" s="39"/>
      <c r="L3885" s="78"/>
      <c r="M3885" s="19"/>
      <c r="N3885" s="10"/>
    </row>
    <row r="3886" spans="7:14" x14ac:dyDescent="0.75">
      <c r="G3886" s="10"/>
      <c r="H3886" s="10"/>
      <c r="I3886" s="39"/>
      <c r="J3886" s="103"/>
      <c r="K3886" s="39"/>
      <c r="L3886" s="78"/>
      <c r="M3886" s="19"/>
      <c r="N3886" s="10"/>
    </row>
    <row r="3887" spans="7:14" x14ac:dyDescent="0.75">
      <c r="G3887" s="10"/>
      <c r="H3887" s="10"/>
      <c r="I3887" s="39"/>
      <c r="J3887" s="103"/>
      <c r="K3887" s="39"/>
      <c r="L3887" s="78"/>
      <c r="M3887" s="19"/>
      <c r="N3887" s="10"/>
    </row>
    <row r="3888" spans="7:14" x14ac:dyDescent="0.75">
      <c r="G3888" s="10"/>
      <c r="H3888" s="10"/>
      <c r="I3888" s="39"/>
      <c r="J3888" s="103"/>
      <c r="K3888" s="39"/>
      <c r="L3888" s="78"/>
      <c r="M3888" s="19"/>
      <c r="N3888" s="10"/>
    </row>
    <row r="3889" spans="7:14" x14ac:dyDescent="0.75">
      <c r="G3889" s="10"/>
      <c r="H3889" s="10"/>
      <c r="I3889" s="39"/>
      <c r="J3889" s="103"/>
      <c r="K3889" s="39"/>
      <c r="L3889" s="10"/>
      <c r="M3889" s="19"/>
      <c r="N3889" s="10"/>
    </row>
    <row r="3890" spans="7:14" x14ac:dyDescent="0.75">
      <c r="G3890" s="10"/>
      <c r="H3890" s="10"/>
      <c r="I3890" s="39"/>
      <c r="J3890" s="103"/>
      <c r="K3890" s="39"/>
      <c r="L3890" s="78"/>
      <c r="M3890" s="19"/>
      <c r="N3890" s="10"/>
    </row>
    <row r="3891" spans="7:14" x14ac:dyDescent="0.75">
      <c r="G3891" s="10"/>
      <c r="H3891" s="10"/>
      <c r="I3891" s="39"/>
      <c r="J3891" s="103"/>
      <c r="K3891" s="39"/>
      <c r="L3891" s="78"/>
      <c r="M3891" s="19"/>
      <c r="N3891" s="10"/>
    </row>
    <row r="3892" spans="7:14" x14ac:dyDescent="0.75">
      <c r="G3892" s="10"/>
      <c r="H3892" s="10"/>
      <c r="I3892" s="39"/>
      <c r="J3892" s="103"/>
      <c r="K3892" s="39"/>
      <c r="L3892" s="78"/>
      <c r="M3892" s="19"/>
      <c r="N3892" s="10"/>
    </row>
    <row r="3893" spans="7:14" x14ac:dyDescent="0.75">
      <c r="G3893" s="10"/>
      <c r="H3893" s="10"/>
      <c r="I3893" s="39"/>
      <c r="J3893" s="103"/>
      <c r="K3893" s="39"/>
      <c r="L3893" s="78"/>
      <c r="M3893" s="19"/>
      <c r="N3893" s="10"/>
    </row>
    <row r="3894" spans="7:14" x14ac:dyDescent="0.75">
      <c r="G3894" s="10"/>
      <c r="H3894" s="10"/>
      <c r="I3894" s="39"/>
      <c r="J3894" s="103"/>
      <c r="K3894" s="39"/>
      <c r="L3894" s="78"/>
      <c r="M3894" s="19"/>
      <c r="N3894" s="10"/>
    </row>
    <row r="3895" spans="7:14" x14ac:dyDescent="0.75">
      <c r="G3895" s="10"/>
      <c r="H3895" s="10"/>
      <c r="I3895" s="39"/>
      <c r="J3895" s="103"/>
      <c r="K3895" s="39"/>
      <c r="L3895" s="78"/>
      <c r="M3895" s="19"/>
      <c r="N3895" s="10"/>
    </row>
    <row r="3896" spans="7:14" x14ac:dyDescent="0.75">
      <c r="G3896" s="10"/>
      <c r="H3896" s="10"/>
      <c r="I3896" s="39"/>
      <c r="J3896" s="103"/>
      <c r="K3896" s="39"/>
      <c r="L3896" s="78"/>
      <c r="M3896" s="19"/>
      <c r="N3896" s="10"/>
    </row>
    <row r="3897" spans="7:14" x14ac:dyDescent="0.75">
      <c r="G3897" s="10"/>
      <c r="H3897" s="10"/>
      <c r="I3897" s="39"/>
      <c r="J3897" s="103"/>
      <c r="K3897" s="39"/>
      <c r="L3897" s="78"/>
      <c r="M3897" s="19"/>
      <c r="N3897" s="10"/>
    </row>
    <row r="3898" spans="7:14" x14ac:dyDescent="0.75">
      <c r="G3898" s="10"/>
      <c r="H3898" s="10"/>
      <c r="I3898" s="39"/>
      <c r="J3898" s="103"/>
      <c r="K3898" s="39"/>
      <c r="L3898" s="78"/>
      <c r="M3898" s="19"/>
      <c r="N3898" s="10"/>
    </row>
    <row r="3899" spans="7:14" x14ac:dyDescent="0.75">
      <c r="G3899" s="10"/>
      <c r="H3899" s="10"/>
      <c r="I3899" s="39"/>
      <c r="J3899" s="103"/>
      <c r="K3899" s="39"/>
      <c r="L3899" s="78"/>
      <c r="M3899" s="19"/>
      <c r="N3899" s="10"/>
    </row>
    <row r="3900" spans="7:14" x14ac:dyDescent="0.75">
      <c r="G3900" s="10"/>
      <c r="H3900" s="10"/>
      <c r="I3900" s="39"/>
      <c r="J3900" s="103"/>
      <c r="K3900" s="39"/>
      <c r="L3900" s="78"/>
      <c r="M3900" s="19"/>
      <c r="N3900" s="10"/>
    </row>
    <row r="3901" spans="7:14" x14ac:dyDescent="0.75">
      <c r="G3901" s="10"/>
      <c r="H3901" s="10"/>
      <c r="I3901" s="39"/>
      <c r="J3901" s="103"/>
      <c r="K3901" s="39"/>
      <c r="L3901" s="78"/>
      <c r="M3901" s="19"/>
      <c r="N3901" s="10"/>
    </row>
    <row r="3902" spans="7:14" x14ac:dyDescent="0.75">
      <c r="G3902" s="10"/>
      <c r="H3902" s="10"/>
      <c r="I3902" s="39"/>
      <c r="J3902" s="103"/>
      <c r="K3902" s="39"/>
      <c r="L3902" s="78"/>
      <c r="M3902" s="19"/>
      <c r="N3902" s="10"/>
    </row>
    <row r="3903" spans="7:14" x14ac:dyDescent="0.75">
      <c r="G3903" s="10"/>
      <c r="H3903" s="10"/>
      <c r="I3903" s="39"/>
      <c r="J3903" s="103"/>
      <c r="K3903" s="39"/>
      <c r="L3903" s="78"/>
      <c r="M3903" s="19"/>
      <c r="N3903" s="10"/>
    </row>
    <row r="3904" spans="7:14" x14ac:dyDescent="0.75">
      <c r="G3904" s="10"/>
      <c r="H3904" s="10"/>
      <c r="I3904" s="39"/>
      <c r="J3904" s="103"/>
      <c r="K3904" s="39"/>
      <c r="L3904" s="10"/>
      <c r="M3904" s="19"/>
      <c r="N3904" s="10"/>
    </row>
    <row r="3905" spans="7:14" x14ac:dyDescent="0.75">
      <c r="G3905" s="10"/>
      <c r="H3905" s="10"/>
      <c r="I3905" s="39"/>
      <c r="J3905" s="103"/>
      <c r="K3905" s="39"/>
      <c r="L3905" s="78"/>
      <c r="M3905" s="19"/>
      <c r="N3905" s="10"/>
    </row>
    <row r="3906" spans="7:14" x14ac:dyDescent="0.75">
      <c r="G3906" s="10"/>
      <c r="H3906" s="10"/>
      <c r="I3906" s="39"/>
      <c r="J3906" s="103"/>
      <c r="K3906" s="39"/>
      <c r="L3906" s="78"/>
      <c r="M3906" s="19"/>
      <c r="N3906" s="10"/>
    </row>
    <row r="3907" spans="7:14" x14ac:dyDescent="0.75">
      <c r="G3907" s="10"/>
      <c r="H3907" s="10"/>
      <c r="I3907" s="39"/>
      <c r="J3907" s="103"/>
      <c r="K3907" s="39"/>
      <c r="L3907" s="78"/>
      <c r="M3907" s="19"/>
      <c r="N3907" s="10"/>
    </row>
    <row r="3908" spans="7:14" x14ac:dyDescent="0.75">
      <c r="G3908" s="10"/>
      <c r="H3908" s="10"/>
      <c r="I3908" s="39"/>
      <c r="J3908" s="103"/>
      <c r="K3908" s="39"/>
      <c r="L3908" s="78"/>
      <c r="M3908" s="19"/>
      <c r="N3908" s="10"/>
    </row>
    <row r="3909" spans="7:14" x14ac:dyDescent="0.75">
      <c r="G3909" s="10"/>
      <c r="H3909" s="10"/>
      <c r="I3909" s="39"/>
      <c r="J3909" s="103"/>
      <c r="K3909" s="39"/>
      <c r="L3909" s="78"/>
      <c r="M3909" s="19"/>
      <c r="N3909" s="10"/>
    </row>
    <row r="3910" spans="7:14" x14ac:dyDescent="0.75">
      <c r="G3910" s="10"/>
      <c r="H3910" s="10"/>
      <c r="I3910" s="39"/>
      <c r="J3910" s="103"/>
      <c r="K3910" s="39"/>
      <c r="L3910" s="10"/>
      <c r="M3910" s="19"/>
      <c r="N3910" s="10"/>
    </row>
    <row r="3911" spans="7:14" x14ac:dyDescent="0.75">
      <c r="G3911" s="10"/>
      <c r="H3911" s="10"/>
      <c r="I3911" s="39"/>
      <c r="J3911" s="103"/>
      <c r="K3911" s="39"/>
      <c r="L3911" s="78"/>
      <c r="M3911" s="19"/>
      <c r="N3911" s="10"/>
    </row>
    <row r="3912" spans="7:14" x14ac:dyDescent="0.75">
      <c r="G3912" s="10"/>
      <c r="H3912" s="10"/>
      <c r="I3912" s="39"/>
      <c r="J3912" s="103"/>
      <c r="K3912" s="39"/>
      <c r="L3912" s="78"/>
      <c r="M3912" s="19"/>
      <c r="N3912" s="10"/>
    </row>
    <row r="3913" spans="7:14" x14ac:dyDescent="0.75">
      <c r="G3913" s="10"/>
      <c r="H3913" s="10"/>
      <c r="I3913" s="39"/>
      <c r="J3913" s="103"/>
      <c r="K3913" s="39"/>
      <c r="L3913" s="78"/>
      <c r="M3913" s="19"/>
      <c r="N3913" s="10"/>
    </row>
    <row r="3914" spans="7:14" x14ac:dyDescent="0.75">
      <c r="G3914" s="10"/>
      <c r="H3914" s="10"/>
      <c r="I3914" s="39"/>
      <c r="J3914" s="103"/>
      <c r="K3914" s="39"/>
      <c r="L3914" s="78"/>
      <c r="M3914" s="19"/>
      <c r="N3914" s="10"/>
    </row>
    <row r="3915" spans="7:14" x14ac:dyDescent="0.75">
      <c r="G3915" s="10"/>
      <c r="H3915" s="10"/>
      <c r="I3915" s="39"/>
      <c r="J3915" s="103"/>
      <c r="K3915" s="39"/>
      <c r="L3915" s="78"/>
      <c r="M3915" s="19"/>
      <c r="N3915" s="10"/>
    </row>
    <row r="3916" spans="7:14" x14ac:dyDescent="0.75">
      <c r="G3916" s="10"/>
      <c r="H3916" s="10"/>
      <c r="I3916" s="39"/>
      <c r="J3916" s="103"/>
      <c r="K3916" s="39"/>
      <c r="L3916" s="78"/>
      <c r="M3916" s="19"/>
      <c r="N3916" s="10"/>
    </row>
    <row r="3917" spans="7:14" x14ac:dyDescent="0.75">
      <c r="G3917" s="10"/>
      <c r="H3917" s="10"/>
      <c r="I3917" s="39"/>
      <c r="J3917" s="103"/>
      <c r="K3917" s="39"/>
      <c r="L3917" s="78"/>
      <c r="M3917" s="19"/>
      <c r="N3917" s="10"/>
    </row>
    <row r="3918" spans="7:14" x14ac:dyDescent="0.75">
      <c r="G3918" s="10"/>
      <c r="H3918" s="10"/>
      <c r="I3918" s="39"/>
      <c r="J3918" s="103"/>
      <c r="K3918" s="39"/>
      <c r="L3918" s="78"/>
      <c r="M3918" s="19"/>
      <c r="N3918" s="10"/>
    </row>
    <row r="3919" spans="7:14" x14ac:dyDescent="0.75">
      <c r="G3919" s="10"/>
      <c r="H3919" s="10"/>
      <c r="I3919" s="39"/>
      <c r="J3919" s="103"/>
      <c r="K3919" s="39"/>
      <c r="L3919" s="78"/>
      <c r="M3919" s="19"/>
      <c r="N3919" s="10"/>
    </row>
    <row r="3920" spans="7:14" x14ac:dyDescent="0.75">
      <c r="G3920" s="10"/>
      <c r="H3920" s="10"/>
      <c r="I3920" s="39"/>
      <c r="J3920" s="103"/>
      <c r="K3920" s="39"/>
      <c r="L3920" s="78"/>
      <c r="M3920" s="19"/>
      <c r="N3920" s="10"/>
    </row>
    <row r="3921" spans="7:14" x14ac:dyDescent="0.75">
      <c r="G3921" s="10"/>
      <c r="H3921" s="10"/>
      <c r="I3921" s="39"/>
      <c r="J3921" s="103"/>
      <c r="K3921" s="39"/>
      <c r="L3921" s="78"/>
      <c r="M3921" s="19"/>
      <c r="N3921" s="10"/>
    </row>
    <row r="3922" spans="7:14" x14ac:dyDescent="0.75">
      <c r="G3922" s="10"/>
      <c r="H3922" s="10"/>
      <c r="I3922" s="39"/>
      <c r="J3922" s="103"/>
      <c r="K3922" s="39"/>
      <c r="L3922" s="78"/>
      <c r="M3922" s="19"/>
      <c r="N3922" s="10"/>
    </row>
    <row r="3923" spans="7:14" x14ac:dyDescent="0.75">
      <c r="G3923" s="10"/>
      <c r="H3923" s="10"/>
      <c r="I3923" s="39"/>
      <c r="J3923" s="103"/>
      <c r="K3923" s="39"/>
      <c r="L3923" s="78"/>
      <c r="M3923" s="19"/>
      <c r="N3923" s="10"/>
    </row>
    <row r="3924" spans="7:14" x14ac:dyDescent="0.75">
      <c r="G3924" s="10"/>
      <c r="H3924" s="10"/>
      <c r="I3924" s="39"/>
      <c r="J3924" s="103"/>
      <c r="K3924" s="39"/>
      <c r="L3924" s="78"/>
      <c r="M3924" s="19"/>
      <c r="N3924" s="10"/>
    </row>
    <row r="3925" spans="7:14" x14ac:dyDescent="0.75">
      <c r="G3925" s="10"/>
      <c r="H3925" s="10"/>
      <c r="I3925" s="39"/>
      <c r="J3925" s="103"/>
      <c r="K3925" s="39"/>
      <c r="L3925" s="78"/>
      <c r="M3925" s="19"/>
      <c r="N3925" s="10"/>
    </row>
    <row r="3926" spans="7:14" x14ac:dyDescent="0.75">
      <c r="G3926" s="10"/>
      <c r="H3926" s="10"/>
      <c r="I3926" s="39"/>
      <c r="J3926" s="103"/>
      <c r="K3926" s="39"/>
      <c r="L3926" s="78"/>
      <c r="M3926" s="19"/>
      <c r="N3926" s="10"/>
    </row>
    <row r="3927" spans="7:14" x14ac:dyDescent="0.75">
      <c r="G3927" s="10"/>
      <c r="H3927" s="10"/>
      <c r="I3927" s="39"/>
      <c r="J3927" s="103"/>
      <c r="K3927" s="39"/>
      <c r="L3927" s="78"/>
      <c r="M3927" s="19"/>
      <c r="N3927" s="10"/>
    </row>
    <row r="3928" spans="7:14" x14ac:dyDescent="0.75">
      <c r="G3928" s="10"/>
      <c r="H3928" s="10"/>
      <c r="I3928" s="39"/>
      <c r="J3928" s="103"/>
      <c r="K3928" s="39"/>
      <c r="L3928" s="78"/>
      <c r="M3928" s="19"/>
      <c r="N3928" s="10"/>
    </row>
    <row r="3929" spans="7:14" x14ac:dyDescent="0.75">
      <c r="G3929" s="10"/>
      <c r="H3929" s="10"/>
      <c r="I3929" s="39"/>
      <c r="J3929" s="103"/>
      <c r="K3929" s="39"/>
      <c r="L3929" s="78"/>
      <c r="M3929" s="19"/>
      <c r="N3929" s="10"/>
    </row>
    <row r="3930" spans="7:14" x14ac:dyDescent="0.75">
      <c r="G3930" s="10"/>
      <c r="H3930" s="10"/>
      <c r="I3930" s="39"/>
      <c r="J3930" s="103"/>
      <c r="K3930" s="39"/>
      <c r="L3930" s="78"/>
      <c r="M3930" s="19"/>
      <c r="N3930" s="10"/>
    </row>
    <row r="3931" spans="7:14" x14ac:dyDescent="0.75">
      <c r="G3931" s="10"/>
      <c r="H3931" s="10"/>
      <c r="I3931" s="39"/>
      <c r="J3931" s="103"/>
      <c r="K3931" s="39"/>
      <c r="L3931" s="78"/>
      <c r="M3931" s="19"/>
      <c r="N3931" s="10"/>
    </row>
    <row r="3932" spans="7:14" x14ac:dyDescent="0.75">
      <c r="G3932" s="10"/>
      <c r="H3932" s="10"/>
      <c r="I3932" s="39"/>
      <c r="J3932" s="103"/>
      <c r="K3932" s="39"/>
      <c r="L3932" s="78"/>
      <c r="M3932" s="19"/>
      <c r="N3932" s="10"/>
    </row>
    <row r="3933" spans="7:14" x14ac:dyDescent="0.75">
      <c r="G3933" s="10"/>
      <c r="H3933" s="10"/>
      <c r="I3933" s="39"/>
      <c r="J3933" s="103"/>
      <c r="K3933" s="39"/>
      <c r="L3933" s="78"/>
      <c r="M3933" s="19"/>
      <c r="N3933" s="10"/>
    </row>
    <row r="3934" spans="7:14" x14ac:dyDescent="0.75">
      <c r="G3934" s="10"/>
      <c r="H3934" s="10"/>
      <c r="I3934" s="39"/>
      <c r="J3934" s="103"/>
      <c r="K3934" s="39"/>
      <c r="L3934" s="78"/>
      <c r="M3934" s="19"/>
      <c r="N3934" s="10"/>
    </row>
    <row r="3935" spans="7:14" x14ac:dyDescent="0.75">
      <c r="G3935" s="10"/>
      <c r="H3935" s="10"/>
      <c r="I3935" s="39"/>
      <c r="J3935" s="103"/>
      <c r="K3935" s="39"/>
      <c r="L3935" s="78"/>
      <c r="M3935" s="19"/>
      <c r="N3935" s="10"/>
    </row>
    <row r="3936" spans="7:14" x14ac:dyDescent="0.75">
      <c r="G3936" s="10"/>
      <c r="H3936" s="10"/>
      <c r="I3936" s="39"/>
      <c r="J3936" s="103"/>
      <c r="K3936" s="39"/>
      <c r="L3936" s="78"/>
      <c r="M3936" s="19"/>
      <c r="N3936" s="10"/>
    </row>
    <row r="3937" spans="7:14" x14ac:dyDescent="0.75">
      <c r="G3937" s="10"/>
      <c r="H3937" s="10"/>
      <c r="I3937" s="39"/>
      <c r="J3937" s="103"/>
      <c r="K3937" s="39"/>
      <c r="L3937" s="78"/>
      <c r="M3937" s="19"/>
      <c r="N3937" s="10"/>
    </row>
    <row r="3938" spans="7:14" x14ac:dyDescent="0.75">
      <c r="G3938" s="10"/>
      <c r="H3938" s="10"/>
      <c r="I3938" s="39"/>
      <c r="J3938" s="103"/>
      <c r="K3938" s="39"/>
      <c r="L3938" s="78"/>
      <c r="M3938" s="19"/>
      <c r="N3938" s="10"/>
    </row>
    <row r="3939" spans="7:14" x14ac:dyDescent="0.75">
      <c r="G3939" s="10"/>
      <c r="H3939" s="10"/>
      <c r="I3939" s="39"/>
      <c r="J3939" s="103"/>
      <c r="K3939" s="39"/>
      <c r="L3939" s="78"/>
      <c r="M3939" s="19"/>
      <c r="N3939" s="10"/>
    </row>
    <row r="3940" spans="7:14" x14ac:dyDescent="0.75">
      <c r="G3940" s="10"/>
      <c r="H3940" s="10"/>
      <c r="I3940" s="39"/>
      <c r="J3940" s="103"/>
      <c r="K3940" s="39"/>
      <c r="L3940" s="78"/>
      <c r="M3940" s="19"/>
      <c r="N3940" s="10"/>
    </row>
    <row r="3941" spans="7:14" x14ac:dyDescent="0.75">
      <c r="G3941" s="10"/>
      <c r="H3941" s="10"/>
      <c r="I3941" s="39"/>
      <c r="J3941" s="103"/>
      <c r="K3941" s="39"/>
      <c r="L3941" s="78"/>
      <c r="M3941" s="19"/>
      <c r="N3941" s="10"/>
    </row>
    <row r="3942" spans="7:14" x14ac:dyDescent="0.75">
      <c r="G3942" s="10"/>
      <c r="H3942" s="10"/>
      <c r="I3942" s="39"/>
      <c r="J3942" s="103"/>
      <c r="K3942" s="39"/>
      <c r="L3942" s="78"/>
      <c r="M3942" s="19"/>
      <c r="N3942" s="10"/>
    </row>
    <row r="3943" spans="7:14" x14ac:dyDescent="0.75">
      <c r="G3943" s="10"/>
      <c r="H3943" s="10"/>
      <c r="I3943" s="39"/>
      <c r="J3943" s="103"/>
      <c r="K3943" s="39"/>
      <c r="L3943" s="78"/>
      <c r="M3943" s="19"/>
      <c r="N3943" s="10"/>
    </row>
    <row r="3944" spans="7:14" x14ac:dyDescent="0.75">
      <c r="G3944" s="10"/>
      <c r="H3944" s="10"/>
      <c r="I3944" s="39"/>
      <c r="J3944" s="103"/>
      <c r="K3944" s="39"/>
      <c r="L3944" s="10"/>
      <c r="M3944" s="19"/>
      <c r="N3944" s="10"/>
    </row>
    <row r="3945" spans="7:14" x14ac:dyDescent="0.75">
      <c r="G3945" s="10"/>
      <c r="H3945" s="10"/>
      <c r="I3945" s="39"/>
      <c r="J3945" s="103"/>
      <c r="K3945" s="39"/>
      <c r="L3945" s="10"/>
      <c r="M3945" s="19"/>
      <c r="N3945" s="10"/>
    </row>
    <row r="3946" spans="7:14" x14ac:dyDescent="0.75">
      <c r="G3946" s="10"/>
      <c r="H3946" s="10"/>
      <c r="I3946" s="39"/>
      <c r="J3946" s="103"/>
      <c r="K3946" s="39"/>
      <c r="L3946" s="78"/>
      <c r="M3946" s="19"/>
      <c r="N3946" s="10"/>
    </row>
    <row r="3947" spans="7:14" x14ac:dyDescent="0.75">
      <c r="G3947" s="10"/>
      <c r="H3947" s="10"/>
      <c r="I3947" s="39"/>
      <c r="J3947" s="103"/>
      <c r="K3947" s="39"/>
      <c r="L3947" s="78"/>
      <c r="M3947" s="19"/>
      <c r="N3947" s="10"/>
    </row>
    <row r="3948" spans="7:14" x14ac:dyDescent="0.75">
      <c r="G3948" s="10"/>
      <c r="H3948" s="10"/>
      <c r="I3948" s="39"/>
      <c r="J3948" s="103"/>
      <c r="K3948" s="39"/>
      <c r="L3948" s="10"/>
      <c r="M3948" s="19"/>
      <c r="N3948" s="10"/>
    </row>
    <row r="3949" spans="7:14" x14ac:dyDescent="0.75">
      <c r="G3949" s="10"/>
      <c r="H3949" s="10"/>
      <c r="I3949" s="39"/>
      <c r="J3949" s="103"/>
      <c r="K3949" s="39"/>
      <c r="L3949" s="10"/>
      <c r="M3949" s="19"/>
      <c r="N3949" s="10"/>
    </row>
    <row r="3950" spans="7:14" x14ac:dyDescent="0.75">
      <c r="G3950" s="10"/>
      <c r="H3950" s="10"/>
      <c r="I3950" s="39"/>
      <c r="J3950" s="103"/>
      <c r="K3950" s="39"/>
      <c r="L3950" s="10"/>
      <c r="M3950" s="19"/>
      <c r="N3950" s="10"/>
    </row>
    <row r="3951" spans="7:14" x14ac:dyDescent="0.75">
      <c r="G3951" s="10"/>
      <c r="H3951" s="10"/>
      <c r="I3951" s="39"/>
      <c r="J3951" s="103"/>
      <c r="K3951" s="39"/>
      <c r="L3951" s="78"/>
      <c r="M3951" s="19"/>
      <c r="N3951" s="10"/>
    </row>
    <row r="3952" spans="7:14" x14ac:dyDescent="0.75">
      <c r="G3952" s="10"/>
      <c r="H3952" s="10"/>
      <c r="I3952" s="39"/>
      <c r="J3952" s="103"/>
      <c r="K3952" s="39"/>
      <c r="L3952" s="78"/>
      <c r="M3952" s="19"/>
      <c r="N3952" s="10"/>
    </row>
    <row r="3953" spans="7:14" x14ac:dyDescent="0.75">
      <c r="G3953" s="10"/>
      <c r="H3953" s="10"/>
      <c r="I3953" s="39"/>
      <c r="J3953" s="103"/>
      <c r="K3953" s="39"/>
      <c r="L3953" s="78"/>
      <c r="M3953" s="19"/>
      <c r="N3953" s="10"/>
    </row>
    <row r="3954" spans="7:14" x14ac:dyDescent="0.75">
      <c r="G3954" s="10"/>
      <c r="H3954" s="10"/>
      <c r="I3954" s="39"/>
      <c r="J3954" s="103"/>
      <c r="K3954" s="39"/>
      <c r="L3954" s="78"/>
      <c r="M3954" s="19"/>
      <c r="N3954" s="10"/>
    </row>
    <row r="3955" spans="7:14" x14ac:dyDescent="0.75">
      <c r="G3955" s="10"/>
      <c r="H3955" s="10"/>
      <c r="I3955" s="39"/>
      <c r="J3955" s="103"/>
      <c r="K3955" s="39"/>
      <c r="L3955" s="10"/>
      <c r="M3955" s="19"/>
      <c r="N3955" s="10"/>
    </row>
    <row r="3956" spans="7:14" x14ac:dyDescent="0.75">
      <c r="G3956" s="10"/>
      <c r="H3956" s="10"/>
      <c r="I3956" s="39"/>
      <c r="J3956" s="103"/>
      <c r="K3956" s="39"/>
      <c r="L3956" s="10"/>
      <c r="M3956" s="19"/>
      <c r="N3956" s="10"/>
    </row>
    <row r="3957" spans="7:14" x14ac:dyDescent="0.75">
      <c r="G3957" s="10"/>
      <c r="H3957" s="10"/>
      <c r="I3957" s="39"/>
      <c r="J3957" s="103"/>
      <c r="K3957" s="39"/>
      <c r="L3957" s="10"/>
      <c r="M3957" s="19"/>
      <c r="N3957" s="10"/>
    </row>
    <row r="3958" spans="7:14" x14ac:dyDescent="0.75">
      <c r="G3958" s="10"/>
      <c r="H3958" s="10"/>
      <c r="I3958" s="39"/>
      <c r="J3958" s="103"/>
      <c r="K3958" s="39"/>
      <c r="L3958" s="78"/>
      <c r="M3958" s="19"/>
      <c r="N3958" s="10"/>
    </row>
    <row r="3959" spans="7:14" x14ac:dyDescent="0.75">
      <c r="G3959" s="10"/>
      <c r="H3959" s="10"/>
      <c r="I3959" s="39"/>
      <c r="J3959" s="103"/>
      <c r="K3959" s="39"/>
      <c r="L3959" s="78"/>
      <c r="M3959" s="19"/>
      <c r="N3959" s="10"/>
    </row>
    <row r="3960" spans="7:14" x14ac:dyDescent="0.75">
      <c r="G3960" s="10"/>
      <c r="H3960" s="10"/>
      <c r="I3960" s="39"/>
      <c r="J3960" s="103"/>
      <c r="K3960" s="39"/>
      <c r="L3960" s="78"/>
      <c r="M3960" s="19"/>
      <c r="N3960" s="10"/>
    </row>
    <row r="3961" spans="7:14" x14ac:dyDescent="0.75">
      <c r="G3961" s="10"/>
      <c r="H3961" s="10"/>
      <c r="I3961" s="39"/>
      <c r="J3961" s="103"/>
      <c r="K3961" s="39"/>
      <c r="L3961" s="78"/>
      <c r="M3961" s="19"/>
      <c r="N3961" s="10"/>
    </row>
    <row r="3962" spans="7:14" x14ac:dyDescent="0.75">
      <c r="G3962" s="10"/>
      <c r="H3962" s="10"/>
      <c r="I3962" s="39"/>
      <c r="J3962" s="103"/>
      <c r="K3962" s="39"/>
      <c r="L3962" s="78"/>
      <c r="M3962" s="19"/>
      <c r="N3962" s="10"/>
    </row>
    <row r="3963" spans="7:14" x14ac:dyDescent="0.75">
      <c r="G3963" s="10"/>
      <c r="H3963" s="10"/>
      <c r="I3963" s="39"/>
      <c r="J3963" s="103"/>
      <c r="K3963" s="39"/>
      <c r="L3963" s="78"/>
      <c r="M3963" s="19"/>
      <c r="N3963" s="10"/>
    </row>
    <row r="3964" spans="7:14" x14ac:dyDescent="0.75">
      <c r="G3964" s="10"/>
      <c r="H3964" s="10"/>
      <c r="I3964" s="39"/>
      <c r="J3964" s="103"/>
      <c r="K3964" s="39"/>
      <c r="L3964" s="78"/>
      <c r="M3964" s="19"/>
      <c r="N3964" s="10"/>
    </row>
    <row r="3965" spans="7:14" x14ac:dyDescent="0.75">
      <c r="G3965" s="10"/>
      <c r="H3965" s="10"/>
      <c r="I3965" s="39"/>
      <c r="J3965" s="103"/>
      <c r="K3965" s="39"/>
      <c r="L3965" s="78"/>
      <c r="M3965" s="19"/>
      <c r="N3965" s="10"/>
    </row>
    <row r="3966" spans="7:14" x14ac:dyDescent="0.75">
      <c r="G3966" s="10"/>
      <c r="H3966" s="10"/>
      <c r="I3966" s="39"/>
      <c r="J3966" s="103"/>
      <c r="K3966" s="39"/>
      <c r="L3966" s="78"/>
      <c r="M3966" s="19"/>
      <c r="N3966" s="10"/>
    </row>
    <row r="3967" spans="7:14" x14ac:dyDescent="0.75">
      <c r="G3967" s="10"/>
      <c r="H3967" s="10"/>
      <c r="I3967" s="39"/>
      <c r="J3967" s="103"/>
      <c r="K3967" s="39"/>
      <c r="L3967" s="78"/>
      <c r="M3967" s="19"/>
      <c r="N3967" s="10"/>
    </row>
    <row r="3968" spans="7:14" x14ac:dyDescent="0.75">
      <c r="G3968" s="10"/>
      <c r="H3968" s="10"/>
      <c r="I3968" s="39"/>
      <c r="J3968" s="103"/>
      <c r="K3968" s="39"/>
      <c r="L3968" s="78"/>
      <c r="M3968" s="19"/>
      <c r="N3968" s="10"/>
    </row>
    <row r="3969" spans="7:14" x14ac:dyDescent="0.75">
      <c r="G3969" s="10"/>
      <c r="H3969" s="10"/>
      <c r="I3969" s="39"/>
      <c r="J3969" s="103"/>
      <c r="K3969" s="39"/>
      <c r="L3969" s="10"/>
      <c r="M3969" s="19"/>
      <c r="N3969" s="10"/>
    </row>
    <row r="3970" spans="7:14" x14ac:dyDescent="0.75">
      <c r="G3970" s="10"/>
      <c r="H3970" s="10"/>
      <c r="I3970" s="39"/>
      <c r="J3970" s="103"/>
      <c r="K3970" s="39"/>
      <c r="L3970" s="10"/>
      <c r="M3970" s="19"/>
      <c r="N3970" s="10"/>
    </row>
    <row r="3971" spans="7:14" x14ac:dyDescent="0.75">
      <c r="G3971" s="10"/>
      <c r="H3971" s="10"/>
      <c r="I3971" s="39"/>
      <c r="J3971" s="103"/>
      <c r="K3971" s="39"/>
      <c r="L3971" s="10"/>
      <c r="M3971" s="19"/>
      <c r="N3971" s="10"/>
    </row>
    <row r="3972" spans="7:14" x14ac:dyDescent="0.75">
      <c r="G3972" s="10"/>
      <c r="H3972" s="10"/>
      <c r="I3972" s="39"/>
      <c r="J3972" s="103"/>
      <c r="K3972" s="39"/>
      <c r="L3972" s="78"/>
      <c r="M3972" s="19"/>
      <c r="N3972" s="10"/>
    </row>
    <row r="3973" spans="7:14" x14ac:dyDescent="0.75">
      <c r="G3973" s="10"/>
      <c r="H3973" s="10"/>
      <c r="I3973" s="39"/>
      <c r="J3973" s="103"/>
      <c r="K3973" s="39"/>
      <c r="L3973" s="78"/>
      <c r="M3973" s="19"/>
      <c r="N3973" s="10"/>
    </row>
    <row r="3974" spans="7:14" x14ac:dyDescent="0.75">
      <c r="G3974" s="10"/>
      <c r="H3974" s="10"/>
      <c r="I3974" s="39"/>
      <c r="J3974" s="103"/>
      <c r="K3974" s="39"/>
      <c r="L3974" s="78"/>
      <c r="M3974" s="19"/>
      <c r="N3974" s="10"/>
    </row>
    <row r="3975" spans="7:14" x14ac:dyDescent="0.75">
      <c r="G3975" s="10"/>
      <c r="H3975" s="10"/>
      <c r="I3975" s="39"/>
      <c r="J3975" s="103"/>
      <c r="K3975" s="39"/>
      <c r="L3975" s="78"/>
      <c r="M3975" s="19"/>
      <c r="N3975" s="10"/>
    </row>
    <row r="3976" spans="7:14" x14ac:dyDescent="0.75">
      <c r="G3976" s="10"/>
      <c r="H3976" s="10"/>
      <c r="I3976" s="39"/>
      <c r="J3976" s="103"/>
      <c r="K3976" s="39"/>
      <c r="L3976" s="78"/>
      <c r="M3976" s="19"/>
      <c r="N3976" s="10"/>
    </row>
    <row r="3977" spans="7:14" x14ac:dyDescent="0.75">
      <c r="G3977" s="10"/>
      <c r="H3977" s="10"/>
      <c r="I3977" s="39"/>
      <c r="J3977" s="103"/>
      <c r="K3977" s="39"/>
      <c r="L3977" s="78"/>
      <c r="M3977" s="19"/>
      <c r="N3977" s="10"/>
    </row>
    <row r="3978" spans="7:14" x14ac:dyDescent="0.75">
      <c r="G3978" s="10"/>
      <c r="H3978" s="10"/>
      <c r="I3978" s="39"/>
      <c r="J3978" s="103"/>
      <c r="K3978" s="39"/>
      <c r="L3978" s="78"/>
      <c r="M3978" s="19"/>
      <c r="N3978" s="10"/>
    </row>
    <row r="3979" spans="7:14" x14ac:dyDescent="0.75">
      <c r="G3979" s="10"/>
      <c r="H3979" s="10"/>
      <c r="I3979" s="39"/>
      <c r="J3979" s="103"/>
      <c r="K3979" s="39"/>
      <c r="L3979" s="78"/>
      <c r="M3979" s="19"/>
      <c r="N3979" s="10"/>
    </row>
    <row r="3980" spans="7:14" x14ac:dyDescent="0.75">
      <c r="G3980" s="10"/>
      <c r="H3980" s="10"/>
      <c r="I3980" s="39"/>
      <c r="J3980" s="103"/>
      <c r="K3980" s="39"/>
      <c r="L3980" s="78"/>
      <c r="M3980" s="19"/>
      <c r="N3980" s="10"/>
    </row>
    <row r="3981" spans="7:14" x14ac:dyDescent="0.75">
      <c r="G3981" s="10"/>
      <c r="H3981" s="10"/>
      <c r="I3981" s="39"/>
      <c r="J3981" s="103"/>
      <c r="K3981" s="39"/>
      <c r="L3981" s="78"/>
      <c r="M3981" s="19"/>
      <c r="N3981" s="10"/>
    </row>
    <row r="3982" spans="7:14" x14ac:dyDescent="0.75">
      <c r="G3982" s="10"/>
      <c r="H3982" s="10"/>
      <c r="I3982" s="39"/>
      <c r="J3982" s="103"/>
      <c r="K3982" s="39"/>
      <c r="L3982" s="78"/>
      <c r="M3982" s="19"/>
      <c r="N3982" s="10"/>
    </row>
    <row r="3983" spans="7:14" x14ac:dyDescent="0.75">
      <c r="G3983" s="10"/>
      <c r="H3983" s="10"/>
      <c r="I3983" s="39"/>
      <c r="J3983" s="103"/>
      <c r="K3983" s="39"/>
      <c r="L3983" s="78"/>
      <c r="M3983" s="19"/>
      <c r="N3983" s="10"/>
    </row>
    <row r="3984" spans="7:14" x14ac:dyDescent="0.75">
      <c r="G3984" s="10"/>
      <c r="H3984" s="10"/>
      <c r="I3984" s="39"/>
      <c r="J3984" s="103"/>
      <c r="K3984" s="39"/>
      <c r="L3984" s="78"/>
      <c r="M3984" s="19"/>
      <c r="N3984" s="10"/>
    </row>
    <row r="3985" spans="7:14" x14ac:dyDescent="0.75">
      <c r="G3985" s="10"/>
      <c r="H3985" s="10"/>
      <c r="I3985" s="39"/>
      <c r="J3985" s="103"/>
      <c r="K3985" s="39"/>
      <c r="L3985" s="78"/>
      <c r="M3985" s="19"/>
      <c r="N3985" s="10"/>
    </row>
    <row r="3986" spans="7:14" x14ac:dyDescent="0.75">
      <c r="G3986" s="10"/>
      <c r="H3986" s="10"/>
      <c r="I3986" s="39"/>
      <c r="J3986" s="103"/>
      <c r="K3986" s="39"/>
      <c r="L3986" s="10"/>
      <c r="M3986" s="19"/>
      <c r="N3986" s="10"/>
    </row>
    <row r="3987" spans="7:14" x14ac:dyDescent="0.75">
      <c r="G3987" s="10"/>
      <c r="H3987" s="10"/>
      <c r="I3987" s="39"/>
      <c r="J3987" s="103"/>
      <c r="K3987" s="39"/>
      <c r="L3987" s="10"/>
      <c r="M3987" s="19"/>
      <c r="N3987" s="10"/>
    </row>
    <row r="3988" spans="7:14" x14ac:dyDescent="0.75">
      <c r="G3988" s="10"/>
      <c r="H3988" s="10"/>
      <c r="I3988" s="39"/>
      <c r="J3988" s="103"/>
      <c r="K3988" s="39"/>
      <c r="L3988" s="78"/>
      <c r="M3988" s="19"/>
      <c r="N3988" s="10"/>
    </row>
    <row r="3989" spans="7:14" x14ac:dyDescent="0.75">
      <c r="G3989" s="10"/>
      <c r="H3989" s="10"/>
      <c r="I3989" s="39"/>
      <c r="J3989" s="103"/>
      <c r="K3989" s="39"/>
      <c r="L3989" s="78"/>
      <c r="M3989" s="19"/>
      <c r="N3989" s="10"/>
    </row>
    <row r="3990" spans="7:14" x14ac:dyDescent="0.75">
      <c r="G3990" s="10"/>
      <c r="H3990" s="10"/>
      <c r="I3990" s="39"/>
      <c r="J3990" s="103"/>
      <c r="K3990" s="39"/>
      <c r="L3990" s="78"/>
      <c r="M3990" s="19"/>
      <c r="N3990" s="10"/>
    </row>
    <row r="3991" spans="7:14" x14ac:dyDescent="0.75">
      <c r="G3991" s="10"/>
      <c r="H3991" s="10"/>
      <c r="I3991" s="39"/>
      <c r="J3991" s="103"/>
      <c r="K3991" s="39"/>
      <c r="L3991" s="78"/>
      <c r="M3991" s="19"/>
      <c r="N3991" s="10"/>
    </row>
    <row r="3992" spans="7:14" x14ac:dyDescent="0.75">
      <c r="G3992" s="10"/>
      <c r="H3992" s="10"/>
      <c r="I3992" s="39"/>
      <c r="J3992" s="103"/>
      <c r="K3992" s="39"/>
      <c r="L3992" s="78"/>
      <c r="M3992" s="19"/>
      <c r="N3992" s="10"/>
    </row>
    <row r="3993" spans="7:14" x14ac:dyDescent="0.75">
      <c r="G3993" s="10"/>
      <c r="H3993" s="10"/>
      <c r="I3993" s="39"/>
      <c r="J3993" s="103"/>
      <c r="K3993" s="39"/>
      <c r="L3993" s="78"/>
      <c r="M3993" s="19"/>
      <c r="N3993" s="10"/>
    </row>
    <row r="3994" spans="7:14" x14ac:dyDescent="0.75">
      <c r="G3994" s="10"/>
      <c r="H3994" s="10"/>
      <c r="I3994" s="39"/>
      <c r="J3994" s="103"/>
      <c r="K3994" s="39"/>
      <c r="L3994" s="78"/>
      <c r="M3994" s="19"/>
      <c r="N3994" s="10"/>
    </row>
    <row r="3995" spans="7:14" x14ac:dyDescent="0.75">
      <c r="G3995" s="10"/>
      <c r="H3995" s="10"/>
      <c r="I3995" s="39"/>
      <c r="J3995" s="103"/>
      <c r="K3995" s="39"/>
      <c r="L3995" s="10"/>
      <c r="M3995" s="19"/>
      <c r="N3995" s="10"/>
    </row>
    <row r="3996" spans="7:14" x14ac:dyDescent="0.75">
      <c r="G3996" s="10"/>
      <c r="H3996" s="10"/>
      <c r="I3996" s="39"/>
      <c r="J3996" s="103"/>
      <c r="K3996" s="39"/>
      <c r="L3996" s="78"/>
      <c r="M3996" s="19"/>
      <c r="N3996" s="10"/>
    </row>
    <row r="3997" spans="7:14" x14ac:dyDescent="0.75">
      <c r="G3997" s="10"/>
      <c r="H3997" s="10"/>
      <c r="I3997" s="39"/>
      <c r="J3997" s="103"/>
      <c r="K3997" s="39"/>
      <c r="L3997" s="10"/>
      <c r="M3997" s="19"/>
      <c r="N3997" s="10"/>
    </row>
    <row r="3998" spans="7:14" x14ac:dyDescent="0.75">
      <c r="G3998" s="10"/>
      <c r="H3998" s="10"/>
      <c r="I3998" s="39"/>
      <c r="J3998" s="103"/>
      <c r="K3998" s="39"/>
      <c r="L3998" s="10"/>
      <c r="M3998" s="19"/>
      <c r="N3998" s="10"/>
    </row>
    <row r="3999" spans="7:14" x14ac:dyDescent="0.75">
      <c r="G3999" s="10"/>
      <c r="H3999" s="10"/>
      <c r="I3999" s="39"/>
      <c r="J3999" s="103"/>
      <c r="K3999" s="39"/>
      <c r="L3999" s="10"/>
      <c r="M3999" s="19"/>
      <c r="N3999" s="10"/>
    </row>
    <row r="4000" spans="7:14" x14ac:dyDescent="0.75">
      <c r="G4000" s="10"/>
      <c r="H4000" s="10"/>
      <c r="I4000" s="39"/>
      <c r="J4000" s="103"/>
      <c r="K4000" s="39"/>
      <c r="L4000" s="78"/>
      <c r="M4000" s="19"/>
      <c r="N4000" s="10"/>
    </row>
    <row r="4001" spans="7:14" x14ac:dyDescent="0.75">
      <c r="G4001" s="10"/>
      <c r="H4001" s="10"/>
      <c r="I4001" s="39"/>
      <c r="J4001" s="103"/>
      <c r="K4001" s="39"/>
      <c r="L4001" s="78"/>
      <c r="M4001" s="19"/>
      <c r="N4001" s="10"/>
    </row>
    <row r="4002" spans="7:14" x14ac:dyDescent="0.75">
      <c r="G4002" s="10"/>
      <c r="H4002" s="10"/>
      <c r="I4002" s="39"/>
      <c r="J4002" s="103"/>
      <c r="K4002" s="39"/>
      <c r="L4002" s="78"/>
      <c r="M4002" s="19"/>
      <c r="N4002" s="10"/>
    </row>
    <row r="4003" spans="7:14" x14ac:dyDescent="0.75">
      <c r="G4003" s="10"/>
      <c r="H4003" s="10"/>
      <c r="I4003" s="39"/>
      <c r="J4003" s="103"/>
      <c r="K4003" s="39"/>
      <c r="L4003" s="78"/>
      <c r="M4003" s="19"/>
      <c r="N4003" s="10"/>
    </row>
    <row r="4004" spans="7:14" x14ac:dyDescent="0.75">
      <c r="G4004" s="10"/>
      <c r="H4004" s="10"/>
      <c r="I4004" s="39"/>
      <c r="J4004" s="103"/>
      <c r="K4004" s="39"/>
      <c r="L4004" s="78"/>
      <c r="M4004" s="19"/>
      <c r="N4004" s="10"/>
    </row>
    <row r="4005" spans="7:14" x14ac:dyDescent="0.75">
      <c r="G4005" s="10"/>
      <c r="H4005" s="10"/>
      <c r="I4005" s="39"/>
      <c r="J4005" s="103"/>
      <c r="K4005" s="39"/>
      <c r="L4005" s="78"/>
      <c r="M4005" s="19"/>
      <c r="N4005" s="10"/>
    </row>
    <row r="4006" spans="7:14" x14ac:dyDescent="0.75">
      <c r="G4006" s="10"/>
      <c r="H4006" s="10"/>
      <c r="I4006" s="39"/>
      <c r="J4006" s="103"/>
      <c r="K4006" s="39"/>
      <c r="L4006" s="78"/>
      <c r="M4006" s="19"/>
      <c r="N4006" s="10"/>
    </row>
    <row r="4007" spans="7:14" x14ac:dyDescent="0.75">
      <c r="G4007" s="10"/>
      <c r="H4007" s="10"/>
      <c r="I4007" s="39"/>
      <c r="J4007" s="103"/>
      <c r="K4007" s="39"/>
      <c r="L4007" s="78"/>
      <c r="M4007" s="19"/>
      <c r="N4007" s="10"/>
    </row>
    <row r="4008" spans="7:14" x14ac:dyDescent="0.75">
      <c r="G4008" s="10"/>
      <c r="H4008" s="10"/>
      <c r="I4008" s="39"/>
      <c r="J4008" s="103"/>
      <c r="K4008" s="39"/>
      <c r="L4008" s="10"/>
      <c r="M4008" s="19"/>
      <c r="N4008" s="10"/>
    </row>
    <row r="4009" spans="7:14" x14ac:dyDescent="0.75">
      <c r="G4009" s="10"/>
      <c r="H4009" s="10"/>
      <c r="I4009" s="39"/>
      <c r="J4009" s="103"/>
      <c r="K4009" s="39"/>
      <c r="L4009" s="10"/>
      <c r="M4009" s="19"/>
      <c r="N4009" s="10"/>
    </row>
    <row r="4010" spans="7:14" x14ac:dyDescent="0.75">
      <c r="G4010" s="10"/>
      <c r="H4010" s="10"/>
      <c r="I4010" s="39"/>
      <c r="J4010" s="103"/>
      <c r="K4010" s="39"/>
      <c r="L4010" s="78"/>
      <c r="M4010" s="19"/>
      <c r="N4010" s="10"/>
    </row>
    <row r="4011" spans="7:14" x14ac:dyDescent="0.75">
      <c r="G4011" s="10"/>
      <c r="H4011" s="10"/>
      <c r="I4011" s="39"/>
      <c r="J4011" s="103"/>
      <c r="K4011" s="39"/>
      <c r="L4011" s="78"/>
      <c r="M4011" s="19"/>
      <c r="N4011" s="10"/>
    </row>
    <row r="4012" spans="7:14" x14ac:dyDescent="0.75">
      <c r="G4012" s="10"/>
      <c r="H4012" s="10"/>
      <c r="I4012" s="39"/>
      <c r="J4012" s="103"/>
      <c r="K4012" s="39"/>
      <c r="L4012" s="78"/>
      <c r="M4012" s="19"/>
      <c r="N4012" s="10"/>
    </row>
    <row r="4013" spans="7:14" x14ac:dyDescent="0.75">
      <c r="G4013" s="10"/>
      <c r="H4013" s="10"/>
      <c r="I4013" s="39"/>
      <c r="J4013" s="103"/>
      <c r="K4013" s="39"/>
      <c r="L4013" s="78"/>
      <c r="M4013" s="19"/>
      <c r="N4013" s="10"/>
    </row>
    <row r="4014" spans="7:14" x14ac:dyDescent="0.75">
      <c r="G4014" s="10"/>
      <c r="H4014" s="10"/>
      <c r="I4014" s="39"/>
      <c r="J4014" s="103"/>
      <c r="K4014" s="39"/>
      <c r="L4014" s="78"/>
      <c r="M4014" s="19"/>
      <c r="N4014" s="10"/>
    </row>
    <row r="4015" spans="7:14" x14ac:dyDescent="0.75">
      <c r="G4015" s="10"/>
      <c r="H4015" s="10"/>
      <c r="I4015" s="39"/>
      <c r="J4015" s="103"/>
      <c r="K4015" s="39"/>
      <c r="L4015" s="78"/>
      <c r="M4015" s="19"/>
      <c r="N4015" s="10"/>
    </row>
    <row r="4016" spans="7:14" x14ac:dyDescent="0.75">
      <c r="G4016" s="10"/>
      <c r="H4016" s="10"/>
      <c r="I4016" s="39"/>
      <c r="J4016" s="103"/>
      <c r="K4016" s="39"/>
      <c r="L4016" s="78"/>
      <c r="M4016" s="19"/>
      <c r="N4016" s="10"/>
    </row>
    <row r="4017" spans="7:14" x14ac:dyDescent="0.75">
      <c r="G4017" s="10"/>
      <c r="H4017" s="10"/>
      <c r="I4017" s="39"/>
      <c r="J4017" s="103"/>
      <c r="K4017" s="39"/>
      <c r="L4017" s="78"/>
      <c r="M4017" s="19"/>
      <c r="N4017" s="10"/>
    </row>
    <row r="4018" spans="7:14" x14ac:dyDescent="0.75">
      <c r="G4018" s="10"/>
      <c r="H4018" s="10"/>
      <c r="I4018" s="39"/>
      <c r="J4018" s="103"/>
      <c r="K4018" s="39"/>
      <c r="L4018" s="78"/>
      <c r="M4018" s="19"/>
      <c r="N4018" s="10"/>
    </row>
    <row r="4019" spans="7:14" x14ac:dyDescent="0.75">
      <c r="G4019" s="10"/>
      <c r="H4019" s="10"/>
      <c r="I4019" s="39"/>
      <c r="J4019" s="103"/>
      <c r="K4019" s="39"/>
      <c r="L4019" s="78"/>
      <c r="M4019" s="19"/>
      <c r="N4019" s="10"/>
    </row>
    <row r="4020" spans="7:14" x14ac:dyDescent="0.75">
      <c r="G4020" s="10"/>
      <c r="H4020" s="10"/>
      <c r="I4020" s="39"/>
      <c r="J4020" s="103"/>
      <c r="K4020" s="39"/>
      <c r="L4020" s="78"/>
      <c r="M4020" s="19"/>
      <c r="N4020" s="10"/>
    </row>
    <row r="4021" spans="7:14" x14ac:dyDescent="0.75">
      <c r="G4021" s="10"/>
      <c r="H4021" s="10"/>
      <c r="I4021" s="39"/>
      <c r="J4021" s="103"/>
      <c r="K4021" s="39"/>
      <c r="L4021" s="78"/>
      <c r="M4021" s="19"/>
      <c r="N4021" s="10"/>
    </row>
    <row r="4022" spans="7:14" x14ac:dyDescent="0.75">
      <c r="G4022" s="10"/>
      <c r="H4022" s="10"/>
      <c r="I4022" s="39"/>
      <c r="J4022" s="103"/>
      <c r="K4022" s="39"/>
      <c r="L4022" s="78"/>
      <c r="M4022" s="19"/>
      <c r="N4022" s="10"/>
    </row>
    <row r="4023" spans="7:14" x14ac:dyDescent="0.75">
      <c r="G4023" s="10"/>
      <c r="H4023" s="10"/>
      <c r="I4023" s="39"/>
      <c r="J4023" s="103"/>
      <c r="K4023" s="39"/>
      <c r="L4023" s="78"/>
      <c r="M4023" s="19"/>
      <c r="N4023" s="10"/>
    </row>
    <row r="4024" spans="7:14" x14ac:dyDescent="0.75">
      <c r="G4024" s="10"/>
      <c r="H4024" s="10"/>
      <c r="I4024" s="39"/>
      <c r="J4024" s="103"/>
      <c r="K4024" s="39"/>
      <c r="L4024" s="78"/>
      <c r="M4024" s="19"/>
      <c r="N4024" s="10"/>
    </row>
    <row r="4025" spans="7:14" x14ac:dyDescent="0.75">
      <c r="G4025" s="10"/>
      <c r="H4025" s="10"/>
      <c r="I4025" s="39"/>
      <c r="J4025" s="103"/>
      <c r="K4025" s="39"/>
      <c r="L4025" s="78"/>
      <c r="M4025" s="19"/>
      <c r="N4025" s="10"/>
    </row>
    <row r="4026" spans="7:14" x14ac:dyDescent="0.75">
      <c r="G4026" s="10"/>
      <c r="H4026" s="10"/>
      <c r="I4026" s="39"/>
      <c r="J4026" s="103"/>
      <c r="K4026" s="39"/>
      <c r="L4026" s="78"/>
      <c r="M4026" s="19"/>
      <c r="N4026" s="10"/>
    </row>
    <row r="4027" spans="7:14" x14ac:dyDescent="0.75">
      <c r="G4027" s="10"/>
      <c r="H4027" s="10"/>
      <c r="I4027" s="39"/>
      <c r="J4027" s="103"/>
      <c r="K4027" s="39"/>
      <c r="L4027" s="78"/>
      <c r="M4027" s="19"/>
      <c r="N4027" s="10"/>
    </row>
    <row r="4028" spans="7:14" x14ac:dyDescent="0.75">
      <c r="G4028" s="10"/>
      <c r="H4028" s="10"/>
      <c r="I4028" s="39"/>
      <c r="J4028" s="103"/>
      <c r="K4028" s="39"/>
      <c r="L4028" s="78"/>
      <c r="M4028" s="19"/>
      <c r="N4028" s="10"/>
    </row>
    <row r="4029" spans="7:14" x14ac:dyDescent="0.75">
      <c r="G4029" s="10"/>
      <c r="H4029" s="10"/>
      <c r="I4029" s="39"/>
      <c r="J4029" s="103"/>
      <c r="K4029" s="39"/>
      <c r="L4029" s="78"/>
      <c r="M4029" s="19"/>
      <c r="N4029" s="10"/>
    </row>
    <row r="4030" spans="7:14" x14ac:dyDescent="0.75">
      <c r="G4030" s="10"/>
      <c r="H4030" s="10"/>
      <c r="I4030" s="39"/>
      <c r="J4030" s="103"/>
      <c r="K4030" s="39"/>
      <c r="L4030" s="78"/>
      <c r="M4030" s="19"/>
      <c r="N4030" s="10"/>
    </row>
    <row r="4031" spans="7:14" x14ac:dyDescent="0.75">
      <c r="G4031" s="10"/>
      <c r="H4031" s="10"/>
      <c r="I4031" s="39"/>
      <c r="J4031" s="103"/>
      <c r="K4031" s="39"/>
      <c r="L4031" s="78"/>
      <c r="M4031" s="19"/>
      <c r="N4031" s="10"/>
    </row>
    <row r="4032" spans="7:14" x14ac:dyDescent="0.75">
      <c r="G4032" s="10"/>
      <c r="H4032" s="10"/>
      <c r="I4032" s="39"/>
      <c r="J4032" s="103"/>
      <c r="K4032" s="39"/>
      <c r="L4032" s="78"/>
      <c r="M4032" s="19"/>
      <c r="N4032" s="10"/>
    </row>
    <row r="4033" spans="7:14" x14ac:dyDescent="0.75">
      <c r="G4033" s="10"/>
      <c r="H4033" s="10"/>
      <c r="I4033" s="39"/>
      <c r="J4033" s="103"/>
      <c r="K4033" s="39"/>
      <c r="L4033" s="78"/>
      <c r="M4033" s="19"/>
      <c r="N4033" s="10"/>
    </row>
    <row r="4034" spans="7:14" x14ac:dyDescent="0.75">
      <c r="G4034" s="10"/>
      <c r="H4034" s="10"/>
      <c r="I4034" s="39"/>
      <c r="J4034" s="103"/>
      <c r="K4034" s="39"/>
      <c r="L4034" s="78"/>
      <c r="M4034" s="19"/>
      <c r="N4034" s="10"/>
    </row>
    <row r="4035" spans="7:14" x14ac:dyDescent="0.75">
      <c r="G4035" s="10"/>
      <c r="H4035" s="10"/>
      <c r="I4035" s="39"/>
      <c r="J4035" s="103"/>
      <c r="K4035" s="39"/>
      <c r="L4035" s="78"/>
      <c r="M4035" s="19"/>
      <c r="N4035" s="10"/>
    </row>
    <row r="4036" spans="7:14" x14ac:dyDescent="0.75">
      <c r="G4036" s="10"/>
      <c r="H4036" s="10"/>
      <c r="I4036" s="39"/>
      <c r="J4036" s="103"/>
      <c r="K4036" s="39"/>
      <c r="L4036" s="78"/>
      <c r="M4036" s="19"/>
      <c r="N4036" s="10"/>
    </row>
    <row r="4037" spans="7:14" x14ac:dyDescent="0.75">
      <c r="G4037" s="10"/>
      <c r="H4037" s="10"/>
      <c r="I4037" s="39"/>
      <c r="J4037" s="103"/>
      <c r="K4037" s="39"/>
      <c r="L4037" s="78"/>
      <c r="M4037" s="19"/>
      <c r="N4037" s="10"/>
    </row>
    <row r="4038" spans="7:14" x14ac:dyDescent="0.75">
      <c r="G4038" s="10"/>
      <c r="H4038" s="10"/>
      <c r="I4038" s="39"/>
      <c r="J4038" s="103"/>
      <c r="K4038" s="39"/>
      <c r="L4038" s="78"/>
      <c r="M4038" s="19"/>
      <c r="N4038" s="10"/>
    </row>
    <row r="4039" spans="7:14" x14ac:dyDescent="0.75">
      <c r="G4039" s="10"/>
      <c r="H4039" s="10"/>
      <c r="I4039" s="39"/>
      <c r="J4039" s="103"/>
      <c r="K4039" s="39"/>
      <c r="L4039" s="78"/>
      <c r="M4039" s="19"/>
      <c r="N4039" s="10"/>
    </row>
    <row r="4040" spans="7:14" x14ac:dyDescent="0.75">
      <c r="G4040" s="10"/>
      <c r="H4040" s="10"/>
      <c r="I4040" s="39"/>
      <c r="J4040" s="103"/>
      <c r="K4040" s="39"/>
      <c r="L4040" s="78"/>
      <c r="M4040" s="19"/>
      <c r="N4040" s="10"/>
    </row>
    <row r="4041" spans="7:14" x14ac:dyDescent="0.75">
      <c r="G4041" s="10"/>
      <c r="H4041" s="10"/>
      <c r="I4041" s="39"/>
      <c r="J4041" s="103"/>
      <c r="K4041" s="39"/>
      <c r="L4041" s="78"/>
      <c r="M4041" s="19"/>
      <c r="N4041" s="10"/>
    </row>
    <row r="4042" spans="7:14" x14ac:dyDescent="0.75">
      <c r="G4042" s="10"/>
      <c r="H4042" s="10"/>
      <c r="I4042" s="39"/>
      <c r="J4042" s="103"/>
      <c r="K4042" s="39"/>
      <c r="L4042" s="78"/>
      <c r="M4042" s="19"/>
      <c r="N4042" s="10"/>
    </row>
    <row r="4043" spans="7:14" x14ac:dyDescent="0.75">
      <c r="G4043" s="10"/>
      <c r="H4043" s="10"/>
      <c r="I4043" s="39"/>
      <c r="J4043" s="103"/>
      <c r="K4043" s="39"/>
      <c r="L4043" s="10"/>
      <c r="M4043" s="19"/>
      <c r="N4043" s="10"/>
    </row>
    <row r="4044" spans="7:14" x14ac:dyDescent="0.75">
      <c r="G4044" s="10"/>
      <c r="H4044" s="10"/>
      <c r="I4044" s="39"/>
      <c r="J4044" s="103"/>
      <c r="K4044" s="39"/>
      <c r="L4044" s="78"/>
      <c r="M4044" s="19"/>
      <c r="N4044" s="10"/>
    </row>
    <row r="4045" spans="7:14" x14ac:dyDescent="0.75">
      <c r="G4045" s="10"/>
      <c r="H4045" s="10"/>
      <c r="I4045" s="39"/>
      <c r="J4045" s="103"/>
      <c r="K4045" s="39"/>
      <c r="L4045" s="78"/>
      <c r="M4045" s="19"/>
      <c r="N4045" s="10"/>
    </row>
    <row r="4046" spans="7:14" x14ac:dyDescent="0.75">
      <c r="G4046" s="10"/>
      <c r="H4046" s="10"/>
      <c r="I4046" s="39"/>
      <c r="J4046" s="103"/>
      <c r="K4046" s="39"/>
      <c r="L4046" s="78"/>
      <c r="M4046" s="19"/>
      <c r="N4046" s="10"/>
    </row>
    <row r="4047" spans="7:14" x14ac:dyDescent="0.75">
      <c r="G4047" s="10"/>
      <c r="H4047" s="10"/>
      <c r="I4047" s="39"/>
      <c r="J4047" s="103"/>
      <c r="K4047" s="39"/>
      <c r="L4047" s="78"/>
      <c r="M4047" s="19"/>
      <c r="N4047" s="10"/>
    </row>
    <row r="4048" spans="7:14" x14ac:dyDescent="0.75">
      <c r="G4048" s="10"/>
      <c r="H4048" s="10"/>
      <c r="I4048" s="39"/>
      <c r="J4048" s="103"/>
      <c r="K4048" s="39"/>
      <c r="L4048" s="78"/>
      <c r="M4048" s="19"/>
      <c r="N4048" s="10"/>
    </row>
    <row r="4049" spans="7:14" x14ac:dyDescent="0.75">
      <c r="G4049" s="10"/>
      <c r="H4049" s="10"/>
      <c r="I4049" s="39"/>
      <c r="J4049" s="103"/>
      <c r="K4049" s="39"/>
      <c r="L4049" s="78"/>
      <c r="M4049" s="19"/>
      <c r="N4049" s="10"/>
    </row>
    <row r="4050" spans="7:14" x14ac:dyDescent="0.75">
      <c r="G4050" s="10"/>
      <c r="H4050" s="10"/>
      <c r="I4050" s="39"/>
      <c r="J4050" s="103"/>
      <c r="K4050" s="39"/>
      <c r="L4050" s="10"/>
      <c r="M4050" s="19"/>
      <c r="N4050" s="10"/>
    </row>
    <row r="4051" spans="7:14" x14ac:dyDescent="0.75">
      <c r="G4051" s="10"/>
      <c r="H4051" s="10"/>
      <c r="I4051" s="39"/>
      <c r="J4051" s="103"/>
      <c r="K4051" s="39"/>
      <c r="L4051" s="78"/>
      <c r="M4051" s="19"/>
      <c r="N4051" s="10"/>
    </row>
    <row r="4052" spans="7:14" x14ac:dyDescent="0.75">
      <c r="G4052" s="10"/>
      <c r="H4052" s="10"/>
      <c r="I4052" s="39"/>
      <c r="J4052" s="103"/>
      <c r="K4052" s="39"/>
      <c r="L4052" s="78"/>
      <c r="M4052" s="19"/>
      <c r="N4052" s="10"/>
    </row>
    <row r="4053" spans="7:14" x14ac:dyDescent="0.75">
      <c r="G4053" s="10"/>
      <c r="H4053" s="10"/>
      <c r="I4053" s="39"/>
      <c r="J4053" s="103"/>
      <c r="K4053" s="39"/>
      <c r="L4053" s="78"/>
      <c r="M4053" s="19"/>
      <c r="N4053" s="10"/>
    </row>
    <row r="4054" spans="7:14" x14ac:dyDescent="0.75">
      <c r="G4054" s="10"/>
      <c r="H4054" s="10"/>
      <c r="I4054" s="39"/>
      <c r="J4054" s="103"/>
      <c r="K4054" s="39"/>
      <c r="L4054" s="78"/>
      <c r="M4054" s="19"/>
      <c r="N4054" s="10"/>
    </row>
    <row r="4055" spans="7:14" x14ac:dyDescent="0.75">
      <c r="G4055" s="10"/>
      <c r="H4055" s="10"/>
      <c r="I4055" s="39"/>
      <c r="J4055" s="103"/>
      <c r="K4055" s="39"/>
      <c r="L4055" s="78"/>
      <c r="M4055" s="19"/>
      <c r="N4055" s="10"/>
    </row>
    <row r="4056" spans="7:14" x14ac:dyDescent="0.75">
      <c r="G4056" s="10"/>
      <c r="H4056" s="10"/>
      <c r="I4056" s="39"/>
      <c r="J4056" s="103"/>
      <c r="K4056" s="39"/>
      <c r="L4056" s="78"/>
      <c r="M4056" s="19"/>
      <c r="N4056" s="10"/>
    </row>
    <row r="4057" spans="7:14" x14ac:dyDescent="0.75">
      <c r="G4057" s="10"/>
      <c r="H4057" s="10"/>
      <c r="I4057" s="39"/>
      <c r="J4057" s="103"/>
      <c r="K4057" s="39"/>
      <c r="L4057" s="10"/>
      <c r="M4057" s="19"/>
      <c r="N4057" s="10"/>
    </row>
    <row r="4058" spans="7:14" x14ac:dyDescent="0.75">
      <c r="G4058" s="10"/>
      <c r="H4058" s="10"/>
      <c r="I4058" s="39"/>
      <c r="J4058" s="103"/>
      <c r="K4058" s="39"/>
      <c r="L4058" s="78"/>
      <c r="M4058" s="19"/>
      <c r="N4058" s="10"/>
    </row>
    <row r="4059" spans="7:14" x14ac:dyDescent="0.75">
      <c r="G4059" s="10"/>
      <c r="H4059" s="10"/>
      <c r="I4059" s="39"/>
      <c r="J4059" s="103"/>
      <c r="K4059" s="39"/>
      <c r="L4059" s="78"/>
      <c r="M4059" s="19"/>
      <c r="N4059" s="10"/>
    </row>
    <row r="4060" spans="7:14" x14ac:dyDescent="0.75">
      <c r="G4060" s="10"/>
      <c r="H4060" s="10"/>
      <c r="I4060" s="39"/>
      <c r="J4060" s="103"/>
      <c r="K4060" s="39"/>
      <c r="L4060" s="78"/>
      <c r="M4060" s="19"/>
      <c r="N4060" s="10"/>
    </row>
    <row r="4061" spans="7:14" x14ac:dyDescent="0.75">
      <c r="G4061" s="10"/>
      <c r="H4061" s="10"/>
      <c r="I4061" s="39"/>
      <c r="J4061" s="103"/>
      <c r="K4061" s="39"/>
      <c r="L4061" s="78"/>
      <c r="M4061" s="19"/>
      <c r="N4061" s="10"/>
    </row>
    <row r="4062" spans="7:14" x14ac:dyDescent="0.75">
      <c r="G4062" s="10"/>
      <c r="H4062" s="10"/>
      <c r="I4062" s="39"/>
      <c r="J4062" s="103"/>
      <c r="K4062" s="39"/>
      <c r="L4062" s="78"/>
      <c r="M4062" s="19"/>
      <c r="N4062" s="10"/>
    </row>
    <row r="4063" spans="7:14" x14ac:dyDescent="0.75">
      <c r="G4063" s="10"/>
      <c r="H4063" s="10"/>
      <c r="I4063" s="39"/>
      <c r="J4063" s="103"/>
      <c r="K4063" s="39"/>
      <c r="L4063" s="78"/>
      <c r="M4063" s="19"/>
      <c r="N4063" s="10"/>
    </row>
    <row r="4064" spans="7:14" x14ac:dyDescent="0.75">
      <c r="G4064" s="10"/>
      <c r="H4064" s="10"/>
      <c r="I4064" s="39"/>
      <c r="J4064" s="103"/>
      <c r="K4064" s="39"/>
      <c r="L4064" s="78"/>
      <c r="M4064" s="19"/>
      <c r="N4064" s="10"/>
    </row>
    <row r="4065" spans="7:14" x14ac:dyDescent="0.75">
      <c r="G4065" s="10"/>
      <c r="H4065" s="10"/>
      <c r="I4065" s="39"/>
      <c r="J4065" s="103"/>
      <c r="K4065" s="39"/>
      <c r="L4065" s="78"/>
      <c r="M4065" s="19"/>
      <c r="N4065" s="10"/>
    </row>
    <row r="4066" spans="7:14" x14ac:dyDescent="0.75">
      <c r="G4066" s="10"/>
      <c r="H4066" s="10"/>
      <c r="I4066" s="39"/>
      <c r="J4066" s="103"/>
      <c r="K4066" s="39"/>
      <c r="L4066" s="78"/>
      <c r="M4066" s="19"/>
      <c r="N4066" s="10"/>
    </row>
    <row r="4067" spans="7:14" x14ac:dyDescent="0.75">
      <c r="G4067" s="10"/>
      <c r="H4067" s="10"/>
      <c r="I4067" s="39"/>
      <c r="J4067" s="103"/>
      <c r="K4067" s="39"/>
      <c r="L4067" s="78"/>
      <c r="M4067" s="19"/>
      <c r="N4067" s="10"/>
    </row>
    <row r="4068" spans="7:14" x14ac:dyDescent="0.75">
      <c r="G4068" s="10"/>
      <c r="H4068" s="10"/>
      <c r="I4068" s="39"/>
      <c r="J4068" s="103"/>
      <c r="K4068" s="39"/>
      <c r="L4068" s="78"/>
      <c r="M4068" s="19"/>
      <c r="N4068" s="10"/>
    </row>
    <row r="4069" spans="7:14" x14ac:dyDescent="0.75">
      <c r="G4069" s="10"/>
      <c r="H4069" s="10"/>
      <c r="I4069" s="39"/>
      <c r="J4069" s="103"/>
      <c r="K4069" s="39"/>
      <c r="L4069" s="78"/>
      <c r="M4069" s="19"/>
      <c r="N4069" s="10"/>
    </row>
    <row r="4070" spans="7:14" x14ac:dyDescent="0.75">
      <c r="G4070" s="10"/>
      <c r="H4070" s="10"/>
      <c r="I4070" s="39"/>
      <c r="J4070" s="103"/>
      <c r="K4070" s="39"/>
      <c r="L4070" s="78"/>
      <c r="M4070" s="19"/>
      <c r="N4070" s="10"/>
    </row>
    <row r="4071" spans="7:14" x14ac:dyDescent="0.75">
      <c r="G4071" s="10"/>
      <c r="H4071" s="10"/>
      <c r="I4071" s="39"/>
      <c r="J4071" s="103"/>
      <c r="K4071" s="39"/>
      <c r="L4071" s="78"/>
      <c r="M4071" s="19"/>
      <c r="N4071" s="10"/>
    </row>
    <row r="4072" spans="7:14" x14ac:dyDescent="0.75">
      <c r="G4072" s="10"/>
      <c r="H4072" s="10"/>
      <c r="I4072" s="39"/>
      <c r="J4072" s="103"/>
      <c r="K4072" s="39"/>
      <c r="L4072" s="78"/>
      <c r="M4072" s="19"/>
      <c r="N4072" s="10"/>
    </row>
    <row r="4073" spans="7:14" x14ac:dyDescent="0.75">
      <c r="G4073" s="10"/>
      <c r="H4073" s="10"/>
      <c r="I4073" s="39"/>
      <c r="J4073" s="103"/>
      <c r="K4073" s="39"/>
      <c r="L4073" s="10"/>
      <c r="M4073" s="19"/>
      <c r="N4073" s="10"/>
    </row>
    <row r="4074" spans="7:14" x14ac:dyDescent="0.75">
      <c r="G4074" s="10"/>
      <c r="H4074" s="10"/>
      <c r="I4074" s="39"/>
      <c r="J4074" s="103"/>
      <c r="K4074" s="39"/>
      <c r="L4074" s="78"/>
      <c r="M4074" s="19"/>
      <c r="N4074" s="10"/>
    </row>
    <row r="4075" spans="7:14" x14ac:dyDescent="0.75">
      <c r="G4075" s="10"/>
      <c r="H4075" s="10"/>
      <c r="I4075" s="39"/>
      <c r="J4075" s="103"/>
      <c r="K4075" s="39"/>
      <c r="L4075" s="78"/>
      <c r="M4075" s="19"/>
      <c r="N4075" s="10"/>
    </row>
    <row r="4076" spans="7:14" x14ac:dyDescent="0.75">
      <c r="G4076" s="10"/>
      <c r="H4076" s="10"/>
      <c r="I4076" s="39"/>
      <c r="J4076" s="103"/>
      <c r="K4076" s="39"/>
      <c r="L4076" s="78"/>
      <c r="M4076" s="19"/>
      <c r="N4076" s="10"/>
    </row>
    <row r="4077" spans="7:14" x14ac:dyDescent="0.75">
      <c r="G4077" s="10"/>
      <c r="H4077" s="10"/>
      <c r="I4077" s="39"/>
      <c r="J4077" s="103"/>
      <c r="K4077" s="39"/>
      <c r="L4077" s="10"/>
      <c r="M4077" s="19"/>
      <c r="N4077" s="10"/>
    </row>
    <row r="4078" spans="7:14" x14ac:dyDescent="0.75">
      <c r="G4078" s="10"/>
      <c r="H4078" s="10"/>
      <c r="I4078" s="39"/>
      <c r="J4078" s="103"/>
      <c r="K4078" s="39"/>
      <c r="L4078" s="78"/>
      <c r="M4078" s="19"/>
      <c r="N4078" s="10"/>
    </row>
    <row r="4079" spans="7:14" x14ac:dyDescent="0.75">
      <c r="G4079" s="10"/>
      <c r="H4079" s="10"/>
      <c r="I4079" s="39"/>
      <c r="J4079" s="103"/>
      <c r="K4079" s="39"/>
      <c r="L4079" s="78"/>
      <c r="M4079" s="19"/>
      <c r="N4079" s="10"/>
    </row>
    <row r="4080" spans="7:14" x14ac:dyDescent="0.75">
      <c r="G4080" s="10"/>
      <c r="H4080" s="10"/>
      <c r="I4080" s="39"/>
      <c r="J4080" s="103"/>
      <c r="K4080" s="39"/>
      <c r="L4080" s="78"/>
      <c r="M4080" s="19"/>
      <c r="N4080" s="10"/>
    </row>
    <row r="4081" spans="7:14" x14ac:dyDescent="0.75">
      <c r="G4081" s="10"/>
      <c r="H4081" s="10"/>
      <c r="I4081" s="39"/>
      <c r="J4081" s="103"/>
      <c r="K4081" s="39"/>
      <c r="L4081" s="78"/>
      <c r="M4081" s="19"/>
      <c r="N4081" s="10"/>
    </row>
    <row r="4082" spans="7:14" x14ac:dyDescent="0.75">
      <c r="G4082" s="10"/>
      <c r="H4082" s="10"/>
      <c r="I4082" s="39"/>
      <c r="J4082" s="103"/>
      <c r="K4082" s="39"/>
      <c r="L4082" s="78"/>
      <c r="M4082" s="19"/>
      <c r="N4082" s="10"/>
    </row>
    <row r="4083" spans="7:14" x14ac:dyDescent="0.75">
      <c r="G4083" s="10"/>
      <c r="H4083" s="10"/>
      <c r="I4083" s="39"/>
      <c r="J4083" s="103"/>
      <c r="K4083" s="39"/>
      <c r="L4083" s="78"/>
      <c r="M4083" s="19"/>
      <c r="N4083" s="10"/>
    </row>
    <row r="4084" spans="7:14" x14ac:dyDescent="0.75">
      <c r="G4084" s="10"/>
      <c r="H4084" s="10"/>
      <c r="I4084" s="39"/>
      <c r="J4084" s="103"/>
      <c r="K4084" s="39"/>
      <c r="L4084" s="78"/>
      <c r="M4084" s="19"/>
      <c r="N4084" s="10"/>
    </row>
    <row r="4085" spans="7:14" x14ac:dyDescent="0.75">
      <c r="G4085" s="10"/>
      <c r="H4085" s="10"/>
      <c r="I4085" s="39"/>
      <c r="J4085" s="103"/>
      <c r="K4085" s="39"/>
      <c r="L4085" s="78"/>
      <c r="M4085" s="19"/>
      <c r="N4085" s="10"/>
    </row>
    <row r="4086" spans="7:14" x14ac:dyDescent="0.75">
      <c r="G4086" s="10"/>
      <c r="H4086" s="10"/>
      <c r="I4086" s="39"/>
      <c r="J4086" s="103"/>
      <c r="K4086" s="39"/>
      <c r="L4086" s="78"/>
      <c r="M4086" s="19"/>
      <c r="N4086" s="10"/>
    </row>
    <row r="4087" spans="7:14" x14ac:dyDescent="0.75">
      <c r="G4087" s="10"/>
      <c r="H4087" s="10"/>
      <c r="I4087" s="39"/>
      <c r="J4087" s="103"/>
      <c r="K4087" s="39"/>
      <c r="L4087" s="78"/>
      <c r="M4087" s="19"/>
      <c r="N4087" s="10"/>
    </row>
    <row r="4088" spans="7:14" x14ac:dyDescent="0.75">
      <c r="G4088" s="10"/>
      <c r="H4088" s="10"/>
      <c r="I4088" s="39"/>
      <c r="J4088" s="103"/>
      <c r="K4088" s="39"/>
      <c r="L4088" s="78"/>
      <c r="M4088" s="19"/>
      <c r="N4088" s="10"/>
    </row>
    <row r="4089" spans="7:14" x14ac:dyDescent="0.75">
      <c r="G4089" s="10"/>
      <c r="H4089" s="10"/>
      <c r="I4089" s="39"/>
      <c r="J4089" s="103"/>
      <c r="K4089" s="39"/>
      <c r="L4089" s="78"/>
      <c r="M4089" s="19"/>
      <c r="N4089" s="10"/>
    </row>
    <row r="4090" spans="7:14" x14ac:dyDescent="0.75">
      <c r="G4090" s="10"/>
      <c r="H4090" s="10"/>
      <c r="I4090" s="39"/>
      <c r="J4090" s="103"/>
      <c r="K4090" s="39"/>
      <c r="L4090" s="78"/>
      <c r="M4090" s="19"/>
      <c r="N4090" s="10"/>
    </row>
    <row r="4091" spans="7:14" x14ac:dyDescent="0.75">
      <c r="G4091" s="10"/>
      <c r="H4091" s="10"/>
      <c r="I4091" s="39"/>
      <c r="J4091" s="103"/>
      <c r="K4091" s="39"/>
      <c r="L4091" s="78"/>
      <c r="M4091" s="19"/>
      <c r="N4091" s="10"/>
    </row>
    <row r="4092" spans="7:14" x14ac:dyDescent="0.75">
      <c r="G4092" s="10"/>
      <c r="H4092" s="10"/>
      <c r="I4092" s="39"/>
      <c r="J4092" s="103"/>
      <c r="K4092" s="39"/>
      <c r="L4092" s="78"/>
      <c r="M4092" s="19"/>
      <c r="N4092" s="10"/>
    </row>
    <row r="4093" spans="7:14" x14ac:dyDescent="0.75">
      <c r="G4093" s="10"/>
      <c r="H4093" s="10"/>
      <c r="I4093" s="39"/>
      <c r="J4093" s="103"/>
      <c r="K4093" s="39"/>
      <c r="L4093" s="78"/>
      <c r="M4093" s="19"/>
      <c r="N4093" s="10"/>
    </row>
    <row r="4094" spans="7:14" x14ac:dyDescent="0.75">
      <c r="G4094" s="10"/>
      <c r="H4094" s="10"/>
      <c r="I4094" s="39"/>
      <c r="J4094" s="103"/>
      <c r="K4094" s="39"/>
      <c r="L4094" s="78"/>
      <c r="M4094" s="19"/>
      <c r="N4094" s="10"/>
    </row>
    <row r="4095" spans="7:14" x14ac:dyDescent="0.75">
      <c r="G4095" s="10"/>
      <c r="H4095" s="10"/>
      <c r="I4095" s="39"/>
      <c r="J4095" s="103"/>
      <c r="K4095" s="39"/>
      <c r="L4095" s="78"/>
      <c r="M4095" s="19"/>
      <c r="N4095" s="10"/>
    </row>
    <row r="4096" spans="7:14" x14ac:dyDescent="0.75">
      <c r="G4096" s="10"/>
      <c r="H4096" s="10"/>
      <c r="I4096" s="39"/>
      <c r="J4096" s="103"/>
      <c r="K4096" s="39"/>
      <c r="L4096" s="78"/>
      <c r="M4096" s="19"/>
      <c r="N4096" s="10"/>
    </row>
    <row r="4097" spans="7:14" x14ac:dyDescent="0.75">
      <c r="G4097" s="10"/>
      <c r="H4097" s="10"/>
      <c r="I4097" s="39"/>
      <c r="J4097" s="103"/>
      <c r="K4097" s="39"/>
      <c r="L4097" s="78"/>
      <c r="M4097" s="19"/>
      <c r="N4097" s="10"/>
    </row>
    <row r="4098" spans="7:14" x14ac:dyDescent="0.75">
      <c r="G4098" s="10"/>
      <c r="H4098" s="10"/>
      <c r="I4098" s="39"/>
      <c r="J4098" s="103"/>
      <c r="K4098" s="39"/>
      <c r="L4098" s="78"/>
      <c r="M4098" s="19"/>
      <c r="N4098" s="10"/>
    </row>
    <row r="4099" spans="7:14" x14ac:dyDescent="0.75">
      <c r="G4099" s="10"/>
      <c r="H4099" s="10"/>
      <c r="I4099" s="39"/>
      <c r="J4099" s="103"/>
      <c r="K4099" s="39"/>
      <c r="L4099" s="78"/>
      <c r="M4099" s="19"/>
      <c r="N4099" s="10"/>
    </row>
    <row r="4100" spans="7:14" x14ac:dyDescent="0.75">
      <c r="G4100" s="10"/>
      <c r="H4100" s="10"/>
      <c r="I4100" s="39"/>
      <c r="J4100" s="103"/>
      <c r="K4100" s="39"/>
      <c r="L4100" s="78"/>
      <c r="M4100" s="19"/>
      <c r="N4100" s="10"/>
    </row>
    <row r="4101" spans="7:14" x14ac:dyDescent="0.75">
      <c r="G4101" s="10"/>
      <c r="H4101" s="10"/>
      <c r="I4101" s="39"/>
      <c r="J4101" s="103"/>
      <c r="K4101" s="39"/>
      <c r="L4101" s="78"/>
      <c r="M4101" s="19"/>
      <c r="N4101" s="10"/>
    </row>
    <row r="4102" spans="7:14" x14ac:dyDescent="0.75">
      <c r="G4102" s="10"/>
      <c r="H4102" s="10"/>
      <c r="I4102" s="39"/>
      <c r="J4102" s="103"/>
      <c r="K4102" s="39"/>
      <c r="L4102" s="78"/>
      <c r="M4102" s="19"/>
      <c r="N4102" s="10"/>
    </row>
    <row r="4103" spans="7:14" x14ac:dyDescent="0.75">
      <c r="G4103" s="10"/>
      <c r="H4103" s="10"/>
      <c r="I4103" s="39"/>
      <c r="J4103" s="103"/>
      <c r="K4103" s="39"/>
      <c r="L4103" s="78"/>
      <c r="M4103" s="19"/>
      <c r="N4103" s="10"/>
    </row>
    <row r="4104" spans="7:14" x14ac:dyDescent="0.75">
      <c r="G4104" s="10"/>
      <c r="H4104" s="10"/>
      <c r="I4104" s="39"/>
      <c r="J4104" s="103"/>
      <c r="K4104" s="39"/>
      <c r="L4104" s="78"/>
      <c r="M4104" s="19"/>
      <c r="N4104" s="10"/>
    </row>
    <row r="4105" spans="7:14" x14ac:dyDescent="0.75">
      <c r="G4105" s="10"/>
      <c r="H4105" s="10"/>
      <c r="I4105" s="39"/>
      <c r="J4105" s="103"/>
      <c r="K4105" s="39"/>
      <c r="L4105" s="78"/>
      <c r="M4105" s="19"/>
      <c r="N4105" s="10"/>
    </row>
    <row r="4106" spans="7:14" x14ac:dyDescent="0.75">
      <c r="G4106" s="10"/>
      <c r="H4106" s="10"/>
      <c r="I4106" s="39"/>
      <c r="J4106" s="103"/>
      <c r="K4106" s="39"/>
      <c r="L4106" s="10"/>
      <c r="M4106" s="19"/>
      <c r="N4106" s="10"/>
    </row>
    <row r="4107" spans="7:14" x14ac:dyDescent="0.75">
      <c r="G4107" s="10"/>
      <c r="H4107" s="10"/>
      <c r="I4107" s="39"/>
      <c r="J4107" s="103"/>
      <c r="K4107" s="39"/>
      <c r="L4107" s="78"/>
      <c r="M4107" s="19"/>
      <c r="N4107" s="10"/>
    </row>
    <row r="4108" spans="7:14" x14ac:dyDescent="0.75">
      <c r="G4108" s="10"/>
      <c r="H4108" s="10"/>
      <c r="I4108" s="39"/>
      <c r="J4108" s="103"/>
      <c r="K4108" s="39"/>
      <c r="L4108" s="78"/>
      <c r="M4108" s="19"/>
      <c r="N4108" s="10"/>
    </row>
    <row r="4109" spans="7:14" x14ac:dyDescent="0.75">
      <c r="G4109" s="10"/>
      <c r="H4109" s="10"/>
      <c r="I4109" s="39"/>
      <c r="J4109" s="103"/>
      <c r="K4109" s="39"/>
      <c r="L4109" s="78"/>
      <c r="M4109" s="19"/>
      <c r="N4109" s="10"/>
    </row>
    <row r="4110" spans="7:14" x14ac:dyDescent="0.75">
      <c r="G4110" s="10"/>
      <c r="H4110" s="10"/>
      <c r="I4110" s="39"/>
      <c r="J4110" s="103"/>
      <c r="K4110" s="39"/>
      <c r="L4110" s="78"/>
      <c r="M4110" s="19"/>
      <c r="N4110" s="10"/>
    </row>
    <row r="4111" spans="7:14" x14ac:dyDescent="0.75">
      <c r="G4111" s="10"/>
      <c r="H4111" s="10"/>
      <c r="I4111" s="39"/>
      <c r="J4111" s="103"/>
      <c r="K4111" s="39"/>
      <c r="L4111" s="78"/>
      <c r="M4111" s="19"/>
      <c r="N4111" s="10"/>
    </row>
    <row r="4112" spans="7:14" x14ac:dyDescent="0.75">
      <c r="G4112" s="10"/>
      <c r="H4112" s="10"/>
      <c r="I4112" s="39"/>
      <c r="J4112" s="103"/>
      <c r="K4112" s="39"/>
      <c r="L4112" s="78"/>
      <c r="M4112" s="19"/>
      <c r="N4112" s="10"/>
    </row>
    <row r="4113" spans="7:14" x14ac:dyDescent="0.75">
      <c r="G4113" s="10"/>
      <c r="H4113" s="10"/>
      <c r="I4113" s="39"/>
      <c r="J4113" s="103"/>
      <c r="K4113" s="39"/>
      <c r="L4113" s="78"/>
      <c r="M4113" s="19"/>
      <c r="N4113" s="10"/>
    </row>
    <row r="4114" spans="7:14" x14ac:dyDescent="0.75">
      <c r="G4114" s="10"/>
      <c r="H4114" s="10"/>
      <c r="I4114" s="39"/>
      <c r="J4114" s="103"/>
      <c r="K4114" s="39"/>
      <c r="L4114" s="78"/>
      <c r="M4114" s="19"/>
      <c r="N4114" s="10"/>
    </row>
    <row r="4115" spans="7:14" x14ac:dyDescent="0.75">
      <c r="G4115" s="10"/>
      <c r="H4115" s="10"/>
      <c r="I4115" s="39"/>
      <c r="J4115" s="103"/>
      <c r="K4115" s="39"/>
      <c r="L4115" s="78"/>
      <c r="M4115" s="19"/>
      <c r="N4115" s="10"/>
    </row>
    <row r="4116" spans="7:14" x14ac:dyDescent="0.75">
      <c r="G4116" s="10"/>
      <c r="H4116" s="10"/>
      <c r="I4116" s="39"/>
      <c r="J4116" s="103"/>
      <c r="K4116" s="39"/>
      <c r="L4116" s="78"/>
      <c r="M4116" s="19"/>
      <c r="N4116" s="10"/>
    </row>
    <row r="4117" spans="7:14" x14ac:dyDescent="0.75">
      <c r="G4117" s="10"/>
      <c r="H4117" s="10"/>
      <c r="I4117" s="39"/>
      <c r="J4117" s="103"/>
      <c r="K4117" s="39"/>
      <c r="L4117" s="78"/>
      <c r="M4117" s="19"/>
      <c r="N4117" s="10"/>
    </row>
    <row r="4118" spans="7:14" x14ac:dyDescent="0.75">
      <c r="G4118" s="10"/>
      <c r="H4118" s="10"/>
      <c r="I4118" s="39"/>
      <c r="J4118" s="103"/>
      <c r="K4118" s="39"/>
      <c r="L4118" s="78"/>
      <c r="M4118" s="19"/>
      <c r="N4118" s="10"/>
    </row>
    <row r="4119" spans="7:14" x14ac:dyDescent="0.75">
      <c r="G4119" s="10"/>
      <c r="H4119" s="10"/>
      <c r="I4119" s="39"/>
      <c r="J4119" s="103"/>
      <c r="K4119" s="39"/>
      <c r="L4119" s="78"/>
      <c r="M4119" s="19"/>
      <c r="N4119" s="10"/>
    </row>
    <row r="4120" spans="7:14" x14ac:dyDescent="0.75">
      <c r="G4120" s="10"/>
      <c r="H4120" s="10"/>
      <c r="I4120" s="39"/>
      <c r="J4120" s="103"/>
      <c r="K4120" s="39"/>
      <c r="L4120" s="10"/>
      <c r="M4120" s="19"/>
      <c r="N4120" s="10"/>
    </row>
    <row r="4121" spans="7:14" x14ac:dyDescent="0.75">
      <c r="G4121" s="10"/>
      <c r="H4121" s="10"/>
      <c r="I4121" s="39"/>
      <c r="J4121" s="103"/>
      <c r="K4121" s="39"/>
      <c r="L4121" s="78"/>
      <c r="M4121" s="19"/>
      <c r="N4121" s="10"/>
    </row>
    <row r="4122" spans="7:14" x14ac:dyDescent="0.75">
      <c r="G4122" s="10"/>
      <c r="H4122" s="10"/>
      <c r="I4122" s="39"/>
      <c r="J4122" s="103"/>
      <c r="K4122" s="39"/>
      <c r="L4122" s="78"/>
      <c r="M4122" s="19"/>
      <c r="N4122" s="10"/>
    </row>
    <row r="4123" spans="7:14" x14ac:dyDescent="0.75">
      <c r="G4123" s="10"/>
      <c r="H4123" s="10"/>
      <c r="I4123" s="39"/>
      <c r="J4123" s="103"/>
      <c r="K4123" s="39"/>
      <c r="L4123" s="78"/>
      <c r="M4123" s="19"/>
      <c r="N4123" s="10"/>
    </row>
    <row r="4124" spans="7:14" x14ac:dyDescent="0.75">
      <c r="G4124" s="10"/>
      <c r="H4124" s="10"/>
      <c r="I4124" s="39"/>
      <c r="J4124" s="103"/>
      <c r="K4124" s="39"/>
      <c r="L4124" s="78"/>
      <c r="M4124" s="19"/>
      <c r="N4124" s="10"/>
    </row>
    <row r="4125" spans="7:14" x14ac:dyDescent="0.75">
      <c r="G4125" s="10"/>
      <c r="H4125" s="10"/>
      <c r="I4125" s="39"/>
      <c r="J4125" s="103"/>
      <c r="K4125" s="39"/>
      <c r="L4125" s="78"/>
      <c r="M4125" s="19"/>
      <c r="N4125" s="10"/>
    </row>
    <row r="4126" spans="7:14" x14ac:dyDescent="0.75">
      <c r="G4126" s="10"/>
      <c r="H4126" s="10"/>
      <c r="I4126" s="39"/>
      <c r="J4126" s="103"/>
      <c r="K4126" s="39"/>
      <c r="L4126" s="78"/>
      <c r="M4126" s="19"/>
      <c r="N4126" s="10"/>
    </row>
    <row r="4127" spans="7:14" x14ac:dyDescent="0.75">
      <c r="G4127" s="10"/>
      <c r="H4127" s="10"/>
      <c r="I4127" s="39"/>
      <c r="J4127" s="103"/>
      <c r="K4127" s="39"/>
      <c r="L4127" s="78"/>
      <c r="M4127" s="19"/>
      <c r="N4127" s="10"/>
    </row>
    <row r="4128" spans="7:14" x14ac:dyDescent="0.75">
      <c r="G4128" s="10"/>
      <c r="H4128" s="10"/>
      <c r="I4128" s="39"/>
      <c r="J4128" s="103"/>
      <c r="K4128" s="39"/>
      <c r="L4128" s="78"/>
      <c r="M4128" s="19"/>
      <c r="N4128" s="10"/>
    </row>
    <row r="4129" spans="7:14" x14ac:dyDescent="0.75">
      <c r="G4129" s="10"/>
      <c r="H4129" s="10"/>
      <c r="I4129" s="39"/>
      <c r="J4129" s="103"/>
      <c r="K4129" s="39"/>
      <c r="L4129" s="78"/>
      <c r="M4129" s="19"/>
      <c r="N4129" s="10"/>
    </row>
    <row r="4130" spans="7:14" x14ac:dyDescent="0.75">
      <c r="G4130" s="10"/>
      <c r="H4130" s="10"/>
      <c r="I4130" s="39"/>
      <c r="J4130" s="103"/>
      <c r="K4130" s="39"/>
      <c r="L4130" s="78"/>
      <c r="M4130" s="19"/>
      <c r="N4130" s="10"/>
    </row>
    <row r="4131" spans="7:14" x14ac:dyDescent="0.75">
      <c r="G4131" s="10"/>
      <c r="H4131" s="10"/>
      <c r="I4131" s="39"/>
      <c r="J4131" s="103"/>
      <c r="K4131" s="39"/>
      <c r="L4131" s="78"/>
      <c r="M4131" s="19"/>
      <c r="N4131" s="10"/>
    </row>
    <row r="4132" spans="7:14" x14ac:dyDescent="0.75">
      <c r="G4132" s="10"/>
      <c r="H4132" s="10"/>
      <c r="I4132" s="39"/>
      <c r="J4132" s="103"/>
      <c r="K4132" s="39"/>
      <c r="L4132" s="78"/>
      <c r="M4132" s="19"/>
      <c r="N4132" s="10"/>
    </row>
    <row r="4133" spans="7:14" x14ac:dyDescent="0.75">
      <c r="G4133" s="10"/>
      <c r="H4133" s="10"/>
      <c r="I4133" s="39"/>
      <c r="J4133" s="103"/>
      <c r="K4133" s="39"/>
      <c r="L4133" s="78"/>
      <c r="M4133" s="19"/>
      <c r="N4133" s="10"/>
    </row>
    <row r="4134" spans="7:14" x14ac:dyDescent="0.75">
      <c r="G4134" s="10"/>
      <c r="H4134" s="10"/>
      <c r="I4134" s="39"/>
      <c r="J4134" s="103"/>
      <c r="K4134" s="39"/>
      <c r="L4134" s="78"/>
      <c r="M4134" s="19"/>
      <c r="N4134" s="10"/>
    </row>
    <row r="4135" spans="7:14" x14ac:dyDescent="0.75">
      <c r="G4135" s="10"/>
      <c r="H4135" s="10"/>
      <c r="I4135" s="39"/>
      <c r="J4135" s="103"/>
      <c r="K4135" s="39"/>
      <c r="L4135" s="78"/>
      <c r="M4135" s="19"/>
      <c r="N4135" s="10"/>
    </row>
    <row r="4136" spans="7:14" x14ac:dyDescent="0.75">
      <c r="G4136" s="10"/>
      <c r="H4136" s="10"/>
      <c r="I4136" s="39"/>
      <c r="J4136" s="103"/>
      <c r="K4136" s="39"/>
      <c r="L4136" s="78"/>
      <c r="M4136" s="19"/>
      <c r="N4136" s="10"/>
    </row>
    <row r="4137" spans="7:14" x14ac:dyDescent="0.75">
      <c r="G4137" s="10"/>
      <c r="H4137" s="10"/>
      <c r="I4137" s="39"/>
      <c r="J4137" s="103"/>
      <c r="K4137" s="39"/>
      <c r="L4137" s="78"/>
      <c r="M4137" s="19"/>
      <c r="N4137" s="10"/>
    </row>
    <row r="4138" spans="7:14" x14ac:dyDescent="0.75">
      <c r="G4138" s="10"/>
      <c r="H4138" s="10"/>
      <c r="I4138" s="39"/>
      <c r="J4138" s="103"/>
      <c r="K4138" s="39"/>
      <c r="L4138" s="78"/>
      <c r="M4138" s="19"/>
      <c r="N4138" s="10"/>
    </row>
    <row r="4139" spans="7:14" x14ac:dyDescent="0.75">
      <c r="G4139" s="10"/>
      <c r="H4139" s="10"/>
      <c r="I4139" s="39"/>
      <c r="J4139" s="103"/>
      <c r="K4139" s="39"/>
      <c r="L4139" s="78"/>
      <c r="M4139" s="19"/>
      <c r="N4139" s="10"/>
    </row>
    <row r="4140" spans="7:14" x14ac:dyDescent="0.75">
      <c r="G4140" s="10"/>
      <c r="H4140" s="10"/>
      <c r="I4140" s="39"/>
      <c r="J4140" s="103"/>
      <c r="K4140" s="39"/>
      <c r="L4140" s="78"/>
      <c r="M4140" s="19"/>
      <c r="N4140" s="10"/>
    </row>
    <row r="4141" spans="7:14" x14ac:dyDescent="0.75">
      <c r="G4141" s="10"/>
      <c r="H4141" s="10"/>
      <c r="I4141" s="39"/>
      <c r="J4141" s="103"/>
      <c r="K4141" s="39"/>
      <c r="L4141" s="78"/>
      <c r="M4141" s="19"/>
      <c r="N4141" s="10"/>
    </row>
    <row r="4142" spans="7:14" x14ac:dyDescent="0.75">
      <c r="G4142" s="10"/>
      <c r="H4142" s="10"/>
      <c r="I4142" s="39"/>
      <c r="J4142" s="103"/>
      <c r="K4142" s="39"/>
      <c r="L4142" s="78"/>
      <c r="M4142" s="19"/>
      <c r="N4142" s="10"/>
    </row>
    <row r="4143" spans="7:14" x14ac:dyDescent="0.75">
      <c r="G4143" s="10"/>
      <c r="H4143" s="10"/>
      <c r="I4143" s="39"/>
      <c r="J4143" s="103"/>
      <c r="K4143" s="39"/>
      <c r="L4143" s="78"/>
      <c r="M4143" s="19"/>
      <c r="N4143" s="10"/>
    </row>
    <row r="4144" spans="7:14" x14ac:dyDescent="0.75">
      <c r="G4144" s="10"/>
      <c r="H4144" s="10"/>
      <c r="I4144" s="39"/>
      <c r="J4144" s="103"/>
      <c r="K4144" s="39"/>
      <c r="L4144" s="78"/>
      <c r="M4144" s="19"/>
      <c r="N4144" s="10"/>
    </row>
    <row r="4145" spans="7:14" x14ac:dyDescent="0.75">
      <c r="G4145" s="10"/>
      <c r="H4145" s="10"/>
      <c r="I4145" s="39"/>
      <c r="J4145" s="103"/>
      <c r="K4145" s="39"/>
      <c r="L4145" s="78"/>
      <c r="M4145" s="19"/>
      <c r="N4145" s="10"/>
    </row>
    <row r="4146" spans="7:14" x14ac:dyDescent="0.75">
      <c r="G4146" s="10"/>
      <c r="H4146" s="10"/>
      <c r="I4146" s="39"/>
      <c r="J4146" s="103"/>
      <c r="K4146" s="39"/>
      <c r="L4146" s="78"/>
      <c r="M4146" s="19"/>
      <c r="N4146" s="10"/>
    </row>
    <row r="4147" spans="7:14" x14ac:dyDescent="0.75">
      <c r="G4147" s="10"/>
      <c r="H4147" s="10"/>
      <c r="I4147" s="39"/>
      <c r="J4147" s="103"/>
      <c r="K4147" s="39"/>
      <c r="L4147" s="78"/>
      <c r="M4147" s="19"/>
      <c r="N4147" s="10"/>
    </row>
    <row r="4148" spans="7:14" x14ac:dyDescent="0.75">
      <c r="G4148" s="10"/>
      <c r="H4148" s="10"/>
      <c r="I4148" s="39"/>
      <c r="J4148" s="103"/>
      <c r="K4148" s="39"/>
      <c r="L4148" s="78"/>
      <c r="M4148" s="19"/>
      <c r="N4148" s="10"/>
    </row>
    <row r="4149" spans="7:14" x14ac:dyDescent="0.75">
      <c r="G4149" s="10"/>
      <c r="H4149" s="10"/>
      <c r="I4149" s="39"/>
      <c r="J4149" s="103"/>
      <c r="K4149" s="39"/>
      <c r="L4149" s="78"/>
      <c r="M4149" s="19"/>
      <c r="N4149" s="10"/>
    </row>
    <row r="4150" spans="7:14" x14ac:dyDescent="0.75">
      <c r="G4150" s="10"/>
      <c r="H4150" s="10"/>
      <c r="I4150" s="39"/>
      <c r="J4150" s="103"/>
      <c r="K4150" s="39"/>
      <c r="L4150" s="78"/>
      <c r="M4150" s="19"/>
      <c r="N4150" s="10"/>
    </row>
    <row r="4151" spans="7:14" x14ac:dyDescent="0.75">
      <c r="G4151" s="10"/>
      <c r="H4151" s="10"/>
      <c r="I4151" s="39"/>
      <c r="J4151" s="103"/>
      <c r="K4151" s="39"/>
      <c r="L4151" s="78"/>
      <c r="M4151" s="19"/>
      <c r="N4151" s="10"/>
    </row>
    <row r="4152" spans="7:14" x14ac:dyDescent="0.75">
      <c r="G4152" s="10"/>
      <c r="H4152" s="10"/>
      <c r="I4152" s="39"/>
      <c r="J4152" s="103"/>
      <c r="K4152" s="39"/>
      <c r="L4152" s="78"/>
      <c r="M4152" s="19"/>
      <c r="N4152" s="10"/>
    </row>
    <row r="4153" spans="7:14" x14ac:dyDescent="0.75">
      <c r="G4153" s="10"/>
      <c r="H4153" s="10"/>
      <c r="I4153" s="39"/>
      <c r="J4153" s="103"/>
      <c r="K4153" s="39"/>
      <c r="L4153" s="78"/>
      <c r="M4153" s="19"/>
      <c r="N4153" s="10"/>
    </row>
    <row r="4154" spans="7:14" x14ac:dyDescent="0.75">
      <c r="G4154" s="10"/>
      <c r="H4154" s="10"/>
      <c r="I4154" s="39"/>
      <c r="J4154" s="103"/>
      <c r="K4154" s="39"/>
      <c r="L4154" s="10"/>
      <c r="M4154" s="19"/>
      <c r="N4154" s="10"/>
    </row>
    <row r="4155" spans="7:14" x14ac:dyDescent="0.75">
      <c r="G4155" s="10"/>
      <c r="H4155" s="10"/>
      <c r="I4155" s="39"/>
      <c r="J4155" s="103"/>
      <c r="K4155" s="39"/>
      <c r="L4155" s="78"/>
      <c r="M4155" s="19"/>
      <c r="N4155" s="10"/>
    </row>
    <row r="4156" spans="7:14" x14ac:dyDescent="0.75">
      <c r="G4156" s="10"/>
      <c r="H4156" s="10"/>
      <c r="I4156" s="39"/>
      <c r="J4156" s="103"/>
      <c r="K4156" s="39"/>
      <c r="L4156" s="78"/>
      <c r="M4156" s="19"/>
      <c r="N4156" s="10"/>
    </row>
    <row r="4157" spans="7:14" x14ac:dyDescent="0.75">
      <c r="G4157" s="10"/>
      <c r="H4157" s="10"/>
      <c r="I4157" s="39"/>
      <c r="J4157" s="103"/>
      <c r="K4157" s="39"/>
      <c r="L4157" s="78"/>
      <c r="M4157" s="19"/>
      <c r="N4157" s="10"/>
    </row>
    <row r="4158" spans="7:14" x14ac:dyDescent="0.75">
      <c r="G4158" s="10"/>
      <c r="H4158" s="10"/>
      <c r="I4158" s="39"/>
      <c r="J4158" s="103"/>
      <c r="K4158" s="39"/>
      <c r="L4158" s="78"/>
      <c r="M4158" s="19"/>
      <c r="N4158" s="10"/>
    </row>
    <row r="4159" spans="7:14" x14ac:dyDescent="0.75">
      <c r="G4159" s="10"/>
      <c r="H4159" s="10"/>
      <c r="I4159" s="39"/>
      <c r="J4159" s="103"/>
      <c r="K4159" s="39"/>
      <c r="L4159" s="78"/>
      <c r="M4159" s="19"/>
      <c r="N4159" s="10"/>
    </row>
    <row r="4160" spans="7:14" x14ac:dyDescent="0.75">
      <c r="G4160" s="10"/>
      <c r="H4160" s="10"/>
      <c r="I4160" s="39"/>
      <c r="J4160" s="103"/>
      <c r="K4160" s="39"/>
      <c r="L4160" s="78"/>
      <c r="M4160" s="19"/>
      <c r="N4160" s="10"/>
    </row>
    <row r="4161" spans="7:14" x14ac:dyDescent="0.75">
      <c r="G4161" s="10"/>
      <c r="H4161" s="10"/>
      <c r="I4161" s="39"/>
      <c r="J4161" s="103"/>
      <c r="K4161" s="39"/>
      <c r="L4161" s="78"/>
      <c r="M4161" s="19"/>
      <c r="N4161" s="10"/>
    </row>
    <row r="4162" spans="7:14" x14ac:dyDescent="0.75">
      <c r="G4162" s="10"/>
      <c r="H4162" s="10"/>
      <c r="I4162" s="39"/>
      <c r="J4162" s="103"/>
      <c r="K4162" s="39"/>
      <c r="L4162" s="78"/>
      <c r="M4162" s="19"/>
      <c r="N4162" s="10"/>
    </row>
    <row r="4163" spans="7:14" x14ac:dyDescent="0.75">
      <c r="G4163" s="10"/>
      <c r="H4163" s="10"/>
      <c r="I4163" s="39"/>
      <c r="J4163" s="103"/>
      <c r="K4163" s="39"/>
      <c r="L4163" s="78"/>
      <c r="M4163" s="19"/>
      <c r="N4163" s="10"/>
    </row>
    <row r="4164" spans="7:14" x14ac:dyDescent="0.75">
      <c r="G4164" s="10"/>
      <c r="H4164" s="10"/>
      <c r="I4164" s="39"/>
      <c r="J4164" s="103"/>
      <c r="K4164" s="39"/>
      <c r="L4164" s="78"/>
      <c r="M4164" s="19"/>
      <c r="N4164" s="10"/>
    </row>
    <row r="4165" spans="7:14" x14ac:dyDescent="0.75">
      <c r="G4165" s="10"/>
      <c r="H4165" s="10"/>
      <c r="I4165" s="39"/>
      <c r="J4165" s="103"/>
      <c r="K4165" s="39"/>
      <c r="L4165" s="78"/>
      <c r="M4165" s="19"/>
      <c r="N4165" s="10"/>
    </row>
    <row r="4166" spans="7:14" x14ac:dyDescent="0.75">
      <c r="G4166" s="10"/>
      <c r="H4166" s="10"/>
      <c r="I4166" s="39"/>
      <c r="J4166" s="103"/>
      <c r="K4166" s="39"/>
      <c r="L4166" s="78"/>
      <c r="M4166" s="19"/>
      <c r="N4166" s="10"/>
    </row>
    <row r="4167" spans="7:14" x14ac:dyDescent="0.75">
      <c r="G4167" s="10"/>
      <c r="H4167" s="10"/>
      <c r="I4167" s="39"/>
      <c r="J4167" s="103"/>
      <c r="K4167" s="39"/>
      <c r="L4167" s="78"/>
      <c r="M4167" s="19"/>
      <c r="N4167" s="10"/>
    </row>
    <row r="4168" spans="7:14" x14ac:dyDescent="0.75">
      <c r="G4168" s="10"/>
      <c r="H4168" s="10"/>
      <c r="I4168" s="39"/>
      <c r="J4168" s="103"/>
      <c r="K4168" s="39"/>
      <c r="L4168" s="78"/>
      <c r="M4168" s="19"/>
      <c r="N4168" s="10"/>
    </row>
    <row r="4169" spans="7:14" x14ac:dyDescent="0.75">
      <c r="G4169" s="10"/>
      <c r="H4169" s="10"/>
      <c r="I4169" s="39"/>
      <c r="J4169" s="103"/>
      <c r="K4169" s="39"/>
      <c r="L4169" s="78"/>
      <c r="M4169" s="19"/>
      <c r="N4169" s="10"/>
    </row>
    <row r="4170" spans="7:14" x14ac:dyDescent="0.75">
      <c r="G4170" s="10"/>
      <c r="H4170" s="10"/>
      <c r="I4170" s="39"/>
      <c r="J4170" s="103"/>
      <c r="K4170" s="39"/>
      <c r="L4170" s="78"/>
      <c r="M4170" s="19"/>
      <c r="N4170" s="10"/>
    </row>
    <row r="4171" spans="7:14" x14ac:dyDescent="0.75">
      <c r="G4171" s="10"/>
      <c r="H4171" s="10"/>
      <c r="I4171" s="39"/>
      <c r="J4171" s="103"/>
      <c r="K4171" s="39"/>
      <c r="L4171" s="78"/>
      <c r="M4171" s="19"/>
      <c r="N4171" s="10"/>
    </row>
    <row r="4172" spans="7:14" x14ac:dyDescent="0.75">
      <c r="G4172" s="10"/>
      <c r="H4172" s="10"/>
      <c r="I4172" s="39"/>
      <c r="J4172" s="103"/>
      <c r="K4172" s="39"/>
      <c r="L4172" s="78"/>
      <c r="M4172" s="19"/>
      <c r="N4172" s="10"/>
    </row>
    <row r="4173" spans="7:14" x14ac:dyDescent="0.75">
      <c r="G4173" s="10"/>
      <c r="H4173" s="10"/>
      <c r="I4173" s="39"/>
      <c r="J4173" s="103"/>
      <c r="K4173" s="39"/>
      <c r="L4173" s="78"/>
      <c r="M4173" s="19"/>
      <c r="N4173" s="10"/>
    </row>
    <row r="4174" spans="7:14" x14ac:dyDescent="0.75">
      <c r="G4174" s="10"/>
      <c r="H4174" s="10"/>
      <c r="I4174" s="39"/>
      <c r="J4174" s="103"/>
      <c r="K4174" s="39"/>
      <c r="L4174" s="78"/>
      <c r="M4174" s="19"/>
      <c r="N4174" s="10"/>
    </row>
    <row r="4175" spans="7:14" x14ac:dyDescent="0.75">
      <c r="G4175" s="10"/>
      <c r="H4175" s="10"/>
      <c r="I4175" s="39"/>
      <c r="J4175" s="103"/>
      <c r="K4175" s="39"/>
      <c r="L4175" s="78"/>
      <c r="M4175" s="19"/>
      <c r="N4175" s="10"/>
    </row>
    <row r="4176" spans="7:14" x14ac:dyDescent="0.75">
      <c r="G4176" s="10"/>
      <c r="H4176" s="10"/>
      <c r="I4176" s="39"/>
      <c r="J4176" s="103"/>
      <c r="K4176" s="39"/>
      <c r="L4176" s="78"/>
      <c r="M4176" s="19"/>
      <c r="N4176" s="10"/>
    </row>
    <row r="4177" spans="7:14" x14ac:dyDescent="0.75">
      <c r="G4177" s="10"/>
      <c r="H4177" s="10"/>
      <c r="I4177" s="39"/>
      <c r="J4177" s="103"/>
      <c r="K4177" s="39"/>
      <c r="L4177" s="10"/>
      <c r="M4177" s="19"/>
      <c r="N4177" s="10"/>
    </row>
    <row r="4178" spans="7:14" x14ac:dyDescent="0.75">
      <c r="G4178" s="10"/>
      <c r="H4178" s="10"/>
      <c r="I4178" s="39"/>
      <c r="J4178" s="103"/>
      <c r="K4178" s="39"/>
      <c r="L4178" s="78"/>
      <c r="M4178" s="19"/>
      <c r="N4178" s="10"/>
    </row>
    <row r="4179" spans="7:14" x14ac:dyDescent="0.75">
      <c r="G4179" s="10"/>
      <c r="H4179" s="10"/>
      <c r="I4179" s="39"/>
      <c r="J4179" s="103"/>
      <c r="K4179" s="39"/>
      <c r="L4179" s="78"/>
      <c r="M4179" s="19"/>
      <c r="N4179" s="10"/>
    </row>
    <row r="4180" spans="7:14" x14ac:dyDescent="0.75">
      <c r="G4180" s="10"/>
      <c r="H4180" s="10"/>
      <c r="I4180" s="39"/>
      <c r="J4180" s="103"/>
      <c r="K4180" s="39"/>
      <c r="L4180" s="78"/>
      <c r="M4180" s="19"/>
      <c r="N4180" s="10"/>
    </row>
    <row r="4181" spans="7:14" x14ac:dyDescent="0.75">
      <c r="G4181" s="10"/>
      <c r="H4181" s="10"/>
      <c r="I4181" s="39"/>
      <c r="J4181" s="103"/>
      <c r="K4181" s="39"/>
      <c r="L4181" s="78"/>
      <c r="M4181" s="19"/>
      <c r="N4181" s="10"/>
    </row>
    <row r="4182" spans="7:14" x14ac:dyDescent="0.75">
      <c r="G4182" s="10"/>
      <c r="H4182" s="10"/>
      <c r="I4182" s="39"/>
      <c r="J4182" s="103"/>
      <c r="K4182" s="39"/>
      <c r="L4182" s="78"/>
      <c r="M4182" s="19"/>
      <c r="N4182" s="10"/>
    </row>
    <row r="4183" spans="7:14" x14ac:dyDescent="0.75">
      <c r="G4183" s="10"/>
      <c r="H4183" s="10"/>
      <c r="I4183" s="39"/>
      <c r="J4183" s="103"/>
      <c r="K4183" s="39"/>
      <c r="L4183" s="78"/>
      <c r="M4183" s="19"/>
      <c r="N4183" s="10"/>
    </row>
    <row r="4184" spans="7:14" x14ac:dyDescent="0.75">
      <c r="G4184" s="10"/>
      <c r="H4184" s="10"/>
      <c r="I4184" s="39"/>
      <c r="J4184" s="103"/>
      <c r="K4184" s="39"/>
      <c r="L4184" s="78"/>
      <c r="M4184" s="19"/>
      <c r="N4184" s="10"/>
    </row>
    <row r="4185" spans="7:14" x14ac:dyDescent="0.75">
      <c r="G4185" s="10"/>
      <c r="H4185" s="10"/>
      <c r="I4185" s="39"/>
      <c r="J4185" s="103"/>
      <c r="K4185" s="39"/>
      <c r="L4185" s="78"/>
      <c r="M4185" s="19"/>
      <c r="N4185" s="10"/>
    </row>
    <row r="4186" spans="7:14" x14ac:dyDescent="0.75">
      <c r="G4186" s="10"/>
      <c r="H4186" s="10"/>
      <c r="I4186" s="39"/>
      <c r="J4186" s="103"/>
      <c r="K4186" s="39"/>
      <c r="L4186" s="78"/>
      <c r="M4186" s="19"/>
      <c r="N4186" s="10"/>
    </row>
    <row r="4187" spans="7:14" x14ac:dyDescent="0.75">
      <c r="G4187" s="10"/>
      <c r="H4187" s="10"/>
      <c r="I4187" s="39"/>
      <c r="J4187" s="103"/>
      <c r="K4187" s="39"/>
      <c r="L4187" s="78"/>
      <c r="M4187" s="19"/>
      <c r="N4187" s="10"/>
    </row>
    <row r="4188" spans="7:14" x14ac:dyDescent="0.75">
      <c r="G4188" s="10"/>
      <c r="H4188" s="10"/>
      <c r="I4188" s="39"/>
      <c r="J4188" s="103"/>
      <c r="K4188" s="39"/>
      <c r="L4188" s="78"/>
      <c r="M4188" s="19"/>
      <c r="N4188" s="10"/>
    </row>
    <row r="4189" spans="7:14" x14ac:dyDescent="0.75">
      <c r="G4189" s="10"/>
      <c r="H4189" s="10"/>
      <c r="I4189" s="39"/>
      <c r="J4189" s="103"/>
      <c r="K4189" s="39"/>
      <c r="L4189" s="78"/>
      <c r="M4189" s="19"/>
      <c r="N4189" s="10"/>
    </row>
    <row r="4190" spans="7:14" x14ac:dyDescent="0.75">
      <c r="G4190" s="10"/>
      <c r="H4190" s="10"/>
      <c r="I4190" s="39"/>
      <c r="J4190" s="103"/>
      <c r="K4190" s="39"/>
      <c r="L4190" s="78"/>
      <c r="M4190" s="19"/>
      <c r="N4190" s="10"/>
    </row>
    <row r="4191" spans="7:14" x14ac:dyDescent="0.75">
      <c r="G4191" s="10"/>
      <c r="H4191" s="10"/>
      <c r="I4191" s="39"/>
      <c r="J4191" s="103"/>
      <c r="K4191" s="39"/>
      <c r="L4191" s="78"/>
      <c r="M4191" s="19"/>
      <c r="N4191" s="10"/>
    </row>
    <row r="4192" spans="7:14" x14ac:dyDescent="0.75">
      <c r="G4192" s="10"/>
      <c r="H4192" s="10"/>
      <c r="I4192" s="39"/>
      <c r="J4192" s="103"/>
      <c r="K4192" s="39"/>
      <c r="L4192" s="10"/>
      <c r="M4192" s="19"/>
      <c r="N4192" s="10"/>
    </row>
    <row r="4193" spans="7:14" x14ac:dyDescent="0.75">
      <c r="G4193" s="10"/>
      <c r="H4193" s="10"/>
      <c r="I4193" s="39"/>
      <c r="J4193" s="103"/>
      <c r="K4193" s="39"/>
      <c r="L4193" s="78"/>
      <c r="M4193" s="19"/>
      <c r="N4193" s="10"/>
    </row>
    <row r="4194" spans="7:14" x14ac:dyDescent="0.75">
      <c r="G4194" s="10"/>
      <c r="H4194" s="10"/>
      <c r="I4194" s="39"/>
      <c r="J4194" s="103"/>
      <c r="K4194" s="39"/>
      <c r="L4194" s="78"/>
      <c r="M4194" s="19"/>
      <c r="N4194" s="10"/>
    </row>
    <row r="4195" spans="7:14" x14ac:dyDescent="0.75">
      <c r="G4195" s="10"/>
      <c r="H4195" s="10"/>
      <c r="I4195" s="39"/>
      <c r="J4195" s="103"/>
      <c r="K4195" s="39"/>
      <c r="L4195" s="78"/>
      <c r="M4195" s="19"/>
      <c r="N4195" s="10"/>
    </row>
    <row r="4196" spans="7:14" x14ac:dyDescent="0.75">
      <c r="G4196" s="10"/>
      <c r="H4196" s="10"/>
      <c r="I4196" s="39"/>
      <c r="J4196" s="103"/>
      <c r="K4196" s="39"/>
      <c r="L4196" s="78"/>
      <c r="M4196" s="19"/>
      <c r="N4196" s="10"/>
    </row>
    <row r="4197" spans="7:14" x14ac:dyDescent="0.75">
      <c r="G4197" s="10"/>
      <c r="H4197" s="10"/>
      <c r="I4197" s="39"/>
      <c r="J4197" s="103"/>
      <c r="K4197" s="39"/>
      <c r="L4197" s="78"/>
      <c r="M4197" s="19"/>
      <c r="N4197" s="10"/>
    </row>
    <row r="4198" spans="7:14" x14ac:dyDescent="0.75">
      <c r="G4198" s="10"/>
      <c r="H4198" s="10"/>
      <c r="I4198" s="39"/>
      <c r="J4198" s="103"/>
      <c r="K4198" s="39"/>
      <c r="L4198" s="78"/>
      <c r="M4198" s="19"/>
      <c r="N4198" s="10"/>
    </row>
    <row r="4199" spans="7:14" x14ac:dyDescent="0.75">
      <c r="G4199" s="10"/>
      <c r="H4199" s="10"/>
      <c r="I4199" s="39"/>
      <c r="J4199" s="103"/>
      <c r="K4199" s="39"/>
      <c r="L4199" s="78"/>
      <c r="M4199" s="19"/>
      <c r="N4199" s="10"/>
    </row>
    <row r="4200" spans="7:14" x14ac:dyDescent="0.75">
      <c r="G4200" s="10"/>
      <c r="H4200" s="10"/>
      <c r="I4200" s="39"/>
      <c r="J4200" s="103"/>
      <c r="K4200" s="39"/>
      <c r="L4200" s="78"/>
      <c r="M4200" s="19"/>
      <c r="N4200" s="10"/>
    </row>
    <row r="4201" spans="7:14" x14ac:dyDescent="0.75">
      <c r="G4201" s="10"/>
      <c r="H4201" s="10"/>
      <c r="I4201" s="39"/>
      <c r="J4201" s="103"/>
      <c r="K4201" s="39"/>
      <c r="L4201" s="78"/>
      <c r="M4201" s="19"/>
      <c r="N4201" s="10"/>
    </row>
    <row r="4202" spans="7:14" x14ac:dyDescent="0.75">
      <c r="G4202" s="10"/>
      <c r="H4202" s="10"/>
      <c r="I4202" s="39"/>
      <c r="J4202" s="103"/>
      <c r="K4202" s="39"/>
      <c r="L4202" s="78"/>
      <c r="M4202" s="19"/>
      <c r="N4202" s="10"/>
    </row>
    <row r="4203" spans="7:14" x14ac:dyDescent="0.75">
      <c r="G4203" s="10"/>
      <c r="H4203" s="10"/>
      <c r="I4203" s="39"/>
      <c r="J4203" s="103"/>
      <c r="K4203" s="39"/>
      <c r="L4203" s="78"/>
      <c r="M4203" s="19"/>
      <c r="N4203" s="10"/>
    </row>
    <row r="4204" spans="7:14" x14ac:dyDescent="0.75">
      <c r="G4204" s="10"/>
      <c r="H4204" s="10"/>
      <c r="I4204" s="39"/>
      <c r="J4204" s="103"/>
      <c r="K4204" s="39"/>
      <c r="L4204" s="78"/>
      <c r="M4204" s="19"/>
      <c r="N4204" s="10"/>
    </row>
    <row r="4205" spans="7:14" x14ac:dyDescent="0.75">
      <c r="G4205" s="10"/>
      <c r="H4205" s="10"/>
      <c r="I4205" s="39"/>
      <c r="J4205" s="103"/>
      <c r="K4205" s="39"/>
      <c r="L4205" s="78"/>
      <c r="M4205" s="19"/>
      <c r="N4205" s="10"/>
    </row>
    <row r="4206" spans="7:14" x14ac:dyDescent="0.75">
      <c r="G4206" s="10"/>
      <c r="H4206" s="10"/>
      <c r="I4206" s="39"/>
      <c r="J4206" s="103"/>
      <c r="K4206" s="39"/>
      <c r="L4206" s="10"/>
      <c r="M4206" s="19"/>
      <c r="N4206" s="10"/>
    </row>
    <row r="4207" spans="7:14" x14ac:dyDescent="0.75">
      <c r="G4207" s="10"/>
      <c r="H4207" s="10"/>
      <c r="I4207" s="39"/>
      <c r="J4207" s="103"/>
      <c r="K4207" s="39"/>
      <c r="L4207" s="78"/>
      <c r="M4207" s="19"/>
      <c r="N4207" s="10"/>
    </row>
    <row r="4208" spans="7:14" x14ac:dyDescent="0.75">
      <c r="G4208" s="10"/>
      <c r="H4208" s="10"/>
      <c r="I4208" s="39"/>
      <c r="J4208" s="103"/>
      <c r="K4208" s="39"/>
      <c r="L4208" s="78"/>
      <c r="M4208" s="19"/>
      <c r="N4208" s="10"/>
    </row>
    <row r="4209" spans="7:14" x14ac:dyDescent="0.75">
      <c r="G4209" s="10"/>
      <c r="H4209" s="10"/>
      <c r="I4209" s="39"/>
      <c r="J4209" s="103"/>
      <c r="K4209" s="39"/>
      <c r="L4209" s="78"/>
      <c r="M4209" s="19"/>
      <c r="N4209" s="10"/>
    </row>
    <row r="4210" spans="7:14" x14ac:dyDescent="0.75">
      <c r="G4210" s="10"/>
      <c r="H4210" s="10"/>
      <c r="I4210" s="39"/>
      <c r="J4210" s="103"/>
      <c r="K4210" s="39"/>
      <c r="L4210" s="78"/>
      <c r="M4210" s="19"/>
      <c r="N4210" s="10"/>
    </row>
    <row r="4211" spans="7:14" x14ac:dyDescent="0.75">
      <c r="G4211" s="10"/>
      <c r="H4211" s="10"/>
      <c r="I4211" s="39"/>
      <c r="J4211" s="103"/>
      <c r="K4211" s="39"/>
      <c r="L4211" s="78"/>
      <c r="M4211" s="19"/>
      <c r="N4211" s="10"/>
    </row>
    <row r="4212" spans="7:14" x14ac:dyDescent="0.75">
      <c r="G4212" s="10"/>
      <c r="H4212" s="10"/>
      <c r="I4212" s="39"/>
      <c r="J4212" s="103"/>
      <c r="K4212" s="39"/>
      <c r="L4212" s="78"/>
      <c r="M4212" s="19"/>
      <c r="N4212" s="10"/>
    </row>
    <row r="4213" spans="7:14" x14ac:dyDescent="0.75">
      <c r="G4213" s="10"/>
      <c r="H4213" s="10"/>
      <c r="I4213" s="39"/>
      <c r="J4213" s="103"/>
      <c r="K4213" s="39"/>
      <c r="L4213" s="10"/>
      <c r="M4213" s="19"/>
      <c r="N4213" s="10"/>
    </row>
    <row r="4214" spans="7:14" x14ac:dyDescent="0.75">
      <c r="G4214" s="10"/>
      <c r="H4214" s="10"/>
      <c r="I4214" s="39"/>
      <c r="J4214" s="103"/>
      <c r="K4214" s="39"/>
      <c r="L4214" s="78"/>
      <c r="M4214" s="19"/>
      <c r="N4214" s="10"/>
    </row>
    <row r="4215" spans="7:14" x14ac:dyDescent="0.75">
      <c r="G4215" s="10"/>
      <c r="H4215" s="10"/>
      <c r="I4215" s="39"/>
      <c r="J4215" s="103"/>
      <c r="K4215" s="39"/>
      <c r="L4215" s="78"/>
      <c r="M4215" s="19"/>
      <c r="N4215" s="10"/>
    </row>
    <row r="4216" spans="7:14" x14ac:dyDescent="0.75">
      <c r="G4216" s="10"/>
      <c r="H4216" s="10"/>
      <c r="I4216" s="39"/>
      <c r="J4216" s="103"/>
      <c r="K4216" s="39"/>
      <c r="L4216" s="78"/>
      <c r="M4216" s="19"/>
      <c r="N4216" s="10"/>
    </row>
    <row r="4217" spans="7:14" x14ac:dyDescent="0.75">
      <c r="G4217" s="10"/>
      <c r="H4217" s="10"/>
      <c r="I4217" s="39"/>
      <c r="J4217" s="103"/>
      <c r="K4217" s="39"/>
      <c r="L4217" s="78"/>
      <c r="M4217" s="19"/>
      <c r="N4217" s="10"/>
    </row>
    <row r="4218" spans="7:14" x14ac:dyDescent="0.75">
      <c r="G4218" s="10"/>
      <c r="H4218" s="10"/>
      <c r="I4218" s="39"/>
      <c r="J4218" s="103"/>
      <c r="K4218" s="39"/>
      <c r="L4218" s="78"/>
      <c r="M4218" s="19"/>
      <c r="N4218" s="10"/>
    </row>
    <row r="4219" spans="7:14" x14ac:dyDescent="0.75">
      <c r="G4219" s="10"/>
      <c r="H4219" s="10"/>
      <c r="I4219" s="39"/>
      <c r="J4219" s="103"/>
      <c r="K4219" s="39"/>
      <c r="L4219" s="78"/>
      <c r="M4219" s="19"/>
      <c r="N4219" s="10"/>
    </row>
    <row r="4220" spans="7:14" x14ac:dyDescent="0.75">
      <c r="G4220" s="10"/>
      <c r="H4220" s="10"/>
      <c r="I4220" s="39"/>
      <c r="J4220" s="103"/>
      <c r="K4220" s="39"/>
      <c r="L4220" s="78"/>
      <c r="M4220" s="19"/>
      <c r="N4220" s="10"/>
    </row>
    <row r="4221" spans="7:14" x14ac:dyDescent="0.75">
      <c r="G4221" s="10"/>
      <c r="H4221" s="10"/>
      <c r="I4221" s="39"/>
      <c r="J4221" s="103"/>
      <c r="K4221" s="39"/>
      <c r="L4221" s="78"/>
      <c r="M4221" s="19"/>
      <c r="N4221" s="10"/>
    </row>
    <row r="4222" spans="7:14" x14ac:dyDescent="0.75">
      <c r="G4222" s="10"/>
      <c r="H4222" s="10"/>
      <c r="I4222" s="39"/>
      <c r="J4222" s="103"/>
      <c r="K4222" s="39"/>
      <c r="L4222" s="78"/>
      <c r="M4222" s="19"/>
      <c r="N4222" s="10"/>
    </row>
    <row r="4223" spans="7:14" x14ac:dyDescent="0.75">
      <c r="G4223" s="10"/>
      <c r="H4223" s="10"/>
      <c r="I4223" s="39"/>
      <c r="J4223" s="103"/>
      <c r="K4223" s="39"/>
      <c r="L4223" s="78"/>
      <c r="M4223" s="19"/>
      <c r="N4223" s="10"/>
    </row>
    <row r="4224" spans="7:14" x14ac:dyDescent="0.75">
      <c r="G4224" s="10"/>
      <c r="H4224" s="10"/>
      <c r="I4224" s="39"/>
      <c r="J4224" s="103"/>
      <c r="K4224" s="39"/>
      <c r="L4224" s="78"/>
      <c r="M4224" s="19"/>
      <c r="N4224" s="10"/>
    </row>
    <row r="4225" spans="7:14" x14ac:dyDescent="0.75">
      <c r="G4225" s="10"/>
      <c r="H4225" s="10"/>
      <c r="I4225" s="39"/>
      <c r="J4225" s="103"/>
      <c r="K4225" s="39"/>
      <c r="L4225" s="78"/>
      <c r="M4225" s="19"/>
      <c r="N4225" s="10"/>
    </row>
    <row r="4226" spans="7:14" x14ac:dyDescent="0.75">
      <c r="G4226" s="10"/>
      <c r="H4226" s="10"/>
      <c r="I4226" s="39"/>
      <c r="J4226" s="103"/>
      <c r="K4226" s="39"/>
      <c r="L4226" s="78"/>
      <c r="M4226" s="19"/>
      <c r="N4226" s="10"/>
    </row>
    <row r="4227" spans="7:14" x14ac:dyDescent="0.75">
      <c r="G4227" s="10"/>
      <c r="H4227" s="10"/>
      <c r="I4227" s="39"/>
      <c r="J4227" s="103"/>
      <c r="K4227" s="39"/>
      <c r="L4227" s="78"/>
      <c r="M4227" s="19"/>
      <c r="N4227" s="10"/>
    </row>
    <row r="4228" spans="7:14" x14ac:dyDescent="0.75">
      <c r="G4228" s="10"/>
      <c r="H4228" s="10"/>
      <c r="I4228" s="39"/>
      <c r="J4228" s="103"/>
      <c r="K4228" s="39"/>
      <c r="L4228" s="10"/>
      <c r="M4228" s="19"/>
      <c r="N4228" s="10"/>
    </row>
    <row r="4229" spans="7:14" x14ac:dyDescent="0.75">
      <c r="G4229" s="10"/>
      <c r="H4229" s="10"/>
      <c r="I4229" s="39"/>
      <c r="J4229" s="103"/>
      <c r="K4229" s="39"/>
      <c r="L4229" s="10"/>
      <c r="M4229" s="19"/>
      <c r="N4229" s="10"/>
    </row>
    <row r="4230" spans="7:14" x14ac:dyDescent="0.75">
      <c r="G4230" s="10"/>
      <c r="H4230" s="10"/>
      <c r="I4230" s="39"/>
      <c r="J4230" s="103"/>
      <c r="K4230" s="39"/>
      <c r="L4230" s="10"/>
      <c r="M4230" s="19"/>
      <c r="N4230" s="10"/>
    </row>
    <row r="4231" spans="7:14" x14ac:dyDescent="0.75">
      <c r="G4231" s="10"/>
      <c r="H4231" s="10"/>
      <c r="I4231" s="39"/>
      <c r="J4231" s="103"/>
      <c r="K4231" s="39"/>
      <c r="L4231" s="78"/>
      <c r="M4231" s="19"/>
      <c r="N4231" s="10"/>
    </row>
    <row r="4232" spans="7:14" x14ac:dyDescent="0.75">
      <c r="G4232" s="10"/>
      <c r="H4232" s="10"/>
      <c r="I4232" s="39"/>
      <c r="J4232" s="103"/>
      <c r="K4232" s="39"/>
      <c r="L4232" s="10"/>
      <c r="M4232" s="19"/>
      <c r="N4232" s="10"/>
    </row>
    <row r="4233" spans="7:14" x14ac:dyDescent="0.75">
      <c r="G4233" s="10"/>
      <c r="H4233" s="10"/>
      <c r="I4233" s="39"/>
      <c r="J4233" s="103"/>
      <c r="K4233" s="39"/>
      <c r="L4233" s="78"/>
      <c r="M4233" s="19"/>
      <c r="N4233" s="10"/>
    </row>
    <row r="4234" spans="7:14" x14ac:dyDescent="0.75">
      <c r="G4234" s="10"/>
      <c r="H4234" s="10"/>
      <c r="I4234" s="39"/>
      <c r="J4234" s="103"/>
      <c r="K4234" s="39"/>
      <c r="L4234" s="78"/>
      <c r="M4234" s="19"/>
      <c r="N4234" s="10"/>
    </row>
    <row r="4235" spans="7:14" x14ac:dyDescent="0.75">
      <c r="G4235" s="10"/>
      <c r="H4235" s="10"/>
      <c r="I4235" s="39"/>
      <c r="J4235" s="103"/>
      <c r="K4235" s="39"/>
      <c r="L4235" s="78"/>
      <c r="M4235" s="19"/>
      <c r="N4235" s="10"/>
    </row>
    <row r="4236" spans="7:14" x14ac:dyDescent="0.75">
      <c r="G4236" s="10"/>
      <c r="H4236" s="10"/>
      <c r="I4236" s="39"/>
      <c r="J4236" s="103"/>
      <c r="K4236" s="39"/>
      <c r="L4236" s="78"/>
      <c r="M4236" s="19"/>
      <c r="N4236" s="10"/>
    </row>
    <row r="4237" spans="7:14" x14ac:dyDescent="0.75">
      <c r="G4237" s="10"/>
      <c r="H4237" s="10"/>
      <c r="I4237" s="39"/>
      <c r="J4237" s="103"/>
      <c r="K4237" s="39"/>
      <c r="L4237" s="78"/>
      <c r="M4237" s="19"/>
      <c r="N4237" s="10"/>
    </row>
    <row r="4238" spans="7:14" x14ac:dyDescent="0.75">
      <c r="G4238" s="10"/>
      <c r="H4238" s="10"/>
      <c r="I4238" s="39"/>
      <c r="J4238" s="103"/>
      <c r="K4238" s="39"/>
      <c r="L4238" s="78"/>
      <c r="M4238" s="19"/>
      <c r="N4238" s="10"/>
    </row>
    <row r="4239" spans="7:14" x14ac:dyDescent="0.75">
      <c r="G4239" s="10"/>
      <c r="H4239" s="10"/>
      <c r="I4239" s="39"/>
      <c r="J4239" s="103"/>
      <c r="K4239" s="39"/>
      <c r="L4239" s="78"/>
      <c r="M4239" s="19"/>
      <c r="N4239" s="10"/>
    </row>
    <row r="4240" spans="7:14" x14ac:dyDescent="0.75">
      <c r="G4240" s="10"/>
      <c r="H4240" s="10"/>
      <c r="I4240" s="39"/>
      <c r="J4240" s="103"/>
      <c r="K4240" s="39"/>
      <c r="L4240" s="78"/>
      <c r="M4240" s="19"/>
      <c r="N4240" s="10"/>
    </row>
    <row r="4241" spans="7:14" x14ac:dyDescent="0.75">
      <c r="G4241" s="10"/>
      <c r="H4241" s="10"/>
      <c r="I4241" s="39"/>
      <c r="J4241" s="103"/>
      <c r="K4241" s="39"/>
      <c r="L4241" s="78"/>
      <c r="M4241" s="19"/>
      <c r="N4241" s="10"/>
    </row>
    <row r="4242" spans="7:14" x14ac:dyDescent="0.75">
      <c r="G4242" s="10"/>
      <c r="H4242" s="10"/>
      <c r="I4242" s="39"/>
      <c r="J4242" s="103"/>
      <c r="K4242" s="39"/>
      <c r="L4242" s="78"/>
      <c r="M4242" s="19"/>
      <c r="N4242" s="10"/>
    </row>
    <row r="4243" spans="7:14" x14ac:dyDescent="0.75">
      <c r="G4243" s="10"/>
      <c r="H4243" s="10"/>
      <c r="I4243" s="39"/>
      <c r="J4243" s="103"/>
      <c r="K4243" s="39"/>
      <c r="L4243" s="78"/>
      <c r="M4243" s="19"/>
      <c r="N4243" s="10"/>
    </row>
    <row r="4244" spans="7:14" x14ac:dyDescent="0.75">
      <c r="G4244" s="10"/>
      <c r="H4244" s="10"/>
      <c r="I4244" s="39"/>
      <c r="J4244" s="103"/>
      <c r="K4244" s="39"/>
      <c r="L4244" s="78"/>
      <c r="M4244" s="19"/>
      <c r="N4244" s="10"/>
    </row>
    <row r="4245" spans="7:14" x14ac:dyDescent="0.75">
      <c r="G4245" s="10"/>
      <c r="H4245" s="10"/>
      <c r="I4245" s="39"/>
      <c r="J4245" s="103"/>
      <c r="K4245" s="39"/>
      <c r="L4245" s="78"/>
      <c r="M4245" s="19"/>
      <c r="N4245" s="10"/>
    </row>
    <row r="4246" spans="7:14" x14ac:dyDescent="0.75">
      <c r="G4246" s="10"/>
      <c r="H4246" s="10"/>
      <c r="I4246" s="39"/>
      <c r="J4246" s="103"/>
      <c r="K4246" s="39"/>
      <c r="L4246" s="78"/>
      <c r="M4246" s="19"/>
      <c r="N4246" s="10"/>
    </row>
    <row r="4247" spans="7:14" x14ac:dyDescent="0.75">
      <c r="G4247" s="10"/>
      <c r="H4247" s="10"/>
      <c r="I4247" s="39"/>
      <c r="J4247" s="103"/>
      <c r="K4247" s="39"/>
      <c r="L4247" s="78"/>
      <c r="M4247" s="19"/>
      <c r="N4247" s="10"/>
    </row>
    <row r="4248" spans="7:14" x14ac:dyDescent="0.75">
      <c r="G4248" s="10"/>
      <c r="H4248" s="10"/>
      <c r="I4248" s="39"/>
      <c r="J4248" s="103"/>
      <c r="K4248" s="39"/>
      <c r="L4248" s="78"/>
      <c r="M4248" s="19"/>
      <c r="N4248" s="10"/>
    </row>
    <row r="4249" spans="7:14" x14ac:dyDescent="0.75">
      <c r="G4249" s="10"/>
      <c r="H4249" s="10"/>
      <c r="I4249" s="39"/>
      <c r="J4249" s="103"/>
      <c r="K4249" s="39"/>
      <c r="L4249" s="78"/>
      <c r="M4249" s="19"/>
      <c r="N4249" s="10"/>
    </row>
    <row r="4250" spans="7:14" x14ac:dyDescent="0.75">
      <c r="G4250" s="10"/>
      <c r="H4250" s="10"/>
      <c r="I4250" s="39"/>
      <c r="J4250" s="103"/>
      <c r="K4250" s="39"/>
      <c r="L4250" s="78"/>
      <c r="M4250" s="19"/>
      <c r="N4250" s="10"/>
    </row>
    <row r="4251" spans="7:14" x14ac:dyDescent="0.75">
      <c r="G4251" s="10"/>
      <c r="H4251" s="10"/>
      <c r="I4251" s="39"/>
      <c r="J4251" s="103"/>
      <c r="K4251" s="39"/>
      <c r="L4251" s="78"/>
      <c r="M4251" s="19"/>
      <c r="N4251" s="10"/>
    </row>
    <row r="4252" spans="7:14" x14ac:dyDescent="0.75">
      <c r="G4252" s="10"/>
      <c r="H4252" s="10"/>
      <c r="I4252" s="39"/>
      <c r="J4252" s="103"/>
      <c r="K4252" s="39"/>
      <c r="L4252" s="78"/>
      <c r="M4252" s="19"/>
      <c r="N4252" s="10"/>
    </row>
    <row r="4253" spans="7:14" x14ac:dyDescent="0.75">
      <c r="G4253" s="10"/>
      <c r="H4253" s="10"/>
      <c r="I4253" s="39"/>
      <c r="J4253" s="103"/>
      <c r="K4253" s="39"/>
      <c r="L4253" s="78"/>
      <c r="M4253" s="19"/>
      <c r="N4253" s="10"/>
    </row>
    <row r="4254" spans="7:14" x14ac:dyDescent="0.75">
      <c r="G4254" s="10"/>
      <c r="H4254" s="10"/>
      <c r="I4254" s="39"/>
      <c r="J4254" s="103"/>
      <c r="K4254" s="39"/>
      <c r="L4254" s="78"/>
      <c r="M4254" s="19"/>
      <c r="N4254" s="10"/>
    </row>
    <row r="4255" spans="7:14" x14ac:dyDescent="0.75">
      <c r="G4255" s="10"/>
      <c r="H4255" s="10"/>
      <c r="I4255" s="39"/>
      <c r="J4255" s="103"/>
      <c r="K4255" s="39"/>
      <c r="L4255" s="78"/>
      <c r="M4255" s="19"/>
      <c r="N4255" s="10"/>
    </row>
    <row r="4256" spans="7:14" x14ac:dyDescent="0.75">
      <c r="G4256" s="10"/>
      <c r="H4256" s="10"/>
      <c r="I4256" s="39"/>
      <c r="J4256" s="103"/>
      <c r="K4256" s="39"/>
      <c r="L4256" s="78"/>
      <c r="M4256" s="19"/>
      <c r="N4256" s="10"/>
    </row>
    <row r="4257" spans="7:14" x14ac:dyDescent="0.75">
      <c r="G4257" s="10"/>
      <c r="H4257" s="10"/>
      <c r="I4257" s="39"/>
      <c r="J4257" s="103"/>
      <c r="K4257" s="39"/>
      <c r="L4257" s="78"/>
      <c r="M4257" s="19"/>
      <c r="N4257" s="10"/>
    </row>
    <row r="4258" spans="7:14" x14ac:dyDescent="0.75">
      <c r="G4258" s="10"/>
      <c r="H4258" s="10"/>
      <c r="I4258" s="39"/>
      <c r="J4258" s="103"/>
      <c r="K4258" s="39"/>
      <c r="L4258" s="78"/>
      <c r="M4258" s="19"/>
      <c r="N4258" s="10"/>
    </row>
    <row r="4259" spans="7:14" x14ac:dyDescent="0.75">
      <c r="G4259" s="10"/>
      <c r="H4259" s="10"/>
      <c r="I4259" s="39"/>
      <c r="J4259" s="103"/>
      <c r="K4259" s="39"/>
      <c r="L4259" s="78"/>
      <c r="M4259" s="19"/>
      <c r="N4259" s="10"/>
    </row>
    <row r="4260" spans="7:14" x14ac:dyDescent="0.75">
      <c r="G4260" s="10"/>
      <c r="H4260" s="10"/>
      <c r="I4260" s="39"/>
      <c r="J4260" s="103"/>
      <c r="K4260" s="39"/>
      <c r="L4260" s="78"/>
      <c r="M4260" s="19"/>
      <c r="N4260" s="10"/>
    </row>
    <row r="4261" spans="7:14" x14ac:dyDescent="0.75">
      <c r="G4261" s="10"/>
      <c r="H4261" s="10"/>
      <c r="I4261" s="39"/>
      <c r="J4261" s="103"/>
      <c r="K4261" s="39"/>
      <c r="L4261" s="78"/>
      <c r="M4261" s="19"/>
      <c r="N4261" s="10"/>
    </row>
    <row r="4262" spans="7:14" x14ac:dyDescent="0.75">
      <c r="G4262" s="10"/>
      <c r="H4262" s="10"/>
      <c r="I4262" s="39"/>
      <c r="J4262" s="103"/>
      <c r="K4262" s="39"/>
      <c r="L4262" s="78"/>
      <c r="M4262" s="19"/>
      <c r="N4262" s="10"/>
    </row>
    <row r="4263" spans="7:14" x14ac:dyDescent="0.75">
      <c r="G4263" s="10"/>
      <c r="H4263" s="10"/>
      <c r="I4263" s="39"/>
      <c r="J4263" s="103"/>
      <c r="K4263" s="39"/>
      <c r="L4263" s="10"/>
      <c r="M4263" s="19"/>
      <c r="N4263" s="10"/>
    </row>
    <row r="4264" spans="7:14" x14ac:dyDescent="0.75">
      <c r="G4264" s="10"/>
      <c r="H4264" s="10"/>
      <c r="I4264" s="39"/>
      <c r="J4264" s="103"/>
      <c r="K4264" s="39"/>
      <c r="L4264" s="10"/>
      <c r="M4264" s="19"/>
      <c r="N4264" s="10"/>
    </row>
    <row r="4265" spans="7:14" x14ac:dyDescent="0.75">
      <c r="G4265" s="10"/>
      <c r="H4265" s="10"/>
      <c r="I4265" s="39"/>
      <c r="J4265" s="103"/>
      <c r="K4265" s="39"/>
      <c r="L4265" s="10"/>
      <c r="M4265" s="19"/>
      <c r="N4265" s="10"/>
    </row>
    <row r="4266" spans="7:14" x14ac:dyDescent="0.75">
      <c r="G4266" s="10"/>
      <c r="H4266" s="10"/>
      <c r="I4266" s="39"/>
      <c r="J4266" s="103"/>
      <c r="K4266" s="39"/>
      <c r="L4266" s="10"/>
      <c r="M4266" s="19"/>
      <c r="N4266" s="10"/>
    </row>
    <row r="4267" spans="7:14" x14ac:dyDescent="0.75">
      <c r="G4267" s="10"/>
      <c r="H4267" s="10"/>
      <c r="I4267" s="39"/>
      <c r="J4267" s="103"/>
      <c r="K4267" s="39"/>
      <c r="L4267" s="78"/>
      <c r="M4267" s="19"/>
      <c r="N4267" s="10"/>
    </row>
    <row r="4268" spans="7:14" x14ac:dyDescent="0.75">
      <c r="G4268" s="10"/>
      <c r="H4268" s="10"/>
      <c r="I4268" s="39"/>
      <c r="J4268" s="103"/>
      <c r="K4268" s="39"/>
      <c r="L4268" s="10"/>
      <c r="M4268" s="19"/>
      <c r="N4268" s="10"/>
    </row>
    <row r="4269" spans="7:14" x14ac:dyDescent="0.75">
      <c r="G4269" s="10"/>
      <c r="H4269" s="10"/>
      <c r="I4269" s="39"/>
      <c r="J4269" s="103"/>
      <c r="K4269" s="39"/>
      <c r="L4269" s="78"/>
      <c r="M4269" s="19"/>
      <c r="N4269" s="10"/>
    </row>
    <row r="4270" spans="7:14" x14ac:dyDescent="0.75">
      <c r="G4270" s="10"/>
      <c r="H4270" s="10"/>
      <c r="I4270" s="39"/>
      <c r="J4270" s="103"/>
      <c r="K4270" s="39"/>
      <c r="L4270" s="78"/>
      <c r="M4270" s="19"/>
      <c r="N4270" s="10"/>
    </row>
    <row r="4271" spans="7:14" x14ac:dyDescent="0.75">
      <c r="G4271" s="10"/>
      <c r="H4271" s="10"/>
      <c r="I4271" s="39"/>
      <c r="J4271" s="103"/>
      <c r="K4271" s="39"/>
      <c r="L4271" s="78"/>
      <c r="M4271" s="19"/>
      <c r="N4271" s="10"/>
    </row>
    <row r="4272" spans="7:14" x14ac:dyDescent="0.75">
      <c r="G4272" s="10"/>
      <c r="H4272" s="10"/>
      <c r="I4272" s="39"/>
      <c r="J4272" s="103"/>
      <c r="K4272" s="39"/>
      <c r="L4272" s="78"/>
      <c r="M4272" s="19"/>
      <c r="N4272" s="10"/>
    </row>
    <row r="4273" spans="7:14" x14ac:dyDescent="0.75">
      <c r="G4273" s="10"/>
      <c r="H4273" s="10"/>
      <c r="I4273" s="39"/>
      <c r="J4273" s="103"/>
      <c r="K4273" s="39"/>
      <c r="L4273" s="78"/>
      <c r="M4273" s="19"/>
      <c r="N4273" s="10"/>
    </row>
    <row r="4274" spans="7:14" x14ac:dyDescent="0.75">
      <c r="G4274" s="10"/>
      <c r="H4274" s="10"/>
      <c r="I4274" s="39"/>
      <c r="J4274" s="103"/>
      <c r="K4274" s="39"/>
      <c r="L4274" s="78"/>
      <c r="M4274" s="19"/>
      <c r="N4274" s="10"/>
    </row>
    <row r="4275" spans="7:14" x14ac:dyDescent="0.75">
      <c r="G4275" s="10"/>
      <c r="H4275" s="10"/>
      <c r="I4275" s="39"/>
      <c r="J4275" s="103"/>
      <c r="K4275" s="39"/>
      <c r="L4275" s="78"/>
      <c r="M4275" s="19"/>
      <c r="N4275" s="10"/>
    </row>
    <row r="4276" spans="7:14" x14ac:dyDescent="0.75">
      <c r="G4276" s="10"/>
      <c r="H4276" s="10"/>
      <c r="I4276" s="39"/>
      <c r="J4276" s="103"/>
      <c r="K4276" s="39"/>
      <c r="L4276" s="78"/>
      <c r="M4276" s="19"/>
      <c r="N4276" s="10"/>
    </row>
    <row r="4277" spans="7:14" x14ac:dyDescent="0.75">
      <c r="G4277" s="10"/>
      <c r="H4277" s="10"/>
      <c r="I4277" s="39"/>
      <c r="J4277" s="103"/>
      <c r="K4277" s="39"/>
      <c r="L4277" s="10"/>
      <c r="M4277" s="19"/>
      <c r="N4277" s="10"/>
    </row>
    <row r="4278" spans="7:14" x14ac:dyDescent="0.75">
      <c r="G4278" s="10"/>
      <c r="H4278" s="10"/>
      <c r="I4278" s="39"/>
      <c r="J4278" s="103"/>
      <c r="K4278" s="39"/>
      <c r="L4278" s="10"/>
      <c r="M4278" s="19"/>
      <c r="N4278" s="10"/>
    </row>
    <row r="4279" spans="7:14" x14ac:dyDescent="0.75">
      <c r="G4279" s="10"/>
      <c r="H4279" s="10"/>
      <c r="I4279" s="39"/>
      <c r="J4279" s="103"/>
      <c r="K4279" s="39"/>
      <c r="L4279" s="10"/>
      <c r="M4279" s="19"/>
      <c r="N4279" s="10"/>
    </row>
    <row r="4280" spans="7:14" x14ac:dyDescent="0.75">
      <c r="G4280" s="10"/>
      <c r="H4280" s="10"/>
      <c r="I4280" s="39"/>
      <c r="J4280" s="103"/>
      <c r="K4280" s="39"/>
      <c r="L4280" s="78"/>
      <c r="M4280" s="19"/>
      <c r="N4280" s="10"/>
    </row>
    <row r="4281" spans="7:14" x14ac:dyDescent="0.75">
      <c r="G4281" s="10"/>
      <c r="H4281" s="10"/>
      <c r="I4281" s="39"/>
      <c r="J4281" s="103"/>
      <c r="K4281" s="39"/>
      <c r="L4281" s="78"/>
      <c r="M4281" s="19"/>
      <c r="N4281" s="10"/>
    </row>
    <row r="4282" spans="7:14" x14ac:dyDescent="0.75">
      <c r="G4282" s="10"/>
      <c r="H4282" s="10"/>
      <c r="I4282" s="39"/>
      <c r="J4282" s="103"/>
      <c r="K4282" s="39"/>
      <c r="L4282" s="78"/>
      <c r="M4282" s="19"/>
      <c r="N4282" s="10"/>
    </row>
    <row r="4283" spans="7:14" x14ac:dyDescent="0.75">
      <c r="G4283" s="10"/>
      <c r="H4283" s="10"/>
      <c r="I4283" s="39"/>
      <c r="J4283" s="103"/>
      <c r="K4283" s="39"/>
      <c r="L4283" s="78"/>
      <c r="M4283" s="19"/>
      <c r="N4283" s="10"/>
    </row>
    <row r="4284" spans="7:14" x14ac:dyDescent="0.75">
      <c r="G4284" s="10"/>
      <c r="H4284" s="10"/>
      <c r="I4284" s="39"/>
      <c r="J4284" s="103"/>
      <c r="K4284" s="39"/>
      <c r="L4284" s="78"/>
      <c r="M4284" s="19"/>
      <c r="N4284" s="10"/>
    </row>
    <row r="4285" spans="7:14" x14ac:dyDescent="0.75">
      <c r="G4285" s="10"/>
      <c r="H4285" s="10"/>
      <c r="I4285" s="39"/>
      <c r="J4285" s="103"/>
      <c r="K4285" s="39"/>
      <c r="L4285" s="78"/>
      <c r="M4285" s="19"/>
      <c r="N4285" s="10"/>
    </row>
    <row r="4286" spans="7:14" x14ac:dyDescent="0.75">
      <c r="G4286" s="10"/>
      <c r="H4286" s="10"/>
      <c r="I4286" s="39"/>
      <c r="J4286" s="103"/>
      <c r="K4286" s="39"/>
      <c r="L4286" s="78"/>
      <c r="M4286" s="19"/>
      <c r="N4286" s="10"/>
    </row>
    <row r="4287" spans="7:14" x14ac:dyDescent="0.75">
      <c r="G4287" s="10"/>
      <c r="H4287" s="10"/>
      <c r="I4287" s="39"/>
      <c r="J4287" s="103"/>
      <c r="K4287" s="39"/>
      <c r="L4287" s="78"/>
      <c r="M4287" s="19"/>
      <c r="N4287" s="10"/>
    </row>
    <row r="4288" spans="7:14" x14ac:dyDescent="0.75">
      <c r="G4288" s="10"/>
      <c r="H4288" s="10"/>
      <c r="I4288" s="39"/>
      <c r="J4288" s="103"/>
      <c r="K4288" s="39"/>
      <c r="L4288" s="78"/>
      <c r="M4288" s="19"/>
      <c r="N4288" s="10"/>
    </row>
    <row r="4289" spans="7:14" x14ac:dyDescent="0.75">
      <c r="G4289" s="10"/>
      <c r="H4289" s="10"/>
      <c r="I4289" s="39"/>
      <c r="J4289" s="103"/>
      <c r="K4289" s="39"/>
      <c r="L4289" s="78"/>
      <c r="M4289" s="19"/>
      <c r="N4289" s="10"/>
    </row>
    <row r="4290" spans="7:14" x14ac:dyDescent="0.75">
      <c r="G4290" s="10"/>
      <c r="H4290" s="10"/>
      <c r="I4290" s="39"/>
      <c r="J4290" s="103"/>
      <c r="K4290" s="39"/>
      <c r="L4290" s="78"/>
      <c r="M4290" s="19"/>
      <c r="N4290" s="10"/>
    </row>
    <row r="4291" spans="7:14" x14ac:dyDescent="0.75">
      <c r="G4291" s="10"/>
      <c r="H4291" s="10"/>
      <c r="I4291" s="39"/>
      <c r="J4291" s="103"/>
      <c r="K4291" s="39"/>
      <c r="L4291" s="78"/>
      <c r="M4291" s="19"/>
      <c r="N4291" s="10"/>
    </row>
    <row r="4292" spans="7:14" x14ac:dyDescent="0.75">
      <c r="G4292" s="10"/>
      <c r="H4292" s="10"/>
      <c r="I4292" s="39"/>
      <c r="J4292" s="103"/>
      <c r="K4292" s="39"/>
      <c r="L4292" s="78"/>
      <c r="M4292" s="19"/>
      <c r="N4292" s="10"/>
    </row>
    <row r="4293" spans="7:14" x14ac:dyDescent="0.75">
      <c r="G4293" s="10"/>
      <c r="H4293" s="10"/>
      <c r="I4293" s="39"/>
      <c r="J4293" s="103"/>
      <c r="K4293" s="39"/>
      <c r="L4293" s="78"/>
      <c r="M4293" s="19"/>
      <c r="N4293" s="10"/>
    </row>
    <row r="4294" spans="7:14" x14ac:dyDescent="0.75">
      <c r="G4294" s="10"/>
      <c r="H4294" s="10"/>
      <c r="I4294" s="39"/>
      <c r="J4294" s="103"/>
      <c r="K4294" s="39"/>
      <c r="L4294" s="78"/>
      <c r="M4294" s="19"/>
      <c r="N4294" s="10"/>
    </row>
    <row r="4295" spans="7:14" x14ac:dyDescent="0.75">
      <c r="G4295" s="10"/>
      <c r="H4295" s="10"/>
      <c r="I4295" s="39"/>
      <c r="J4295" s="103"/>
      <c r="K4295" s="39"/>
      <c r="L4295" s="78"/>
      <c r="M4295" s="19"/>
      <c r="N4295" s="10"/>
    </row>
    <row r="4296" spans="7:14" x14ac:dyDescent="0.75">
      <c r="G4296" s="10"/>
      <c r="H4296" s="10"/>
      <c r="I4296" s="39"/>
      <c r="J4296" s="103"/>
      <c r="K4296" s="39"/>
      <c r="L4296" s="78"/>
      <c r="M4296" s="19"/>
      <c r="N4296" s="10"/>
    </row>
    <row r="4297" spans="7:14" x14ac:dyDescent="0.75">
      <c r="G4297" s="10"/>
      <c r="H4297" s="10"/>
      <c r="I4297" s="39"/>
      <c r="J4297" s="103"/>
      <c r="K4297" s="39"/>
      <c r="L4297" s="78"/>
      <c r="M4297" s="19"/>
      <c r="N4297" s="10"/>
    </row>
    <row r="4298" spans="7:14" x14ac:dyDescent="0.75">
      <c r="G4298" s="10"/>
      <c r="H4298" s="10"/>
      <c r="I4298" s="39"/>
      <c r="J4298" s="103"/>
      <c r="K4298" s="39"/>
      <c r="L4298" s="78"/>
      <c r="M4298" s="19"/>
      <c r="N4298" s="10"/>
    </row>
    <row r="4299" spans="7:14" x14ac:dyDescent="0.75">
      <c r="G4299" s="10"/>
      <c r="H4299" s="10"/>
      <c r="I4299" s="39"/>
      <c r="J4299" s="103"/>
      <c r="K4299" s="39"/>
      <c r="L4299" s="78"/>
      <c r="M4299" s="19"/>
      <c r="N4299" s="10"/>
    </row>
    <row r="4300" spans="7:14" x14ac:dyDescent="0.75">
      <c r="G4300" s="10"/>
      <c r="H4300" s="10"/>
      <c r="I4300" s="39"/>
      <c r="J4300" s="103"/>
      <c r="K4300" s="39"/>
      <c r="L4300" s="78"/>
      <c r="M4300" s="19"/>
      <c r="N4300" s="10"/>
    </row>
    <row r="4301" spans="7:14" x14ac:dyDescent="0.75">
      <c r="G4301" s="10"/>
      <c r="H4301" s="10"/>
      <c r="I4301" s="39"/>
      <c r="J4301" s="103"/>
      <c r="K4301" s="39"/>
      <c r="L4301" s="78"/>
      <c r="M4301" s="19"/>
      <c r="N4301" s="10"/>
    </row>
    <row r="4302" spans="7:14" x14ac:dyDescent="0.75">
      <c r="G4302" s="10"/>
      <c r="H4302" s="10"/>
      <c r="I4302" s="39"/>
      <c r="J4302" s="103"/>
      <c r="K4302" s="39"/>
      <c r="L4302" s="78"/>
      <c r="M4302" s="19"/>
      <c r="N4302" s="10"/>
    </row>
    <row r="4303" spans="7:14" x14ac:dyDescent="0.75">
      <c r="G4303" s="10"/>
      <c r="H4303" s="10"/>
      <c r="I4303" s="39"/>
      <c r="J4303" s="103"/>
      <c r="K4303" s="39"/>
      <c r="L4303" s="78"/>
      <c r="M4303" s="19"/>
      <c r="N4303" s="10"/>
    </row>
    <row r="4304" spans="7:14" x14ac:dyDescent="0.75">
      <c r="G4304" s="10"/>
      <c r="H4304" s="10"/>
      <c r="I4304" s="39"/>
      <c r="J4304" s="103"/>
      <c r="K4304" s="39"/>
      <c r="L4304" s="78"/>
      <c r="M4304" s="19"/>
      <c r="N4304" s="10"/>
    </row>
    <row r="4305" spans="7:14" x14ac:dyDescent="0.75">
      <c r="G4305" s="10"/>
      <c r="H4305" s="10"/>
      <c r="I4305" s="39"/>
      <c r="J4305" s="103"/>
      <c r="K4305" s="39"/>
      <c r="L4305" s="78"/>
      <c r="M4305" s="19"/>
      <c r="N4305" s="10"/>
    </row>
    <row r="4306" spans="7:14" x14ac:dyDescent="0.75">
      <c r="G4306" s="10"/>
      <c r="H4306" s="10"/>
      <c r="I4306" s="39"/>
      <c r="J4306" s="103"/>
      <c r="K4306" s="39"/>
      <c r="L4306" s="78"/>
      <c r="M4306" s="19"/>
      <c r="N4306" s="10"/>
    </row>
    <row r="4307" spans="7:14" x14ac:dyDescent="0.75">
      <c r="G4307" s="10"/>
      <c r="H4307" s="10"/>
      <c r="I4307" s="39"/>
      <c r="J4307" s="103"/>
      <c r="K4307" s="39"/>
      <c r="L4307" s="78"/>
      <c r="M4307" s="19"/>
      <c r="N4307" s="10"/>
    </row>
    <row r="4308" spans="7:14" x14ac:dyDescent="0.75">
      <c r="G4308" s="10"/>
      <c r="H4308" s="10"/>
      <c r="I4308" s="39"/>
      <c r="J4308" s="103"/>
      <c r="K4308" s="39"/>
      <c r="L4308" s="78"/>
      <c r="M4308" s="19"/>
      <c r="N4308" s="10"/>
    </row>
    <row r="4309" spans="7:14" x14ac:dyDescent="0.75">
      <c r="G4309" s="10"/>
      <c r="H4309" s="10"/>
      <c r="I4309" s="39"/>
      <c r="J4309" s="103"/>
      <c r="K4309" s="39"/>
      <c r="L4309" s="78"/>
      <c r="M4309" s="19"/>
      <c r="N4309" s="10"/>
    </row>
    <row r="4310" spans="7:14" x14ac:dyDescent="0.75">
      <c r="G4310" s="10"/>
      <c r="H4310" s="10"/>
      <c r="I4310" s="39"/>
      <c r="J4310" s="103"/>
      <c r="K4310" s="39"/>
      <c r="L4310" s="78"/>
      <c r="M4310" s="19"/>
      <c r="N4310" s="10"/>
    </row>
    <row r="4311" spans="7:14" x14ac:dyDescent="0.75">
      <c r="G4311" s="10"/>
      <c r="H4311" s="10"/>
      <c r="I4311" s="39"/>
      <c r="J4311" s="103"/>
      <c r="K4311" s="39"/>
      <c r="L4311" s="78"/>
      <c r="M4311" s="19"/>
      <c r="N4311" s="10"/>
    </row>
    <row r="4312" spans="7:14" x14ac:dyDescent="0.75">
      <c r="G4312" s="10"/>
      <c r="H4312" s="10"/>
      <c r="I4312" s="39"/>
      <c r="J4312" s="103"/>
      <c r="K4312" s="39"/>
      <c r="L4312" s="78"/>
      <c r="M4312" s="19"/>
      <c r="N4312" s="10"/>
    </row>
    <row r="4313" spans="7:14" x14ac:dyDescent="0.75">
      <c r="G4313" s="10"/>
      <c r="H4313" s="10"/>
      <c r="I4313" s="39"/>
      <c r="J4313" s="103"/>
      <c r="K4313" s="39"/>
      <c r="L4313" s="78"/>
      <c r="M4313" s="19"/>
      <c r="N4313" s="10"/>
    </row>
    <row r="4314" spans="7:14" x14ac:dyDescent="0.75">
      <c r="G4314" s="10"/>
      <c r="H4314" s="10"/>
      <c r="I4314" s="39"/>
      <c r="J4314" s="103"/>
      <c r="K4314" s="39"/>
      <c r="L4314" s="78"/>
      <c r="M4314" s="19"/>
      <c r="N4314" s="10"/>
    </row>
    <row r="4315" spans="7:14" x14ac:dyDescent="0.75">
      <c r="G4315" s="10"/>
      <c r="H4315" s="10"/>
      <c r="I4315" s="39"/>
      <c r="J4315" s="103"/>
      <c r="K4315" s="39"/>
      <c r="L4315" s="78"/>
      <c r="M4315" s="19"/>
      <c r="N4315" s="10"/>
    </row>
    <row r="4316" spans="7:14" x14ac:dyDescent="0.75">
      <c r="G4316" s="10"/>
      <c r="H4316" s="10"/>
      <c r="I4316" s="39"/>
      <c r="J4316" s="103"/>
      <c r="K4316" s="39"/>
      <c r="L4316" s="78"/>
      <c r="M4316" s="19"/>
      <c r="N4316" s="10"/>
    </row>
    <row r="4317" spans="7:14" x14ac:dyDescent="0.75">
      <c r="G4317" s="10"/>
      <c r="H4317" s="10"/>
      <c r="I4317" s="39"/>
      <c r="J4317" s="103"/>
      <c r="K4317" s="39"/>
      <c r="L4317" s="78"/>
      <c r="M4317" s="19"/>
      <c r="N4317" s="10"/>
    </row>
    <row r="4318" spans="7:14" x14ac:dyDescent="0.75">
      <c r="G4318" s="10"/>
      <c r="H4318" s="10"/>
      <c r="I4318" s="39"/>
      <c r="J4318" s="103"/>
      <c r="K4318" s="39"/>
      <c r="L4318" s="78"/>
      <c r="M4318" s="19"/>
      <c r="N4318" s="10"/>
    </row>
    <row r="4319" spans="7:14" x14ac:dyDescent="0.75">
      <c r="G4319" s="10"/>
      <c r="H4319" s="10"/>
      <c r="I4319" s="39"/>
      <c r="J4319" s="103"/>
      <c r="K4319" s="39"/>
      <c r="L4319" s="78"/>
      <c r="M4319" s="19"/>
      <c r="N4319" s="10"/>
    </row>
    <row r="4320" spans="7:14" x14ac:dyDescent="0.75">
      <c r="G4320" s="10"/>
      <c r="H4320" s="10"/>
      <c r="I4320" s="39"/>
      <c r="J4320" s="103"/>
      <c r="K4320" s="39"/>
      <c r="L4320" s="78"/>
      <c r="M4320" s="19"/>
      <c r="N4320" s="10"/>
    </row>
    <row r="4321" spans="7:14" x14ac:dyDescent="0.75">
      <c r="G4321" s="10"/>
      <c r="H4321" s="10"/>
      <c r="I4321" s="39"/>
      <c r="J4321" s="103"/>
      <c r="K4321" s="39"/>
      <c r="L4321" s="78"/>
      <c r="M4321" s="19"/>
      <c r="N4321" s="10"/>
    </row>
    <row r="4322" spans="7:14" x14ac:dyDescent="0.75">
      <c r="G4322" s="10"/>
      <c r="H4322" s="10"/>
      <c r="I4322" s="39"/>
      <c r="J4322" s="103"/>
      <c r="K4322" s="39"/>
      <c r="L4322" s="78"/>
      <c r="M4322" s="19"/>
      <c r="N4322" s="10"/>
    </row>
    <row r="4323" spans="7:14" x14ac:dyDescent="0.75">
      <c r="G4323" s="10"/>
      <c r="H4323" s="10"/>
      <c r="I4323" s="39"/>
      <c r="J4323" s="103"/>
      <c r="K4323" s="39"/>
      <c r="L4323" s="78"/>
      <c r="M4323" s="19"/>
      <c r="N4323" s="10"/>
    </row>
    <row r="4324" spans="7:14" x14ac:dyDescent="0.75">
      <c r="G4324" s="10"/>
      <c r="H4324" s="10"/>
      <c r="I4324" s="39"/>
      <c r="J4324" s="103"/>
      <c r="K4324" s="39"/>
      <c r="L4324" s="78"/>
      <c r="M4324" s="19"/>
      <c r="N4324" s="10"/>
    </row>
    <row r="4325" spans="7:14" x14ac:dyDescent="0.75">
      <c r="G4325" s="10"/>
      <c r="H4325" s="10"/>
      <c r="I4325" s="39"/>
      <c r="J4325" s="103"/>
      <c r="K4325" s="39"/>
      <c r="L4325" s="78"/>
      <c r="M4325" s="19"/>
      <c r="N4325" s="10"/>
    </row>
    <row r="4326" spans="7:14" x14ac:dyDescent="0.75">
      <c r="G4326" s="10"/>
      <c r="H4326" s="10"/>
      <c r="I4326" s="39"/>
      <c r="J4326" s="103"/>
      <c r="K4326" s="39"/>
      <c r="L4326" s="78"/>
      <c r="M4326" s="19"/>
      <c r="N4326" s="10"/>
    </row>
    <row r="4327" spans="7:14" x14ac:dyDescent="0.75">
      <c r="G4327" s="10"/>
      <c r="H4327" s="10"/>
      <c r="I4327" s="39"/>
      <c r="J4327" s="103"/>
      <c r="K4327" s="39"/>
      <c r="L4327" s="78"/>
      <c r="M4327" s="19"/>
      <c r="N4327" s="10"/>
    </row>
    <row r="4328" spans="7:14" x14ac:dyDescent="0.75">
      <c r="G4328" s="10"/>
      <c r="H4328" s="10"/>
      <c r="I4328" s="39"/>
      <c r="J4328" s="103"/>
      <c r="K4328" s="39"/>
      <c r="L4328" s="78"/>
      <c r="M4328" s="19"/>
      <c r="N4328" s="10"/>
    </row>
    <row r="4329" spans="7:14" x14ac:dyDescent="0.75">
      <c r="G4329" s="10"/>
      <c r="H4329" s="10"/>
      <c r="I4329" s="39"/>
      <c r="J4329" s="103"/>
      <c r="K4329" s="39"/>
      <c r="L4329" s="10"/>
      <c r="M4329" s="19"/>
      <c r="N4329" s="10"/>
    </row>
    <row r="4330" spans="7:14" x14ac:dyDescent="0.75">
      <c r="G4330" s="10"/>
      <c r="H4330" s="10"/>
      <c r="I4330" s="39"/>
      <c r="J4330" s="103"/>
      <c r="K4330" s="39"/>
      <c r="L4330" s="78"/>
      <c r="M4330" s="19"/>
      <c r="N4330" s="10"/>
    </row>
    <row r="4331" spans="7:14" x14ac:dyDescent="0.75">
      <c r="G4331" s="10"/>
      <c r="H4331" s="10"/>
      <c r="I4331" s="39"/>
      <c r="J4331" s="103"/>
      <c r="K4331" s="39"/>
      <c r="L4331" s="78"/>
      <c r="M4331" s="19"/>
      <c r="N4331" s="10"/>
    </row>
    <row r="4332" spans="7:14" x14ac:dyDescent="0.75">
      <c r="G4332" s="10"/>
      <c r="H4332" s="10"/>
      <c r="I4332" s="39"/>
      <c r="J4332" s="103"/>
      <c r="K4332" s="39"/>
      <c r="L4332" s="78"/>
      <c r="M4332" s="19"/>
      <c r="N4332" s="10"/>
    </row>
    <row r="4333" spans="7:14" x14ac:dyDescent="0.75">
      <c r="G4333" s="10"/>
      <c r="H4333" s="10"/>
      <c r="I4333" s="39"/>
      <c r="J4333" s="103"/>
      <c r="K4333" s="39"/>
      <c r="L4333" s="78"/>
      <c r="M4333" s="19"/>
      <c r="N4333" s="10"/>
    </row>
    <row r="4334" spans="7:14" x14ac:dyDescent="0.75">
      <c r="G4334" s="10"/>
      <c r="H4334" s="10"/>
      <c r="I4334" s="39"/>
      <c r="J4334" s="103"/>
      <c r="K4334" s="39"/>
      <c r="L4334" s="78"/>
      <c r="M4334" s="19"/>
      <c r="N4334" s="10"/>
    </row>
    <row r="4335" spans="7:14" x14ac:dyDescent="0.75">
      <c r="G4335" s="10"/>
      <c r="H4335" s="10"/>
      <c r="I4335" s="39"/>
      <c r="J4335" s="103"/>
      <c r="K4335" s="39"/>
      <c r="L4335" s="78"/>
      <c r="M4335" s="19"/>
      <c r="N4335" s="10"/>
    </row>
    <row r="4336" spans="7:14" x14ac:dyDescent="0.75">
      <c r="G4336" s="10"/>
      <c r="H4336" s="10"/>
      <c r="I4336" s="39"/>
      <c r="J4336" s="103"/>
      <c r="K4336" s="39"/>
      <c r="L4336" s="78"/>
      <c r="M4336" s="19"/>
      <c r="N4336" s="10"/>
    </row>
    <row r="4337" spans="7:14" x14ac:dyDescent="0.75">
      <c r="G4337" s="10"/>
      <c r="H4337" s="10"/>
      <c r="I4337" s="39"/>
      <c r="J4337" s="103"/>
      <c r="K4337" s="39"/>
      <c r="L4337" s="78"/>
      <c r="M4337" s="19"/>
      <c r="N4337" s="10"/>
    </row>
    <row r="4338" spans="7:14" x14ac:dyDescent="0.75">
      <c r="G4338" s="10"/>
      <c r="H4338" s="10"/>
      <c r="I4338" s="39"/>
      <c r="J4338" s="103"/>
      <c r="K4338" s="39"/>
      <c r="L4338" s="78"/>
      <c r="M4338" s="19"/>
      <c r="N4338" s="10"/>
    </row>
    <row r="4339" spans="7:14" x14ac:dyDescent="0.75">
      <c r="G4339" s="10"/>
      <c r="H4339" s="10"/>
      <c r="I4339" s="39"/>
      <c r="J4339" s="103"/>
      <c r="K4339" s="39"/>
      <c r="L4339" s="78"/>
      <c r="M4339" s="19"/>
      <c r="N4339" s="10"/>
    </row>
    <row r="4340" spans="7:14" x14ac:dyDescent="0.75">
      <c r="G4340" s="10"/>
      <c r="H4340" s="10"/>
      <c r="I4340" s="39"/>
      <c r="J4340" s="103"/>
      <c r="K4340" s="39"/>
      <c r="L4340" s="78"/>
      <c r="M4340" s="19"/>
      <c r="N4340" s="10"/>
    </row>
    <row r="4341" spans="7:14" x14ac:dyDescent="0.75">
      <c r="G4341" s="10"/>
      <c r="H4341" s="10"/>
      <c r="I4341" s="39"/>
      <c r="J4341" s="103"/>
      <c r="K4341" s="39"/>
      <c r="L4341" s="78"/>
      <c r="M4341" s="19"/>
      <c r="N4341" s="10"/>
    </row>
    <row r="4342" spans="7:14" x14ac:dyDescent="0.75">
      <c r="G4342" s="10"/>
      <c r="H4342" s="10"/>
      <c r="I4342" s="39"/>
      <c r="J4342" s="103"/>
      <c r="K4342" s="39"/>
      <c r="L4342" s="78"/>
      <c r="M4342" s="19"/>
      <c r="N4342" s="10"/>
    </row>
    <row r="4343" spans="7:14" x14ac:dyDescent="0.75">
      <c r="G4343" s="10"/>
      <c r="H4343" s="10"/>
      <c r="I4343" s="39"/>
      <c r="J4343" s="103"/>
      <c r="K4343" s="39"/>
      <c r="L4343" s="78"/>
      <c r="M4343" s="19"/>
      <c r="N4343" s="10"/>
    </row>
    <row r="4344" spans="7:14" x14ac:dyDescent="0.75">
      <c r="G4344" s="10"/>
      <c r="H4344" s="10"/>
      <c r="I4344" s="39"/>
      <c r="J4344" s="103"/>
      <c r="K4344" s="39"/>
      <c r="L4344" s="78"/>
      <c r="M4344" s="19"/>
      <c r="N4344" s="10"/>
    </row>
    <row r="4345" spans="7:14" x14ac:dyDescent="0.75">
      <c r="G4345" s="10"/>
      <c r="H4345" s="10"/>
      <c r="I4345" s="39"/>
      <c r="J4345" s="103"/>
      <c r="K4345" s="39"/>
      <c r="L4345" s="78"/>
      <c r="M4345" s="19"/>
      <c r="N4345" s="10"/>
    </row>
    <row r="4346" spans="7:14" x14ac:dyDescent="0.75">
      <c r="G4346" s="10"/>
      <c r="H4346" s="10"/>
      <c r="I4346" s="39"/>
      <c r="J4346" s="103"/>
      <c r="K4346" s="39"/>
      <c r="L4346" s="78"/>
      <c r="M4346" s="19"/>
      <c r="N4346" s="10"/>
    </row>
    <row r="4347" spans="7:14" x14ac:dyDescent="0.75">
      <c r="G4347" s="10"/>
      <c r="H4347" s="10"/>
      <c r="I4347" s="39"/>
      <c r="J4347" s="103"/>
      <c r="K4347" s="39"/>
      <c r="L4347" s="78"/>
      <c r="M4347" s="19"/>
      <c r="N4347" s="10"/>
    </row>
    <row r="4348" spans="7:14" x14ac:dyDescent="0.75">
      <c r="G4348" s="10"/>
      <c r="H4348" s="10"/>
      <c r="I4348" s="39"/>
      <c r="J4348" s="103"/>
      <c r="K4348" s="39"/>
      <c r="L4348" s="78"/>
      <c r="M4348" s="19"/>
      <c r="N4348" s="10"/>
    </row>
    <row r="4349" spans="7:14" x14ac:dyDescent="0.75">
      <c r="G4349" s="10"/>
      <c r="H4349" s="10"/>
      <c r="I4349" s="39"/>
      <c r="J4349" s="103"/>
      <c r="K4349" s="39"/>
      <c r="L4349" s="78"/>
      <c r="M4349" s="19"/>
      <c r="N4349" s="10"/>
    </row>
    <row r="4350" spans="7:14" x14ac:dyDescent="0.75">
      <c r="G4350" s="10"/>
      <c r="H4350" s="10"/>
      <c r="I4350" s="39"/>
      <c r="J4350" s="103"/>
      <c r="K4350" s="39"/>
      <c r="L4350" s="78"/>
      <c r="M4350" s="19"/>
      <c r="N4350" s="10"/>
    </row>
    <row r="4351" spans="7:14" x14ac:dyDescent="0.75">
      <c r="G4351" s="10"/>
      <c r="H4351" s="10"/>
      <c r="I4351" s="39"/>
      <c r="J4351" s="103"/>
      <c r="K4351" s="39"/>
      <c r="L4351" s="78"/>
      <c r="M4351" s="19"/>
      <c r="N4351" s="10"/>
    </row>
    <row r="4352" spans="7:14" x14ac:dyDescent="0.75">
      <c r="G4352" s="10"/>
      <c r="H4352" s="10"/>
      <c r="I4352" s="39"/>
      <c r="J4352" s="103"/>
      <c r="K4352" s="39"/>
      <c r="L4352" s="78"/>
      <c r="M4352" s="19"/>
      <c r="N4352" s="10"/>
    </row>
    <row r="4353" spans="7:14" x14ac:dyDescent="0.75">
      <c r="G4353" s="10"/>
      <c r="H4353" s="10"/>
      <c r="I4353" s="39"/>
      <c r="J4353" s="103"/>
      <c r="K4353" s="39"/>
      <c r="L4353" s="78"/>
      <c r="M4353" s="19"/>
      <c r="N4353" s="10"/>
    </row>
    <row r="4354" spans="7:14" x14ac:dyDescent="0.75">
      <c r="G4354" s="10"/>
      <c r="H4354" s="10"/>
      <c r="I4354" s="39"/>
      <c r="J4354" s="103"/>
      <c r="K4354" s="39"/>
      <c r="L4354" s="78"/>
      <c r="M4354" s="19"/>
      <c r="N4354" s="10"/>
    </row>
    <row r="4355" spans="7:14" x14ac:dyDescent="0.75">
      <c r="G4355" s="10"/>
      <c r="H4355" s="10"/>
      <c r="I4355" s="39"/>
      <c r="J4355" s="103"/>
      <c r="K4355" s="39"/>
      <c r="L4355" s="78"/>
      <c r="M4355" s="19"/>
      <c r="N4355" s="10"/>
    </row>
    <row r="4356" spans="7:14" x14ac:dyDescent="0.75">
      <c r="G4356" s="10"/>
      <c r="H4356" s="10"/>
      <c r="I4356" s="39"/>
      <c r="J4356" s="103"/>
      <c r="K4356" s="39"/>
      <c r="L4356" s="78"/>
      <c r="M4356" s="19"/>
      <c r="N4356" s="10"/>
    </row>
    <row r="4357" spans="7:14" x14ac:dyDescent="0.75">
      <c r="G4357" s="10"/>
      <c r="H4357" s="10"/>
      <c r="I4357" s="39"/>
      <c r="J4357" s="103"/>
      <c r="K4357" s="39"/>
      <c r="L4357" s="10"/>
      <c r="M4357" s="19"/>
      <c r="N4357" s="10"/>
    </row>
    <row r="4358" spans="7:14" x14ac:dyDescent="0.75">
      <c r="G4358" s="10"/>
      <c r="H4358" s="10"/>
      <c r="I4358" s="39"/>
      <c r="J4358" s="103"/>
      <c r="K4358" s="39"/>
      <c r="L4358" s="78"/>
      <c r="M4358" s="19"/>
      <c r="N4358" s="10"/>
    </row>
    <row r="4359" spans="7:14" x14ac:dyDescent="0.75">
      <c r="G4359" s="10"/>
      <c r="H4359" s="10"/>
      <c r="I4359" s="39"/>
      <c r="J4359" s="103"/>
      <c r="K4359" s="39"/>
      <c r="L4359" s="78"/>
      <c r="M4359" s="19"/>
      <c r="N4359" s="10"/>
    </row>
    <row r="4360" spans="7:14" x14ac:dyDescent="0.75">
      <c r="G4360" s="10"/>
      <c r="H4360" s="10"/>
      <c r="I4360" s="39"/>
      <c r="J4360" s="103"/>
      <c r="K4360" s="39"/>
      <c r="L4360" s="78"/>
      <c r="M4360" s="19"/>
      <c r="N4360" s="10"/>
    </row>
    <row r="4361" spans="7:14" x14ac:dyDescent="0.75">
      <c r="G4361" s="10"/>
      <c r="H4361" s="10"/>
      <c r="I4361" s="39"/>
      <c r="J4361" s="103"/>
      <c r="K4361" s="39"/>
      <c r="L4361" s="78"/>
      <c r="M4361" s="19"/>
      <c r="N4361" s="10"/>
    </row>
    <row r="4362" spans="7:14" x14ac:dyDescent="0.75">
      <c r="G4362" s="10"/>
      <c r="H4362" s="10"/>
      <c r="I4362" s="39"/>
      <c r="J4362" s="103"/>
      <c r="K4362" s="39"/>
      <c r="L4362" s="78"/>
      <c r="M4362" s="19"/>
      <c r="N4362" s="10"/>
    </row>
    <row r="4363" spans="7:14" x14ac:dyDescent="0.75">
      <c r="G4363" s="10"/>
      <c r="H4363" s="10"/>
      <c r="I4363" s="39"/>
      <c r="J4363" s="103"/>
      <c r="K4363" s="39"/>
      <c r="L4363" s="78"/>
      <c r="M4363" s="19"/>
      <c r="N4363" s="10"/>
    </row>
    <row r="4364" spans="7:14" x14ac:dyDescent="0.75">
      <c r="G4364" s="10"/>
      <c r="H4364" s="10"/>
      <c r="I4364" s="39"/>
      <c r="J4364" s="103"/>
      <c r="K4364" s="39"/>
      <c r="L4364" s="78"/>
      <c r="M4364" s="19"/>
      <c r="N4364" s="10"/>
    </row>
    <row r="4365" spans="7:14" x14ac:dyDescent="0.75">
      <c r="G4365" s="10"/>
      <c r="H4365" s="10"/>
      <c r="I4365" s="39"/>
      <c r="J4365" s="103"/>
      <c r="K4365" s="39"/>
      <c r="L4365" s="78"/>
      <c r="M4365" s="19"/>
      <c r="N4365" s="10"/>
    </row>
    <row r="4366" spans="7:14" x14ac:dyDescent="0.75">
      <c r="G4366" s="10"/>
      <c r="H4366" s="10"/>
      <c r="I4366" s="39"/>
      <c r="J4366" s="103"/>
      <c r="K4366" s="39"/>
      <c r="L4366" s="78"/>
      <c r="M4366" s="19"/>
      <c r="N4366" s="10"/>
    </row>
    <row r="4367" spans="7:14" x14ac:dyDescent="0.75">
      <c r="G4367" s="10"/>
      <c r="H4367" s="10"/>
      <c r="I4367" s="39"/>
      <c r="J4367" s="103"/>
      <c r="K4367" s="39"/>
      <c r="L4367" s="78"/>
      <c r="M4367" s="19"/>
      <c r="N4367" s="10"/>
    </row>
    <row r="4368" spans="7:14" x14ac:dyDescent="0.75">
      <c r="G4368" s="10"/>
      <c r="H4368" s="10"/>
      <c r="I4368" s="39"/>
      <c r="J4368" s="103"/>
      <c r="K4368" s="39"/>
      <c r="L4368" s="78"/>
      <c r="M4368" s="19"/>
      <c r="N4368" s="10"/>
    </row>
    <row r="4369" spans="7:14" x14ac:dyDescent="0.75">
      <c r="G4369" s="10"/>
      <c r="H4369" s="10"/>
      <c r="I4369" s="39"/>
      <c r="J4369" s="103"/>
      <c r="K4369" s="39"/>
      <c r="L4369" s="78"/>
      <c r="M4369" s="19"/>
      <c r="N4369" s="10"/>
    </row>
    <row r="4370" spans="7:14" x14ac:dyDescent="0.75">
      <c r="G4370" s="10"/>
      <c r="H4370" s="10"/>
      <c r="I4370" s="39"/>
      <c r="J4370" s="103"/>
      <c r="K4370" s="39"/>
      <c r="L4370" s="78"/>
      <c r="M4370" s="19"/>
      <c r="N4370" s="10"/>
    </row>
    <row r="4371" spans="7:14" x14ac:dyDescent="0.75">
      <c r="G4371" s="10"/>
      <c r="H4371" s="10"/>
      <c r="I4371" s="39"/>
      <c r="J4371" s="103"/>
      <c r="K4371" s="39"/>
      <c r="L4371" s="78"/>
      <c r="M4371" s="19"/>
      <c r="N4371" s="10"/>
    </row>
    <row r="4372" spans="7:14" x14ac:dyDescent="0.75">
      <c r="G4372" s="10"/>
      <c r="H4372" s="10"/>
      <c r="I4372" s="39"/>
      <c r="J4372" s="103"/>
      <c r="K4372" s="39"/>
      <c r="L4372" s="78"/>
      <c r="M4372" s="19"/>
      <c r="N4372" s="10"/>
    </row>
    <row r="4373" spans="7:14" x14ac:dyDescent="0.75">
      <c r="G4373" s="10"/>
      <c r="H4373" s="10"/>
      <c r="I4373" s="39"/>
      <c r="J4373" s="103"/>
      <c r="K4373" s="39"/>
      <c r="L4373" s="78"/>
      <c r="M4373" s="19"/>
      <c r="N4373" s="10"/>
    </row>
    <row r="4374" spans="7:14" x14ac:dyDescent="0.75">
      <c r="G4374" s="10"/>
      <c r="H4374" s="10"/>
      <c r="I4374" s="39"/>
      <c r="J4374" s="103"/>
      <c r="K4374" s="39"/>
      <c r="L4374" s="78"/>
      <c r="M4374" s="19"/>
      <c r="N4374" s="10"/>
    </row>
    <row r="4375" spans="7:14" x14ac:dyDescent="0.75">
      <c r="G4375" s="10"/>
      <c r="H4375" s="10"/>
      <c r="I4375" s="39"/>
      <c r="J4375" s="103"/>
      <c r="K4375" s="39"/>
      <c r="L4375" s="78"/>
      <c r="M4375" s="19"/>
      <c r="N4375" s="10"/>
    </row>
    <row r="4376" spans="7:14" x14ac:dyDescent="0.75">
      <c r="G4376" s="10"/>
      <c r="H4376" s="10"/>
      <c r="I4376" s="39"/>
      <c r="J4376" s="103"/>
      <c r="K4376" s="39"/>
      <c r="L4376" s="78"/>
      <c r="M4376" s="19"/>
      <c r="N4376" s="10"/>
    </row>
    <row r="4377" spans="7:14" x14ac:dyDescent="0.75">
      <c r="G4377" s="10"/>
      <c r="H4377" s="10"/>
      <c r="I4377" s="39"/>
      <c r="J4377" s="103"/>
      <c r="K4377" s="39"/>
      <c r="L4377" s="78"/>
      <c r="M4377" s="19"/>
      <c r="N4377" s="10"/>
    </row>
    <row r="4378" spans="7:14" x14ac:dyDescent="0.75">
      <c r="G4378" s="10"/>
      <c r="H4378" s="10"/>
      <c r="I4378" s="39"/>
      <c r="J4378" s="103"/>
      <c r="K4378" s="39"/>
      <c r="L4378" s="78"/>
      <c r="M4378" s="19"/>
      <c r="N4378" s="10"/>
    </row>
    <row r="4379" spans="7:14" x14ac:dyDescent="0.75">
      <c r="G4379" s="10"/>
      <c r="H4379" s="10"/>
      <c r="I4379" s="39"/>
      <c r="J4379" s="103"/>
      <c r="K4379" s="39"/>
      <c r="L4379" s="78"/>
      <c r="M4379" s="19"/>
      <c r="N4379" s="10"/>
    </row>
    <row r="4380" spans="7:14" x14ac:dyDescent="0.75">
      <c r="G4380" s="10"/>
      <c r="H4380" s="10"/>
      <c r="I4380" s="39"/>
      <c r="J4380" s="103"/>
      <c r="K4380" s="39"/>
      <c r="L4380" s="78"/>
      <c r="M4380" s="19"/>
      <c r="N4380" s="10"/>
    </row>
    <row r="4381" spans="7:14" x14ac:dyDescent="0.75">
      <c r="G4381" s="10"/>
      <c r="H4381" s="10"/>
      <c r="I4381" s="39"/>
      <c r="J4381" s="103"/>
      <c r="K4381" s="39"/>
      <c r="L4381" s="78"/>
      <c r="M4381" s="19"/>
      <c r="N4381" s="10"/>
    </row>
    <row r="4382" spans="7:14" x14ac:dyDescent="0.75">
      <c r="G4382" s="10"/>
      <c r="H4382" s="10"/>
      <c r="I4382" s="39"/>
      <c r="J4382" s="103"/>
      <c r="K4382" s="39"/>
      <c r="L4382" s="10"/>
      <c r="M4382" s="19"/>
      <c r="N4382" s="10"/>
    </row>
    <row r="4383" spans="7:14" x14ac:dyDescent="0.75">
      <c r="G4383" s="10"/>
      <c r="H4383" s="10"/>
      <c r="I4383" s="39"/>
      <c r="J4383" s="103"/>
      <c r="K4383" s="39"/>
      <c r="L4383" s="10"/>
      <c r="M4383" s="19"/>
      <c r="N4383" s="10"/>
    </row>
    <row r="4384" spans="7:14" x14ac:dyDescent="0.75">
      <c r="G4384" s="10"/>
      <c r="H4384" s="10"/>
      <c r="I4384" s="39"/>
      <c r="J4384" s="103"/>
      <c r="K4384" s="39"/>
      <c r="L4384" s="10"/>
      <c r="M4384" s="19"/>
      <c r="N4384" s="10"/>
    </row>
    <row r="4385" spans="7:14" x14ac:dyDescent="0.75">
      <c r="G4385" s="10"/>
      <c r="H4385" s="10"/>
      <c r="I4385" s="39"/>
      <c r="J4385" s="103"/>
      <c r="K4385" s="39"/>
      <c r="L4385" s="10"/>
      <c r="M4385" s="19"/>
      <c r="N4385" s="10"/>
    </row>
    <row r="4386" spans="7:14" x14ac:dyDescent="0.75">
      <c r="G4386" s="10"/>
      <c r="H4386" s="10"/>
      <c r="I4386" s="39"/>
      <c r="J4386" s="103"/>
      <c r="K4386" s="39"/>
      <c r="L4386" s="78"/>
      <c r="M4386" s="19"/>
      <c r="N4386" s="10"/>
    </row>
    <row r="4387" spans="7:14" x14ac:dyDescent="0.75">
      <c r="G4387" s="10"/>
      <c r="H4387" s="10"/>
      <c r="I4387" s="39"/>
      <c r="J4387" s="103"/>
      <c r="K4387" s="39"/>
      <c r="L4387" s="78"/>
      <c r="M4387" s="19"/>
      <c r="N4387" s="10"/>
    </row>
    <row r="4388" spans="7:14" x14ac:dyDescent="0.75">
      <c r="G4388" s="10"/>
      <c r="H4388" s="10"/>
      <c r="I4388" s="39"/>
      <c r="J4388" s="103"/>
      <c r="K4388" s="39"/>
      <c r="L4388" s="78"/>
      <c r="M4388" s="19"/>
      <c r="N4388" s="10"/>
    </row>
    <row r="4389" spans="7:14" x14ac:dyDescent="0.75">
      <c r="G4389" s="10"/>
      <c r="H4389" s="10"/>
      <c r="I4389" s="39"/>
      <c r="J4389" s="103"/>
      <c r="K4389" s="39"/>
      <c r="L4389" s="78"/>
      <c r="M4389" s="19"/>
      <c r="N4389" s="10"/>
    </row>
    <row r="4390" spans="7:14" x14ac:dyDescent="0.75">
      <c r="G4390" s="10"/>
      <c r="H4390" s="10"/>
      <c r="I4390" s="39"/>
      <c r="J4390" s="103"/>
      <c r="K4390" s="39"/>
      <c r="L4390" s="78"/>
      <c r="M4390" s="19"/>
      <c r="N4390" s="10"/>
    </row>
    <row r="4391" spans="7:14" x14ac:dyDescent="0.75">
      <c r="G4391" s="10"/>
      <c r="H4391" s="10"/>
      <c r="I4391" s="39"/>
      <c r="J4391" s="103"/>
      <c r="K4391" s="39"/>
      <c r="L4391" s="78"/>
      <c r="M4391" s="19"/>
      <c r="N4391" s="10"/>
    </row>
    <row r="4392" spans="7:14" x14ac:dyDescent="0.75">
      <c r="G4392" s="10"/>
      <c r="H4392" s="10"/>
      <c r="I4392" s="39"/>
      <c r="J4392" s="103"/>
      <c r="K4392" s="39"/>
      <c r="L4392" s="78"/>
      <c r="M4392" s="19"/>
      <c r="N4392" s="10"/>
    </row>
    <row r="4393" spans="7:14" x14ac:dyDescent="0.75">
      <c r="G4393" s="10"/>
      <c r="H4393" s="10"/>
      <c r="I4393" s="39"/>
      <c r="J4393" s="103"/>
      <c r="K4393" s="39"/>
      <c r="L4393" s="10"/>
      <c r="M4393" s="19"/>
      <c r="N4393" s="10"/>
    </row>
    <row r="4394" spans="7:14" x14ac:dyDescent="0.75">
      <c r="G4394" s="10"/>
      <c r="H4394" s="10"/>
      <c r="I4394" s="39"/>
      <c r="J4394" s="103"/>
      <c r="K4394" s="39"/>
      <c r="L4394" s="10"/>
      <c r="M4394" s="19"/>
      <c r="N4394" s="10"/>
    </row>
    <row r="4395" spans="7:14" x14ac:dyDescent="0.75">
      <c r="G4395" s="10"/>
      <c r="H4395" s="10"/>
      <c r="I4395" s="39"/>
      <c r="J4395" s="103"/>
      <c r="K4395" s="39"/>
      <c r="L4395" s="10"/>
      <c r="M4395" s="19"/>
      <c r="N4395" s="10"/>
    </row>
    <row r="4396" spans="7:14" x14ac:dyDescent="0.75">
      <c r="G4396" s="10"/>
      <c r="H4396" s="10"/>
      <c r="I4396" s="39"/>
      <c r="J4396" s="103"/>
      <c r="K4396" s="39"/>
      <c r="L4396" s="10"/>
      <c r="M4396" s="19"/>
      <c r="N4396" s="10"/>
    </row>
    <row r="4397" spans="7:14" x14ac:dyDescent="0.75">
      <c r="G4397" s="10"/>
      <c r="H4397" s="10"/>
      <c r="I4397" s="39"/>
      <c r="J4397" s="103"/>
      <c r="K4397" s="39"/>
      <c r="L4397" s="10"/>
      <c r="M4397" s="19"/>
      <c r="N4397" s="10"/>
    </row>
    <row r="4398" spans="7:14" x14ac:dyDescent="0.75">
      <c r="G4398" s="10"/>
      <c r="H4398" s="10"/>
      <c r="I4398" s="39"/>
      <c r="J4398" s="103"/>
      <c r="K4398" s="39"/>
      <c r="L4398" s="10"/>
      <c r="M4398" s="19"/>
      <c r="N4398" s="10"/>
    </row>
    <row r="4399" spans="7:14" x14ac:dyDescent="0.75">
      <c r="G4399" s="10"/>
      <c r="H4399" s="10"/>
      <c r="I4399" s="39"/>
      <c r="J4399" s="103"/>
      <c r="K4399" s="39"/>
      <c r="L4399" s="78"/>
      <c r="M4399" s="19"/>
      <c r="N4399" s="10"/>
    </row>
    <row r="4400" spans="7:14" x14ac:dyDescent="0.75">
      <c r="G4400" s="10"/>
      <c r="H4400" s="10"/>
      <c r="I4400" s="39"/>
      <c r="J4400" s="103"/>
      <c r="K4400" s="39"/>
      <c r="L4400" s="78"/>
      <c r="M4400" s="19"/>
      <c r="N4400" s="10"/>
    </row>
    <row r="4401" spans="7:14" x14ac:dyDescent="0.75">
      <c r="G4401" s="10"/>
      <c r="H4401" s="10"/>
      <c r="I4401" s="39"/>
      <c r="J4401" s="103"/>
      <c r="K4401" s="39"/>
      <c r="L4401" s="78"/>
      <c r="M4401" s="19"/>
      <c r="N4401" s="10"/>
    </row>
    <row r="4402" spans="7:14" x14ac:dyDescent="0.75">
      <c r="G4402" s="10"/>
      <c r="H4402" s="10"/>
      <c r="I4402" s="39"/>
      <c r="J4402" s="103"/>
      <c r="K4402" s="39"/>
      <c r="L4402" s="78"/>
      <c r="M4402" s="19"/>
      <c r="N4402" s="10"/>
    </row>
    <row r="4403" spans="7:14" x14ac:dyDescent="0.75">
      <c r="G4403" s="10"/>
      <c r="H4403" s="10"/>
      <c r="I4403" s="39"/>
      <c r="J4403" s="103"/>
      <c r="K4403" s="39"/>
      <c r="L4403" s="78"/>
      <c r="M4403" s="19"/>
      <c r="N4403" s="10"/>
    </row>
    <row r="4404" spans="7:14" x14ac:dyDescent="0.75">
      <c r="G4404" s="10"/>
      <c r="H4404" s="10"/>
      <c r="I4404" s="39"/>
      <c r="J4404" s="103"/>
      <c r="K4404" s="39"/>
      <c r="L4404" s="78"/>
      <c r="M4404" s="19"/>
      <c r="N4404" s="10"/>
    </row>
    <row r="4405" spans="7:14" x14ac:dyDescent="0.75">
      <c r="G4405" s="10"/>
      <c r="H4405" s="10"/>
      <c r="I4405" s="39"/>
      <c r="J4405" s="103"/>
      <c r="K4405" s="39"/>
      <c r="L4405" s="78"/>
      <c r="M4405" s="19"/>
      <c r="N4405" s="10"/>
    </row>
    <row r="4406" spans="7:14" x14ac:dyDescent="0.75">
      <c r="G4406" s="10"/>
      <c r="H4406" s="10"/>
      <c r="I4406" s="39"/>
      <c r="J4406" s="103"/>
      <c r="K4406" s="39"/>
      <c r="L4406" s="78"/>
      <c r="M4406" s="19"/>
      <c r="N4406" s="10"/>
    </row>
    <row r="4407" spans="7:14" x14ac:dyDescent="0.75">
      <c r="G4407" s="10"/>
      <c r="H4407" s="10"/>
      <c r="I4407" s="39"/>
      <c r="J4407" s="103"/>
      <c r="K4407" s="39"/>
      <c r="L4407" s="10"/>
      <c r="M4407" s="19"/>
      <c r="N4407" s="10"/>
    </row>
    <row r="4408" spans="7:14" x14ac:dyDescent="0.75">
      <c r="G4408" s="10"/>
      <c r="H4408" s="10"/>
      <c r="I4408" s="39"/>
      <c r="J4408" s="103"/>
      <c r="K4408" s="39"/>
      <c r="L4408" s="78"/>
      <c r="M4408" s="19"/>
      <c r="N4408" s="10"/>
    </row>
    <row r="4409" spans="7:14" x14ac:dyDescent="0.75">
      <c r="G4409" s="10"/>
      <c r="H4409" s="10"/>
      <c r="I4409" s="39"/>
      <c r="J4409" s="103"/>
      <c r="K4409" s="39"/>
      <c r="L4409" s="10"/>
      <c r="M4409" s="19"/>
      <c r="N4409" s="10"/>
    </row>
    <row r="4410" spans="7:14" x14ac:dyDescent="0.75">
      <c r="G4410" s="10"/>
      <c r="H4410" s="10"/>
      <c r="I4410" s="39"/>
      <c r="J4410" s="103"/>
      <c r="K4410" s="39"/>
      <c r="L4410" s="78"/>
      <c r="M4410" s="19"/>
      <c r="N4410" s="10"/>
    </row>
    <row r="4411" spans="7:14" x14ac:dyDescent="0.75">
      <c r="G4411" s="10"/>
      <c r="H4411" s="10"/>
      <c r="I4411" s="39"/>
      <c r="J4411" s="103"/>
      <c r="K4411" s="39"/>
      <c r="L4411" s="78"/>
      <c r="M4411" s="19"/>
      <c r="N4411" s="10"/>
    </row>
    <row r="4412" spans="7:14" x14ac:dyDescent="0.75">
      <c r="G4412" s="10"/>
      <c r="H4412" s="10"/>
      <c r="I4412" s="39"/>
      <c r="J4412" s="103"/>
      <c r="K4412" s="39"/>
      <c r="L4412" s="78"/>
      <c r="M4412" s="19"/>
      <c r="N4412" s="10"/>
    </row>
    <row r="4413" spans="7:14" x14ac:dyDescent="0.75">
      <c r="G4413" s="10"/>
      <c r="H4413" s="10"/>
      <c r="I4413" s="39"/>
      <c r="J4413" s="103"/>
      <c r="K4413" s="39"/>
      <c r="L4413" s="78"/>
      <c r="M4413" s="19"/>
      <c r="N4413" s="10"/>
    </row>
    <row r="4414" spans="7:14" x14ac:dyDescent="0.75">
      <c r="G4414" s="10"/>
      <c r="H4414" s="10"/>
      <c r="I4414" s="39"/>
      <c r="J4414" s="103"/>
      <c r="K4414" s="39"/>
      <c r="L4414" s="78"/>
      <c r="M4414" s="19"/>
      <c r="N4414" s="10"/>
    </row>
    <row r="4415" spans="7:14" x14ac:dyDescent="0.75">
      <c r="G4415" s="10"/>
      <c r="H4415" s="10"/>
      <c r="I4415" s="39"/>
      <c r="J4415" s="103"/>
      <c r="K4415" s="39"/>
      <c r="L4415" s="10"/>
      <c r="M4415" s="19"/>
      <c r="N4415" s="10"/>
    </row>
    <row r="4416" spans="7:14" x14ac:dyDescent="0.75">
      <c r="G4416" s="10"/>
      <c r="H4416" s="10"/>
      <c r="I4416" s="39"/>
      <c r="J4416" s="103"/>
      <c r="K4416" s="39"/>
      <c r="L4416" s="78"/>
      <c r="M4416" s="19"/>
      <c r="N4416" s="10"/>
    </row>
    <row r="4417" spans="7:14" x14ac:dyDescent="0.75">
      <c r="G4417" s="10"/>
      <c r="H4417" s="10"/>
      <c r="I4417" s="39"/>
      <c r="J4417" s="103"/>
      <c r="K4417" s="39"/>
      <c r="L4417" s="78"/>
      <c r="M4417" s="19"/>
      <c r="N4417" s="10"/>
    </row>
    <row r="4418" spans="7:14" x14ac:dyDescent="0.75">
      <c r="G4418" s="10"/>
      <c r="H4418" s="10"/>
      <c r="I4418" s="39"/>
      <c r="J4418" s="103"/>
      <c r="K4418" s="39"/>
      <c r="L4418" s="78"/>
      <c r="M4418" s="19"/>
      <c r="N4418" s="10"/>
    </row>
    <row r="4419" spans="7:14" x14ac:dyDescent="0.75">
      <c r="G4419" s="10"/>
      <c r="H4419" s="10"/>
      <c r="I4419" s="39"/>
      <c r="J4419" s="103"/>
      <c r="K4419" s="39"/>
      <c r="L4419" s="78"/>
      <c r="M4419" s="19"/>
      <c r="N4419" s="10"/>
    </row>
    <row r="4420" spans="7:14" x14ac:dyDescent="0.75">
      <c r="G4420" s="10"/>
      <c r="H4420" s="10"/>
      <c r="I4420" s="39"/>
      <c r="J4420" s="103"/>
      <c r="K4420" s="39"/>
      <c r="L4420" s="78"/>
      <c r="M4420" s="19"/>
      <c r="N4420" s="10"/>
    </row>
    <row r="4421" spans="7:14" x14ac:dyDescent="0.75">
      <c r="G4421" s="10"/>
      <c r="H4421" s="10"/>
      <c r="I4421" s="39"/>
      <c r="J4421" s="103"/>
      <c r="K4421" s="39"/>
      <c r="L4421" s="78"/>
      <c r="M4421" s="19"/>
      <c r="N4421" s="10"/>
    </row>
    <row r="4422" spans="7:14" x14ac:dyDescent="0.75">
      <c r="G4422" s="10"/>
      <c r="H4422" s="10"/>
      <c r="I4422" s="39"/>
      <c r="J4422" s="103"/>
      <c r="K4422" s="39"/>
      <c r="L4422" s="10"/>
      <c r="M4422" s="19"/>
      <c r="N4422" s="10"/>
    </row>
    <row r="4423" spans="7:14" x14ac:dyDescent="0.75">
      <c r="G4423" s="10"/>
      <c r="H4423" s="10"/>
      <c r="I4423" s="39"/>
      <c r="J4423" s="103"/>
      <c r="K4423" s="39"/>
      <c r="L4423" s="78"/>
      <c r="M4423" s="19"/>
      <c r="N4423" s="10"/>
    </row>
    <row r="4424" spans="7:14" x14ac:dyDescent="0.75">
      <c r="G4424" s="10"/>
      <c r="H4424" s="10"/>
      <c r="I4424" s="39"/>
      <c r="J4424" s="103"/>
      <c r="K4424" s="39"/>
      <c r="L4424" s="78"/>
      <c r="M4424" s="19"/>
      <c r="N4424" s="10"/>
    </row>
    <row r="4425" spans="7:14" x14ac:dyDescent="0.75">
      <c r="G4425" s="10"/>
      <c r="H4425" s="10"/>
      <c r="I4425" s="39"/>
      <c r="J4425" s="103"/>
      <c r="K4425" s="39"/>
      <c r="L4425" s="78"/>
      <c r="M4425" s="19"/>
      <c r="N4425" s="10"/>
    </row>
    <row r="4426" spans="7:14" x14ac:dyDescent="0.75">
      <c r="G4426" s="10"/>
      <c r="H4426" s="10"/>
      <c r="I4426" s="39"/>
      <c r="J4426" s="103"/>
      <c r="K4426" s="39"/>
      <c r="L4426" s="78"/>
      <c r="M4426" s="19"/>
      <c r="N4426" s="10"/>
    </row>
    <row r="4427" spans="7:14" x14ac:dyDescent="0.75">
      <c r="G4427" s="10"/>
      <c r="H4427" s="10"/>
      <c r="I4427" s="39"/>
      <c r="J4427" s="103"/>
      <c r="K4427" s="39"/>
      <c r="L4427" s="78"/>
      <c r="M4427" s="19"/>
      <c r="N4427" s="10"/>
    </row>
    <row r="4428" spans="7:14" x14ac:dyDescent="0.75">
      <c r="G4428" s="10"/>
      <c r="H4428" s="10"/>
      <c r="I4428" s="39"/>
      <c r="J4428" s="103"/>
      <c r="K4428" s="39"/>
      <c r="L4428" s="78"/>
      <c r="M4428" s="19"/>
      <c r="N4428" s="10"/>
    </row>
    <row r="4429" spans="7:14" x14ac:dyDescent="0.75">
      <c r="G4429" s="10"/>
      <c r="H4429" s="10"/>
      <c r="I4429" s="39"/>
      <c r="J4429" s="103"/>
      <c r="K4429" s="39"/>
      <c r="L4429" s="78"/>
      <c r="M4429" s="19"/>
      <c r="N4429" s="10"/>
    </row>
    <row r="4430" spans="7:14" x14ac:dyDescent="0.75">
      <c r="G4430" s="10"/>
      <c r="H4430" s="10"/>
      <c r="I4430" s="39"/>
      <c r="J4430" s="103"/>
      <c r="K4430" s="39"/>
      <c r="L4430" s="78"/>
      <c r="M4430" s="19"/>
      <c r="N4430" s="10"/>
    </row>
    <row r="4431" spans="7:14" x14ac:dyDescent="0.75">
      <c r="G4431" s="10"/>
      <c r="H4431" s="10"/>
      <c r="I4431" s="39"/>
      <c r="J4431" s="103"/>
      <c r="K4431" s="39"/>
      <c r="L4431" s="10"/>
      <c r="M4431" s="19"/>
      <c r="N4431" s="10"/>
    </row>
    <row r="4432" spans="7:14" x14ac:dyDescent="0.75">
      <c r="G4432" s="10"/>
      <c r="H4432" s="10"/>
      <c r="I4432" s="39"/>
      <c r="J4432" s="103"/>
      <c r="K4432" s="39"/>
      <c r="L4432" s="10"/>
      <c r="M4432" s="19"/>
      <c r="N4432" s="10"/>
    </row>
    <row r="4433" spans="7:14" x14ac:dyDescent="0.75">
      <c r="G4433" s="10"/>
      <c r="H4433" s="10"/>
      <c r="I4433" s="39"/>
      <c r="J4433" s="103"/>
      <c r="K4433" s="39"/>
      <c r="L4433" s="10"/>
      <c r="M4433" s="19"/>
      <c r="N4433" s="10"/>
    </row>
    <row r="4434" spans="7:14" x14ac:dyDescent="0.75">
      <c r="G4434" s="10"/>
      <c r="H4434" s="10"/>
      <c r="I4434" s="39"/>
      <c r="J4434" s="103"/>
      <c r="K4434" s="39"/>
      <c r="L4434" s="78"/>
      <c r="M4434" s="19"/>
      <c r="N4434" s="10"/>
    </row>
    <row r="4435" spans="7:14" x14ac:dyDescent="0.75">
      <c r="G4435" s="10"/>
      <c r="H4435" s="10"/>
      <c r="I4435" s="39"/>
      <c r="J4435" s="103"/>
      <c r="K4435" s="39"/>
      <c r="L4435" s="78"/>
      <c r="M4435" s="19"/>
      <c r="N4435" s="10"/>
    </row>
    <row r="4436" spans="7:14" x14ac:dyDescent="0.75">
      <c r="G4436" s="10"/>
      <c r="H4436" s="10"/>
      <c r="I4436" s="39"/>
      <c r="J4436" s="103"/>
      <c r="K4436" s="39"/>
      <c r="L4436" s="78"/>
      <c r="M4436" s="19"/>
      <c r="N4436" s="10"/>
    </row>
    <row r="4437" spans="7:14" x14ac:dyDescent="0.75">
      <c r="G4437" s="10"/>
      <c r="H4437" s="10"/>
      <c r="I4437" s="39"/>
      <c r="J4437" s="103"/>
      <c r="K4437" s="39"/>
      <c r="L4437" s="78"/>
      <c r="M4437" s="19"/>
      <c r="N4437" s="10"/>
    </row>
    <row r="4438" spans="7:14" x14ac:dyDescent="0.75">
      <c r="G4438" s="10"/>
      <c r="H4438" s="10"/>
      <c r="I4438" s="39"/>
      <c r="J4438" s="103"/>
      <c r="K4438" s="39"/>
      <c r="L4438" s="10"/>
      <c r="M4438" s="19"/>
      <c r="N4438" s="10"/>
    </row>
    <row r="4439" spans="7:14" x14ac:dyDescent="0.75">
      <c r="G4439" s="10"/>
      <c r="H4439" s="10"/>
      <c r="I4439" s="39"/>
      <c r="J4439" s="103"/>
      <c r="K4439" s="39"/>
      <c r="L4439" s="10"/>
      <c r="M4439" s="19"/>
      <c r="N4439" s="10"/>
    </row>
    <row r="4440" spans="7:14" x14ac:dyDescent="0.75">
      <c r="G4440" s="10"/>
      <c r="H4440" s="10"/>
      <c r="I4440" s="39"/>
      <c r="J4440" s="103"/>
      <c r="K4440" s="39"/>
      <c r="L4440" s="10"/>
      <c r="M4440" s="19"/>
      <c r="N4440" s="10"/>
    </row>
    <row r="4441" spans="7:14" x14ac:dyDescent="0.75">
      <c r="G4441" s="10"/>
      <c r="H4441" s="10"/>
      <c r="I4441" s="39"/>
      <c r="J4441" s="103"/>
      <c r="K4441" s="39"/>
      <c r="L4441" s="78"/>
      <c r="M4441" s="19"/>
      <c r="N4441" s="10"/>
    </row>
    <row r="4442" spans="7:14" x14ac:dyDescent="0.75">
      <c r="G4442" s="10"/>
      <c r="H4442" s="10"/>
      <c r="I4442" s="39"/>
      <c r="J4442" s="103"/>
      <c r="K4442" s="39"/>
      <c r="L4442" s="78"/>
      <c r="M4442" s="19"/>
      <c r="N4442" s="10"/>
    </row>
    <row r="4443" spans="7:14" x14ac:dyDescent="0.75">
      <c r="G4443" s="10"/>
      <c r="H4443" s="10"/>
      <c r="I4443" s="39"/>
      <c r="J4443" s="103"/>
      <c r="K4443" s="39"/>
      <c r="L4443" s="78"/>
      <c r="M4443" s="19"/>
      <c r="N4443" s="10"/>
    </row>
    <row r="4444" spans="7:14" x14ac:dyDescent="0.75">
      <c r="G4444" s="10"/>
      <c r="H4444" s="10"/>
      <c r="I4444" s="39"/>
      <c r="J4444" s="103"/>
      <c r="K4444" s="39"/>
      <c r="L4444" s="10"/>
      <c r="M4444" s="19"/>
      <c r="N4444" s="10"/>
    </row>
    <row r="4445" spans="7:14" x14ac:dyDescent="0.75">
      <c r="G4445" s="10"/>
      <c r="H4445" s="10"/>
      <c r="I4445" s="39"/>
      <c r="J4445" s="103"/>
      <c r="K4445" s="39"/>
      <c r="L4445" s="78"/>
      <c r="M4445" s="19"/>
      <c r="N4445" s="10"/>
    </row>
    <row r="4446" spans="7:14" x14ac:dyDescent="0.75">
      <c r="G4446" s="10"/>
      <c r="H4446" s="10"/>
      <c r="I4446" s="39"/>
      <c r="J4446" s="103"/>
      <c r="K4446" s="39"/>
      <c r="L4446" s="78"/>
      <c r="M4446" s="19"/>
      <c r="N4446" s="10"/>
    </row>
    <row r="4447" spans="7:14" x14ac:dyDescent="0.75">
      <c r="G4447" s="10"/>
      <c r="H4447" s="10"/>
      <c r="I4447" s="39"/>
      <c r="J4447" s="103"/>
      <c r="K4447" s="39"/>
      <c r="L4447" s="78"/>
      <c r="M4447" s="19"/>
      <c r="N4447" s="10"/>
    </row>
    <row r="4448" spans="7:14" x14ac:dyDescent="0.75">
      <c r="G4448" s="10"/>
      <c r="H4448" s="10"/>
      <c r="I4448" s="39"/>
      <c r="J4448" s="103"/>
      <c r="K4448" s="39"/>
      <c r="L4448" s="10"/>
      <c r="M4448" s="19"/>
      <c r="N4448" s="10"/>
    </row>
    <row r="4449" spans="7:14" x14ac:dyDescent="0.75">
      <c r="G4449" s="10"/>
      <c r="H4449" s="10"/>
      <c r="I4449" s="39"/>
      <c r="J4449" s="103"/>
      <c r="K4449" s="39"/>
      <c r="L4449" s="78"/>
      <c r="M4449" s="19"/>
      <c r="N4449" s="10"/>
    </row>
    <row r="4450" spans="7:14" x14ac:dyDescent="0.75">
      <c r="G4450" s="10"/>
      <c r="H4450" s="10"/>
      <c r="I4450" s="39"/>
      <c r="J4450" s="103"/>
      <c r="K4450" s="39"/>
      <c r="L4450" s="78"/>
      <c r="M4450" s="19"/>
      <c r="N4450" s="10"/>
    </row>
    <row r="4451" spans="7:14" x14ac:dyDescent="0.75">
      <c r="G4451" s="10"/>
      <c r="H4451" s="10"/>
      <c r="I4451" s="39"/>
      <c r="J4451" s="103"/>
      <c r="K4451" s="39"/>
      <c r="L4451" s="10"/>
      <c r="M4451" s="19"/>
      <c r="N4451" s="10"/>
    </row>
    <row r="4452" spans="7:14" x14ac:dyDescent="0.75">
      <c r="G4452" s="10"/>
      <c r="H4452" s="10"/>
      <c r="I4452" s="39"/>
      <c r="J4452" s="103"/>
      <c r="K4452" s="39"/>
      <c r="L4452" s="78"/>
      <c r="M4452" s="19"/>
      <c r="N4452" s="10"/>
    </row>
    <row r="4453" spans="7:14" x14ac:dyDescent="0.75">
      <c r="G4453" s="10"/>
      <c r="H4453" s="10"/>
      <c r="I4453" s="39"/>
      <c r="J4453" s="103"/>
      <c r="K4453" s="39"/>
      <c r="L4453" s="78"/>
      <c r="M4453" s="19"/>
      <c r="N4453" s="10"/>
    </row>
    <row r="4454" spans="7:14" x14ac:dyDescent="0.75">
      <c r="G4454" s="10"/>
      <c r="H4454" s="10"/>
      <c r="I4454" s="39"/>
      <c r="J4454" s="103"/>
      <c r="K4454" s="39"/>
      <c r="L4454" s="78"/>
      <c r="M4454" s="19"/>
      <c r="N4454" s="10"/>
    </row>
    <row r="4455" spans="7:14" x14ac:dyDescent="0.75">
      <c r="G4455" s="10"/>
      <c r="H4455" s="10"/>
      <c r="I4455" s="39"/>
      <c r="J4455" s="103"/>
      <c r="K4455" s="39"/>
      <c r="L4455" s="78"/>
      <c r="M4455" s="19"/>
      <c r="N4455" s="10"/>
    </row>
    <row r="4456" spans="7:14" x14ac:dyDescent="0.75">
      <c r="G4456" s="10"/>
      <c r="H4456" s="10"/>
      <c r="I4456" s="39"/>
      <c r="J4456" s="103"/>
      <c r="K4456" s="39"/>
      <c r="L4456" s="78"/>
      <c r="M4456" s="19"/>
      <c r="N4456" s="10"/>
    </row>
    <row r="4457" spans="7:14" x14ac:dyDescent="0.75">
      <c r="G4457" s="10"/>
      <c r="H4457" s="10"/>
      <c r="I4457" s="39"/>
      <c r="J4457" s="103"/>
      <c r="K4457" s="39"/>
      <c r="L4457" s="78"/>
      <c r="M4457" s="19"/>
      <c r="N4457" s="10"/>
    </row>
    <row r="4458" spans="7:14" x14ac:dyDescent="0.75">
      <c r="G4458" s="10"/>
      <c r="H4458" s="10"/>
      <c r="I4458" s="39"/>
      <c r="J4458" s="103"/>
      <c r="K4458" s="39"/>
      <c r="L4458" s="78"/>
      <c r="M4458" s="19"/>
      <c r="N4458" s="10"/>
    </row>
    <row r="4459" spans="7:14" x14ac:dyDescent="0.75">
      <c r="G4459" s="10"/>
      <c r="H4459" s="10"/>
      <c r="I4459" s="39"/>
      <c r="J4459" s="103"/>
      <c r="K4459" s="39"/>
      <c r="L4459" s="78"/>
      <c r="M4459" s="19"/>
      <c r="N4459" s="10"/>
    </row>
    <row r="4460" spans="7:14" x14ac:dyDescent="0.75">
      <c r="G4460" s="10"/>
      <c r="H4460" s="10"/>
      <c r="I4460" s="39"/>
      <c r="J4460" s="103"/>
      <c r="K4460" s="39"/>
      <c r="L4460" s="78"/>
      <c r="M4460" s="19"/>
      <c r="N4460" s="10"/>
    </row>
    <row r="4461" spans="7:14" x14ac:dyDescent="0.75">
      <c r="G4461" s="10"/>
      <c r="H4461" s="10"/>
      <c r="I4461" s="39"/>
      <c r="J4461" s="103"/>
      <c r="K4461" s="39"/>
      <c r="L4461" s="78"/>
      <c r="M4461" s="19"/>
      <c r="N4461" s="10"/>
    </row>
    <row r="4462" spans="7:14" x14ac:dyDescent="0.75">
      <c r="G4462" s="10"/>
      <c r="H4462" s="10"/>
      <c r="I4462" s="39"/>
      <c r="J4462" s="103"/>
      <c r="K4462" s="39"/>
      <c r="L4462" s="78"/>
      <c r="M4462" s="19"/>
      <c r="N4462" s="10"/>
    </row>
    <row r="4463" spans="7:14" x14ac:dyDescent="0.75">
      <c r="G4463" s="10"/>
      <c r="H4463" s="10"/>
      <c r="I4463" s="39"/>
      <c r="J4463" s="103"/>
      <c r="K4463" s="39"/>
      <c r="L4463" s="78"/>
      <c r="M4463" s="19"/>
      <c r="N4463" s="10"/>
    </row>
    <row r="4464" spans="7:14" x14ac:dyDescent="0.75">
      <c r="G4464" s="10"/>
      <c r="H4464" s="10"/>
      <c r="I4464" s="39"/>
      <c r="J4464" s="103"/>
      <c r="K4464" s="39"/>
      <c r="L4464" s="78"/>
      <c r="M4464" s="19"/>
      <c r="N4464" s="10"/>
    </row>
    <row r="4465" spans="7:14" x14ac:dyDescent="0.75">
      <c r="G4465" s="10"/>
      <c r="H4465" s="10"/>
      <c r="I4465" s="39"/>
      <c r="J4465" s="103"/>
      <c r="K4465" s="39"/>
      <c r="L4465" s="78"/>
      <c r="M4465" s="19"/>
      <c r="N4465" s="10"/>
    </row>
    <row r="4466" spans="7:14" x14ac:dyDescent="0.75">
      <c r="G4466" s="10"/>
      <c r="H4466" s="10"/>
      <c r="I4466" s="39"/>
      <c r="J4466" s="103"/>
      <c r="K4466" s="39"/>
      <c r="L4466" s="78"/>
      <c r="M4466" s="19"/>
      <c r="N4466" s="10"/>
    </row>
    <row r="4467" spans="7:14" x14ac:dyDescent="0.75">
      <c r="G4467" s="10"/>
      <c r="H4467" s="10"/>
      <c r="I4467" s="39"/>
      <c r="J4467" s="103"/>
      <c r="K4467" s="39"/>
      <c r="L4467" s="78"/>
      <c r="M4467" s="19"/>
      <c r="N4467" s="10"/>
    </row>
    <row r="4468" spans="7:14" x14ac:dyDescent="0.75">
      <c r="G4468" s="10"/>
      <c r="H4468" s="10"/>
      <c r="I4468" s="39"/>
      <c r="J4468" s="103"/>
      <c r="K4468" s="39"/>
      <c r="L4468" s="78"/>
      <c r="M4468" s="19"/>
      <c r="N4468" s="10"/>
    </row>
    <row r="4469" spans="7:14" x14ac:dyDescent="0.75">
      <c r="G4469" s="10"/>
      <c r="H4469" s="10"/>
      <c r="I4469" s="39"/>
      <c r="J4469" s="103"/>
      <c r="K4469" s="39"/>
      <c r="L4469" s="78"/>
      <c r="M4469" s="19"/>
      <c r="N4469" s="10"/>
    </row>
    <row r="4470" spans="7:14" x14ac:dyDescent="0.75">
      <c r="G4470" s="10"/>
      <c r="H4470" s="10"/>
      <c r="I4470" s="39"/>
      <c r="J4470" s="103"/>
      <c r="K4470" s="39"/>
      <c r="L4470" s="10"/>
      <c r="M4470" s="19"/>
      <c r="N4470" s="10"/>
    </row>
    <row r="4471" spans="7:14" x14ac:dyDescent="0.75">
      <c r="G4471" s="10"/>
      <c r="H4471" s="10"/>
      <c r="I4471" s="39"/>
      <c r="J4471" s="103"/>
      <c r="K4471" s="39"/>
      <c r="L4471" s="78"/>
      <c r="M4471" s="19"/>
      <c r="N4471" s="10"/>
    </row>
    <row r="4472" spans="7:14" x14ac:dyDescent="0.75">
      <c r="G4472" s="10"/>
      <c r="H4472" s="10"/>
      <c r="I4472" s="39"/>
      <c r="J4472" s="103"/>
      <c r="K4472" s="39"/>
      <c r="L4472" s="78"/>
      <c r="M4472" s="19"/>
      <c r="N4472" s="10"/>
    </row>
    <row r="4473" spans="7:14" x14ac:dyDescent="0.75">
      <c r="G4473" s="10"/>
      <c r="H4473" s="10"/>
      <c r="I4473" s="39"/>
      <c r="J4473" s="103"/>
      <c r="K4473" s="39"/>
      <c r="L4473" s="78"/>
      <c r="M4473" s="19"/>
      <c r="N4473" s="10"/>
    </row>
    <row r="4474" spans="7:14" x14ac:dyDescent="0.75">
      <c r="G4474" s="10"/>
      <c r="H4474" s="10"/>
      <c r="I4474" s="39"/>
      <c r="J4474" s="103"/>
      <c r="K4474" s="39"/>
      <c r="L4474" s="78"/>
      <c r="M4474" s="19"/>
      <c r="N4474" s="10"/>
    </row>
    <row r="4475" spans="7:14" x14ac:dyDescent="0.75">
      <c r="G4475" s="10"/>
      <c r="H4475" s="10"/>
      <c r="I4475" s="39"/>
      <c r="J4475" s="103"/>
      <c r="K4475" s="39"/>
      <c r="L4475" s="78"/>
      <c r="M4475" s="19"/>
      <c r="N4475" s="10"/>
    </row>
    <row r="4476" spans="7:14" x14ac:dyDescent="0.75">
      <c r="G4476" s="10"/>
      <c r="H4476" s="10"/>
      <c r="I4476" s="39"/>
      <c r="J4476" s="103"/>
      <c r="K4476" s="39"/>
      <c r="L4476" s="78"/>
      <c r="M4476" s="19"/>
      <c r="N4476" s="10"/>
    </row>
    <row r="4477" spans="7:14" x14ac:dyDescent="0.75">
      <c r="G4477" s="10"/>
      <c r="H4477" s="10"/>
      <c r="I4477" s="39"/>
      <c r="J4477" s="103"/>
      <c r="K4477" s="39"/>
      <c r="L4477" s="10"/>
      <c r="M4477" s="19"/>
      <c r="N4477" s="10"/>
    </row>
    <row r="4478" spans="7:14" x14ac:dyDescent="0.75">
      <c r="G4478" s="10"/>
      <c r="H4478" s="10"/>
      <c r="I4478" s="39"/>
      <c r="J4478" s="103"/>
      <c r="K4478" s="39"/>
      <c r="L4478" s="78"/>
      <c r="M4478" s="19"/>
      <c r="N4478" s="10"/>
    </row>
    <row r="4479" spans="7:14" x14ac:dyDescent="0.75">
      <c r="G4479" s="10"/>
      <c r="H4479" s="10"/>
      <c r="I4479" s="39"/>
      <c r="J4479" s="103"/>
      <c r="K4479" s="39"/>
      <c r="L4479" s="78"/>
      <c r="M4479" s="19"/>
      <c r="N4479" s="10"/>
    </row>
    <row r="4480" spans="7:14" x14ac:dyDescent="0.75">
      <c r="G4480" s="10"/>
      <c r="H4480" s="10"/>
      <c r="I4480" s="39"/>
      <c r="J4480" s="103"/>
      <c r="K4480" s="39"/>
      <c r="L4480" s="10"/>
      <c r="M4480" s="19"/>
      <c r="N4480" s="10"/>
    </row>
    <row r="4481" spans="7:14" x14ac:dyDescent="0.75">
      <c r="G4481" s="10"/>
      <c r="H4481" s="10"/>
      <c r="I4481" s="39"/>
      <c r="J4481" s="103"/>
      <c r="K4481" s="39"/>
      <c r="L4481" s="10"/>
      <c r="M4481" s="19"/>
      <c r="N4481" s="10"/>
    </row>
    <row r="4482" spans="7:14" x14ac:dyDescent="0.75">
      <c r="G4482" s="10"/>
      <c r="H4482" s="10"/>
      <c r="I4482" s="39"/>
      <c r="J4482" s="103"/>
      <c r="K4482" s="39"/>
      <c r="L4482" s="10"/>
      <c r="M4482" s="19"/>
      <c r="N4482" s="10"/>
    </row>
    <row r="4483" spans="7:14" x14ac:dyDescent="0.75">
      <c r="G4483" s="10"/>
      <c r="H4483" s="10"/>
      <c r="I4483" s="39"/>
      <c r="J4483" s="103"/>
      <c r="K4483" s="39"/>
      <c r="L4483" s="78"/>
      <c r="M4483" s="19"/>
      <c r="N4483" s="10"/>
    </row>
    <row r="4484" spans="7:14" x14ac:dyDescent="0.75">
      <c r="G4484" s="10"/>
      <c r="H4484" s="10"/>
      <c r="I4484" s="39"/>
      <c r="J4484" s="103"/>
      <c r="K4484" s="39"/>
      <c r="L4484" s="78"/>
      <c r="M4484" s="19"/>
      <c r="N4484" s="10"/>
    </row>
    <row r="4485" spans="7:14" x14ac:dyDescent="0.75">
      <c r="G4485" s="10"/>
      <c r="H4485" s="10"/>
      <c r="I4485" s="39"/>
      <c r="J4485" s="103"/>
      <c r="K4485" s="39"/>
      <c r="L4485" s="10"/>
      <c r="M4485" s="19"/>
      <c r="N4485" s="10"/>
    </row>
    <row r="4486" spans="7:14" x14ac:dyDescent="0.75">
      <c r="G4486" s="10"/>
      <c r="H4486" s="10"/>
      <c r="I4486" s="39"/>
      <c r="J4486" s="103"/>
      <c r="K4486" s="39"/>
      <c r="L4486" s="78"/>
      <c r="M4486" s="19"/>
      <c r="N4486" s="10"/>
    </row>
    <row r="4487" spans="7:14" x14ac:dyDescent="0.75">
      <c r="G4487" s="10"/>
      <c r="H4487" s="10"/>
      <c r="I4487" s="39"/>
      <c r="J4487" s="103"/>
      <c r="K4487" s="39"/>
      <c r="L4487" s="78"/>
      <c r="M4487" s="19"/>
      <c r="N4487" s="10"/>
    </row>
    <row r="4488" spans="7:14" x14ac:dyDescent="0.75">
      <c r="G4488" s="10"/>
      <c r="H4488" s="10"/>
      <c r="I4488" s="39"/>
      <c r="J4488" s="103"/>
      <c r="K4488" s="39"/>
      <c r="L4488" s="78"/>
      <c r="M4488" s="19"/>
      <c r="N4488" s="10"/>
    </row>
    <row r="4489" spans="7:14" x14ac:dyDescent="0.75">
      <c r="G4489" s="10"/>
      <c r="H4489" s="10"/>
      <c r="I4489" s="39"/>
      <c r="J4489" s="103"/>
      <c r="K4489" s="39"/>
      <c r="L4489" s="78"/>
      <c r="M4489" s="19"/>
      <c r="N4489" s="10"/>
    </row>
    <row r="4490" spans="7:14" x14ac:dyDescent="0.75">
      <c r="G4490" s="10"/>
      <c r="H4490" s="10"/>
      <c r="I4490" s="39"/>
      <c r="J4490" s="103"/>
      <c r="K4490" s="39"/>
      <c r="L4490" s="78"/>
      <c r="M4490" s="19"/>
      <c r="N4490" s="10"/>
    </row>
    <row r="4491" spans="7:14" x14ac:dyDescent="0.75">
      <c r="G4491" s="10"/>
      <c r="H4491" s="10"/>
      <c r="I4491" s="39"/>
      <c r="J4491" s="103"/>
      <c r="K4491" s="39"/>
      <c r="L4491" s="78"/>
      <c r="M4491" s="19"/>
      <c r="N4491" s="10"/>
    </row>
    <row r="4492" spans="7:14" x14ac:dyDescent="0.75">
      <c r="G4492" s="10"/>
      <c r="H4492" s="10"/>
      <c r="I4492" s="39"/>
      <c r="J4492" s="103"/>
      <c r="K4492" s="39"/>
      <c r="L4492" s="78"/>
      <c r="M4492" s="19"/>
      <c r="N4492" s="10"/>
    </row>
    <row r="4493" spans="7:14" x14ac:dyDescent="0.75">
      <c r="G4493" s="10"/>
      <c r="H4493" s="10"/>
      <c r="I4493" s="39"/>
      <c r="J4493" s="103"/>
      <c r="K4493" s="39"/>
      <c r="L4493" s="78"/>
      <c r="M4493" s="19"/>
      <c r="N4493" s="10"/>
    </row>
    <row r="4494" spans="7:14" x14ac:dyDescent="0.75">
      <c r="G4494" s="10"/>
      <c r="H4494" s="10"/>
      <c r="I4494" s="39"/>
      <c r="J4494" s="103"/>
      <c r="K4494" s="39"/>
      <c r="L4494" s="78"/>
      <c r="M4494" s="19"/>
      <c r="N4494" s="10"/>
    </row>
    <row r="4495" spans="7:14" x14ac:dyDescent="0.75">
      <c r="G4495" s="10"/>
      <c r="H4495" s="10"/>
      <c r="I4495" s="39"/>
      <c r="J4495" s="103"/>
      <c r="K4495" s="39"/>
      <c r="L4495" s="78"/>
      <c r="M4495" s="19"/>
      <c r="N4495" s="10"/>
    </row>
    <row r="4496" spans="7:14" x14ac:dyDescent="0.75">
      <c r="G4496" s="10"/>
      <c r="H4496" s="10"/>
      <c r="I4496" s="39"/>
      <c r="J4496" s="103"/>
      <c r="K4496" s="39"/>
      <c r="L4496" s="78"/>
      <c r="M4496" s="19"/>
      <c r="N4496" s="10"/>
    </row>
    <row r="4497" spans="7:14" x14ac:dyDescent="0.75">
      <c r="G4497" s="10"/>
      <c r="H4497" s="10"/>
      <c r="I4497" s="39"/>
      <c r="J4497" s="103"/>
      <c r="K4497" s="39"/>
      <c r="L4497" s="78"/>
      <c r="M4497" s="19"/>
      <c r="N4497" s="10"/>
    </row>
    <row r="4498" spans="7:14" x14ac:dyDescent="0.75">
      <c r="G4498" s="10"/>
      <c r="H4498" s="10"/>
      <c r="I4498" s="39"/>
      <c r="J4498" s="103"/>
      <c r="K4498" s="39"/>
      <c r="L4498" s="78"/>
      <c r="M4498" s="19"/>
      <c r="N4498" s="10"/>
    </row>
    <row r="4499" spans="7:14" x14ac:dyDescent="0.75">
      <c r="G4499" s="10"/>
      <c r="H4499" s="10"/>
      <c r="I4499" s="39"/>
      <c r="J4499" s="103"/>
      <c r="K4499" s="39"/>
      <c r="L4499" s="78"/>
      <c r="M4499" s="19"/>
      <c r="N4499" s="10"/>
    </row>
    <row r="4500" spans="7:14" x14ac:dyDescent="0.75">
      <c r="G4500" s="10"/>
      <c r="H4500" s="10"/>
      <c r="I4500" s="39"/>
      <c r="J4500" s="103"/>
      <c r="K4500" s="39"/>
      <c r="L4500" s="78"/>
      <c r="M4500" s="19"/>
      <c r="N4500" s="10"/>
    </row>
    <row r="4501" spans="7:14" x14ac:dyDescent="0.75">
      <c r="G4501" s="10"/>
      <c r="H4501" s="10"/>
      <c r="I4501" s="39"/>
      <c r="J4501" s="103"/>
      <c r="K4501" s="39"/>
      <c r="L4501" s="78"/>
      <c r="M4501" s="19"/>
      <c r="N4501" s="10"/>
    </row>
    <row r="4502" spans="7:14" x14ac:dyDescent="0.75">
      <c r="G4502" s="10"/>
      <c r="H4502" s="10"/>
      <c r="I4502" s="39"/>
      <c r="J4502" s="103"/>
      <c r="K4502" s="39"/>
      <c r="L4502" s="78"/>
      <c r="M4502" s="19"/>
      <c r="N4502" s="10"/>
    </row>
    <row r="4503" spans="7:14" x14ac:dyDescent="0.75">
      <c r="G4503" s="10"/>
      <c r="H4503" s="10"/>
      <c r="I4503" s="39"/>
      <c r="J4503" s="103"/>
      <c r="K4503" s="39"/>
      <c r="L4503" s="78"/>
      <c r="M4503" s="19"/>
      <c r="N4503" s="10"/>
    </row>
    <row r="4504" spans="7:14" x14ac:dyDescent="0.75">
      <c r="G4504" s="10"/>
      <c r="H4504" s="10"/>
      <c r="I4504" s="39"/>
      <c r="J4504" s="103"/>
      <c r="K4504" s="39"/>
      <c r="L4504" s="78"/>
      <c r="M4504" s="19"/>
      <c r="N4504" s="10"/>
    </row>
    <row r="4505" spans="7:14" x14ac:dyDescent="0.75">
      <c r="G4505" s="10"/>
      <c r="H4505" s="10"/>
      <c r="I4505" s="39"/>
      <c r="J4505" s="103"/>
      <c r="K4505" s="39"/>
      <c r="L4505" s="10"/>
      <c r="M4505" s="19"/>
      <c r="N4505" s="10"/>
    </row>
    <row r="4506" spans="7:14" x14ac:dyDescent="0.75">
      <c r="G4506" s="10"/>
      <c r="H4506" s="10"/>
      <c r="I4506" s="39"/>
      <c r="J4506" s="103"/>
      <c r="K4506" s="39"/>
      <c r="L4506" s="78"/>
      <c r="M4506" s="19"/>
      <c r="N4506" s="10"/>
    </row>
    <row r="4507" spans="7:14" x14ac:dyDescent="0.75">
      <c r="G4507" s="10"/>
      <c r="H4507" s="10"/>
      <c r="I4507" s="39"/>
      <c r="J4507" s="103"/>
      <c r="K4507" s="39"/>
      <c r="L4507" s="78"/>
      <c r="M4507" s="19"/>
      <c r="N4507" s="10"/>
    </row>
    <row r="4508" spans="7:14" x14ac:dyDescent="0.75">
      <c r="G4508" s="10"/>
      <c r="H4508" s="10"/>
      <c r="I4508" s="39"/>
      <c r="J4508" s="103"/>
      <c r="K4508" s="39"/>
      <c r="L4508" s="78"/>
      <c r="M4508" s="19"/>
      <c r="N4508" s="10"/>
    </row>
    <row r="4509" spans="7:14" x14ac:dyDescent="0.75">
      <c r="G4509" s="10"/>
      <c r="H4509" s="10"/>
      <c r="I4509" s="39"/>
      <c r="J4509" s="103"/>
      <c r="K4509" s="39"/>
      <c r="L4509" s="78"/>
      <c r="M4509" s="19"/>
      <c r="N4509" s="10"/>
    </row>
    <row r="4510" spans="7:14" x14ac:dyDescent="0.75">
      <c r="G4510" s="10"/>
      <c r="H4510" s="10"/>
      <c r="I4510" s="39"/>
      <c r="J4510" s="103"/>
      <c r="K4510" s="39"/>
      <c r="L4510" s="78"/>
      <c r="M4510" s="19"/>
      <c r="N4510" s="10"/>
    </row>
    <row r="4511" spans="7:14" x14ac:dyDescent="0.75">
      <c r="G4511" s="10"/>
      <c r="H4511" s="10"/>
      <c r="I4511" s="39"/>
      <c r="J4511" s="103"/>
      <c r="K4511" s="39"/>
      <c r="L4511" s="78"/>
      <c r="M4511" s="19"/>
      <c r="N4511" s="10"/>
    </row>
    <row r="4512" spans="7:14" x14ac:dyDescent="0.75">
      <c r="G4512" s="10"/>
      <c r="H4512" s="10"/>
      <c r="I4512" s="39"/>
      <c r="J4512" s="103"/>
      <c r="K4512" s="39"/>
      <c r="L4512" s="78"/>
      <c r="M4512" s="19"/>
      <c r="N4512" s="10"/>
    </row>
    <row r="4513" spans="7:14" x14ac:dyDescent="0.75">
      <c r="G4513" s="10"/>
      <c r="H4513" s="10"/>
      <c r="I4513" s="39"/>
      <c r="J4513" s="103"/>
      <c r="K4513" s="39"/>
      <c r="L4513" s="78"/>
      <c r="M4513" s="19"/>
      <c r="N4513" s="10"/>
    </row>
    <row r="4514" spans="7:14" x14ac:dyDescent="0.75">
      <c r="G4514" s="10"/>
      <c r="H4514" s="10"/>
      <c r="I4514" s="39"/>
      <c r="J4514" s="103"/>
      <c r="K4514" s="39"/>
      <c r="L4514" s="78"/>
      <c r="M4514" s="19"/>
      <c r="N4514" s="10"/>
    </row>
    <row r="4515" spans="7:14" x14ac:dyDescent="0.75">
      <c r="G4515" s="10"/>
      <c r="H4515" s="10"/>
      <c r="I4515" s="39"/>
      <c r="J4515" s="103"/>
      <c r="K4515" s="39"/>
      <c r="L4515" s="78"/>
      <c r="M4515" s="19"/>
      <c r="N4515" s="10"/>
    </row>
    <row r="4516" spans="7:14" x14ac:dyDescent="0.75">
      <c r="G4516" s="10"/>
      <c r="H4516" s="10"/>
      <c r="I4516" s="39"/>
      <c r="J4516" s="103"/>
      <c r="K4516" s="39"/>
      <c r="L4516" s="78"/>
      <c r="M4516" s="19"/>
      <c r="N4516" s="10"/>
    </row>
    <row r="4517" spans="7:14" x14ac:dyDescent="0.75">
      <c r="G4517" s="10"/>
      <c r="H4517" s="10"/>
      <c r="I4517" s="39"/>
      <c r="J4517" s="103"/>
      <c r="K4517" s="39"/>
      <c r="L4517" s="78"/>
      <c r="M4517" s="19"/>
      <c r="N4517" s="10"/>
    </row>
    <row r="4518" spans="7:14" x14ac:dyDescent="0.75">
      <c r="G4518" s="10"/>
      <c r="H4518" s="10"/>
      <c r="I4518" s="39"/>
      <c r="J4518" s="103"/>
      <c r="K4518" s="39"/>
      <c r="L4518" s="10"/>
      <c r="M4518" s="19"/>
      <c r="N4518" s="10"/>
    </row>
    <row r="4519" spans="7:14" x14ac:dyDescent="0.75">
      <c r="G4519" s="10"/>
      <c r="H4519" s="10"/>
      <c r="I4519" s="39"/>
      <c r="J4519" s="103"/>
      <c r="K4519" s="39"/>
      <c r="L4519" s="10"/>
      <c r="M4519" s="19"/>
      <c r="N4519" s="10"/>
    </row>
    <row r="4520" spans="7:14" x14ac:dyDescent="0.75">
      <c r="G4520" s="10"/>
      <c r="H4520" s="10"/>
      <c r="I4520" s="39"/>
      <c r="J4520" s="103"/>
      <c r="K4520" s="39"/>
      <c r="L4520" s="78"/>
      <c r="M4520" s="19"/>
      <c r="N4520" s="10"/>
    </row>
    <row r="4521" spans="7:14" x14ac:dyDescent="0.75">
      <c r="G4521" s="10"/>
      <c r="H4521" s="10"/>
      <c r="I4521" s="39"/>
      <c r="J4521" s="103"/>
      <c r="K4521" s="39"/>
      <c r="L4521" s="78"/>
      <c r="M4521" s="19"/>
      <c r="N4521" s="10"/>
    </row>
    <row r="4522" spans="7:14" x14ac:dyDescent="0.75">
      <c r="G4522" s="10"/>
      <c r="H4522" s="10"/>
      <c r="I4522" s="39"/>
      <c r="J4522" s="103"/>
      <c r="K4522" s="39"/>
      <c r="L4522" s="78"/>
      <c r="M4522" s="19"/>
      <c r="N4522" s="10"/>
    </row>
    <row r="4523" spans="7:14" x14ac:dyDescent="0.75">
      <c r="G4523" s="10"/>
      <c r="H4523" s="10"/>
      <c r="I4523" s="39"/>
      <c r="J4523" s="103"/>
      <c r="K4523" s="39"/>
      <c r="L4523" s="78"/>
      <c r="M4523" s="19"/>
      <c r="N4523" s="10"/>
    </row>
    <row r="4524" spans="7:14" x14ac:dyDescent="0.75">
      <c r="G4524" s="10"/>
      <c r="H4524" s="10"/>
      <c r="I4524" s="39"/>
      <c r="J4524" s="103"/>
      <c r="K4524" s="39"/>
      <c r="L4524" s="78"/>
      <c r="M4524" s="19"/>
      <c r="N4524" s="10"/>
    </row>
    <row r="4525" spans="7:14" x14ac:dyDescent="0.75">
      <c r="G4525" s="10"/>
      <c r="H4525" s="10"/>
      <c r="I4525" s="39"/>
      <c r="J4525" s="103"/>
      <c r="K4525" s="39"/>
      <c r="L4525" s="78"/>
      <c r="M4525" s="19"/>
      <c r="N4525" s="10"/>
    </row>
    <row r="4526" spans="7:14" x14ac:dyDescent="0.75">
      <c r="G4526" s="10"/>
      <c r="H4526" s="10"/>
      <c r="I4526" s="39"/>
      <c r="J4526" s="103"/>
      <c r="K4526" s="39"/>
      <c r="L4526" s="78"/>
      <c r="M4526" s="19"/>
      <c r="N4526" s="10"/>
    </row>
    <row r="4527" spans="7:14" x14ac:dyDescent="0.75">
      <c r="G4527" s="10"/>
      <c r="H4527" s="10"/>
      <c r="I4527" s="39"/>
      <c r="J4527" s="103"/>
      <c r="K4527" s="39"/>
      <c r="L4527" s="78"/>
      <c r="M4527" s="19"/>
      <c r="N4527" s="10"/>
    </row>
    <row r="4528" spans="7:14" x14ac:dyDescent="0.75">
      <c r="G4528" s="10"/>
      <c r="H4528" s="10"/>
      <c r="I4528" s="39"/>
      <c r="J4528" s="103"/>
      <c r="K4528" s="39"/>
      <c r="L4528" s="78"/>
      <c r="M4528" s="19"/>
      <c r="N4528" s="10"/>
    </row>
    <row r="4529" spans="7:14" x14ac:dyDescent="0.75">
      <c r="G4529" s="10"/>
      <c r="H4529" s="10"/>
      <c r="I4529" s="39"/>
      <c r="J4529" s="103"/>
      <c r="K4529" s="39"/>
      <c r="L4529" s="78"/>
      <c r="M4529" s="19"/>
      <c r="N4529" s="10"/>
    </row>
    <row r="4530" spans="7:14" x14ac:dyDescent="0.75">
      <c r="G4530" s="10"/>
      <c r="H4530" s="10"/>
      <c r="I4530" s="39"/>
      <c r="J4530" s="103"/>
      <c r="K4530" s="39"/>
      <c r="L4530" s="78"/>
      <c r="M4530" s="19"/>
      <c r="N4530" s="10"/>
    </row>
    <row r="4531" spans="7:14" x14ac:dyDescent="0.75">
      <c r="G4531" s="10"/>
      <c r="H4531" s="10"/>
      <c r="I4531" s="39"/>
      <c r="J4531" s="103"/>
      <c r="K4531" s="39"/>
      <c r="L4531" s="78"/>
      <c r="M4531" s="19"/>
      <c r="N4531" s="10"/>
    </row>
    <row r="4532" spans="7:14" x14ac:dyDescent="0.75">
      <c r="G4532" s="10"/>
      <c r="H4532" s="10"/>
      <c r="I4532" s="39"/>
      <c r="J4532" s="103"/>
      <c r="K4532" s="39"/>
      <c r="L4532" s="78"/>
      <c r="M4532" s="19"/>
      <c r="N4532" s="10"/>
    </row>
    <row r="4533" spans="7:14" x14ac:dyDescent="0.75">
      <c r="G4533" s="10"/>
      <c r="H4533" s="10"/>
      <c r="I4533" s="39"/>
      <c r="J4533" s="103"/>
      <c r="K4533" s="39"/>
      <c r="L4533" s="78"/>
      <c r="M4533" s="19"/>
      <c r="N4533" s="10"/>
    </row>
    <row r="4534" spans="7:14" x14ac:dyDescent="0.75">
      <c r="G4534" s="10"/>
      <c r="H4534" s="10"/>
      <c r="I4534" s="39"/>
      <c r="J4534" s="103"/>
      <c r="K4534" s="39"/>
      <c r="L4534" s="78"/>
      <c r="M4534" s="19"/>
      <c r="N4534" s="10"/>
    </row>
    <row r="4535" spans="7:14" x14ac:dyDescent="0.75">
      <c r="G4535" s="10"/>
      <c r="H4535" s="10"/>
      <c r="I4535" s="39"/>
      <c r="J4535" s="103"/>
      <c r="K4535" s="39"/>
      <c r="L4535" s="78"/>
      <c r="M4535" s="19"/>
      <c r="N4535" s="10"/>
    </row>
    <row r="4536" spans="7:14" x14ac:dyDescent="0.75">
      <c r="G4536" s="10"/>
      <c r="H4536" s="10"/>
      <c r="I4536" s="39"/>
      <c r="J4536" s="103"/>
      <c r="K4536" s="39"/>
      <c r="L4536" s="78"/>
      <c r="M4536" s="19"/>
      <c r="N4536" s="10"/>
    </row>
    <row r="4537" spans="7:14" x14ac:dyDescent="0.75">
      <c r="G4537" s="10"/>
      <c r="H4537" s="10"/>
      <c r="I4537" s="39"/>
      <c r="J4537" s="103"/>
      <c r="K4537" s="39"/>
      <c r="L4537" s="78"/>
      <c r="M4537" s="19"/>
      <c r="N4537" s="10"/>
    </row>
    <row r="4538" spans="7:14" x14ac:dyDescent="0.75">
      <c r="G4538" s="10"/>
      <c r="H4538" s="10"/>
      <c r="I4538" s="39"/>
      <c r="J4538" s="103"/>
      <c r="K4538" s="39"/>
      <c r="L4538" s="78"/>
      <c r="M4538" s="19"/>
      <c r="N4538" s="10"/>
    </row>
    <row r="4539" spans="7:14" x14ac:dyDescent="0.75">
      <c r="G4539" s="10"/>
      <c r="H4539" s="10"/>
      <c r="I4539" s="39"/>
      <c r="J4539" s="103"/>
      <c r="K4539" s="39"/>
      <c r="L4539" s="78"/>
      <c r="M4539" s="19"/>
      <c r="N4539" s="10"/>
    </row>
    <row r="4540" spans="7:14" x14ac:dyDescent="0.75">
      <c r="G4540" s="10"/>
      <c r="H4540" s="10"/>
      <c r="I4540" s="39"/>
      <c r="J4540" s="103"/>
      <c r="K4540" s="39"/>
      <c r="L4540" s="10"/>
      <c r="M4540" s="19"/>
      <c r="N4540" s="10"/>
    </row>
    <row r="4541" spans="7:14" x14ac:dyDescent="0.75">
      <c r="G4541" s="10"/>
      <c r="H4541" s="10"/>
      <c r="I4541" s="39"/>
      <c r="J4541" s="103"/>
      <c r="K4541" s="39"/>
      <c r="L4541" s="78"/>
      <c r="M4541" s="19"/>
      <c r="N4541" s="10"/>
    </row>
    <row r="4542" spans="7:14" x14ac:dyDescent="0.75">
      <c r="G4542" s="10"/>
      <c r="H4542" s="10"/>
      <c r="I4542" s="39"/>
      <c r="J4542" s="103"/>
      <c r="K4542" s="39"/>
      <c r="L4542" s="78"/>
      <c r="M4542" s="19"/>
      <c r="N4542" s="10"/>
    </row>
    <row r="4543" spans="7:14" x14ac:dyDescent="0.75">
      <c r="G4543" s="10"/>
      <c r="H4543" s="10"/>
      <c r="I4543" s="39"/>
      <c r="J4543" s="103"/>
      <c r="K4543" s="39"/>
      <c r="L4543" s="78"/>
      <c r="M4543" s="19"/>
      <c r="N4543" s="10"/>
    </row>
    <row r="4544" spans="7:14" x14ac:dyDescent="0.75">
      <c r="G4544" s="10"/>
      <c r="H4544" s="10"/>
      <c r="I4544" s="39"/>
      <c r="J4544" s="103"/>
      <c r="K4544" s="39"/>
      <c r="L4544" s="78"/>
      <c r="M4544" s="19"/>
      <c r="N4544" s="10"/>
    </row>
    <row r="4545" spans="7:14" x14ac:dyDescent="0.75">
      <c r="G4545" s="10"/>
      <c r="H4545" s="10"/>
      <c r="I4545" s="39"/>
      <c r="J4545" s="103"/>
      <c r="K4545" s="39"/>
      <c r="L4545" s="78"/>
      <c r="M4545" s="19"/>
      <c r="N4545" s="10"/>
    </row>
    <row r="4546" spans="7:14" x14ac:dyDescent="0.75">
      <c r="G4546" s="10"/>
      <c r="H4546" s="10"/>
      <c r="I4546" s="39"/>
      <c r="J4546" s="103"/>
      <c r="K4546" s="39"/>
      <c r="L4546" s="78"/>
      <c r="M4546" s="19"/>
      <c r="N4546" s="10"/>
    </row>
    <row r="4547" spans="7:14" x14ac:dyDescent="0.75">
      <c r="G4547" s="10"/>
      <c r="H4547" s="10"/>
      <c r="I4547" s="39"/>
      <c r="J4547" s="103"/>
      <c r="K4547" s="39"/>
      <c r="L4547" s="78"/>
      <c r="M4547" s="19"/>
      <c r="N4547" s="10"/>
    </row>
    <row r="4548" spans="7:14" x14ac:dyDescent="0.75">
      <c r="G4548" s="10"/>
      <c r="H4548" s="10"/>
      <c r="I4548" s="39"/>
      <c r="J4548" s="103"/>
      <c r="K4548" s="39"/>
      <c r="L4548" s="78"/>
      <c r="M4548" s="19"/>
      <c r="N4548" s="10"/>
    </row>
    <row r="4549" spans="7:14" x14ac:dyDescent="0.75">
      <c r="G4549" s="10"/>
      <c r="H4549" s="10"/>
      <c r="I4549" s="39"/>
      <c r="J4549" s="103"/>
      <c r="K4549" s="39"/>
      <c r="L4549" s="78"/>
      <c r="M4549" s="19"/>
      <c r="N4549" s="10"/>
    </row>
    <row r="4550" spans="7:14" x14ac:dyDescent="0.75">
      <c r="G4550" s="10"/>
      <c r="H4550" s="10"/>
      <c r="I4550" s="39"/>
      <c r="J4550" s="103"/>
      <c r="K4550" s="39"/>
      <c r="L4550" s="78"/>
      <c r="M4550" s="19"/>
      <c r="N4550" s="10"/>
    </row>
    <row r="4551" spans="7:14" x14ac:dyDescent="0.75">
      <c r="G4551" s="10"/>
      <c r="H4551" s="10"/>
      <c r="I4551" s="39"/>
      <c r="J4551" s="103"/>
      <c r="K4551" s="39"/>
      <c r="L4551" s="78"/>
      <c r="M4551" s="19"/>
      <c r="N4551" s="10"/>
    </row>
    <row r="4552" spans="7:14" x14ac:dyDescent="0.75">
      <c r="G4552" s="10"/>
      <c r="H4552" s="10"/>
      <c r="I4552" s="39"/>
      <c r="J4552" s="103"/>
      <c r="K4552" s="39"/>
      <c r="L4552" s="78"/>
      <c r="M4552" s="19"/>
      <c r="N4552" s="10"/>
    </row>
    <row r="4553" spans="7:14" x14ac:dyDescent="0.75">
      <c r="G4553" s="10"/>
      <c r="H4553" s="10"/>
      <c r="I4553" s="39"/>
      <c r="J4553" s="103"/>
      <c r="K4553" s="39"/>
      <c r="L4553" s="78"/>
      <c r="M4553" s="19"/>
      <c r="N4553" s="10"/>
    </row>
    <row r="4554" spans="7:14" x14ac:dyDescent="0.75">
      <c r="G4554" s="10"/>
      <c r="H4554" s="10"/>
      <c r="I4554" s="39"/>
      <c r="J4554" s="103"/>
      <c r="K4554" s="39"/>
      <c r="L4554" s="10"/>
      <c r="M4554" s="19"/>
      <c r="N4554" s="10"/>
    </row>
    <row r="4555" spans="7:14" x14ac:dyDescent="0.75">
      <c r="G4555" s="10"/>
      <c r="H4555" s="10"/>
      <c r="I4555" s="39"/>
      <c r="J4555" s="103"/>
      <c r="K4555" s="39"/>
      <c r="L4555" s="78"/>
      <c r="M4555" s="19"/>
      <c r="N4555" s="10"/>
    </row>
    <row r="4556" spans="7:14" x14ac:dyDescent="0.75">
      <c r="G4556" s="10"/>
      <c r="H4556" s="10"/>
      <c r="I4556" s="39"/>
      <c r="J4556" s="103"/>
      <c r="K4556" s="39"/>
      <c r="L4556" s="78"/>
      <c r="M4556" s="19"/>
      <c r="N4556" s="10"/>
    </row>
    <row r="4557" spans="7:14" x14ac:dyDescent="0.75">
      <c r="G4557" s="10"/>
      <c r="H4557" s="10"/>
      <c r="I4557" s="39"/>
      <c r="J4557" s="103"/>
      <c r="K4557" s="39"/>
      <c r="L4557" s="78"/>
      <c r="M4557" s="19"/>
      <c r="N4557" s="10"/>
    </row>
    <row r="4558" spans="7:14" x14ac:dyDescent="0.75">
      <c r="G4558" s="10"/>
      <c r="H4558" s="10"/>
      <c r="I4558" s="39"/>
      <c r="J4558" s="103"/>
      <c r="K4558" s="39"/>
      <c r="L4558" s="78"/>
      <c r="M4558" s="19"/>
      <c r="N4558" s="10"/>
    </row>
    <row r="4559" spans="7:14" x14ac:dyDescent="0.75">
      <c r="G4559" s="10"/>
      <c r="H4559" s="10"/>
      <c r="I4559" s="39"/>
      <c r="J4559" s="103"/>
      <c r="K4559" s="39"/>
      <c r="L4559" s="78"/>
      <c r="M4559" s="19"/>
      <c r="N4559" s="10"/>
    </row>
    <row r="4560" spans="7:14" x14ac:dyDescent="0.75">
      <c r="G4560" s="10"/>
      <c r="H4560" s="10"/>
      <c r="I4560" s="39"/>
      <c r="J4560" s="103"/>
      <c r="K4560" s="39"/>
      <c r="L4560" s="78"/>
      <c r="M4560" s="19"/>
      <c r="N4560" s="10"/>
    </row>
    <row r="4561" spans="7:14" x14ac:dyDescent="0.75">
      <c r="G4561" s="10"/>
      <c r="H4561" s="10"/>
      <c r="I4561" s="39"/>
      <c r="J4561" s="103"/>
      <c r="K4561" s="39"/>
      <c r="L4561" s="78"/>
      <c r="M4561" s="19"/>
      <c r="N4561" s="10"/>
    </row>
    <row r="4562" spans="7:14" x14ac:dyDescent="0.75">
      <c r="G4562" s="10"/>
      <c r="H4562" s="10"/>
      <c r="I4562" s="39"/>
      <c r="J4562" s="103"/>
      <c r="K4562" s="39"/>
      <c r="L4562" s="78"/>
      <c r="M4562" s="19"/>
      <c r="N4562" s="10"/>
    </row>
    <row r="4563" spans="7:14" x14ac:dyDescent="0.75">
      <c r="G4563" s="10"/>
      <c r="H4563" s="10"/>
      <c r="I4563" s="39"/>
      <c r="J4563" s="103"/>
      <c r="K4563" s="39"/>
      <c r="L4563" s="78"/>
      <c r="M4563" s="19"/>
      <c r="N4563" s="10"/>
    </row>
    <row r="4564" spans="7:14" x14ac:dyDescent="0.75">
      <c r="G4564" s="10"/>
      <c r="H4564" s="10"/>
      <c r="I4564" s="39"/>
      <c r="J4564" s="103"/>
      <c r="K4564" s="39"/>
      <c r="L4564" s="78"/>
      <c r="M4564" s="19"/>
      <c r="N4564" s="10"/>
    </row>
    <row r="4565" spans="7:14" x14ac:dyDescent="0.75">
      <c r="G4565" s="10"/>
      <c r="H4565" s="10"/>
      <c r="I4565" s="39"/>
      <c r="J4565" s="103"/>
      <c r="K4565" s="39"/>
      <c r="L4565" s="78"/>
      <c r="M4565" s="19"/>
      <c r="N4565" s="10"/>
    </row>
    <row r="4566" spans="7:14" x14ac:dyDescent="0.75">
      <c r="G4566" s="10"/>
      <c r="H4566" s="10"/>
      <c r="I4566" s="39"/>
      <c r="J4566" s="103"/>
      <c r="K4566" s="39"/>
      <c r="L4566" s="78"/>
      <c r="M4566" s="19"/>
      <c r="N4566" s="10"/>
    </row>
    <row r="4567" spans="7:14" x14ac:dyDescent="0.75">
      <c r="G4567" s="10"/>
      <c r="H4567" s="10"/>
      <c r="I4567" s="39"/>
      <c r="J4567" s="103"/>
      <c r="K4567" s="39"/>
      <c r="L4567" s="78"/>
      <c r="M4567" s="19"/>
      <c r="N4567" s="10"/>
    </row>
    <row r="4568" spans="7:14" x14ac:dyDescent="0.75">
      <c r="G4568" s="10"/>
      <c r="H4568" s="10"/>
      <c r="I4568" s="39"/>
      <c r="J4568" s="103"/>
      <c r="K4568" s="39"/>
      <c r="L4568" s="78"/>
      <c r="M4568" s="19"/>
      <c r="N4568" s="10"/>
    </row>
    <row r="4569" spans="7:14" x14ac:dyDescent="0.75">
      <c r="G4569" s="10"/>
      <c r="H4569" s="10"/>
      <c r="I4569" s="39"/>
      <c r="J4569" s="103"/>
      <c r="K4569" s="39"/>
      <c r="L4569" s="78"/>
      <c r="M4569" s="19"/>
      <c r="N4569" s="10"/>
    </row>
    <row r="4570" spans="7:14" x14ac:dyDescent="0.75">
      <c r="G4570" s="10"/>
      <c r="H4570" s="10"/>
      <c r="I4570" s="39"/>
      <c r="J4570" s="103"/>
      <c r="K4570" s="39"/>
      <c r="L4570" s="78"/>
      <c r="M4570" s="19"/>
      <c r="N4570" s="10"/>
    </row>
    <row r="4571" spans="7:14" x14ac:dyDescent="0.75">
      <c r="G4571" s="10"/>
      <c r="H4571" s="10"/>
      <c r="I4571" s="39"/>
      <c r="J4571" s="103"/>
      <c r="K4571" s="39"/>
      <c r="L4571" s="78"/>
      <c r="M4571" s="19"/>
      <c r="N4571" s="10"/>
    </row>
    <row r="4572" spans="7:14" x14ac:dyDescent="0.75">
      <c r="G4572" s="10"/>
      <c r="H4572" s="10"/>
      <c r="I4572" s="39"/>
      <c r="J4572" s="103"/>
      <c r="K4572" s="39"/>
      <c r="L4572" s="78"/>
      <c r="M4572" s="19"/>
      <c r="N4572" s="10"/>
    </row>
    <row r="4573" spans="7:14" x14ac:dyDescent="0.75">
      <c r="G4573" s="10"/>
      <c r="H4573" s="10"/>
      <c r="I4573" s="39"/>
      <c r="J4573" s="103"/>
      <c r="K4573" s="39"/>
      <c r="L4573" s="78"/>
      <c r="M4573" s="19"/>
      <c r="N4573" s="10"/>
    </row>
    <row r="4574" spans="7:14" x14ac:dyDescent="0.75">
      <c r="G4574" s="10"/>
      <c r="H4574" s="10"/>
      <c r="I4574" s="39"/>
      <c r="J4574" s="103"/>
      <c r="K4574" s="39"/>
      <c r="L4574" s="78"/>
      <c r="M4574" s="19"/>
      <c r="N4574" s="10"/>
    </row>
    <row r="4575" spans="7:14" x14ac:dyDescent="0.75">
      <c r="G4575" s="10"/>
      <c r="H4575" s="10"/>
      <c r="I4575" s="39"/>
      <c r="J4575" s="103"/>
      <c r="K4575" s="39"/>
      <c r="L4575" s="78"/>
      <c r="M4575" s="19"/>
      <c r="N4575" s="10"/>
    </row>
    <row r="4576" spans="7:14" x14ac:dyDescent="0.75">
      <c r="G4576" s="10"/>
      <c r="H4576" s="10"/>
      <c r="I4576" s="39"/>
      <c r="J4576" s="103"/>
      <c r="K4576" s="39"/>
      <c r="L4576" s="78"/>
      <c r="M4576" s="19"/>
      <c r="N4576" s="10"/>
    </row>
    <row r="4577" spans="7:14" x14ac:dyDescent="0.75">
      <c r="G4577" s="10"/>
      <c r="H4577" s="10"/>
      <c r="I4577" s="39"/>
      <c r="J4577" s="103"/>
      <c r="K4577" s="39"/>
      <c r="L4577" s="78"/>
      <c r="M4577" s="19"/>
      <c r="N4577" s="10"/>
    </row>
    <row r="4578" spans="7:14" x14ac:dyDescent="0.75">
      <c r="G4578" s="10"/>
      <c r="H4578" s="10"/>
      <c r="I4578" s="39"/>
      <c r="J4578" s="103"/>
      <c r="K4578" s="39"/>
      <c r="L4578" s="10"/>
      <c r="M4578" s="19"/>
      <c r="N4578" s="10"/>
    </row>
    <row r="4579" spans="7:14" x14ac:dyDescent="0.75">
      <c r="G4579" s="10"/>
      <c r="H4579" s="10"/>
      <c r="I4579" s="39"/>
      <c r="J4579" s="103"/>
      <c r="K4579" s="39"/>
      <c r="L4579" s="10"/>
      <c r="M4579" s="19"/>
      <c r="N4579" s="10"/>
    </row>
    <row r="4580" spans="7:14" x14ac:dyDescent="0.75">
      <c r="G4580" s="10"/>
      <c r="H4580" s="10"/>
      <c r="I4580" s="39"/>
      <c r="J4580" s="103"/>
      <c r="K4580" s="39"/>
      <c r="L4580" s="10"/>
      <c r="M4580" s="19"/>
      <c r="N4580" s="10"/>
    </row>
    <row r="4581" spans="7:14" x14ac:dyDescent="0.75">
      <c r="G4581" s="10"/>
      <c r="H4581" s="10"/>
      <c r="I4581" s="39"/>
      <c r="J4581" s="103"/>
      <c r="K4581" s="39"/>
      <c r="L4581" s="10"/>
      <c r="M4581" s="19"/>
      <c r="N4581" s="10"/>
    </row>
    <row r="4582" spans="7:14" x14ac:dyDescent="0.75">
      <c r="G4582" s="10"/>
      <c r="H4582" s="10"/>
      <c r="I4582" s="39"/>
      <c r="J4582" s="103"/>
      <c r="K4582" s="39"/>
      <c r="L4582" s="78"/>
      <c r="M4582" s="19"/>
      <c r="N4582" s="10"/>
    </row>
    <row r="4583" spans="7:14" x14ac:dyDescent="0.75">
      <c r="G4583" s="10"/>
      <c r="H4583" s="10"/>
      <c r="I4583" s="39"/>
      <c r="J4583" s="103"/>
      <c r="K4583" s="39"/>
      <c r="L4583" s="78"/>
      <c r="M4583" s="19"/>
      <c r="N4583" s="10"/>
    </row>
    <row r="4584" spans="7:14" x14ac:dyDescent="0.75">
      <c r="G4584" s="10"/>
      <c r="H4584" s="10"/>
      <c r="I4584" s="39"/>
      <c r="J4584" s="103"/>
      <c r="K4584" s="39"/>
      <c r="L4584" s="78"/>
      <c r="M4584" s="19"/>
      <c r="N4584" s="10"/>
    </row>
    <row r="4585" spans="7:14" x14ac:dyDescent="0.75">
      <c r="G4585" s="10"/>
      <c r="H4585" s="10"/>
      <c r="I4585" s="39"/>
      <c r="J4585" s="103"/>
      <c r="K4585" s="39"/>
      <c r="L4585" s="78"/>
      <c r="M4585" s="19"/>
      <c r="N4585" s="10"/>
    </row>
    <row r="4586" spans="7:14" x14ac:dyDescent="0.75">
      <c r="G4586" s="10"/>
      <c r="H4586" s="10"/>
      <c r="I4586" s="39"/>
      <c r="J4586" s="103"/>
      <c r="K4586" s="39"/>
      <c r="L4586" s="78"/>
      <c r="M4586" s="19"/>
      <c r="N4586" s="10"/>
    </row>
    <row r="4587" spans="7:14" x14ac:dyDescent="0.75">
      <c r="G4587" s="10"/>
      <c r="H4587" s="10"/>
      <c r="I4587" s="39"/>
      <c r="J4587" s="103"/>
      <c r="K4587" s="39"/>
      <c r="L4587" s="78"/>
      <c r="M4587" s="19"/>
      <c r="N4587" s="10"/>
    </row>
    <row r="4588" spans="7:14" x14ac:dyDescent="0.75">
      <c r="G4588" s="10"/>
      <c r="H4588" s="10"/>
      <c r="I4588" s="39"/>
      <c r="J4588" s="103"/>
      <c r="K4588" s="39"/>
      <c r="L4588" s="78"/>
      <c r="M4588" s="19"/>
      <c r="N4588" s="10"/>
    </row>
    <row r="4589" spans="7:14" x14ac:dyDescent="0.75">
      <c r="G4589" s="10"/>
      <c r="H4589" s="10"/>
      <c r="I4589" s="39"/>
      <c r="J4589" s="103"/>
      <c r="K4589" s="39"/>
      <c r="L4589" s="78"/>
      <c r="M4589" s="19"/>
      <c r="N4589" s="10"/>
    </row>
    <row r="4590" spans="7:14" x14ac:dyDescent="0.75">
      <c r="G4590" s="10"/>
      <c r="H4590" s="10"/>
      <c r="I4590" s="39"/>
      <c r="J4590" s="103"/>
      <c r="K4590" s="39"/>
      <c r="L4590" s="78"/>
      <c r="M4590" s="19"/>
      <c r="N4590" s="10"/>
    </row>
    <row r="4591" spans="7:14" x14ac:dyDescent="0.75">
      <c r="G4591" s="10"/>
      <c r="H4591" s="10"/>
      <c r="I4591" s="39"/>
      <c r="J4591" s="103"/>
      <c r="K4591" s="39"/>
      <c r="L4591" s="78"/>
      <c r="M4591" s="19"/>
      <c r="N4591" s="10"/>
    </row>
    <row r="4592" spans="7:14" x14ac:dyDescent="0.75">
      <c r="G4592" s="10"/>
      <c r="H4592" s="10"/>
      <c r="I4592" s="39"/>
      <c r="J4592" s="103"/>
      <c r="K4592" s="39"/>
      <c r="L4592" s="78"/>
      <c r="M4592" s="19"/>
      <c r="N4592" s="10"/>
    </row>
    <row r="4593" spans="7:14" x14ac:dyDescent="0.75">
      <c r="G4593" s="10"/>
      <c r="H4593" s="10"/>
      <c r="I4593" s="39"/>
      <c r="J4593" s="103"/>
      <c r="K4593" s="39"/>
      <c r="L4593" s="78"/>
      <c r="M4593" s="19"/>
      <c r="N4593" s="10"/>
    </row>
    <row r="4594" spans="7:14" x14ac:dyDescent="0.75">
      <c r="G4594" s="10"/>
      <c r="H4594" s="10"/>
      <c r="I4594" s="39"/>
      <c r="J4594" s="103"/>
      <c r="K4594" s="39"/>
      <c r="L4594" s="78"/>
      <c r="M4594" s="19"/>
      <c r="N4594" s="10"/>
    </row>
    <row r="4595" spans="7:14" x14ac:dyDescent="0.75">
      <c r="G4595" s="10"/>
      <c r="H4595" s="10"/>
      <c r="I4595" s="39"/>
      <c r="J4595" s="103"/>
      <c r="K4595" s="39"/>
      <c r="L4595" s="78"/>
      <c r="M4595" s="19"/>
      <c r="N4595" s="10"/>
    </row>
    <row r="4596" spans="7:14" x14ac:dyDescent="0.75">
      <c r="G4596" s="10"/>
      <c r="H4596" s="10"/>
      <c r="I4596" s="39"/>
      <c r="J4596" s="103"/>
      <c r="K4596" s="39"/>
      <c r="L4596" s="78"/>
      <c r="M4596" s="19"/>
      <c r="N4596" s="10"/>
    </row>
    <row r="4597" spans="7:14" x14ac:dyDescent="0.75">
      <c r="G4597" s="10"/>
      <c r="H4597" s="10"/>
      <c r="I4597" s="39"/>
      <c r="J4597" s="103"/>
      <c r="K4597" s="39"/>
      <c r="L4597" s="78"/>
      <c r="M4597" s="19"/>
      <c r="N4597" s="10"/>
    </row>
    <row r="4598" spans="7:14" x14ac:dyDescent="0.75">
      <c r="G4598" s="10"/>
      <c r="H4598" s="10"/>
      <c r="I4598" s="39"/>
      <c r="J4598" s="103"/>
      <c r="K4598" s="39"/>
      <c r="L4598" s="78"/>
      <c r="M4598" s="19"/>
      <c r="N4598" s="10"/>
    </row>
    <row r="4599" spans="7:14" x14ac:dyDescent="0.75">
      <c r="G4599" s="10"/>
      <c r="H4599" s="10"/>
      <c r="I4599" s="39"/>
      <c r="J4599" s="103"/>
      <c r="K4599" s="39"/>
      <c r="L4599" s="78"/>
      <c r="M4599" s="19"/>
      <c r="N4599" s="10"/>
    </row>
    <row r="4600" spans="7:14" x14ac:dyDescent="0.75">
      <c r="G4600" s="10"/>
      <c r="H4600" s="10"/>
      <c r="I4600" s="39"/>
      <c r="J4600" s="103"/>
      <c r="K4600" s="39"/>
      <c r="L4600" s="78"/>
      <c r="M4600" s="19"/>
      <c r="N4600" s="10"/>
    </row>
    <row r="4601" spans="7:14" x14ac:dyDescent="0.75">
      <c r="G4601" s="10"/>
      <c r="H4601" s="10"/>
      <c r="I4601" s="39"/>
      <c r="J4601" s="103"/>
      <c r="K4601" s="39"/>
      <c r="L4601" s="78"/>
      <c r="M4601" s="19"/>
      <c r="N4601" s="10"/>
    </row>
    <row r="4602" spans="7:14" x14ac:dyDescent="0.75">
      <c r="G4602" s="10"/>
      <c r="H4602" s="10"/>
      <c r="I4602" s="39"/>
      <c r="J4602" s="103"/>
      <c r="K4602" s="39"/>
      <c r="L4602" s="78"/>
      <c r="M4602" s="19"/>
      <c r="N4602" s="10"/>
    </row>
    <row r="4603" spans="7:14" x14ac:dyDescent="0.75">
      <c r="G4603" s="10"/>
      <c r="H4603" s="10"/>
      <c r="I4603" s="39"/>
      <c r="J4603" s="103"/>
      <c r="K4603" s="39"/>
      <c r="L4603" s="78"/>
      <c r="M4603" s="19"/>
      <c r="N4603" s="10"/>
    </row>
    <row r="4604" spans="7:14" x14ac:dyDescent="0.75">
      <c r="G4604" s="10"/>
      <c r="H4604" s="10"/>
      <c r="I4604" s="39"/>
      <c r="J4604" s="103"/>
      <c r="K4604" s="39"/>
      <c r="L4604" s="78"/>
      <c r="M4604" s="19"/>
      <c r="N4604" s="10"/>
    </row>
    <row r="4605" spans="7:14" x14ac:dyDescent="0.75">
      <c r="G4605" s="10"/>
      <c r="H4605" s="10"/>
      <c r="I4605" s="39"/>
      <c r="J4605" s="103"/>
      <c r="K4605" s="39"/>
      <c r="L4605" s="78"/>
      <c r="M4605" s="19"/>
      <c r="N4605" s="10"/>
    </row>
    <row r="4606" spans="7:14" x14ac:dyDescent="0.75">
      <c r="G4606" s="10"/>
      <c r="H4606" s="10"/>
      <c r="I4606" s="39"/>
      <c r="J4606" s="103"/>
      <c r="K4606" s="39"/>
      <c r="L4606" s="78"/>
      <c r="M4606" s="19"/>
      <c r="N4606" s="10"/>
    </row>
    <row r="4607" spans="7:14" x14ac:dyDescent="0.75">
      <c r="G4607" s="10"/>
      <c r="H4607" s="10"/>
      <c r="I4607" s="39"/>
      <c r="J4607" s="103"/>
      <c r="K4607" s="39"/>
      <c r="L4607" s="78"/>
      <c r="M4607" s="19"/>
      <c r="N4607" s="10"/>
    </row>
    <row r="4608" spans="7:14" x14ac:dyDescent="0.75">
      <c r="G4608" s="10"/>
      <c r="H4608" s="10"/>
      <c r="I4608" s="39"/>
      <c r="J4608" s="103"/>
      <c r="K4608" s="39"/>
      <c r="L4608" s="78"/>
      <c r="M4608" s="19"/>
      <c r="N4608" s="10"/>
    </row>
    <row r="4609" spans="7:14" x14ac:dyDescent="0.75">
      <c r="G4609" s="10"/>
      <c r="H4609" s="10"/>
      <c r="I4609" s="39"/>
      <c r="J4609" s="103"/>
      <c r="K4609" s="39"/>
      <c r="L4609" s="78"/>
      <c r="M4609" s="19"/>
      <c r="N4609" s="10"/>
    </row>
    <row r="4610" spans="7:14" x14ac:dyDescent="0.75">
      <c r="G4610" s="10"/>
      <c r="H4610" s="10"/>
      <c r="I4610" s="39"/>
      <c r="J4610" s="103"/>
      <c r="K4610" s="39"/>
      <c r="L4610" s="10"/>
      <c r="M4610" s="19"/>
      <c r="N4610" s="10"/>
    </row>
    <row r="4611" spans="7:14" x14ac:dyDescent="0.75">
      <c r="G4611" s="10"/>
      <c r="H4611" s="10"/>
      <c r="I4611" s="39"/>
      <c r="J4611" s="103"/>
      <c r="K4611" s="39"/>
      <c r="L4611" s="78"/>
      <c r="M4611" s="19"/>
      <c r="N4611" s="10"/>
    </row>
    <row r="4612" spans="7:14" x14ac:dyDescent="0.75">
      <c r="G4612" s="10"/>
      <c r="H4612" s="10"/>
      <c r="I4612" s="39"/>
      <c r="J4612" s="103"/>
      <c r="K4612" s="39"/>
      <c r="L4612" s="78"/>
      <c r="M4612" s="19"/>
      <c r="N4612" s="10"/>
    </row>
    <row r="4613" spans="7:14" x14ac:dyDescent="0.75">
      <c r="G4613" s="10"/>
      <c r="H4613" s="10"/>
      <c r="I4613" s="39"/>
      <c r="J4613" s="103"/>
      <c r="K4613" s="39"/>
      <c r="L4613" s="78"/>
      <c r="M4613" s="19"/>
      <c r="N4613" s="10"/>
    </row>
    <row r="4614" spans="7:14" x14ac:dyDescent="0.75">
      <c r="G4614" s="10"/>
      <c r="H4614" s="10"/>
      <c r="I4614" s="39"/>
      <c r="J4614" s="103"/>
      <c r="K4614" s="39"/>
      <c r="L4614" s="78"/>
      <c r="M4614" s="19"/>
      <c r="N4614" s="10"/>
    </row>
    <row r="4615" spans="7:14" x14ac:dyDescent="0.75">
      <c r="G4615" s="10"/>
      <c r="H4615" s="10"/>
      <c r="I4615" s="39"/>
      <c r="J4615" s="103"/>
      <c r="K4615" s="39"/>
      <c r="L4615" s="78"/>
      <c r="M4615" s="19"/>
      <c r="N4615" s="10"/>
    </row>
    <row r="4616" spans="7:14" x14ac:dyDescent="0.75">
      <c r="G4616" s="10"/>
      <c r="H4616" s="10"/>
      <c r="I4616" s="39"/>
      <c r="J4616" s="103"/>
      <c r="K4616" s="39"/>
      <c r="L4616" s="78"/>
      <c r="M4616" s="19"/>
      <c r="N4616" s="10"/>
    </row>
    <row r="4617" spans="7:14" x14ac:dyDescent="0.75">
      <c r="G4617" s="10"/>
      <c r="H4617" s="10"/>
      <c r="I4617" s="39"/>
      <c r="J4617" s="103"/>
      <c r="K4617" s="39"/>
      <c r="L4617" s="78"/>
      <c r="M4617" s="19"/>
      <c r="N4617" s="10"/>
    </row>
    <row r="4618" spans="7:14" x14ac:dyDescent="0.75">
      <c r="G4618" s="10"/>
      <c r="H4618" s="10"/>
      <c r="I4618" s="39"/>
      <c r="J4618" s="103"/>
      <c r="K4618" s="39"/>
      <c r="L4618" s="78"/>
      <c r="M4618" s="19"/>
      <c r="N4618" s="10"/>
    </row>
    <row r="4619" spans="7:14" x14ac:dyDescent="0.75">
      <c r="G4619" s="10"/>
      <c r="H4619" s="10"/>
      <c r="I4619" s="39"/>
      <c r="J4619" s="103"/>
      <c r="K4619" s="39"/>
      <c r="L4619" s="78"/>
      <c r="M4619" s="19"/>
      <c r="N4619" s="10"/>
    </row>
    <row r="4620" spans="7:14" x14ac:dyDescent="0.75">
      <c r="G4620" s="10"/>
      <c r="H4620" s="10"/>
      <c r="I4620" s="39"/>
      <c r="J4620" s="103"/>
      <c r="K4620" s="39"/>
      <c r="L4620" s="78"/>
      <c r="M4620" s="19"/>
      <c r="N4620" s="10"/>
    </row>
    <row r="4621" spans="7:14" x14ac:dyDescent="0.75">
      <c r="G4621" s="10"/>
      <c r="H4621" s="10"/>
      <c r="I4621" s="39"/>
      <c r="J4621" s="103"/>
      <c r="K4621" s="39"/>
      <c r="L4621" s="78"/>
      <c r="M4621" s="19"/>
      <c r="N4621" s="10"/>
    </row>
    <row r="4622" spans="7:14" x14ac:dyDescent="0.75">
      <c r="G4622" s="10"/>
      <c r="H4622" s="10"/>
      <c r="I4622" s="39"/>
      <c r="J4622" s="103"/>
      <c r="K4622" s="39"/>
      <c r="L4622" s="78"/>
      <c r="M4622" s="19"/>
      <c r="N4622" s="10"/>
    </row>
    <row r="4623" spans="7:14" x14ac:dyDescent="0.75">
      <c r="G4623" s="10"/>
      <c r="H4623" s="10"/>
      <c r="I4623" s="39"/>
      <c r="J4623" s="103"/>
      <c r="K4623" s="39"/>
      <c r="L4623" s="78"/>
      <c r="M4623" s="19"/>
      <c r="N4623" s="10"/>
    </row>
    <row r="4624" spans="7:14" x14ac:dyDescent="0.75">
      <c r="G4624" s="10"/>
      <c r="H4624" s="10"/>
      <c r="I4624" s="39"/>
      <c r="J4624" s="103"/>
      <c r="K4624" s="39"/>
      <c r="L4624" s="78"/>
      <c r="M4624" s="19"/>
      <c r="N4624" s="10"/>
    </row>
    <row r="4625" spans="7:14" x14ac:dyDescent="0.75">
      <c r="G4625" s="10"/>
      <c r="H4625" s="10"/>
      <c r="I4625" s="39"/>
      <c r="J4625" s="103"/>
      <c r="K4625" s="39"/>
      <c r="L4625" s="78"/>
      <c r="M4625" s="19"/>
      <c r="N4625" s="10"/>
    </row>
    <row r="4626" spans="7:14" x14ac:dyDescent="0.75">
      <c r="G4626" s="10"/>
      <c r="H4626" s="10"/>
      <c r="I4626" s="39"/>
      <c r="J4626" s="103"/>
      <c r="K4626" s="39"/>
      <c r="L4626" s="78"/>
      <c r="M4626" s="19"/>
      <c r="N4626" s="10"/>
    </row>
    <row r="4627" spans="7:14" x14ac:dyDescent="0.75">
      <c r="G4627" s="10"/>
      <c r="H4627" s="10"/>
      <c r="I4627" s="39"/>
      <c r="J4627" s="103"/>
      <c r="K4627" s="39"/>
      <c r="L4627" s="78"/>
      <c r="M4627" s="19"/>
      <c r="N4627" s="10"/>
    </row>
    <row r="4628" spans="7:14" x14ac:dyDescent="0.75">
      <c r="G4628" s="10"/>
      <c r="H4628" s="10"/>
      <c r="I4628" s="39"/>
      <c r="J4628" s="103"/>
      <c r="K4628" s="39"/>
      <c r="L4628" s="78"/>
      <c r="M4628" s="19"/>
      <c r="N4628" s="10"/>
    </row>
    <row r="4629" spans="7:14" x14ac:dyDescent="0.75">
      <c r="G4629" s="10"/>
      <c r="H4629" s="10"/>
      <c r="I4629" s="39"/>
      <c r="J4629" s="103"/>
      <c r="K4629" s="39"/>
      <c r="L4629" s="78"/>
      <c r="M4629" s="19"/>
      <c r="N4629" s="10"/>
    </row>
    <row r="4630" spans="7:14" x14ac:dyDescent="0.75">
      <c r="G4630" s="10"/>
      <c r="H4630" s="10"/>
      <c r="I4630" s="39"/>
      <c r="J4630" s="103"/>
      <c r="K4630" s="39"/>
      <c r="L4630" s="10"/>
      <c r="M4630" s="19"/>
      <c r="N4630" s="10"/>
    </row>
    <row r="4631" spans="7:14" x14ac:dyDescent="0.75">
      <c r="G4631" s="10"/>
      <c r="H4631" s="10"/>
      <c r="I4631" s="39"/>
      <c r="J4631" s="103"/>
      <c r="K4631" s="39"/>
      <c r="L4631" s="78"/>
      <c r="M4631" s="19"/>
      <c r="N4631" s="10"/>
    </row>
    <row r="4632" spans="7:14" x14ac:dyDescent="0.75">
      <c r="G4632" s="10"/>
      <c r="H4632" s="10"/>
      <c r="I4632" s="39"/>
      <c r="J4632" s="103"/>
      <c r="K4632" s="39"/>
      <c r="L4632" s="78"/>
      <c r="M4632" s="19"/>
      <c r="N4632" s="10"/>
    </row>
    <row r="4633" spans="7:14" x14ac:dyDescent="0.75">
      <c r="G4633" s="10"/>
      <c r="H4633" s="10"/>
      <c r="I4633" s="39"/>
      <c r="J4633" s="103"/>
      <c r="K4633" s="39"/>
      <c r="L4633" s="78"/>
      <c r="M4633" s="19"/>
      <c r="N4633" s="10"/>
    </row>
    <row r="4634" spans="7:14" x14ac:dyDescent="0.75">
      <c r="G4634" s="10"/>
      <c r="H4634" s="10"/>
      <c r="I4634" s="39"/>
      <c r="J4634" s="103"/>
      <c r="K4634" s="39"/>
      <c r="L4634" s="78"/>
      <c r="M4634" s="19"/>
      <c r="N4634" s="10"/>
    </row>
    <row r="4635" spans="7:14" x14ac:dyDescent="0.75">
      <c r="G4635" s="10"/>
      <c r="H4635" s="10"/>
      <c r="I4635" s="39"/>
      <c r="J4635" s="103"/>
      <c r="K4635" s="39"/>
      <c r="L4635" s="78"/>
      <c r="M4635" s="19"/>
      <c r="N4635" s="10"/>
    </row>
    <row r="4636" spans="7:14" x14ac:dyDescent="0.75">
      <c r="G4636" s="10"/>
      <c r="H4636" s="10"/>
      <c r="I4636" s="39"/>
      <c r="J4636" s="103"/>
      <c r="K4636" s="39"/>
      <c r="L4636" s="78"/>
      <c r="M4636" s="19"/>
      <c r="N4636" s="10"/>
    </row>
    <row r="4637" spans="7:14" x14ac:dyDescent="0.75">
      <c r="G4637" s="10"/>
      <c r="H4637" s="10"/>
      <c r="I4637" s="39"/>
      <c r="J4637" s="103"/>
      <c r="K4637" s="39"/>
      <c r="L4637" s="78"/>
      <c r="M4637" s="19"/>
      <c r="N4637" s="10"/>
    </row>
    <row r="4638" spans="7:14" x14ac:dyDescent="0.75">
      <c r="G4638" s="10"/>
      <c r="H4638" s="10"/>
      <c r="I4638" s="39"/>
      <c r="J4638" s="103"/>
      <c r="K4638" s="39"/>
      <c r="L4638" s="78"/>
      <c r="M4638" s="19"/>
      <c r="N4638" s="10"/>
    </row>
    <row r="4639" spans="7:14" x14ac:dyDescent="0.75">
      <c r="G4639" s="10"/>
      <c r="H4639" s="10"/>
      <c r="I4639" s="39"/>
      <c r="J4639" s="103"/>
      <c r="K4639" s="39"/>
      <c r="L4639" s="78"/>
      <c r="M4639" s="19"/>
      <c r="N4639" s="10"/>
    </row>
    <row r="4640" spans="7:14" x14ac:dyDescent="0.75">
      <c r="G4640" s="10"/>
      <c r="H4640" s="10"/>
      <c r="I4640" s="39"/>
      <c r="J4640" s="103"/>
      <c r="K4640" s="39"/>
      <c r="L4640" s="78"/>
      <c r="M4640" s="19"/>
      <c r="N4640" s="10"/>
    </row>
    <row r="4641" spans="7:14" x14ac:dyDescent="0.75">
      <c r="G4641" s="10"/>
      <c r="H4641" s="10"/>
      <c r="I4641" s="39"/>
      <c r="J4641" s="103"/>
      <c r="K4641" s="39"/>
      <c r="L4641" s="78"/>
      <c r="M4641" s="19"/>
      <c r="N4641" s="10"/>
    </row>
    <row r="4642" spans="7:14" x14ac:dyDescent="0.75">
      <c r="G4642" s="10"/>
      <c r="H4642" s="10"/>
      <c r="I4642" s="39"/>
      <c r="J4642" s="103"/>
      <c r="K4642" s="39"/>
      <c r="L4642" s="78"/>
      <c r="M4642" s="19"/>
      <c r="N4642" s="10"/>
    </row>
    <row r="4643" spans="7:14" x14ac:dyDescent="0.75">
      <c r="G4643" s="10"/>
      <c r="H4643" s="10"/>
      <c r="I4643" s="39"/>
      <c r="J4643" s="103"/>
      <c r="K4643" s="39"/>
      <c r="L4643" s="78"/>
      <c r="M4643" s="19"/>
      <c r="N4643" s="10"/>
    </row>
    <row r="4644" spans="7:14" x14ac:dyDescent="0.75">
      <c r="G4644" s="10"/>
      <c r="H4644" s="10"/>
      <c r="I4644" s="39"/>
      <c r="J4644" s="103"/>
      <c r="K4644" s="39"/>
      <c r="L4644" s="78"/>
      <c r="M4644" s="19"/>
      <c r="N4644" s="10"/>
    </row>
    <row r="4645" spans="7:14" x14ac:dyDescent="0.75">
      <c r="G4645" s="10"/>
      <c r="H4645" s="10"/>
      <c r="I4645" s="39"/>
      <c r="J4645" s="103"/>
      <c r="K4645" s="39"/>
      <c r="L4645" s="10"/>
      <c r="M4645" s="19"/>
      <c r="N4645" s="10"/>
    </row>
    <row r="4646" spans="7:14" x14ac:dyDescent="0.75">
      <c r="G4646" s="10"/>
      <c r="H4646" s="10"/>
      <c r="I4646" s="39"/>
      <c r="J4646" s="103"/>
      <c r="K4646" s="39"/>
      <c r="L4646" s="78"/>
      <c r="M4646" s="19"/>
      <c r="N4646" s="10"/>
    </row>
    <row r="4647" spans="7:14" x14ac:dyDescent="0.75">
      <c r="G4647" s="10"/>
      <c r="H4647" s="10"/>
      <c r="I4647" s="39"/>
      <c r="J4647" s="103"/>
      <c r="K4647" s="39"/>
      <c r="L4647" s="78"/>
      <c r="M4647" s="19"/>
      <c r="N4647" s="10"/>
    </row>
    <row r="4648" spans="7:14" x14ac:dyDescent="0.75">
      <c r="G4648" s="10"/>
      <c r="H4648" s="10"/>
      <c r="I4648" s="39"/>
      <c r="J4648" s="103"/>
      <c r="K4648" s="39"/>
      <c r="L4648" s="78"/>
      <c r="M4648" s="19"/>
      <c r="N4648" s="10"/>
    </row>
    <row r="4649" spans="7:14" x14ac:dyDescent="0.75">
      <c r="G4649" s="10"/>
      <c r="H4649" s="10"/>
      <c r="I4649" s="39"/>
      <c r="J4649" s="103"/>
      <c r="K4649" s="39"/>
      <c r="L4649" s="78"/>
      <c r="M4649" s="19"/>
      <c r="N4649" s="10"/>
    </row>
    <row r="4650" spans="7:14" x14ac:dyDescent="0.75">
      <c r="G4650" s="10"/>
      <c r="H4650" s="10"/>
      <c r="I4650" s="39"/>
      <c r="J4650" s="103"/>
      <c r="K4650" s="39"/>
      <c r="L4650" s="78"/>
      <c r="M4650" s="19"/>
      <c r="N4650" s="10"/>
    </row>
    <row r="4651" spans="7:14" x14ac:dyDescent="0.75">
      <c r="G4651" s="10"/>
      <c r="H4651" s="10"/>
      <c r="I4651" s="39"/>
      <c r="J4651" s="103"/>
      <c r="K4651" s="39"/>
      <c r="L4651" s="10"/>
      <c r="M4651" s="19"/>
      <c r="N4651" s="10"/>
    </row>
    <row r="4652" spans="7:14" x14ac:dyDescent="0.75">
      <c r="G4652" s="10"/>
      <c r="H4652" s="10"/>
      <c r="I4652" s="39"/>
      <c r="J4652" s="103"/>
      <c r="K4652" s="39"/>
      <c r="L4652" s="78"/>
      <c r="M4652" s="19"/>
      <c r="N4652" s="10"/>
    </row>
    <row r="4653" spans="7:14" x14ac:dyDescent="0.75">
      <c r="G4653" s="10"/>
      <c r="H4653" s="10"/>
      <c r="I4653" s="39"/>
      <c r="J4653" s="103"/>
      <c r="K4653" s="39"/>
      <c r="L4653" s="78"/>
      <c r="M4653" s="19"/>
      <c r="N4653" s="10"/>
    </row>
    <row r="4654" spans="7:14" x14ac:dyDescent="0.75">
      <c r="G4654" s="10"/>
      <c r="H4654" s="10"/>
      <c r="I4654" s="39"/>
      <c r="J4654" s="103"/>
      <c r="K4654" s="39"/>
      <c r="L4654" s="78"/>
      <c r="M4654" s="19"/>
      <c r="N4654" s="10"/>
    </row>
    <row r="4655" spans="7:14" x14ac:dyDescent="0.75">
      <c r="G4655" s="10"/>
      <c r="H4655" s="10"/>
      <c r="I4655" s="39"/>
      <c r="J4655" s="103"/>
      <c r="K4655" s="39"/>
      <c r="L4655" s="78"/>
      <c r="M4655" s="19"/>
      <c r="N4655" s="10"/>
    </row>
    <row r="4656" spans="7:14" x14ac:dyDescent="0.75">
      <c r="G4656" s="10"/>
      <c r="H4656" s="10"/>
      <c r="I4656" s="39"/>
      <c r="J4656" s="103"/>
      <c r="K4656" s="39"/>
      <c r="L4656" s="78"/>
      <c r="M4656" s="19"/>
      <c r="N4656" s="10"/>
    </row>
    <row r="4657" spans="7:14" x14ac:dyDescent="0.75">
      <c r="G4657" s="10"/>
      <c r="H4657" s="10"/>
      <c r="I4657" s="39"/>
      <c r="J4657" s="103"/>
      <c r="K4657" s="39"/>
      <c r="L4657" s="78"/>
      <c r="M4657" s="19"/>
      <c r="N4657" s="10"/>
    </row>
    <row r="4658" spans="7:14" x14ac:dyDescent="0.75">
      <c r="G4658" s="10"/>
      <c r="H4658" s="10"/>
      <c r="I4658" s="39"/>
      <c r="J4658" s="103"/>
      <c r="K4658" s="39"/>
      <c r="L4658" s="10"/>
      <c r="M4658" s="19"/>
      <c r="N4658" s="10"/>
    </row>
    <row r="4659" spans="7:14" x14ac:dyDescent="0.75">
      <c r="G4659" s="10"/>
      <c r="H4659" s="10"/>
      <c r="I4659" s="39"/>
      <c r="J4659" s="103"/>
      <c r="K4659" s="39"/>
      <c r="L4659" s="78"/>
      <c r="M4659" s="19"/>
      <c r="N4659" s="10"/>
    </row>
    <row r="4660" spans="7:14" x14ac:dyDescent="0.75">
      <c r="G4660" s="10"/>
      <c r="H4660" s="10"/>
      <c r="I4660" s="39"/>
      <c r="J4660" s="103"/>
      <c r="K4660" s="39"/>
      <c r="L4660" s="78"/>
      <c r="M4660" s="19"/>
      <c r="N4660" s="10"/>
    </row>
    <row r="4661" spans="7:14" x14ac:dyDescent="0.75">
      <c r="G4661" s="10"/>
      <c r="H4661" s="10"/>
      <c r="I4661" s="39"/>
      <c r="J4661" s="103"/>
      <c r="K4661" s="39"/>
      <c r="L4661" s="78"/>
      <c r="M4661" s="19"/>
      <c r="N4661" s="10"/>
    </row>
    <row r="4662" spans="7:14" x14ac:dyDescent="0.75">
      <c r="G4662" s="10"/>
      <c r="H4662" s="10"/>
      <c r="I4662" s="39"/>
      <c r="J4662" s="103"/>
      <c r="K4662" s="39"/>
      <c r="L4662" s="78"/>
      <c r="M4662" s="19"/>
      <c r="N4662" s="10"/>
    </row>
    <row r="4663" spans="7:14" x14ac:dyDescent="0.75">
      <c r="G4663" s="10"/>
      <c r="H4663" s="10"/>
      <c r="I4663" s="39"/>
      <c r="J4663" s="103"/>
      <c r="K4663" s="39"/>
      <c r="L4663" s="78"/>
      <c r="M4663" s="19"/>
      <c r="N4663" s="10"/>
    </row>
    <row r="4664" spans="7:14" x14ac:dyDescent="0.75">
      <c r="G4664" s="10"/>
      <c r="H4664" s="10"/>
      <c r="I4664" s="39"/>
      <c r="J4664" s="103"/>
      <c r="K4664" s="39"/>
      <c r="L4664" s="78"/>
      <c r="M4664" s="19"/>
      <c r="N4664" s="10"/>
    </row>
    <row r="4665" spans="7:14" x14ac:dyDescent="0.75">
      <c r="G4665" s="10"/>
      <c r="H4665" s="10"/>
      <c r="I4665" s="39"/>
      <c r="J4665" s="103"/>
      <c r="K4665" s="39"/>
      <c r="L4665" s="10"/>
      <c r="M4665" s="19"/>
      <c r="N4665" s="10"/>
    </row>
    <row r="4666" spans="7:14" x14ac:dyDescent="0.75">
      <c r="G4666" s="10"/>
      <c r="H4666" s="10"/>
      <c r="I4666" s="39"/>
      <c r="J4666" s="103"/>
      <c r="K4666" s="39"/>
      <c r="L4666" s="78"/>
      <c r="M4666" s="19"/>
      <c r="N4666" s="10"/>
    </row>
    <row r="4667" spans="7:14" x14ac:dyDescent="0.75">
      <c r="G4667" s="10"/>
      <c r="H4667" s="10"/>
      <c r="I4667" s="39"/>
      <c r="J4667" s="103"/>
      <c r="K4667" s="39"/>
      <c r="L4667" s="78"/>
      <c r="M4667" s="19"/>
      <c r="N4667" s="10"/>
    </row>
    <row r="4668" spans="7:14" x14ac:dyDescent="0.75">
      <c r="G4668" s="10"/>
      <c r="H4668" s="10"/>
      <c r="I4668" s="39"/>
      <c r="J4668" s="103"/>
      <c r="K4668" s="39"/>
      <c r="L4668" s="78"/>
      <c r="M4668" s="19"/>
      <c r="N4668" s="10"/>
    </row>
    <row r="4669" spans="7:14" x14ac:dyDescent="0.75">
      <c r="G4669" s="10"/>
      <c r="H4669" s="10"/>
      <c r="I4669" s="39"/>
      <c r="J4669" s="103"/>
      <c r="K4669" s="39"/>
      <c r="L4669" s="78"/>
      <c r="M4669" s="19"/>
      <c r="N4669" s="10"/>
    </row>
    <row r="4670" spans="7:14" x14ac:dyDescent="0.75">
      <c r="G4670" s="10"/>
      <c r="H4670" s="10"/>
      <c r="I4670" s="39"/>
      <c r="J4670" s="103"/>
      <c r="K4670" s="39"/>
      <c r="L4670" s="78"/>
      <c r="M4670" s="19"/>
      <c r="N4670" s="10"/>
    </row>
    <row r="4671" spans="7:14" x14ac:dyDescent="0.75">
      <c r="G4671" s="10"/>
      <c r="H4671" s="10"/>
      <c r="I4671" s="39"/>
      <c r="J4671" s="103"/>
      <c r="K4671" s="39"/>
      <c r="L4671" s="78"/>
      <c r="M4671" s="19"/>
      <c r="N4671" s="10"/>
    </row>
    <row r="4672" spans="7:14" x14ac:dyDescent="0.75">
      <c r="G4672" s="10"/>
      <c r="H4672" s="10"/>
      <c r="I4672" s="39"/>
      <c r="J4672" s="103"/>
      <c r="K4672" s="39"/>
      <c r="L4672" s="78"/>
      <c r="M4672" s="19"/>
      <c r="N4672" s="10"/>
    </row>
    <row r="4673" spans="7:14" x14ac:dyDescent="0.75">
      <c r="G4673" s="10"/>
      <c r="H4673" s="10"/>
      <c r="I4673" s="39"/>
      <c r="J4673" s="103"/>
      <c r="K4673" s="39"/>
      <c r="L4673" s="78"/>
      <c r="M4673" s="19"/>
      <c r="N4673" s="10"/>
    </row>
    <row r="4674" spans="7:14" x14ac:dyDescent="0.75">
      <c r="G4674" s="10"/>
      <c r="H4674" s="10"/>
      <c r="I4674" s="39"/>
      <c r="J4674" s="103"/>
      <c r="K4674" s="39"/>
      <c r="L4674" s="78"/>
      <c r="M4674" s="19"/>
      <c r="N4674" s="10"/>
    </row>
    <row r="4675" spans="7:14" x14ac:dyDescent="0.75">
      <c r="G4675" s="10"/>
      <c r="H4675" s="10"/>
      <c r="I4675" s="39"/>
      <c r="J4675" s="103"/>
      <c r="K4675" s="39"/>
      <c r="L4675" s="78"/>
      <c r="M4675" s="19"/>
      <c r="N4675" s="10"/>
    </row>
    <row r="4676" spans="7:14" x14ac:dyDescent="0.75">
      <c r="G4676" s="10"/>
      <c r="H4676" s="10"/>
      <c r="I4676" s="39"/>
      <c r="J4676" s="103"/>
      <c r="K4676" s="39"/>
      <c r="L4676" s="78"/>
      <c r="M4676" s="19"/>
      <c r="N4676" s="10"/>
    </row>
    <row r="4677" spans="7:14" x14ac:dyDescent="0.75">
      <c r="G4677" s="10"/>
      <c r="H4677" s="10"/>
      <c r="I4677" s="39"/>
      <c r="J4677" s="103"/>
      <c r="K4677" s="39"/>
      <c r="L4677" s="78"/>
      <c r="M4677" s="19"/>
      <c r="N4677" s="10"/>
    </row>
    <row r="4678" spans="7:14" x14ac:dyDescent="0.75">
      <c r="G4678" s="10"/>
      <c r="H4678" s="10"/>
      <c r="I4678" s="39"/>
      <c r="J4678" s="103"/>
      <c r="K4678" s="39"/>
      <c r="L4678" s="78"/>
      <c r="M4678" s="19"/>
      <c r="N4678" s="10"/>
    </row>
    <row r="4679" spans="7:14" x14ac:dyDescent="0.75">
      <c r="G4679" s="10"/>
      <c r="H4679" s="10"/>
      <c r="I4679" s="39"/>
      <c r="J4679" s="103"/>
      <c r="K4679" s="39"/>
      <c r="L4679" s="78"/>
      <c r="M4679" s="19"/>
      <c r="N4679" s="10"/>
    </row>
    <row r="4680" spans="7:14" x14ac:dyDescent="0.75">
      <c r="G4680" s="10"/>
      <c r="H4680" s="10"/>
      <c r="I4680" s="39"/>
      <c r="J4680" s="103"/>
      <c r="K4680" s="39"/>
      <c r="L4680" s="78"/>
      <c r="M4680" s="19"/>
      <c r="N4680" s="10"/>
    </row>
    <row r="4681" spans="7:14" x14ac:dyDescent="0.75">
      <c r="G4681" s="10"/>
      <c r="H4681" s="10"/>
      <c r="I4681" s="39"/>
      <c r="J4681" s="103"/>
      <c r="K4681" s="39"/>
      <c r="L4681" s="78"/>
      <c r="M4681" s="19"/>
      <c r="N4681" s="10"/>
    </row>
    <row r="4682" spans="7:14" x14ac:dyDescent="0.75">
      <c r="G4682" s="10"/>
      <c r="H4682" s="10"/>
      <c r="I4682" s="39"/>
      <c r="J4682" s="103"/>
      <c r="K4682" s="39"/>
      <c r="L4682" s="78"/>
      <c r="M4682" s="19"/>
      <c r="N4682" s="10"/>
    </row>
    <row r="4683" spans="7:14" x14ac:dyDescent="0.75">
      <c r="G4683" s="10"/>
      <c r="H4683" s="10"/>
      <c r="I4683" s="39"/>
      <c r="J4683" s="103"/>
      <c r="K4683" s="39"/>
      <c r="L4683" s="10"/>
      <c r="M4683" s="19"/>
      <c r="N4683" s="10"/>
    </row>
    <row r="4684" spans="7:14" x14ac:dyDescent="0.75">
      <c r="G4684" s="10"/>
      <c r="H4684" s="10"/>
      <c r="I4684" s="39"/>
      <c r="J4684" s="103"/>
      <c r="K4684" s="39"/>
      <c r="L4684" s="10"/>
      <c r="M4684" s="19"/>
      <c r="N4684" s="10"/>
    </row>
    <row r="4685" spans="7:14" x14ac:dyDescent="0.75">
      <c r="G4685" s="10"/>
      <c r="H4685" s="10"/>
      <c r="I4685" s="39"/>
      <c r="J4685" s="103"/>
      <c r="K4685" s="39"/>
      <c r="L4685" s="10"/>
      <c r="M4685" s="19"/>
      <c r="N4685" s="10"/>
    </row>
    <row r="4686" spans="7:14" x14ac:dyDescent="0.75">
      <c r="G4686" s="10"/>
      <c r="H4686" s="10"/>
      <c r="I4686" s="39"/>
      <c r="J4686" s="103"/>
      <c r="K4686" s="39"/>
      <c r="L4686" s="78"/>
      <c r="M4686" s="19"/>
      <c r="N4686" s="10"/>
    </row>
    <row r="4687" spans="7:14" x14ac:dyDescent="0.75">
      <c r="G4687" s="10"/>
      <c r="H4687" s="10"/>
      <c r="I4687" s="39"/>
      <c r="J4687" s="103"/>
      <c r="K4687" s="39"/>
      <c r="L4687" s="78"/>
      <c r="M4687" s="19"/>
      <c r="N4687" s="10"/>
    </row>
    <row r="4688" spans="7:14" x14ac:dyDescent="0.75">
      <c r="G4688" s="10"/>
      <c r="H4688" s="10"/>
      <c r="I4688" s="39"/>
      <c r="J4688" s="103"/>
      <c r="K4688" s="39"/>
      <c r="L4688" s="78"/>
      <c r="M4688" s="19"/>
      <c r="N4688" s="10"/>
    </row>
    <row r="4689" spans="7:14" x14ac:dyDescent="0.75">
      <c r="G4689" s="10"/>
      <c r="H4689" s="10"/>
      <c r="I4689" s="39"/>
      <c r="J4689" s="103"/>
      <c r="K4689" s="39"/>
      <c r="L4689" s="78"/>
      <c r="M4689" s="19"/>
      <c r="N4689" s="10"/>
    </row>
    <row r="4690" spans="7:14" x14ac:dyDescent="0.75">
      <c r="G4690" s="10"/>
      <c r="H4690" s="10"/>
      <c r="I4690" s="39"/>
      <c r="J4690" s="103"/>
      <c r="K4690" s="39"/>
      <c r="L4690" s="10"/>
      <c r="M4690" s="19"/>
      <c r="N4690" s="10"/>
    </row>
    <row r="4691" spans="7:14" x14ac:dyDescent="0.75">
      <c r="G4691" s="10"/>
      <c r="H4691" s="10"/>
      <c r="I4691" s="39"/>
      <c r="J4691" s="103"/>
      <c r="K4691" s="39"/>
      <c r="L4691" s="10"/>
      <c r="M4691" s="19"/>
      <c r="N4691" s="10"/>
    </row>
    <row r="4692" spans="7:14" x14ac:dyDescent="0.75">
      <c r="G4692" s="10"/>
      <c r="H4692" s="10"/>
      <c r="I4692" s="39"/>
      <c r="J4692" s="103"/>
      <c r="K4692" s="39"/>
      <c r="L4692" s="10"/>
      <c r="M4692" s="19"/>
      <c r="N4692" s="10"/>
    </row>
    <row r="4693" spans="7:14" x14ac:dyDescent="0.75">
      <c r="G4693" s="10"/>
      <c r="H4693" s="10"/>
      <c r="I4693" s="39"/>
      <c r="J4693" s="103"/>
      <c r="K4693" s="39"/>
      <c r="L4693" s="78"/>
      <c r="M4693" s="19"/>
      <c r="N4693" s="10"/>
    </row>
    <row r="4694" spans="7:14" x14ac:dyDescent="0.75">
      <c r="G4694" s="10"/>
      <c r="H4694" s="10"/>
      <c r="I4694" s="39"/>
      <c r="J4694" s="103"/>
      <c r="K4694" s="39"/>
      <c r="L4694" s="78"/>
      <c r="M4694" s="19"/>
      <c r="N4694" s="10"/>
    </row>
    <row r="4695" spans="7:14" x14ac:dyDescent="0.75">
      <c r="G4695" s="10"/>
      <c r="H4695" s="10"/>
      <c r="I4695" s="39"/>
      <c r="J4695" s="103"/>
      <c r="K4695" s="39"/>
      <c r="L4695" s="78"/>
      <c r="M4695" s="19"/>
      <c r="N4695" s="10"/>
    </row>
    <row r="4696" spans="7:14" x14ac:dyDescent="0.75">
      <c r="G4696" s="10"/>
      <c r="H4696" s="10"/>
      <c r="I4696" s="39"/>
      <c r="J4696" s="103"/>
      <c r="K4696" s="39"/>
      <c r="L4696" s="78"/>
      <c r="M4696" s="19"/>
      <c r="N4696" s="10"/>
    </row>
    <row r="4697" spans="7:14" x14ac:dyDescent="0.75">
      <c r="G4697" s="10"/>
      <c r="H4697" s="10"/>
      <c r="I4697" s="39"/>
      <c r="J4697" s="103"/>
      <c r="K4697" s="39"/>
      <c r="L4697" s="78"/>
      <c r="M4697" s="19"/>
      <c r="N4697" s="10"/>
    </row>
    <row r="4698" spans="7:14" x14ac:dyDescent="0.75">
      <c r="G4698" s="10"/>
      <c r="H4698" s="10"/>
      <c r="I4698" s="39"/>
      <c r="J4698" s="103"/>
      <c r="K4698" s="39"/>
      <c r="L4698" s="78"/>
      <c r="M4698" s="19"/>
      <c r="N4698" s="10"/>
    </row>
    <row r="4699" spans="7:14" x14ac:dyDescent="0.75">
      <c r="G4699" s="10"/>
      <c r="H4699" s="10"/>
      <c r="I4699" s="39"/>
      <c r="J4699" s="103"/>
      <c r="K4699" s="39"/>
      <c r="L4699" s="78"/>
      <c r="M4699" s="19"/>
      <c r="N4699" s="10"/>
    </row>
    <row r="4700" spans="7:14" x14ac:dyDescent="0.75">
      <c r="G4700" s="10"/>
      <c r="H4700" s="10"/>
      <c r="I4700" s="39"/>
      <c r="J4700" s="103"/>
      <c r="K4700" s="39"/>
      <c r="L4700" s="10"/>
      <c r="M4700" s="19"/>
      <c r="N4700" s="10"/>
    </row>
    <row r="4701" spans="7:14" x14ac:dyDescent="0.75">
      <c r="G4701" s="10"/>
      <c r="H4701" s="10"/>
      <c r="I4701" s="39"/>
      <c r="J4701" s="103"/>
      <c r="K4701" s="39"/>
      <c r="L4701" s="78"/>
      <c r="M4701" s="19"/>
      <c r="N4701" s="10"/>
    </row>
    <row r="4702" spans="7:14" x14ac:dyDescent="0.75">
      <c r="G4702" s="10"/>
      <c r="H4702" s="10"/>
      <c r="I4702" s="39"/>
      <c r="J4702" s="103"/>
      <c r="K4702" s="39"/>
      <c r="L4702" s="78"/>
      <c r="M4702" s="19"/>
      <c r="N4702" s="10"/>
    </row>
    <row r="4703" spans="7:14" x14ac:dyDescent="0.75">
      <c r="G4703" s="10"/>
      <c r="H4703" s="10"/>
      <c r="I4703" s="39"/>
      <c r="J4703" s="103"/>
      <c r="K4703" s="39"/>
      <c r="L4703" s="78"/>
      <c r="M4703" s="19"/>
      <c r="N4703" s="10"/>
    </row>
    <row r="4704" spans="7:14" x14ac:dyDescent="0.75">
      <c r="G4704" s="10"/>
      <c r="H4704" s="10"/>
      <c r="I4704" s="39"/>
      <c r="J4704" s="103"/>
      <c r="K4704" s="39"/>
      <c r="L4704" s="78"/>
      <c r="M4704" s="19"/>
      <c r="N4704" s="10"/>
    </row>
    <row r="4705" spans="7:14" x14ac:dyDescent="0.75">
      <c r="G4705" s="10"/>
      <c r="H4705" s="10"/>
      <c r="I4705" s="39"/>
      <c r="J4705" s="103"/>
      <c r="K4705" s="39"/>
      <c r="L4705" s="78"/>
      <c r="M4705" s="19"/>
      <c r="N4705" s="10"/>
    </row>
    <row r="4706" spans="7:14" x14ac:dyDescent="0.75">
      <c r="G4706" s="10"/>
      <c r="H4706" s="10"/>
      <c r="I4706" s="39"/>
      <c r="J4706" s="103"/>
      <c r="K4706" s="39"/>
      <c r="L4706" s="78"/>
      <c r="M4706" s="19"/>
      <c r="N4706" s="10"/>
    </row>
    <row r="4707" spans="7:14" x14ac:dyDescent="0.75">
      <c r="G4707" s="10"/>
      <c r="H4707" s="10"/>
      <c r="I4707" s="39"/>
      <c r="J4707" s="103"/>
      <c r="K4707" s="39"/>
      <c r="L4707" s="78"/>
      <c r="M4707" s="19"/>
      <c r="N4707" s="10"/>
    </row>
    <row r="4708" spans="7:14" x14ac:dyDescent="0.75">
      <c r="G4708" s="10"/>
      <c r="H4708" s="10"/>
      <c r="I4708" s="39"/>
      <c r="J4708" s="103"/>
      <c r="K4708" s="39"/>
      <c r="L4708" s="78"/>
      <c r="M4708" s="19"/>
      <c r="N4708" s="10"/>
    </row>
    <row r="4709" spans="7:14" x14ac:dyDescent="0.75">
      <c r="G4709" s="10"/>
      <c r="H4709" s="10"/>
      <c r="I4709" s="39"/>
      <c r="J4709" s="103"/>
      <c r="K4709" s="39"/>
      <c r="L4709" s="78"/>
      <c r="M4709" s="19"/>
      <c r="N4709" s="10"/>
    </row>
    <row r="4710" spans="7:14" x14ac:dyDescent="0.75">
      <c r="G4710" s="10"/>
      <c r="H4710" s="10"/>
      <c r="I4710" s="39"/>
      <c r="J4710" s="103"/>
      <c r="K4710" s="39"/>
      <c r="L4710" s="78"/>
      <c r="M4710" s="19"/>
      <c r="N4710" s="10"/>
    </row>
    <row r="4711" spans="7:14" x14ac:dyDescent="0.75">
      <c r="G4711" s="10"/>
      <c r="H4711" s="10"/>
      <c r="I4711" s="39"/>
      <c r="J4711" s="103"/>
      <c r="K4711" s="39"/>
      <c r="L4711" s="78"/>
      <c r="M4711" s="19"/>
      <c r="N4711" s="10"/>
    </row>
    <row r="4712" spans="7:14" x14ac:dyDescent="0.75">
      <c r="G4712" s="10"/>
      <c r="H4712" s="10"/>
      <c r="I4712" s="39"/>
      <c r="J4712" s="103"/>
      <c r="K4712" s="39"/>
      <c r="L4712" s="78"/>
      <c r="M4712" s="19"/>
      <c r="N4712" s="10"/>
    </row>
    <row r="4713" spans="7:14" x14ac:dyDescent="0.75">
      <c r="G4713" s="10"/>
      <c r="H4713" s="10"/>
      <c r="I4713" s="39"/>
      <c r="J4713" s="103"/>
      <c r="K4713" s="39"/>
      <c r="L4713" s="78"/>
      <c r="M4713" s="19"/>
      <c r="N4713" s="10"/>
    </row>
    <row r="4714" spans="7:14" x14ac:dyDescent="0.75">
      <c r="G4714" s="10"/>
      <c r="H4714" s="10"/>
      <c r="I4714" s="39"/>
      <c r="J4714" s="103"/>
      <c r="K4714" s="39"/>
      <c r="L4714" s="78"/>
      <c r="M4714" s="19"/>
      <c r="N4714" s="10"/>
    </row>
    <row r="4715" spans="7:14" x14ac:dyDescent="0.75">
      <c r="G4715" s="10"/>
      <c r="H4715" s="10"/>
      <c r="I4715" s="39"/>
      <c r="J4715" s="103"/>
      <c r="K4715" s="39"/>
      <c r="L4715" s="78"/>
      <c r="M4715" s="19"/>
      <c r="N4715" s="10"/>
    </row>
    <row r="4716" spans="7:14" x14ac:dyDescent="0.75">
      <c r="G4716" s="10"/>
      <c r="H4716" s="10"/>
      <c r="I4716" s="39"/>
      <c r="J4716" s="103"/>
      <c r="K4716" s="39"/>
      <c r="L4716" s="10"/>
      <c r="M4716" s="19"/>
      <c r="N4716" s="10"/>
    </row>
    <row r="4717" spans="7:14" x14ac:dyDescent="0.75">
      <c r="G4717" s="10"/>
      <c r="H4717" s="10"/>
      <c r="I4717" s="39"/>
      <c r="J4717" s="103"/>
      <c r="K4717" s="39"/>
      <c r="L4717" s="78"/>
      <c r="M4717" s="19"/>
      <c r="N4717" s="10"/>
    </row>
    <row r="4718" spans="7:14" x14ac:dyDescent="0.75">
      <c r="G4718" s="10"/>
      <c r="H4718" s="10"/>
      <c r="I4718" s="39"/>
      <c r="J4718" s="103"/>
      <c r="K4718" s="39"/>
      <c r="L4718" s="78"/>
      <c r="M4718" s="19"/>
      <c r="N4718" s="10"/>
    </row>
    <row r="4719" spans="7:14" x14ac:dyDescent="0.75">
      <c r="G4719" s="10"/>
      <c r="H4719" s="10"/>
      <c r="I4719" s="39"/>
      <c r="J4719" s="103"/>
      <c r="K4719" s="39"/>
      <c r="L4719" s="78"/>
      <c r="M4719" s="19"/>
      <c r="N4719" s="10"/>
    </row>
    <row r="4720" spans="7:14" x14ac:dyDescent="0.75">
      <c r="G4720" s="10"/>
      <c r="H4720" s="10"/>
      <c r="I4720" s="39"/>
      <c r="J4720" s="103"/>
      <c r="K4720" s="39"/>
      <c r="L4720" s="78"/>
      <c r="M4720" s="19"/>
      <c r="N4720" s="10"/>
    </row>
    <row r="4721" spans="7:14" x14ac:dyDescent="0.75">
      <c r="G4721" s="10"/>
      <c r="H4721" s="10"/>
      <c r="I4721" s="39"/>
      <c r="J4721" s="103"/>
      <c r="K4721" s="39"/>
      <c r="L4721" s="78"/>
      <c r="M4721" s="19"/>
      <c r="N4721" s="10"/>
    </row>
    <row r="4722" spans="7:14" x14ac:dyDescent="0.75">
      <c r="G4722" s="10"/>
      <c r="H4722" s="10"/>
      <c r="I4722" s="39"/>
      <c r="J4722" s="103"/>
      <c r="K4722" s="39"/>
      <c r="L4722" s="78"/>
      <c r="M4722" s="19"/>
      <c r="N4722" s="10"/>
    </row>
    <row r="4723" spans="7:14" x14ac:dyDescent="0.75">
      <c r="G4723" s="10"/>
      <c r="H4723" s="10"/>
      <c r="I4723" s="39"/>
      <c r="J4723" s="103"/>
      <c r="K4723" s="39"/>
      <c r="L4723" s="10"/>
      <c r="M4723" s="19"/>
      <c r="N4723" s="10"/>
    </row>
    <row r="4724" spans="7:14" x14ac:dyDescent="0.75">
      <c r="G4724" s="10"/>
      <c r="H4724" s="10"/>
      <c r="I4724" s="39"/>
      <c r="J4724" s="103"/>
      <c r="K4724" s="39"/>
      <c r="L4724" s="10"/>
      <c r="M4724" s="19"/>
      <c r="N4724" s="10"/>
    </row>
    <row r="4725" spans="7:14" x14ac:dyDescent="0.75">
      <c r="G4725" s="10"/>
      <c r="H4725" s="10"/>
      <c r="I4725" s="39"/>
      <c r="J4725" s="103"/>
      <c r="K4725" s="39"/>
      <c r="L4725" s="78"/>
      <c r="M4725" s="19"/>
      <c r="N4725" s="10"/>
    </row>
    <row r="4726" spans="7:14" x14ac:dyDescent="0.75">
      <c r="G4726" s="10"/>
      <c r="H4726" s="10"/>
      <c r="I4726" s="39"/>
      <c r="J4726" s="103"/>
      <c r="K4726" s="39"/>
      <c r="L4726" s="78"/>
      <c r="M4726" s="19"/>
      <c r="N4726" s="10"/>
    </row>
    <row r="4727" spans="7:14" x14ac:dyDescent="0.75">
      <c r="G4727" s="10"/>
      <c r="H4727" s="10"/>
      <c r="I4727" s="39"/>
      <c r="J4727" s="103"/>
      <c r="K4727" s="39"/>
      <c r="L4727" s="78"/>
      <c r="M4727" s="19"/>
      <c r="N4727" s="10"/>
    </row>
    <row r="4728" spans="7:14" x14ac:dyDescent="0.75">
      <c r="G4728" s="10"/>
      <c r="H4728" s="10"/>
      <c r="I4728" s="39"/>
      <c r="J4728" s="103"/>
      <c r="K4728" s="39"/>
      <c r="L4728" s="78"/>
      <c r="M4728" s="19"/>
      <c r="N4728" s="10"/>
    </row>
    <row r="4729" spans="7:14" x14ac:dyDescent="0.75">
      <c r="G4729" s="10"/>
      <c r="H4729" s="10"/>
      <c r="I4729" s="39"/>
      <c r="J4729" s="103"/>
      <c r="K4729" s="39"/>
      <c r="L4729" s="78"/>
      <c r="M4729" s="19"/>
      <c r="N4729" s="10"/>
    </row>
    <row r="4730" spans="7:14" x14ac:dyDescent="0.75">
      <c r="G4730" s="10"/>
      <c r="H4730" s="10"/>
      <c r="I4730" s="39"/>
      <c r="J4730" s="103"/>
      <c r="K4730" s="39"/>
      <c r="L4730" s="78"/>
      <c r="M4730" s="19"/>
      <c r="N4730" s="10"/>
    </row>
    <row r="4731" spans="7:14" x14ac:dyDescent="0.75">
      <c r="G4731" s="10"/>
      <c r="H4731" s="10"/>
      <c r="I4731" s="39"/>
      <c r="J4731" s="103"/>
      <c r="K4731" s="39"/>
      <c r="L4731" s="78"/>
      <c r="M4731" s="19"/>
      <c r="N4731" s="10"/>
    </row>
    <row r="4732" spans="7:14" x14ac:dyDescent="0.75">
      <c r="G4732" s="10"/>
      <c r="H4732" s="10"/>
      <c r="I4732" s="39"/>
      <c r="J4732" s="103"/>
      <c r="K4732" s="39"/>
      <c r="L4732" s="78"/>
      <c r="M4732" s="19"/>
      <c r="N4732" s="10"/>
    </row>
    <row r="4733" spans="7:14" x14ac:dyDescent="0.75">
      <c r="G4733" s="10"/>
      <c r="H4733" s="10"/>
      <c r="I4733" s="39"/>
      <c r="J4733" s="103"/>
      <c r="K4733" s="39"/>
      <c r="L4733" s="78"/>
      <c r="M4733" s="19"/>
      <c r="N4733" s="10"/>
    </row>
    <row r="4734" spans="7:14" x14ac:dyDescent="0.75">
      <c r="G4734" s="10"/>
      <c r="H4734" s="10"/>
      <c r="I4734" s="39"/>
      <c r="J4734" s="103"/>
      <c r="K4734" s="39"/>
      <c r="L4734" s="78"/>
      <c r="M4734" s="19"/>
      <c r="N4734" s="10"/>
    </row>
    <row r="4735" spans="7:14" x14ac:dyDescent="0.75">
      <c r="G4735" s="10"/>
      <c r="H4735" s="10"/>
      <c r="I4735" s="39"/>
      <c r="J4735" s="103"/>
      <c r="K4735" s="39"/>
      <c r="L4735" s="78"/>
      <c r="M4735" s="19"/>
      <c r="N4735" s="10"/>
    </row>
    <row r="4736" spans="7:14" x14ac:dyDescent="0.75">
      <c r="G4736" s="10"/>
      <c r="H4736" s="10"/>
      <c r="I4736" s="39"/>
      <c r="J4736" s="103"/>
      <c r="K4736" s="39"/>
      <c r="L4736" s="78"/>
      <c r="M4736" s="19"/>
      <c r="N4736" s="10"/>
    </row>
    <row r="4737" spans="7:14" x14ac:dyDescent="0.75">
      <c r="G4737" s="10"/>
      <c r="H4737" s="10"/>
      <c r="I4737" s="39"/>
      <c r="J4737" s="103"/>
      <c r="K4737" s="39"/>
      <c r="L4737" s="78"/>
      <c r="M4737" s="19"/>
      <c r="N4737" s="10"/>
    </row>
    <row r="4738" spans="7:14" x14ac:dyDescent="0.75">
      <c r="G4738" s="10"/>
      <c r="H4738" s="10"/>
      <c r="I4738" s="39"/>
      <c r="J4738" s="103"/>
      <c r="K4738" s="39"/>
      <c r="L4738" s="78"/>
      <c r="M4738" s="19"/>
      <c r="N4738" s="10"/>
    </row>
    <row r="4739" spans="7:14" x14ac:dyDescent="0.75">
      <c r="G4739" s="10"/>
      <c r="H4739" s="10"/>
      <c r="I4739" s="39"/>
      <c r="J4739" s="103"/>
      <c r="K4739" s="39"/>
      <c r="L4739" s="78"/>
      <c r="M4739" s="19"/>
      <c r="N4739" s="10"/>
    </row>
    <row r="4740" spans="7:14" x14ac:dyDescent="0.75">
      <c r="G4740" s="10"/>
      <c r="H4740" s="10"/>
      <c r="I4740" s="39"/>
      <c r="J4740" s="103"/>
      <c r="K4740" s="39"/>
      <c r="L4740" s="78"/>
      <c r="M4740" s="19"/>
      <c r="N4740" s="10"/>
    </row>
    <row r="4741" spans="7:14" x14ac:dyDescent="0.75">
      <c r="G4741" s="10"/>
      <c r="H4741" s="10"/>
      <c r="I4741" s="39"/>
      <c r="J4741" s="103"/>
      <c r="K4741" s="39"/>
      <c r="L4741" s="78"/>
      <c r="M4741" s="19"/>
      <c r="N4741" s="10"/>
    </row>
    <row r="4742" spans="7:14" x14ac:dyDescent="0.75">
      <c r="G4742" s="10"/>
      <c r="H4742" s="10"/>
      <c r="I4742" s="39"/>
      <c r="J4742" s="103"/>
      <c r="K4742" s="39"/>
      <c r="L4742" s="78"/>
      <c r="M4742" s="19"/>
      <c r="N4742" s="10"/>
    </row>
    <row r="4743" spans="7:14" x14ac:dyDescent="0.75">
      <c r="G4743" s="10"/>
      <c r="H4743" s="10"/>
      <c r="I4743" s="39"/>
      <c r="J4743" s="103"/>
      <c r="K4743" s="39"/>
      <c r="L4743" s="78"/>
      <c r="M4743" s="19"/>
      <c r="N4743" s="10"/>
    </row>
    <row r="4744" spans="7:14" x14ac:dyDescent="0.75">
      <c r="G4744" s="10"/>
      <c r="H4744" s="10"/>
      <c r="I4744" s="39"/>
      <c r="J4744" s="103"/>
      <c r="K4744" s="39"/>
      <c r="L4744" s="78"/>
      <c r="M4744" s="19"/>
      <c r="N4744" s="10"/>
    </row>
    <row r="4745" spans="7:14" x14ac:dyDescent="0.75">
      <c r="G4745" s="10"/>
      <c r="H4745" s="10"/>
      <c r="I4745" s="39"/>
      <c r="J4745" s="103"/>
      <c r="K4745" s="39"/>
      <c r="L4745" s="78"/>
      <c r="M4745" s="19"/>
      <c r="N4745" s="10"/>
    </row>
    <row r="4746" spans="7:14" x14ac:dyDescent="0.75">
      <c r="G4746" s="10"/>
      <c r="H4746" s="10"/>
      <c r="I4746" s="39"/>
      <c r="J4746" s="103"/>
      <c r="K4746" s="39"/>
      <c r="L4746" s="78"/>
      <c r="M4746" s="19"/>
      <c r="N4746" s="10"/>
    </row>
    <row r="4747" spans="7:14" x14ac:dyDescent="0.75">
      <c r="G4747" s="10"/>
      <c r="H4747" s="10"/>
      <c r="I4747" s="39"/>
      <c r="J4747" s="103"/>
      <c r="K4747" s="39"/>
      <c r="L4747" s="78"/>
      <c r="M4747" s="19"/>
      <c r="N4747" s="10"/>
    </row>
    <row r="4748" spans="7:14" x14ac:dyDescent="0.75">
      <c r="G4748" s="10"/>
      <c r="H4748" s="10"/>
      <c r="I4748" s="39"/>
      <c r="J4748" s="103"/>
      <c r="K4748" s="39"/>
      <c r="L4748" s="78"/>
      <c r="M4748" s="19"/>
      <c r="N4748" s="10"/>
    </row>
    <row r="4749" spans="7:14" x14ac:dyDescent="0.75">
      <c r="G4749" s="10"/>
      <c r="H4749" s="10"/>
      <c r="I4749" s="39"/>
      <c r="J4749" s="103"/>
      <c r="K4749" s="39"/>
      <c r="L4749" s="78"/>
      <c r="M4749" s="19"/>
      <c r="N4749" s="10"/>
    </row>
    <row r="4750" spans="7:14" x14ac:dyDescent="0.75">
      <c r="G4750" s="10"/>
      <c r="H4750" s="10"/>
      <c r="I4750" s="39"/>
      <c r="J4750" s="103"/>
      <c r="K4750" s="39"/>
      <c r="L4750" s="78"/>
      <c r="M4750" s="19"/>
      <c r="N4750" s="10"/>
    </row>
    <row r="4751" spans="7:14" x14ac:dyDescent="0.75">
      <c r="G4751" s="10"/>
      <c r="H4751" s="10"/>
      <c r="I4751" s="39"/>
      <c r="J4751" s="103"/>
      <c r="K4751" s="39"/>
      <c r="L4751" s="78"/>
      <c r="M4751" s="19"/>
      <c r="N4751" s="10"/>
    </row>
    <row r="4752" spans="7:14" x14ac:dyDescent="0.75">
      <c r="G4752" s="10"/>
      <c r="H4752" s="10"/>
      <c r="I4752" s="39"/>
      <c r="J4752" s="103"/>
      <c r="K4752" s="39"/>
      <c r="L4752" s="78"/>
      <c r="M4752" s="19"/>
      <c r="N4752" s="10"/>
    </row>
    <row r="4753" spans="7:14" x14ac:dyDescent="0.75">
      <c r="G4753" s="10"/>
      <c r="H4753" s="10"/>
      <c r="I4753" s="39"/>
      <c r="J4753" s="103"/>
      <c r="K4753" s="39"/>
      <c r="L4753" s="78"/>
      <c r="M4753" s="19"/>
      <c r="N4753" s="10"/>
    </row>
    <row r="4754" spans="7:14" x14ac:dyDescent="0.75">
      <c r="G4754" s="10"/>
      <c r="H4754" s="10"/>
      <c r="I4754" s="39"/>
      <c r="J4754" s="103"/>
      <c r="K4754" s="39"/>
      <c r="L4754" s="78"/>
      <c r="M4754" s="19"/>
      <c r="N4754" s="10"/>
    </row>
    <row r="4755" spans="7:14" x14ac:dyDescent="0.75">
      <c r="G4755" s="10"/>
      <c r="H4755" s="10"/>
      <c r="I4755" s="39"/>
      <c r="J4755" s="103"/>
      <c r="K4755" s="39"/>
      <c r="L4755" s="78"/>
      <c r="M4755" s="19"/>
      <c r="N4755" s="10"/>
    </row>
    <row r="4756" spans="7:14" x14ac:dyDescent="0.75">
      <c r="G4756" s="10"/>
      <c r="H4756" s="10"/>
      <c r="I4756" s="39"/>
      <c r="J4756" s="103"/>
      <c r="K4756" s="39"/>
      <c r="L4756" s="78"/>
      <c r="M4756" s="19"/>
      <c r="N4756" s="10"/>
    </row>
    <row r="4757" spans="7:14" x14ac:dyDescent="0.75">
      <c r="G4757" s="10"/>
      <c r="H4757" s="10"/>
      <c r="I4757" s="39"/>
      <c r="J4757" s="103"/>
      <c r="K4757" s="39"/>
      <c r="L4757" s="78"/>
      <c r="M4757" s="19"/>
      <c r="N4757" s="10"/>
    </row>
    <row r="4758" spans="7:14" x14ac:dyDescent="0.75">
      <c r="G4758" s="10"/>
      <c r="H4758" s="10"/>
      <c r="I4758" s="39"/>
      <c r="J4758" s="103"/>
      <c r="K4758" s="39"/>
      <c r="L4758" s="78"/>
      <c r="M4758" s="19"/>
      <c r="N4758" s="10"/>
    </row>
    <row r="4759" spans="7:14" x14ac:dyDescent="0.75">
      <c r="G4759" s="10"/>
      <c r="H4759" s="10"/>
      <c r="I4759" s="39"/>
      <c r="J4759" s="103"/>
      <c r="K4759" s="39"/>
      <c r="L4759" s="78"/>
      <c r="M4759" s="19"/>
      <c r="N4759" s="10"/>
    </row>
    <row r="4760" spans="7:14" x14ac:dyDescent="0.75">
      <c r="G4760" s="10"/>
      <c r="H4760" s="10"/>
      <c r="I4760" s="39"/>
      <c r="J4760" s="103"/>
      <c r="K4760" s="39"/>
      <c r="L4760" s="78"/>
      <c r="M4760" s="19"/>
      <c r="N4760" s="10"/>
    </row>
    <row r="4761" spans="7:14" x14ac:dyDescent="0.75">
      <c r="G4761" s="10"/>
      <c r="H4761" s="10"/>
      <c r="I4761" s="39"/>
      <c r="J4761" s="103"/>
      <c r="K4761" s="39"/>
      <c r="L4761" s="78"/>
      <c r="M4761" s="19"/>
      <c r="N4761" s="10"/>
    </row>
    <row r="4762" spans="7:14" x14ac:dyDescent="0.75">
      <c r="G4762" s="10"/>
      <c r="H4762" s="10"/>
      <c r="I4762" s="39"/>
      <c r="J4762" s="103"/>
      <c r="K4762" s="39"/>
      <c r="L4762" s="78"/>
      <c r="M4762" s="19"/>
      <c r="N4762" s="10"/>
    </row>
    <row r="4763" spans="7:14" x14ac:dyDescent="0.75">
      <c r="G4763" s="10"/>
      <c r="H4763" s="10"/>
      <c r="I4763" s="39"/>
      <c r="J4763" s="103"/>
      <c r="K4763" s="39"/>
      <c r="L4763" s="78"/>
      <c r="M4763" s="19"/>
      <c r="N4763" s="10"/>
    </row>
    <row r="4764" spans="7:14" x14ac:dyDescent="0.75">
      <c r="G4764" s="10"/>
      <c r="H4764" s="10"/>
      <c r="I4764" s="39"/>
      <c r="J4764" s="103"/>
      <c r="K4764" s="39"/>
      <c r="L4764" s="78"/>
      <c r="M4764" s="19"/>
      <c r="N4764" s="10"/>
    </row>
    <row r="4765" spans="7:14" x14ac:dyDescent="0.75">
      <c r="G4765" s="10"/>
      <c r="H4765" s="10"/>
      <c r="I4765" s="39"/>
      <c r="J4765" s="103"/>
      <c r="K4765" s="39"/>
      <c r="L4765" s="78"/>
      <c r="M4765" s="19"/>
      <c r="N4765" s="10"/>
    </row>
    <row r="4766" spans="7:14" x14ac:dyDescent="0.75">
      <c r="G4766" s="10"/>
      <c r="H4766" s="10"/>
      <c r="I4766" s="39"/>
      <c r="J4766" s="103"/>
      <c r="K4766" s="39"/>
      <c r="L4766" s="78"/>
      <c r="M4766" s="19"/>
      <c r="N4766" s="10"/>
    </row>
    <row r="4767" spans="7:14" x14ac:dyDescent="0.75">
      <c r="G4767" s="10"/>
      <c r="H4767" s="10"/>
      <c r="I4767" s="39"/>
      <c r="J4767" s="103"/>
      <c r="K4767" s="39"/>
      <c r="L4767" s="78"/>
      <c r="M4767" s="19"/>
      <c r="N4767" s="10"/>
    </row>
    <row r="4768" spans="7:14" x14ac:dyDescent="0.75">
      <c r="G4768" s="10"/>
      <c r="H4768" s="10"/>
      <c r="I4768" s="39"/>
      <c r="J4768" s="103"/>
      <c r="K4768" s="39"/>
      <c r="L4768" s="78"/>
      <c r="M4768" s="19"/>
      <c r="N4768" s="10"/>
    </row>
    <row r="4769" spans="7:14" x14ac:dyDescent="0.75">
      <c r="G4769" s="10"/>
      <c r="H4769" s="10"/>
      <c r="I4769" s="39"/>
      <c r="J4769" s="103"/>
      <c r="K4769" s="39"/>
      <c r="L4769" s="78"/>
      <c r="M4769" s="19"/>
      <c r="N4769" s="10"/>
    </row>
    <row r="4770" spans="7:14" x14ac:dyDescent="0.75">
      <c r="G4770" s="10"/>
      <c r="H4770" s="10"/>
      <c r="I4770" s="39"/>
      <c r="J4770" s="103"/>
      <c r="K4770" s="39"/>
      <c r="L4770" s="78"/>
      <c r="M4770" s="19"/>
      <c r="N4770" s="10"/>
    </row>
    <row r="4771" spans="7:14" x14ac:dyDescent="0.75">
      <c r="G4771" s="10"/>
      <c r="H4771" s="10"/>
      <c r="I4771" s="39"/>
      <c r="J4771" s="103"/>
      <c r="K4771" s="39"/>
      <c r="L4771" s="10"/>
      <c r="M4771" s="19"/>
      <c r="N4771" s="10"/>
    </row>
    <row r="4772" spans="7:14" x14ac:dyDescent="0.75">
      <c r="G4772" s="10"/>
      <c r="H4772" s="10"/>
      <c r="I4772" s="39"/>
      <c r="J4772" s="103"/>
      <c r="K4772" s="39"/>
      <c r="L4772" s="10"/>
      <c r="M4772" s="19"/>
      <c r="N4772" s="10"/>
    </row>
    <row r="4773" spans="7:14" x14ac:dyDescent="0.75">
      <c r="G4773" s="10"/>
      <c r="H4773" s="10"/>
      <c r="I4773" s="39"/>
      <c r="J4773" s="103"/>
      <c r="K4773" s="39"/>
      <c r="L4773" s="78"/>
      <c r="M4773" s="19"/>
      <c r="N4773" s="10"/>
    </row>
    <row r="4774" spans="7:14" x14ac:dyDescent="0.75">
      <c r="G4774" s="10"/>
      <c r="H4774" s="10"/>
      <c r="I4774" s="39"/>
      <c r="J4774" s="103"/>
      <c r="K4774" s="39"/>
      <c r="L4774" s="78"/>
      <c r="M4774" s="19"/>
      <c r="N4774" s="10"/>
    </row>
    <row r="4775" spans="7:14" x14ac:dyDescent="0.75">
      <c r="G4775" s="10"/>
      <c r="H4775" s="10"/>
      <c r="I4775" s="39"/>
      <c r="J4775" s="103"/>
      <c r="K4775" s="39"/>
      <c r="L4775" s="78"/>
      <c r="M4775" s="19"/>
      <c r="N4775" s="10"/>
    </row>
    <row r="4776" spans="7:14" x14ac:dyDescent="0.75">
      <c r="G4776" s="10"/>
      <c r="H4776" s="10"/>
      <c r="I4776" s="39"/>
      <c r="J4776" s="103"/>
      <c r="K4776" s="39"/>
      <c r="L4776" s="78"/>
      <c r="M4776" s="19"/>
      <c r="N4776" s="10"/>
    </row>
    <row r="4777" spans="7:14" x14ac:dyDescent="0.75">
      <c r="G4777" s="10"/>
      <c r="H4777" s="10"/>
      <c r="I4777" s="39"/>
      <c r="J4777" s="103"/>
      <c r="K4777" s="39"/>
      <c r="L4777" s="78"/>
      <c r="M4777" s="19"/>
      <c r="N4777" s="10"/>
    </row>
    <row r="4778" spans="7:14" x14ac:dyDescent="0.75">
      <c r="G4778" s="10"/>
      <c r="H4778" s="10"/>
      <c r="I4778" s="39"/>
      <c r="J4778" s="103"/>
      <c r="K4778" s="39"/>
      <c r="L4778" s="78"/>
      <c r="M4778" s="19"/>
      <c r="N4778" s="10"/>
    </row>
    <row r="4779" spans="7:14" x14ac:dyDescent="0.75">
      <c r="G4779" s="10"/>
      <c r="H4779" s="10"/>
      <c r="I4779" s="39"/>
      <c r="J4779" s="103"/>
      <c r="K4779" s="39"/>
      <c r="L4779" s="78"/>
      <c r="M4779" s="19"/>
      <c r="N4779" s="10"/>
    </row>
    <row r="4780" spans="7:14" x14ac:dyDescent="0.75">
      <c r="G4780" s="10"/>
      <c r="H4780" s="10"/>
      <c r="I4780" s="39"/>
      <c r="J4780" s="103"/>
      <c r="K4780" s="39"/>
      <c r="L4780" s="78"/>
      <c r="M4780" s="19"/>
      <c r="N4780" s="10"/>
    </row>
    <row r="4781" spans="7:14" x14ac:dyDescent="0.75">
      <c r="G4781" s="10"/>
      <c r="H4781" s="10"/>
      <c r="I4781" s="39"/>
      <c r="J4781" s="103"/>
      <c r="K4781" s="39"/>
      <c r="L4781" s="78"/>
      <c r="M4781" s="19"/>
      <c r="N4781" s="10"/>
    </row>
    <row r="4782" spans="7:14" x14ac:dyDescent="0.75">
      <c r="G4782" s="10"/>
      <c r="H4782" s="10"/>
      <c r="I4782" s="39"/>
      <c r="J4782" s="103"/>
      <c r="K4782" s="39"/>
      <c r="L4782" s="78"/>
      <c r="M4782" s="19"/>
      <c r="N4782" s="10"/>
    </row>
    <row r="4783" spans="7:14" x14ac:dyDescent="0.75">
      <c r="G4783" s="10"/>
      <c r="H4783" s="10"/>
      <c r="I4783" s="39"/>
      <c r="J4783" s="103"/>
      <c r="K4783" s="39"/>
      <c r="L4783" s="78"/>
      <c r="M4783" s="19"/>
      <c r="N4783" s="10"/>
    </row>
    <row r="4784" spans="7:14" x14ac:dyDescent="0.75">
      <c r="G4784" s="10"/>
      <c r="H4784" s="10"/>
      <c r="I4784" s="39"/>
      <c r="J4784" s="103"/>
      <c r="K4784" s="39"/>
      <c r="L4784" s="78"/>
      <c r="M4784" s="19"/>
      <c r="N4784" s="10"/>
    </row>
    <row r="4785" spans="7:14" x14ac:dyDescent="0.75">
      <c r="G4785" s="10"/>
      <c r="H4785" s="10"/>
      <c r="I4785" s="39"/>
      <c r="J4785" s="103"/>
      <c r="K4785" s="39"/>
      <c r="L4785" s="78"/>
      <c r="M4785" s="19"/>
      <c r="N4785" s="10"/>
    </row>
    <row r="4786" spans="7:14" x14ac:dyDescent="0.75">
      <c r="G4786" s="10"/>
      <c r="H4786" s="10"/>
      <c r="I4786" s="39"/>
      <c r="J4786" s="103"/>
      <c r="K4786" s="39"/>
      <c r="L4786" s="10"/>
      <c r="M4786" s="19"/>
      <c r="N4786" s="10"/>
    </row>
    <row r="4787" spans="7:14" x14ac:dyDescent="0.75">
      <c r="G4787" s="10"/>
      <c r="H4787" s="10"/>
      <c r="I4787" s="39"/>
      <c r="J4787" s="103"/>
      <c r="K4787" s="39"/>
      <c r="L4787" s="78"/>
      <c r="M4787" s="19"/>
      <c r="N4787" s="10"/>
    </row>
    <row r="4788" spans="7:14" x14ac:dyDescent="0.75">
      <c r="G4788" s="10"/>
      <c r="H4788" s="10"/>
      <c r="I4788" s="39"/>
      <c r="J4788" s="103"/>
      <c r="K4788" s="39"/>
      <c r="L4788" s="78"/>
      <c r="M4788" s="19"/>
      <c r="N4788" s="10"/>
    </row>
    <row r="4789" spans="7:14" x14ac:dyDescent="0.75">
      <c r="G4789" s="10"/>
      <c r="H4789" s="10"/>
      <c r="I4789" s="39"/>
      <c r="J4789" s="103"/>
      <c r="K4789" s="39"/>
      <c r="L4789" s="78"/>
      <c r="M4789" s="19"/>
      <c r="N4789" s="10"/>
    </row>
    <row r="4790" spans="7:14" x14ac:dyDescent="0.75">
      <c r="G4790" s="10"/>
      <c r="H4790" s="10"/>
      <c r="I4790" s="39"/>
      <c r="J4790" s="103"/>
      <c r="K4790" s="39"/>
      <c r="L4790" s="78"/>
      <c r="M4790" s="19"/>
      <c r="N4790" s="10"/>
    </row>
    <row r="4791" spans="7:14" x14ac:dyDescent="0.75">
      <c r="G4791" s="10"/>
      <c r="H4791" s="10"/>
      <c r="I4791" s="39"/>
      <c r="J4791" s="103"/>
      <c r="K4791" s="39"/>
      <c r="L4791" s="78"/>
      <c r="M4791" s="19"/>
      <c r="N4791" s="10"/>
    </row>
    <row r="4792" spans="7:14" x14ac:dyDescent="0.75">
      <c r="G4792" s="10"/>
      <c r="H4792" s="10"/>
      <c r="I4792" s="39"/>
      <c r="J4792" s="103"/>
      <c r="K4792" s="39"/>
      <c r="L4792" s="78"/>
      <c r="M4792" s="19"/>
      <c r="N4792" s="10"/>
    </row>
    <row r="4793" spans="7:14" x14ac:dyDescent="0.75">
      <c r="G4793" s="10"/>
      <c r="H4793" s="10"/>
      <c r="I4793" s="39"/>
      <c r="J4793" s="103"/>
      <c r="K4793" s="39"/>
      <c r="L4793" s="78"/>
      <c r="M4793" s="19"/>
      <c r="N4793" s="10"/>
    </row>
    <row r="4794" spans="7:14" x14ac:dyDescent="0.75">
      <c r="G4794" s="10"/>
      <c r="H4794" s="10"/>
      <c r="I4794" s="39"/>
      <c r="J4794" s="103"/>
      <c r="K4794" s="39"/>
      <c r="L4794" s="78"/>
      <c r="M4794" s="19"/>
      <c r="N4794" s="10"/>
    </row>
    <row r="4795" spans="7:14" x14ac:dyDescent="0.75">
      <c r="G4795" s="10"/>
      <c r="H4795" s="10"/>
      <c r="I4795" s="39"/>
      <c r="J4795" s="103"/>
      <c r="K4795" s="39"/>
      <c r="L4795" s="78"/>
      <c r="M4795" s="19"/>
      <c r="N4795" s="10"/>
    </row>
    <row r="4796" spans="7:14" x14ac:dyDescent="0.75">
      <c r="G4796" s="10"/>
      <c r="H4796" s="10"/>
      <c r="I4796" s="39"/>
      <c r="J4796" s="103"/>
      <c r="K4796" s="39"/>
      <c r="L4796" s="78"/>
      <c r="M4796" s="19"/>
      <c r="N4796" s="10"/>
    </row>
    <row r="4797" spans="7:14" x14ac:dyDescent="0.75">
      <c r="G4797" s="10"/>
      <c r="H4797" s="10"/>
      <c r="I4797" s="39"/>
      <c r="J4797" s="103"/>
      <c r="K4797" s="39"/>
      <c r="L4797" s="78"/>
      <c r="M4797" s="19"/>
      <c r="N4797" s="10"/>
    </row>
    <row r="4798" spans="7:14" x14ac:dyDescent="0.75">
      <c r="G4798" s="10"/>
      <c r="H4798" s="10"/>
      <c r="I4798" s="39"/>
      <c r="J4798" s="103"/>
      <c r="K4798" s="39"/>
      <c r="L4798" s="78"/>
      <c r="M4798" s="19"/>
      <c r="N4798" s="10"/>
    </row>
    <row r="4799" spans="7:14" x14ac:dyDescent="0.75">
      <c r="G4799" s="10"/>
      <c r="H4799" s="10"/>
      <c r="I4799" s="39"/>
      <c r="J4799" s="103"/>
      <c r="K4799" s="39"/>
      <c r="L4799" s="78"/>
      <c r="M4799" s="19"/>
      <c r="N4799" s="10"/>
    </row>
    <row r="4800" spans="7:14" x14ac:dyDescent="0.75">
      <c r="G4800" s="10"/>
      <c r="H4800" s="10"/>
      <c r="I4800" s="39"/>
      <c r="J4800" s="103"/>
      <c r="K4800" s="39"/>
      <c r="L4800" s="78"/>
      <c r="M4800" s="19"/>
      <c r="N4800" s="10"/>
    </row>
    <row r="4801" spans="7:14" x14ac:dyDescent="0.75">
      <c r="G4801" s="10"/>
      <c r="H4801" s="10"/>
      <c r="I4801" s="39"/>
      <c r="J4801" s="103"/>
      <c r="K4801" s="39"/>
      <c r="L4801" s="78"/>
      <c r="M4801" s="19"/>
      <c r="N4801" s="10"/>
    </row>
    <row r="4802" spans="7:14" x14ac:dyDescent="0.75">
      <c r="G4802" s="10"/>
      <c r="H4802" s="10"/>
      <c r="I4802" s="39"/>
      <c r="J4802" s="103"/>
      <c r="K4802" s="39"/>
      <c r="L4802" s="78"/>
      <c r="M4802" s="19"/>
      <c r="N4802" s="10"/>
    </row>
    <row r="4803" spans="7:14" x14ac:dyDescent="0.75">
      <c r="G4803" s="10"/>
      <c r="H4803" s="10"/>
      <c r="I4803" s="39"/>
      <c r="J4803" s="103"/>
      <c r="K4803" s="39"/>
      <c r="L4803" s="78"/>
      <c r="M4803" s="19"/>
      <c r="N4803" s="10"/>
    </row>
    <row r="4804" spans="7:14" x14ac:dyDescent="0.75">
      <c r="G4804" s="10"/>
      <c r="H4804" s="10"/>
      <c r="I4804" s="39"/>
      <c r="J4804" s="103"/>
      <c r="K4804" s="39"/>
      <c r="L4804" s="78"/>
      <c r="M4804" s="19"/>
      <c r="N4804" s="10"/>
    </row>
    <row r="4805" spans="7:14" x14ac:dyDescent="0.75">
      <c r="G4805" s="10"/>
      <c r="H4805" s="10"/>
      <c r="I4805" s="39"/>
      <c r="J4805" s="103"/>
      <c r="K4805" s="39"/>
      <c r="L4805" s="78"/>
      <c r="M4805" s="19"/>
      <c r="N4805" s="10"/>
    </row>
    <row r="4806" spans="7:14" x14ac:dyDescent="0.75">
      <c r="G4806" s="10"/>
      <c r="H4806" s="10"/>
      <c r="I4806" s="39"/>
      <c r="J4806" s="103"/>
      <c r="K4806" s="39"/>
      <c r="L4806" s="78"/>
      <c r="M4806" s="19"/>
      <c r="N4806" s="10"/>
    </row>
    <row r="4807" spans="7:14" x14ac:dyDescent="0.75">
      <c r="G4807" s="10"/>
      <c r="H4807" s="10"/>
      <c r="I4807" s="39"/>
      <c r="J4807" s="103"/>
      <c r="K4807" s="39"/>
      <c r="L4807" s="78"/>
      <c r="M4807" s="19"/>
      <c r="N4807" s="10"/>
    </row>
    <row r="4808" spans="7:14" x14ac:dyDescent="0.75">
      <c r="G4808" s="10"/>
      <c r="H4808" s="10"/>
      <c r="I4808" s="39"/>
      <c r="J4808" s="103"/>
      <c r="K4808" s="39"/>
      <c r="L4808" s="78"/>
      <c r="M4808" s="19"/>
      <c r="N4808" s="10"/>
    </row>
    <row r="4809" spans="7:14" x14ac:dyDescent="0.75">
      <c r="G4809" s="10"/>
      <c r="H4809" s="10"/>
      <c r="I4809" s="39"/>
      <c r="J4809" s="103"/>
      <c r="K4809" s="39"/>
      <c r="L4809" s="10"/>
      <c r="M4809" s="19"/>
      <c r="N4809" s="10"/>
    </row>
    <row r="4810" spans="7:14" x14ac:dyDescent="0.75">
      <c r="G4810" s="10"/>
      <c r="H4810" s="10"/>
      <c r="I4810" s="39"/>
      <c r="J4810" s="103"/>
      <c r="K4810" s="39"/>
      <c r="L4810" s="10"/>
      <c r="M4810" s="19"/>
      <c r="N4810" s="10"/>
    </row>
    <row r="4811" spans="7:14" x14ac:dyDescent="0.75">
      <c r="G4811" s="10"/>
      <c r="H4811" s="10"/>
      <c r="I4811" s="39"/>
      <c r="J4811" s="103"/>
      <c r="K4811" s="39"/>
      <c r="L4811" s="10"/>
      <c r="M4811" s="19"/>
      <c r="N4811" s="10"/>
    </row>
    <row r="4812" spans="7:14" x14ac:dyDescent="0.75">
      <c r="G4812" s="10"/>
      <c r="H4812" s="10"/>
      <c r="I4812" s="39"/>
      <c r="J4812" s="103"/>
      <c r="K4812" s="39"/>
      <c r="L4812" s="78"/>
      <c r="M4812" s="19"/>
      <c r="N4812" s="10"/>
    </row>
    <row r="4813" spans="7:14" x14ac:dyDescent="0.75">
      <c r="G4813" s="10"/>
      <c r="H4813" s="10"/>
      <c r="I4813" s="39"/>
      <c r="J4813" s="103"/>
      <c r="K4813" s="39"/>
      <c r="L4813" s="78"/>
      <c r="M4813" s="19"/>
      <c r="N4813" s="10"/>
    </row>
    <row r="4814" spans="7:14" x14ac:dyDescent="0.75">
      <c r="G4814" s="10"/>
      <c r="H4814" s="10"/>
      <c r="I4814" s="39"/>
      <c r="J4814" s="103"/>
      <c r="K4814" s="39"/>
      <c r="L4814" s="78"/>
      <c r="M4814" s="19"/>
      <c r="N4814" s="10"/>
    </row>
    <row r="4815" spans="7:14" x14ac:dyDescent="0.75">
      <c r="G4815" s="10"/>
      <c r="H4815" s="10"/>
      <c r="I4815" s="39"/>
      <c r="J4815" s="103"/>
      <c r="K4815" s="39"/>
      <c r="L4815" s="78"/>
      <c r="M4815" s="19"/>
      <c r="N4815" s="10"/>
    </row>
    <row r="4816" spans="7:14" x14ac:dyDescent="0.75">
      <c r="G4816" s="10"/>
      <c r="H4816" s="10"/>
      <c r="I4816" s="39"/>
      <c r="J4816" s="103"/>
      <c r="K4816" s="39"/>
      <c r="L4816" s="78"/>
      <c r="M4816" s="19"/>
      <c r="N4816" s="10"/>
    </row>
    <row r="4817" spans="7:14" x14ac:dyDescent="0.75">
      <c r="G4817" s="10"/>
      <c r="H4817" s="10"/>
      <c r="I4817" s="39"/>
      <c r="J4817" s="103"/>
      <c r="K4817" s="39"/>
      <c r="L4817" s="78"/>
      <c r="M4817" s="19"/>
      <c r="N4817" s="10"/>
    </row>
    <row r="4818" spans="7:14" x14ac:dyDescent="0.75">
      <c r="G4818" s="10"/>
      <c r="H4818" s="10"/>
      <c r="I4818" s="39"/>
      <c r="J4818" s="103"/>
      <c r="K4818" s="39"/>
      <c r="L4818" s="78"/>
      <c r="M4818" s="19"/>
      <c r="N4818" s="10"/>
    </row>
    <row r="4819" spans="7:14" x14ac:dyDescent="0.75">
      <c r="G4819" s="10"/>
      <c r="H4819" s="10"/>
      <c r="I4819" s="39"/>
      <c r="J4819" s="103"/>
      <c r="K4819" s="39"/>
      <c r="L4819" s="78"/>
      <c r="M4819" s="19"/>
      <c r="N4819" s="10"/>
    </row>
    <row r="4820" spans="7:14" x14ac:dyDescent="0.75">
      <c r="G4820" s="10"/>
      <c r="H4820" s="10"/>
      <c r="I4820" s="39"/>
      <c r="J4820" s="103"/>
      <c r="K4820" s="39"/>
      <c r="L4820" s="78"/>
      <c r="M4820" s="19"/>
      <c r="N4820" s="10"/>
    </row>
    <row r="4821" spans="7:14" x14ac:dyDescent="0.75">
      <c r="G4821" s="10"/>
      <c r="H4821" s="10"/>
      <c r="I4821" s="39"/>
      <c r="J4821" s="103"/>
      <c r="K4821" s="39"/>
      <c r="L4821" s="78"/>
      <c r="M4821" s="19"/>
      <c r="N4821" s="10"/>
    </row>
    <row r="4822" spans="7:14" x14ac:dyDescent="0.75">
      <c r="G4822" s="10"/>
      <c r="H4822" s="10"/>
      <c r="I4822" s="39"/>
      <c r="J4822" s="103"/>
      <c r="K4822" s="39"/>
      <c r="L4822" s="78"/>
      <c r="M4822" s="19"/>
      <c r="N4822" s="10"/>
    </row>
    <row r="4823" spans="7:14" x14ac:dyDescent="0.75">
      <c r="G4823" s="10"/>
      <c r="H4823" s="10"/>
      <c r="I4823" s="39"/>
      <c r="J4823" s="103"/>
      <c r="K4823" s="39"/>
      <c r="L4823" s="78"/>
      <c r="M4823" s="19"/>
      <c r="N4823" s="10"/>
    </row>
    <row r="4824" spans="7:14" x14ac:dyDescent="0.75">
      <c r="G4824" s="10"/>
      <c r="H4824" s="10"/>
      <c r="I4824" s="39"/>
      <c r="J4824" s="103"/>
      <c r="K4824" s="39"/>
      <c r="L4824" s="78"/>
      <c r="M4824" s="19"/>
      <c r="N4824" s="10"/>
    </row>
    <row r="4825" spans="7:14" x14ac:dyDescent="0.75">
      <c r="G4825" s="10"/>
      <c r="H4825" s="10"/>
      <c r="I4825" s="39"/>
      <c r="J4825" s="103"/>
      <c r="K4825" s="39"/>
      <c r="L4825" s="78"/>
      <c r="M4825" s="19"/>
      <c r="N4825" s="10"/>
    </row>
    <row r="4826" spans="7:14" x14ac:dyDescent="0.75">
      <c r="G4826" s="10"/>
      <c r="H4826" s="10"/>
      <c r="I4826" s="39"/>
      <c r="J4826" s="103"/>
      <c r="K4826" s="39"/>
      <c r="L4826" s="78"/>
      <c r="M4826" s="19"/>
      <c r="N4826" s="10"/>
    </row>
    <row r="4827" spans="7:14" x14ac:dyDescent="0.75">
      <c r="G4827" s="10"/>
      <c r="H4827" s="10"/>
      <c r="I4827" s="39"/>
      <c r="J4827" s="103"/>
      <c r="K4827" s="39"/>
      <c r="L4827" s="78"/>
      <c r="M4827" s="19"/>
      <c r="N4827" s="10"/>
    </row>
    <row r="4828" spans="7:14" x14ac:dyDescent="0.75">
      <c r="G4828" s="10"/>
      <c r="H4828" s="10"/>
      <c r="I4828" s="39"/>
      <c r="J4828" s="103"/>
      <c r="K4828" s="39"/>
      <c r="L4828" s="78"/>
      <c r="M4828" s="19"/>
      <c r="N4828" s="10"/>
    </row>
    <row r="4829" spans="7:14" x14ac:dyDescent="0.75">
      <c r="G4829" s="10"/>
      <c r="H4829" s="10"/>
      <c r="I4829" s="39"/>
      <c r="J4829" s="103"/>
      <c r="K4829" s="39"/>
      <c r="L4829" s="78"/>
      <c r="M4829" s="19"/>
      <c r="N4829" s="10"/>
    </row>
    <row r="4830" spans="7:14" x14ac:dyDescent="0.75">
      <c r="G4830" s="10"/>
      <c r="H4830" s="10"/>
      <c r="I4830" s="39"/>
      <c r="J4830" s="103"/>
      <c r="K4830" s="39"/>
      <c r="L4830" s="78"/>
      <c r="M4830" s="19"/>
      <c r="N4830" s="10"/>
    </row>
    <row r="4831" spans="7:14" x14ac:dyDescent="0.75">
      <c r="G4831" s="10"/>
      <c r="H4831" s="10"/>
      <c r="I4831" s="39"/>
      <c r="J4831" s="103"/>
      <c r="K4831" s="39"/>
      <c r="L4831" s="78"/>
      <c r="M4831" s="19"/>
      <c r="N4831" s="10"/>
    </row>
    <row r="4832" spans="7:14" x14ac:dyDescent="0.75">
      <c r="G4832" s="10"/>
      <c r="H4832" s="10"/>
      <c r="I4832" s="39"/>
      <c r="J4832" s="103"/>
      <c r="K4832" s="39"/>
      <c r="L4832" s="78"/>
      <c r="M4832" s="19"/>
      <c r="N4832" s="10"/>
    </row>
    <row r="4833" spans="7:14" x14ac:dyDescent="0.75">
      <c r="G4833" s="10"/>
      <c r="H4833" s="10"/>
      <c r="I4833" s="39"/>
      <c r="J4833" s="103"/>
      <c r="K4833" s="39"/>
      <c r="L4833" s="10"/>
      <c r="M4833" s="19"/>
      <c r="N4833" s="10"/>
    </row>
    <row r="4834" spans="7:14" x14ac:dyDescent="0.75">
      <c r="G4834" s="10"/>
      <c r="H4834" s="10"/>
      <c r="I4834" s="39"/>
      <c r="J4834" s="103"/>
      <c r="K4834" s="39"/>
      <c r="L4834" s="10"/>
      <c r="M4834" s="19"/>
      <c r="N4834" s="10"/>
    </row>
    <row r="4835" spans="7:14" x14ac:dyDescent="0.75">
      <c r="G4835" s="10"/>
      <c r="H4835" s="10"/>
      <c r="I4835" s="39"/>
      <c r="J4835" s="103"/>
      <c r="K4835" s="39"/>
      <c r="L4835" s="78"/>
      <c r="M4835" s="19"/>
      <c r="N4835" s="10"/>
    </row>
    <row r="4836" spans="7:14" x14ac:dyDescent="0.75">
      <c r="G4836" s="10"/>
      <c r="H4836" s="10"/>
      <c r="I4836" s="39"/>
      <c r="J4836" s="103"/>
      <c r="K4836" s="39"/>
      <c r="L4836" s="78"/>
      <c r="M4836" s="19"/>
      <c r="N4836" s="10"/>
    </row>
    <row r="4837" spans="7:14" x14ac:dyDescent="0.75">
      <c r="G4837" s="10"/>
      <c r="H4837" s="10"/>
      <c r="I4837" s="39"/>
      <c r="J4837" s="103"/>
      <c r="K4837" s="39"/>
      <c r="L4837" s="78"/>
      <c r="M4837" s="19"/>
      <c r="N4837" s="10"/>
    </row>
    <row r="4838" spans="7:14" x14ac:dyDescent="0.75">
      <c r="G4838" s="10"/>
      <c r="H4838" s="10"/>
      <c r="I4838" s="39"/>
      <c r="J4838" s="103"/>
      <c r="K4838" s="39"/>
      <c r="L4838" s="78"/>
      <c r="M4838" s="19"/>
      <c r="N4838" s="10"/>
    </row>
    <row r="4839" spans="7:14" x14ac:dyDescent="0.75">
      <c r="G4839" s="10"/>
      <c r="H4839" s="10"/>
      <c r="I4839" s="39"/>
      <c r="J4839" s="103"/>
      <c r="K4839" s="39"/>
      <c r="L4839" s="78"/>
      <c r="M4839" s="19"/>
      <c r="N4839" s="10"/>
    </row>
    <row r="4840" spans="7:14" x14ac:dyDescent="0.75">
      <c r="G4840" s="10"/>
      <c r="H4840" s="10"/>
      <c r="I4840" s="39"/>
      <c r="J4840" s="103"/>
      <c r="K4840" s="39"/>
      <c r="L4840" s="78"/>
      <c r="M4840" s="19"/>
      <c r="N4840" s="10"/>
    </row>
    <row r="4841" spans="7:14" x14ac:dyDescent="0.75">
      <c r="G4841" s="10"/>
      <c r="H4841" s="10"/>
      <c r="I4841" s="39"/>
      <c r="J4841" s="103"/>
      <c r="K4841" s="39"/>
      <c r="L4841" s="78"/>
      <c r="M4841" s="19"/>
      <c r="N4841" s="10"/>
    </row>
    <row r="4842" spans="7:14" x14ac:dyDescent="0.75">
      <c r="G4842" s="10"/>
      <c r="H4842" s="10"/>
      <c r="I4842" s="39"/>
      <c r="J4842" s="103"/>
      <c r="K4842" s="39"/>
      <c r="L4842" s="78"/>
      <c r="M4842" s="19"/>
      <c r="N4842" s="10"/>
    </row>
    <row r="4843" spans="7:14" x14ac:dyDescent="0.75">
      <c r="G4843" s="10"/>
      <c r="H4843" s="10"/>
      <c r="I4843" s="39"/>
      <c r="J4843" s="103"/>
      <c r="K4843" s="39"/>
      <c r="L4843" s="10"/>
      <c r="M4843" s="19"/>
      <c r="N4843" s="10"/>
    </row>
    <row r="4844" spans="7:14" x14ac:dyDescent="0.75">
      <c r="G4844" s="10"/>
      <c r="H4844" s="10"/>
      <c r="I4844" s="39"/>
      <c r="J4844" s="103"/>
      <c r="K4844" s="39"/>
      <c r="L4844" s="78"/>
      <c r="M4844" s="19"/>
      <c r="N4844" s="10"/>
    </row>
    <row r="4845" spans="7:14" x14ac:dyDescent="0.75">
      <c r="G4845" s="10"/>
      <c r="H4845" s="10"/>
      <c r="I4845" s="39"/>
      <c r="J4845" s="103"/>
      <c r="K4845" s="39"/>
      <c r="L4845" s="78"/>
      <c r="M4845" s="19"/>
      <c r="N4845" s="10"/>
    </row>
    <row r="4846" spans="7:14" x14ac:dyDescent="0.75">
      <c r="G4846" s="10"/>
      <c r="H4846" s="10"/>
      <c r="I4846" s="39"/>
      <c r="J4846" s="103"/>
      <c r="K4846" s="39"/>
      <c r="L4846" s="78"/>
      <c r="M4846" s="19"/>
      <c r="N4846" s="10"/>
    </row>
    <row r="4847" spans="7:14" x14ac:dyDescent="0.75">
      <c r="G4847" s="10"/>
      <c r="H4847" s="10"/>
      <c r="I4847" s="39"/>
      <c r="J4847" s="103"/>
      <c r="K4847" s="39"/>
      <c r="L4847" s="78"/>
      <c r="M4847" s="19"/>
      <c r="N4847" s="10"/>
    </row>
    <row r="4848" spans="7:14" x14ac:dyDescent="0.75">
      <c r="G4848" s="10"/>
      <c r="H4848" s="10"/>
      <c r="I4848" s="39"/>
      <c r="J4848" s="103"/>
      <c r="K4848" s="39"/>
      <c r="L4848" s="78"/>
      <c r="M4848" s="19"/>
      <c r="N4848" s="10"/>
    </row>
    <row r="4849" spans="7:14" x14ac:dyDescent="0.75">
      <c r="G4849" s="10"/>
      <c r="H4849" s="10"/>
      <c r="I4849" s="39"/>
      <c r="J4849" s="103"/>
      <c r="K4849" s="39"/>
      <c r="L4849" s="78"/>
      <c r="M4849" s="19"/>
      <c r="N4849" s="10"/>
    </row>
    <row r="4850" spans="7:14" x14ac:dyDescent="0.75">
      <c r="G4850" s="10"/>
      <c r="H4850" s="10"/>
      <c r="I4850" s="39"/>
      <c r="J4850" s="103"/>
      <c r="K4850" s="39"/>
      <c r="L4850" s="78"/>
      <c r="M4850" s="19"/>
      <c r="N4850" s="10"/>
    </row>
    <row r="4851" spans="7:14" x14ac:dyDescent="0.75">
      <c r="G4851" s="10"/>
      <c r="H4851" s="10"/>
      <c r="I4851" s="39"/>
      <c r="J4851" s="103"/>
      <c r="K4851" s="39"/>
      <c r="L4851" s="78"/>
      <c r="M4851" s="19"/>
      <c r="N4851" s="10"/>
    </row>
    <row r="4852" spans="7:14" x14ac:dyDescent="0.75">
      <c r="G4852" s="10"/>
      <c r="H4852" s="10"/>
      <c r="I4852" s="39"/>
      <c r="J4852" s="103"/>
      <c r="K4852" s="39"/>
      <c r="L4852" s="78"/>
      <c r="M4852" s="19"/>
      <c r="N4852" s="10"/>
    </row>
    <row r="4853" spans="7:14" x14ac:dyDescent="0.75">
      <c r="G4853" s="10"/>
      <c r="H4853" s="10"/>
      <c r="I4853" s="39"/>
      <c r="J4853" s="103"/>
      <c r="K4853" s="39"/>
      <c r="L4853" s="78"/>
      <c r="M4853" s="19"/>
      <c r="N4853" s="10"/>
    </row>
    <row r="4854" spans="7:14" x14ac:dyDescent="0.75">
      <c r="G4854" s="10"/>
      <c r="H4854" s="10"/>
      <c r="I4854" s="39"/>
      <c r="J4854" s="103"/>
      <c r="K4854" s="39"/>
      <c r="L4854" s="78"/>
      <c r="M4854" s="19"/>
      <c r="N4854" s="10"/>
    </row>
    <row r="4855" spans="7:14" x14ac:dyDescent="0.75">
      <c r="G4855" s="10"/>
      <c r="H4855" s="10"/>
      <c r="I4855" s="39"/>
      <c r="J4855" s="103"/>
      <c r="K4855" s="39"/>
      <c r="L4855" s="78"/>
      <c r="M4855" s="19"/>
      <c r="N4855" s="10"/>
    </row>
    <row r="4856" spans="7:14" x14ac:dyDescent="0.75">
      <c r="G4856" s="10"/>
      <c r="H4856" s="10"/>
      <c r="I4856" s="39"/>
      <c r="J4856" s="103"/>
      <c r="K4856" s="39"/>
      <c r="L4856" s="78"/>
      <c r="M4856" s="19"/>
      <c r="N4856" s="10"/>
    </row>
    <row r="4857" spans="7:14" x14ac:dyDescent="0.75">
      <c r="G4857" s="10"/>
      <c r="H4857" s="10"/>
      <c r="I4857" s="39"/>
      <c r="J4857" s="103"/>
      <c r="K4857" s="39"/>
      <c r="L4857" s="78"/>
      <c r="M4857" s="19"/>
      <c r="N4857" s="10"/>
    </row>
    <row r="4858" spans="7:14" x14ac:dyDescent="0.75">
      <c r="G4858" s="10"/>
      <c r="H4858" s="10"/>
      <c r="I4858" s="39"/>
      <c r="J4858" s="103"/>
      <c r="K4858" s="39"/>
      <c r="L4858" s="78"/>
      <c r="M4858" s="19"/>
      <c r="N4858" s="10"/>
    </row>
    <row r="4859" spans="7:14" x14ac:dyDescent="0.75">
      <c r="G4859" s="10"/>
      <c r="H4859" s="10"/>
      <c r="I4859" s="39"/>
      <c r="J4859" s="103"/>
      <c r="K4859" s="39"/>
      <c r="L4859" s="78"/>
      <c r="M4859" s="19"/>
      <c r="N4859" s="10"/>
    </row>
    <row r="4860" spans="7:14" x14ac:dyDescent="0.75">
      <c r="G4860" s="10"/>
      <c r="H4860" s="10"/>
      <c r="I4860" s="39"/>
      <c r="J4860" s="103"/>
      <c r="K4860" s="39"/>
      <c r="L4860" s="78"/>
      <c r="M4860" s="19"/>
      <c r="N4860" s="10"/>
    </row>
    <row r="4861" spans="7:14" x14ac:dyDescent="0.75">
      <c r="G4861" s="10"/>
      <c r="H4861" s="10"/>
      <c r="I4861" s="39"/>
      <c r="J4861" s="103"/>
      <c r="K4861" s="39"/>
      <c r="L4861" s="78"/>
      <c r="M4861" s="19"/>
      <c r="N4861" s="10"/>
    </row>
    <row r="4862" spans="7:14" x14ac:dyDescent="0.75">
      <c r="G4862" s="10"/>
      <c r="H4862" s="10"/>
      <c r="I4862" s="39"/>
      <c r="J4862" s="103"/>
      <c r="K4862" s="39"/>
      <c r="L4862" s="78"/>
      <c r="M4862" s="19"/>
      <c r="N4862" s="10"/>
    </row>
    <row r="4863" spans="7:14" x14ac:dyDescent="0.75">
      <c r="G4863" s="10"/>
      <c r="H4863" s="10"/>
      <c r="I4863" s="39"/>
      <c r="J4863" s="103"/>
      <c r="K4863" s="39"/>
      <c r="L4863" s="78"/>
      <c r="M4863" s="19"/>
      <c r="N4863" s="10"/>
    </row>
    <row r="4864" spans="7:14" x14ac:dyDescent="0.75">
      <c r="G4864" s="10"/>
      <c r="H4864" s="10"/>
      <c r="I4864" s="39"/>
      <c r="J4864" s="103"/>
      <c r="K4864" s="39"/>
      <c r="L4864" s="78"/>
      <c r="M4864" s="19"/>
      <c r="N4864" s="10"/>
    </row>
    <row r="4865" spans="7:14" x14ac:dyDescent="0.75">
      <c r="G4865" s="10"/>
      <c r="H4865" s="10"/>
      <c r="I4865" s="39"/>
      <c r="J4865" s="103"/>
      <c r="K4865" s="39"/>
      <c r="L4865" s="78"/>
      <c r="M4865" s="19"/>
      <c r="N4865" s="10"/>
    </row>
    <row r="4866" spans="7:14" x14ac:dyDescent="0.75">
      <c r="G4866" s="10"/>
      <c r="H4866" s="10"/>
      <c r="I4866" s="39"/>
      <c r="J4866" s="103"/>
      <c r="K4866" s="39"/>
      <c r="L4866" s="78"/>
      <c r="M4866" s="19"/>
      <c r="N4866" s="10"/>
    </row>
    <row r="4867" spans="7:14" x14ac:dyDescent="0.75">
      <c r="G4867" s="10"/>
      <c r="H4867" s="10"/>
      <c r="I4867" s="39"/>
      <c r="J4867" s="103"/>
      <c r="K4867" s="39"/>
      <c r="L4867" s="78"/>
      <c r="M4867" s="19"/>
      <c r="N4867" s="10"/>
    </row>
    <row r="4868" spans="7:14" x14ac:dyDescent="0.75">
      <c r="G4868" s="10"/>
      <c r="H4868" s="10"/>
      <c r="I4868" s="39"/>
      <c r="J4868" s="103"/>
      <c r="K4868" s="39"/>
      <c r="L4868" s="78"/>
      <c r="M4868" s="19"/>
      <c r="N4868" s="10"/>
    </row>
    <row r="4869" spans="7:14" x14ac:dyDescent="0.75">
      <c r="G4869" s="10"/>
      <c r="H4869" s="10"/>
      <c r="I4869" s="39"/>
      <c r="J4869" s="103"/>
      <c r="K4869" s="39"/>
      <c r="L4869" s="78"/>
      <c r="M4869" s="19"/>
      <c r="N4869" s="10"/>
    </row>
    <row r="4870" spans="7:14" x14ac:dyDescent="0.75">
      <c r="G4870" s="10"/>
      <c r="H4870" s="10"/>
      <c r="I4870" s="39"/>
      <c r="J4870" s="103"/>
      <c r="K4870" s="39"/>
      <c r="L4870" s="78"/>
      <c r="M4870" s="19"/>
      <c r="N4870" s="10"/>
    </row>
    <row r="4871" spans="7:14" x14ac:dyDescent="0.75">
      <c r="G4871" s="10"/>
      <c r="H4871" s="10"/>
      <c r="I4871" s="39"/>
      <c r="J4871" s="103"/>
      <c r="K4871" s="39"/>
      <c r="L4871" s="78"/>
      <c r="M4871" s="19"/>
      <c r="N4871" s="10"/>
    </row>
    <row r="4872" spans="7:14" x14ac:dyDescent="0.75">
      <c r="G4872" s="10"/>
      <c r="H4872" s="10"/>
      <c r="I4872" s="39"/>
      <c r="J4872" s="103"/>
      <c r="K4872" s="39"/>
      <c r="L4872" s="78"/>
      <c r="M4872" s="19"/>
      <c r="N4872" s="10"/>
    </row>
    <row r="4873" spans="7:14" x14ac:dyDescent="0.75">
      <c r="G4873" s="10"/>
      <c r="H4873" s="10"/>
      <c r="I4873" s="39"/>
      <c r="J4873" s="103"/>
      <c r="K4873" s="39"/>
      <c r="L4873" s="78"/>
      <c r="M4873" s="19"/>
      <c r="N4873" s="10"/>
    </row>
    <row r="4874" spans="7:14" x14ac:dyDescent="0.75">
      <c r="G4874" s="10"/>
      <c r="H4874" s="10"/>
      <c r="I4874" s="39"/>
      <c r="J4874" s="103"/>
      <c r="K4874" s="39"/>
      <c r="L4874" s="78"/>
      <c r="M4874" s="19"/>
      <c r="N4874" s="10"/>
    </row>
    <row r="4875" spans="7:14" x14ac:dyDescent="0.75">
      <c r="G4875" s="10"/>
      <c r="H4875" s="10"/>
      <c r="I4875" s="39"/>
      <c r="J4875" s="103"/>
      <c r="K4875" s="39"/>
      <c r="L4875" s="10"/>
      <c r="M4875" s="19"/>
      <c r="N4875" s="10"/>
    </row>
    <row r="4876" spans="7:14" x14ac:dyDescent="0.75">
      <c r="G4876" s="10"/>
      <c r="H4876" s="10"/>
      <c r="I4876" s="39"/>
      <c r="J4876" s="103"/>
      <c r="K4876" s="39"/>
      <c r="L4876" s="78"/>
      <c r="M4876" s="19"/>
      <c r="N4876" s="10"/>
    </row>
    <row r="4877" spans="7:14" x14ac:dyDescent="0.75">
      <c r="G4877" s="10"/>
      <c r="H4877" s="10"/>
      <c r="I4877" s="39"/>
      <c r="J4877" s="103"/>
      <c r="K4877" s="39"/>
      <c r="L4877" s="78"/>
      <c r="M4877" s="19"/>
      <c r="N4877" s="10"/>
    </row>
    <row r="4878" spans="7:14" x14ac:dyDescent="0.75">
      <c r="G4878" s="10"/>
      <c r="H4878" s="10"/>
      <c r="I4878" s="39"/>
      <c r="J4878" s="103"/>
      <c r="K4878" s="39"/>
      <c r="L4878" s="78"/>
      <c r="M4878" s="19"/>
      <c r="N4878" s="10"/>
    </row>
    <row r="4879" spans="7:14" x14ac:dyDescent="0.75">
      <c r="G4879" s="10"/>
      <c r="H4879" s="10"/>
      <c r="I4879" s="39"/>
      <c r="J4879" s="103"/>
      <c r="K4879" s="39"/>
      <c r="L4879" s="78"/>
      <c r="M4879" s="19"/>
      <c r="N4879" s="10"/>
    </row>
    <row r="4880" spans="7:14" x14ac:dyDescent="0.75">
      <c r="G4880" s="10"/>
      <c r="H4880" s="10"/>
      <c r="I4880" s="39"/>
      <c r="J4880" s="103"/>
      <c r="K4880" s="39"/>
      <c r="L4880" s="78"/>
      <c r="M4880" s="19"/>
      <c r="N4880" s="10"/>
    </row>
    <row r="4881" spans="7:14" x14ac:dyDescent="0.75">
      <c r="G4881" s="10"/>
      <c r="H4881" s="10"/>
      <c r="I4881" s="39"/>
      <c r="J4881" s="103"/>
      <c r="K4881" s="39"/>
      <c r="L4881" s="78"/>
      <c r="M4881" s="19"/>
      <c r="N4881" s="10"/>
    </row>
    <row r="4882" spans="7:14" x14ac:dyDescent="0.75">
      <c r="G4882" s="10"/>
      <c r="H4882" s="10"/>
      <c r="I4882" s="39"/>
      <c r="J4882" s="103"/>
      <c r="K4882" s="39"/>
      <c r="L4882" s="78"/>
      <c r="M4882" s="19"/>
      <c r="N4882" s="10"/>
    </row>
    <row r="4883" spans="7:14" x14ac:dyDescent="0.75">
      <c r="G4883" s="10"/>
      <c r="H4883" s="10"/>
      <c r="I4883" s="39"/>
      <c r="J4883" s="103"/>
      <c r="K4883" s="39"/>
      <c r="L4883" s="78"/>
      <c r="M4883" s="19"/>
      <c r="N4883" s="10"/>
    </row>
    <row r="4884" spans="7:14" x14ac:dyDescent="0.75">
      <c r="G4884" s="10"/>
      <c r="H4884" s="10"/>
      <c r="I4884" s="39"/>
      <c r="J4884" s="103"/>
      <c r="K4884" s="39"/>
      <c r="L4884" s="78"/>
      <c r="M4884" s="19"/>
      <c r="N4884" s="10"/>
    </row>
    <row r="4885" spans="7:14" x14ac:dyDescent="0.75">
      <c r="G4885" s="10"/>
      <c r="H4885" s="10"/>
      <c r="I4885" s="39"/>
      <c r="J4885" s="103"/>
      <c r="K4885" s="39"/>
      <c r="L4885" s="78"/>
      <c r="M4885" s="19"/>
      <c r="N4885" s="10"/>
    </row>
    <row r="4886" spans="7:14" x14ac:dyDescent="0.75">
      <c r="G4886" s="10"/>
      <c r="H4886" s="10"/>
      <c r="I4886" s="39"/>
      <c r="J4886" s="103"/>
      <c r="K4886" s="39"/>
      <c r="L4886" s="78"/>
      <c r="M4886" s="19"/>
      <c r="N4886" s="10"/>
    </row>
    <row r="4887" spans="7:14" x14ac:dyDescent="0.75">
      <c r="G4887" s="10"/>
      <c r="H4887" s="10"/>
      <c r="I4887" s="39"/>
      <c r="J4887" s="103"/>
      <c r="K4887" s="39"/>
      <c r="L4887" s="78"/>
      <c r="M4887" s="19"/>
      <c r="N4887" s="10"/>
    </row>
    <row r="4888" spans="7:14" x14ac:dyDescent="0.75">
      <c r="G4888" s="10"/>
      <c r="H4888" s="10"/>
      <c r="I4888" s="39"/>
      <c r="J4888" s="103"/>
      <c r="K4888" s="39"/>
      <c r="L4888" s="78"/>
      <c r="M4888" s="19"/>
      <c r="N4888" s="10"/>
    </row>
    <row r="4889" spans="7:14" x14ac:dyDescent="0.75">
      <c r="G4889" s="10"/>
      <c r="H4889" s="10"/>
      <c r="I4889" s="39"/>
      <c r="J4889" s="103"/>
      <c r="K4889" s="39"/>
      <c r="L4889" s="78"/>
      <c r="M4889" s="19"/>
      <c r="N4889" s="10"/>
    </row>
    <row r="4890" spans="7:14" x14ac:dyDescent="0.75">
      <c r="G4890" s="10"/>
      <c r="H4890" s="10"/>
      <c r="I4890" s="39"/>
      <c r="J4890" s="103"/>
      <c r="K4890" s="39"/>
      <c r="L4890" s="10"/>
      <c r="M4890" s="19"/>
      <c r="N4890" s="10"/>
    </row>
    <row r="4891" spans="7:14" x14ac:dyDescent="0.75">
      <c r="G4891" s="10"/>
      <c r="H4891" s="10"/>
      <c r="I4891" s="39"/>
      <c r="J4891" s="103"/>
      <c r="K4891" s="39"/>
      <c r="L4891" s="78"/>
      <c r="M4891" s="19"/>
      <c r="N4891" s="10"/>
    </row>
    <row r="4892" spans="7:14" x14ac:dyDescent="0.75">
      <c r="G4892" s="10"/>
      <c r="H4892" s="10"/>
      <c r="I4892" s="39"/>
      <c r="J4892" s="103"/>
      <c r="K4892" s="39"/>
      <c r="L4892" s="78"/>
      <c r="M4892" s="19"/>
      <c r="N4892" s="10"/>
    </row>
    <row r="4893" spans="7:14" x14ac:dyDescent="0.75">
      <c r="G4893" s="10"/>
      <c r="H4893" s="10"/>
      <c r="I4893" s="39"/>
      <c r="J4893" s="103"/>
      <c r="K4893" s="39"/>
      <c r="L4893" s="78"/>
      <c r="M4893" s="19"/>
      <c r="N4893" s="10"/>
    </row>
    <row r="4894" spans="7:14" x14ac:dyDescent="0.75">
      <c r="G4894" s="10"/>
      <c r="H4894" s="10"/>
      <c r="I4894" s="39"/>
      <c r="J4894" s="103"/>
      <c r="K4894" s="39"/>
      <c r="L4894" s="78"/>
      <c r="M4894" s="19"/>
      <c r="N4894" s="10"/>
    </row>
    <row r="4895" spans="7:14" x14ac:dyDescent="0.75">
      <c r="G4895" s="10"/>
      <c r="H4895" s="10"/>
      <c r="I4895" s="39"/>
      <c r="J4895" s="103"/>
      <c r="K4895" s="39"/>
      <c r="L4895" s="78"/>
      <c r="M4895" s="19"/>
      <c r="N4895" s="10"/>
    </row>
    <row r="4896" spans="7:14" x14ac:dyDescent="0.75">
      <c r="G4896" s="10"/>
      <c r="H4896" s="10"/>
      <c r="I4896" s="39"/>
      <c r="J4896" s="103"/>
      <c r="K4896" s="39"/>
      <c r="L4896" s="78"/>
      <c r="M4896" s="19"/>
      <c r="N4896" s="10"/>
    </row>
    <row r="4897" spans="7:14" x14ac:dyDescent="0.75">
      <c r="G4897" s="10"/>
      <c r="H4897" s="10"/>
      <c r="I4897" s="39"/>
      <c r="J4897" s="103"/>
      <c r="K4897" s="39"/>
      <c r="L4897" s="78"/>
      <c r="M4897" s="19"/>
      <c r="N4897" s="10"/>
    </row>
    <row r="4898" spans="7:14" x14ac:dyDescent="0.75">
      <c r="G4898" s="10"/>
      <c r="H4898" s="10"/>
      <c r="I4898" s="39"/>
      <c r="J4898" s="103"/>
      <c r="K4898" s="39"/>
      <c r="L4898" s="78"/>
      <c r="M4898" s="19"/>
      <c r="N4898" s="10"/>
    </row>
    <row r="4899" spans="7:14" x14ac:dyDescent="0.75">
      <c r="G4899" s="10"/>
      <c r="H4899" s="10"/>
      <c r="I4899" s="39"/>
      <c r="J4899" s="103"/>
      <c r="K4899" s="39"/>
      <c r="L4899" s="78"/>
      <c r="M4899" s="19"/>
      <c r="N4899" s="10"/>
    </row>
    <row r="4900" spans="7:14" x14ac:dyDescent="0.75">
      <c r="G4900" s="10"/>
      <c r="H4900" s="10"/>
      <c r="I4900" s="39"/>
      <c r="J4900" s="103"/>
      <c r="K4900" s="39"/>
      <c r="L4900" s="78"/>
      <c r="M4900" s="19"/>
      <c r="N4900" s="10"/>
    </row>
    <row r="4901" spans="7:14" x14ac:dyDescent="0.75">
      <c r="G4901" s="10"/>
      <c r="H4901" s="10"/>
      <c r="I4901" s="39"/>
      <c r="J4901" s="103"/>
      <c r="K4901" s="39"/>
      <c r="L4901" s="78"/>
      <c r="M4901" s="19"/>
      <c r="N4901" s="10"/>
    </row>
    <row r="4902" spans="7:14" x14ac:dyDescent="0.75">
      <c r="G4902" s="10"/>
      <c r="H4902" s="10"/>
      <c r="I4902" s="39"/>
      <c r="J4902" s="103"/>
      <c r="K4902" s="39"/>
      <c r="L4902" s="78"/>
      <c r="M4902" s="19"/>
      <c r="N4902" s="10"/>
    </row>
    <row r="4903" spans="7:14" x14ac:dyDescent="0.75">
      <c r="G4903" s="10"/>
      <c r="H4903" s="10"/>
      <c r="I4903" s="39"/>
      <c r="J4903" s="103"/>
      <c r="K4903" s="39"/>
      <c r="L4903" s="78"/>
      <c r="M4903" s="19"/>
      <c r="N4903" s="10"/>
    </row>
    <row r="4904" spans="7:14" x14ac:dyDescent="0.75">
      <c r="G4904" s="10"/>
      <c r="H4904" s="10"/>
      <c r="I4904" s="39"/>
      <c r="J4904" s="103"/>
      <c r="K4904" s="39"/>
      <c r="L4904" s="78"/>
      <c r="M4904" s="19"/>
      <c r="N4904" s="10"/>
    </row>
    <row r="4905" spans="7:14" x14ac:dyDescent="0.75">
      <c r="G4905" s="10"/>
      <c r="H4905" s="10"/>
      <c r="I4905" s="39"/>
      <c r="J4905" s="103"/>
      <c r="K4905" s="39"/>
      <c r="L4905" s="78"/>
      <c r="M4905" s="19"/>
      <c r="N4905" s="10"/>
    </row>
    <row r="4906" spans="7:14" x14ac:dyDescent="0.75">
      <c r="G4906" s="10"/>
      <c r="H4906" s="10"/>
      <c r="I4906" s="39"/>
      <c r="J4906" s="103"/>
      <c r="K4906" s="39"/>
      <c r="L4906" s="78"/>
      <c r="M4906" s="19"/>
      <c r="N4906" s="10"/>
    </row>
    <row r="4907" spans="7:14" x14ac:dyDescent="0.75">
      <c r="G4907" s="10"/>
      <c r="H4907" s="10"/>
      <c r="I4907" s="39"/>
      <c r="J4907" s="103"/>
      <c r="K4907" s="39"/>
      <c r="L4907" s="78"/>
      <c r="M4907" s="19"/>
      <c r="N4907" s="10"/>
    </row>
    <row r="4908" spans="7:14" x14ac:dyDescent="0.75">
      <c r="G4908" s="10"/>
      <c r="H4908" s="10"/>
      <c r="I4908" s="39"/>
      <c r="J4908" s="103"/>
      <c r="K4908" s="39"/>
      <c r="L4908" s="78"/>
      <c r="M4908" s="19"/>
      <c r="N4908" s="10"/>
    </row>
    <row r="4909" spans="7:14" x14ac:dyDescent="0.75">
      <c r="G4909" s="10"/>
      <c r="H4909" s="10"/>
      <c r="I4909" s="39"/>
      <c r="J4909" s="103"/>
      <c r="K4909" s="39"/>
      <c r="L4909" s="78"/>
      <c r="M4909" s="19"/>
      <c r="N4909" s="10"/>
    </row>
    <row r="4910" spans="7:14" x14ac:dyDescent="0.75">
      <c r="G4910" s="10"/>
      <c r="H4910" s="10"/>
      <c r="I4910" s="39"/>
      <c r="J4910" s="103"/>
      <c r="K4910" s="39"/>
      <c r="L4910" s="78"/>
      <c r="M4910" s="19"/>
      <c r="N4910" s="10"/>
    </row>
    <row r="4911" spans="7:14" x14ac:dyDescent="0.75">
      <c r="G4911" s="10"/>
      <c r="H4911" s="10"/>
      <c r="I4911" s="39"/>
      <c r="J4911" s="103"/>
      <c r="K4911" s="39"/>
      <c r="L4911" s="78"/>
      <c r="M4911" s="19"/>
      <c r="N4911" s="10"/>
    </row>
    <row r="4912" spans="7:14" x14ac:dyDescent="0.75">
      <c r="G4912" s="10"/>
      <c r="H4912" s="10"/>
      <c r="I4912" s="39"/>
      <c r="J4912" s="103"/>
      <c r="K4912" s="39"/>
      <c r="L4912" s="78"/>
      <c r="M4912" s="19"/>
      <c r="N4912" s="10"/>
    </row>
    <row r="4913" spans="7:14" x14ac:dyDescent="0.75">
      <c r="G4913" s="10"/>
      <c r="H4913" s="10"/>
      <c r="I4913" s="39"/>
      <c r="J4913" s="103"/>
      <c r="K4913" s="39"/>
      <c r="L4913" s="78"/>
      <c r="M4913" s="19"/>
      <c r="N4913" s="10"/>
    </row>
    <row r="4914" spans="7:14" x14ac:dyDescent="0.75">
      <c r="G4914" s="10"/>
      <c r="H4914" s="10"/>
      <c r="I4914" s="39"/>
      <c r="J4914" s="103"/>
      <c r="K4914" s="39"/>
      <c r="L4914" s="78"/>
      <c r="M4914" s="19"/>
      <c r="N4914" s="10"/>
    </row>
    <row r="4915" spans="7:14" x14ac:dyDescent="0.75">
      <c r="G4915" s="10"/>
      <c r="H4915" s="10"/>
      <c r="I4915" s="39"/>
      <c r="J4915" s="103"/>
      <c r="K4915" s="39"/>
      <c r="L4915" s="78"/>
      <c r="M4915" s="19"/>
      <c r="N4915" s="10"/>
    </row>
    <row r="4916" spans="7:14" x14ac:dyDescent="0.75">
      <c r="G4916" s="10"/>
      <c r="H4916" s="10"/>
      <c r="I4916" s="39"/>
      <c r="J4916" s="103"/>
      <c r="K4916" s="39"/>
      <c r="L4916" s="78"/>
      <c r="M4916" s="19"/>
      <c r="N4916" s="10"/>
    </row>
    <row r="4917" spans="7:14" x14ac:dyDescent="0.75">
      <c r="G4917" s="10"/>
      <c r="H4917" s="10"/>
      <c r="I4917" s="39"/>
      <c r="J4917" s="103"/>
      <c r="K4917" s="39"/>
      <c r="L4917" s="78"/>
      <c r="M4917" s="19"/>
      <c r="N4917" s="10"/>
    </row>
    <row r="4918" spans="7:14" x14ac:dyDescent="0.75">
      <c r="G4918" s="10"/>
      <c r="H4918" s="10"/>
      <c r="I4918" s="39"/>
      <c r="J4918" s="103"/>
      <c r="K4918" s="39"/>
      <c r="L4918" s="78"/>
      <c r="M4918" s="19"/>
      <c r="N4918" s="10"/>
    </row>
    <row r="4919" spans="7:14" x14ac:dyDescent="0.75">
      <c r="G4919" s="10"/>
      <c r="H4919" s="10"/>
      <c r="I4919" s="39"/>
      <c r="J4919" s="103"/>
      <c r="K4919" s="39"/>
      <c r="L4919" s="78"/>
      <c r="M4919" s="19"/>
      <c r="N4919" s="10"/>
    </row>
    <row r="4920" spans="7:14" x14ac:dyDescent="0.75">
      <c r="G4920" s="10"/>
      <c r="H4920" s="10"/>
      <c r="I4920" s="39"/>
      <c r="J4920" s="103"/>
      <c r="K4920" s="39"/>
      <c r="L4920" s="78"/>
      <c r="M4920" s="19"/>
      <c r="N4920" s="10"/>
    </row>
    <row r="4921" spans="7:14" x14ac:dyDescent="0.75">
      <c r="G4921" s="10"/>
      <c r="H4921" s="10"/>
      <c r="I4921" s="39"/>
      <c r="J4921" s="103"/>
      <c r="K4921" s="39"/>
      <c r="L4921" s="78"/>
      <c r="M4921" s="19"/>
      <c r="N4921" s="10"/>
    </row>
    <row r="4922" spans="7:14" x14ac:dyDescent="0.75">
      <c r="G4922" s="10"/>
      <c r="H4922" s="10"/>
      <c r="I4922" s="39"/>
      <c r="J4922" s="103"/>
      <c r="K4922" s="39"/>
      <c r="L4922" s="78"/>
      <c r="M4922" s="19"/>
      <c r="N4922" s="10"/>
    </row>
    <row r="4923" spans="7:14" x14ac:dyDescent="0.75">
      <c r="G4923" s="10"/>
      <c r="H4923" s="10"/>
      <c r="I4923" s="39"/>
      <c r="J4923" s="103"/>
      <c r="K4923" s="39"/>
      <c r="L4923" s="78"/>
      <c r="M4923" s="19"/>
      <c r="N4923" s="10"/>
    </row>
    <row r="4924" spans="7:14" x14ac:dyDescent="0.75">
      <c r="G4924" s="10"/>
      <c r="H4924" s="10"/>
      <c r="I4924" s="39"/>
      <c r="J4924" s="103"/>
      <c r="K4924" s="39"/>
      <c r="L4924" s="78"/>
      <c r="M4924" s="19"/>
      <c r="N4924" s="10"/>
    </row>
    <row r="4925" spans="7:14" x14ac:dyDescent="0.75">
      <c r="G4925" s="10"/>
      <c r="H4925" s="10"/>
      <c r="I4925" s="39"/>
      <c r="J4925" s="103"/>
      <c r="K4925" s="39"/>
      <c r="L4925" s="78"/>
      <c r="M4925" s="19"/>
      <c r="N4925" s="10"/>
    </row>
    <row r="4926" spans="7:14" x14ac:dyDescent="0.75">
      <c r="G4926" s="10"/>
      <c r="H4926" s="10"/>
      <c r="I4926" s="39"/>
      <c r="J4926" s="103"/>
      <c r="K4926" s="39"/>
      <c r="L4926" s="78"/>
      <c r="M4926" s="19"/>
      <c r="N4926" s="10"/>
    </row>
    <row r="4927" spans="7:14" x14ac:dyDescent="0.75">
      <c r="G4927" s="10"/>
      <c r="H4927" s="10"/>
      <c r="I4927" s="39"/>
      <c r="J4927" s="103"/>
      <c r="K4927" s="39"/>
      <c r="L4927" s="78"/>
      <c r="M4927" s="19"/>
      <c r="N4927" s="10"/>
    </row>
    <row r="4928" spans="7:14" x14ac:dyDescent="0.75">
      <c r="G4928" s="10"/>
      <c r="H4928" s="10"/>
      <c r="I4928" s="39"/>
      <c r="J4928" s="103"/>
      <c r="K4928" s="39"/>
      <c r="L4928" s="78"/>
      <c r="M4928" s="19"/>
      <c r="N4928" s="10"/>
    </row>
    <row r="4929" spans="7:14" x14ac:dyDescent="0.75">
      <c r="G4929" s="10"/>
      <c r="H4929" s="10"/>
      <c r="I4929" s="39"/>
      <c r="J4929" s="103"/>
      <c r="K4929" s="39"/>
      <c r="L4929" s="78"/>
      <c r="M4929" s="19"/>
      <c r="N4929" s="10"/>
    </row>
    <row r="4930" spans="7:14" x14ac:dyDescent="0.75">
      <c r="G4930" s="10"/>
      <c r="H4930" s="10"/>
      <c r="I4930" s="39"/>
      <c r="J4930" s="103"/>
      <c r="K4930" s="39"/>
      <c r="L4930" s="78"/>
      <c r="M4930" s="19"/>
      <c r="N4930" s="10"/>
    </row>
    <row r="4931" spans="7:14" x14ac:dyDescent="0.75">
      <c r="G4931" s="10"/>
      <c r="H4931" s="10"/>
      <c r="I4931" s="39"/>
      <c r="J4931" s="103"/>
      <c r="K4931" s="39"/>
      <c r="L4931" s="78"/>
      <c r="M4931" s="19"/>
      <c r="N4931" s="10"/>
    </row>
    <row r="4932" spans="7:14" x14ac:dyDescent="0.75">
      <c r="G4932" s="10"/>
      <c r="H4932" s="10"/>
      <c r="I4932" s="39"/>
      <c r="J4932" s="103"/>
      <c r="K4932" s="39"/>
      <c r="L4932" s="78"/>
      <c r="M4932" s="19"/>
      <c r="N4932" s="10"/>
    </row>
    <row r="4933" spans="7:14" x14ac:dyDescent="0.75">
      <c r="G4933" s="10"/>
      <c r="H4933" s="10"/>
      <c r="I4933" s="39"/>
      <c r="J4933" s="103"/>
      <c r="K4933" s="39"/>
      <c r="L4933" s="78"/>
      <c r="M4933" s="19"/>
      <c r="N4933" s="10"/>
    </row>
    <row r="4934" spans="7:14" x14ac:dyDescent="0.75">
      <c r="G4934" s="10"/>
      <c r="H4934" s="10"/>
      <c r="I4934" s="39"/>
      <c r="J4934" s="103"/>
      <c r="K4934" s="39"/>
      <c r="L4934" s="78"/>
      <c r="M4934" s="19"/>
      <c r="N4934" s="10"/>
    </row>
    <row r="4935" spans="7:14" x14ac:dyDescent="0.75">
      <c r="G4935" s="10"/>
      <c r="H4935" s="10"/>
      <c r="I4935" s="39"/>
      <c r="J4935" s="103"/>
      <c r="K4935" s="39"/>
      <c r="L4935" s="78"/>
      <c r="M4935" s="19"/>
      <c r="N4935" s="10"/>
    </row>
    <row r="4936" spans="7:14" x14ac:dyDescent="0.75">
      <c r="G4936" s="10"/>
      <c r="H4936" s="10"/>
      <c r="I4936" s="39"/>
      <c r="J4936" s="103"/>
      <c r="K4936" s="39"/>
      <c r="L4936" s="78"/>
      <c r="M4936" s="19"/>
      <c r="N4936" s="10"/>
    </row>
    <row r="4937" spans="7:14" x14ac:dyDescent="0.75">
      <c r="G4937" s="10"/>
      <c r="H4937" s="10"/>
      <c r="I4937" s="39"/>
      <c r="J4937" s="103"/>
      <c r="K4937" s="39"/>
      <c r="L4937" s="78"/>
      <c r="M4937" s="19"/>
      <c r="N4937" s="10"/>
    </row>
    <row r="4938" spans="7:14" x14ac:dyDescent="0.75">
      <c r="G4938" s="10"/>
      <c r="H4938" s="10"/>
      <c r="I4938" s="39"/>
      <c r="J4938" s="103"/>
      <c r="K4938" s="39"/>
      <c r="L4938" s="78"/>
      <c r="M4938" s="19"/>
      <c r="N4938" s="10"/>
    </row>
    <row r="4939" spans="7:14" x14ac:dyDescent="0.75">
      <c r="G4939" s="10"/>
      <c r="H4939" s="10"/>
      <c r="I4939" s="39"/>
      <c r="J4939" s="103"/>
      <c r="K4939" s="39"/>
      <c r="L4939" s="78"/>
      <c r="M4939" s="19"/>
      <c r="N4939" s="10"/>
    </row>
    <row r="4940" spans="7:14" x14ac:dyDescent="0.75">
      <c r="G4940" s="10"/>
      <c r="H4940" s="10"/>
      <c r="I4940" s="39"/>
      <c r="J4940" s="103"/>
      <c r="K4940" s="39"/>
      <c r="L4940" s="78"/>
      <c r="M4940" s="19"/>
      <c r="N4940" s="10"/>
    </row>
    <row r="4941" spans="7:14" x14ac:dyDescent="0.75">
      <c r="G4941" s="10"/>
      <c r="H4941" s="10"/>
      <c r="I4941" s="39"/>
      <c r="J4941" s="103"/>
      <c r="K4941" s="39"/>
      <c r="L4941" s="78"/>
      <c r="M4941" s="19"/>
      <c r="N4941" s="10"/>
    </row>
    <row r="4942" spans="7:14" x14ac:dyDescent="0.75">
      <c r="G4942" s="10"/>
      <c r="H4942" s="10"/>
      <c r="I4942" s="39"/>
      <c r="J4942" s="103"/>
      <c r="K4942" s="39"/>
      <c r="L4942" s="10"/>
      <c r="M4942" s="19"/>
      <c r="N4942" s="10"/>
    </row>
    <row r="4943" spans="7:14" x14ac:dyDescent="0.75">
      <c r="G4943" s="10"/>
      <c r="H4943" s="10"/>
      <c r="I4943" s="39"/>
      <c r="J4943" s="103"/>
      <c r="K4943" s="39"/>
      <c r="L4943" s="10"/>
      <c r="M4943" s="19"/>
      <c r="N4943" s="10"/>
    </row>
    <row r="4944" spans="7:14" x14ac:dyDescent="0.75">
      <c r="G4944" s="10"/>
      <c r="H4944" s="10"/>
      <c r="I4944" s="39"/>
      <c r="J4944" s="103"/>
      <c r="K4944" s="39"/>
      <c r="L4944" s="10"/>
      <c r="M4944" s="19"/>
      <c r="N4944" s="10"/>
    </row>
    <row r="4945" spans="7:14" x14ac:dyDescent="0.75">
      <c r="G4945" s="10"/>
      <c r="H4945" s="10"/>
      <c r="I4945" s="39"/>
      <c r="J4945" s="103"/>
      <c r="K4945" s="39"/>
      <c r="L4945" s="78"/>
      <c r="M4945" s="19"/>
      <c r="N4945" s="10"/>
    </row>
    <row r="4946" spans="7:14" x14ac:dyDescent="0.75">
      <c r="G4946" s="10"/>
      <c r="H4946" s="10"/>
      <c r="I4946" s="39"/>
      <c r="J4946" s="103"/>
      <c r="K4946" s="39"/>
      <c r="L4946" s="78"/>
      <c r="M4946" s="19"/>
      <c r="N4946" s="10"/>
    </row>
    <row r="4947" spans="7:14" x14ac:dyDescent="0.75">
      <c r="G4947" s="10"/>
      <c r="H4947" s="10"/>
      <c r="I4947" s="39"/>
      <c r="J4947" s="103"/>
      <c r="K4947" s="39"/>
      <c r="L4947" s="78"/>
      <c r="M4947" s="19"/>
      <c r="N4947" s="10"/>
    </row>
    <row r="4948" spans="7:14" x14ac:dyDescent="0.75">
      <c r="G4948" s="10"/>
      <c r="H4948" s="10"/>
      <c r="I4948" s="39"/>
      <c r="J4948" s="103"/>
      <c r="K4948" s="39"/>
      <c r="L4948" s="78"/>
      <c r="M4948" s="19"/>
      <c r="N4948" s="10"/>
    </row>
    <row r="4949" spans="7:14" x14ac:dyDescent="0.75">
      <c r="G4949" s="10"/>
      <c r="H4949" s="10"/>
      <c r="I4949" s="39"/>
      <c r="J4949" s="103"/>
      <c r="K4949" s="39"/>
      <c r="L4949" s="78"/>
      <c r="M4949" s="19"/>
      <c r="N4949" s="10"/>
    </row>
    <row r="4950" spans="7:14" x14ac:dyDescent="0.75">
      <c r="G4950" s="10"/>
      <c r="H4950" s="10"/>
      <c r="I4950" s="39"/>
      <c r="J4950" s="103"/>
      <c r="K4950" s="39"/>
      <c r="L4950" s="78"/>
      <c r="M4950" s="19"/>
      <c r="N4950" s="10"/>
    </row>
    <row r="4951" spans="7:14" x14ac:dyDescent="0.75">
      <c r="G4951" s="10"/>
      <c r="H4951" s="10"/>
      <c r="I4951" s="39"/>
      <c r="J4951" s="103"/>
      <c r="K4951" s="39"/>
      <c r="L4951" s="78"/>
      <c r="M4951" s="19"/>
      <c r="N4951" s="10"/>
    </row>
    <row r="4952" spans="7:14" x14ac:dyDescent="0.75">
      <c r="G4952" s="10"/>
      <c r="H4952" s="10"/>
      <c r="I4952" s="39"/>
      <c r="J4952" s="103"/>
      <c r="K4952" s="39"/>
      <c r="L4952" s="78"/>
      <c r="M4952" s="19"/>
      <c r="N4952" s="10"/>
    </row>
    <row r="4953" spans="7:14" x14ac:dyDescent="0.75">
      <c r="G4953" s="10"/>
      <c r="H4953" s="10"/>
      <c r="I4953" s="39"/>
      <c r="J4953" s="103"/>
      <c r="K4953" s="39"/>
      <c r="L4953" s="78"/>
      <c r="M4953" s="19"/>
      <c r="N4953" s="10"/>
    </row>
    <row r="4954" spans="7:14" x14ac:dyDescent="0.75">
      <c r="G4954" s="10"/>
      <c r="H4954" s="10"/>
      <c r="I4954" s="39"/>
      <c r="J4954" s="103"/>
      <c r="K4954" s="39"/>
      <c r="L4954" s="78"/>
      <c r="M4954" s="19"/>
      <c r="N4954" s="10"/>
    </row>
    <row r="4955" spans="7:14" x14ac:dyDescent="0.75">
      <c r="G4955" s="10"/>
      <c r="H4955" s="10"/>
      <c r="I4955" s="39"/>
      <c r="J4955" s="103"/>
      <c r="K4955" s="39"/>
      <c r="L4955" s="78"/>
      <c r="M4955" s="19"/>
      <c r="N4955" s="10"/>
    </row>
    <row r="4956" spans="7:14" x14ac:dyDescent="0.75">
      <c r="G4956" s="10"/>
      <c r="H4956" s="10"/>
      <c r="I4956" s="39"/>
      <c r="J4956" s="103"/>
      <c r="K4956" s="39"/>
      <c r="L4956" s="78"/>
      <c r="M4956" s="19"/>
      <c r="N4956" s="10"/>
    </row>
    <row r="4957" spans="7:14" x14ac:dyDescent="0.75">
      <c r="G4957" s="10"/>
      <c r="H4957" s="10"/>
      <c r="I4957" s="39"/>
      <c r="J4957" s="103"/>
      <c r="K4957" s="39"/>
      <c r="L4957" s="78"/>
      <c r="M4957" s="19"/>
      <c r="N4957" s="10"/>
    </row>
    <row r="4958" spans="7:14" x14ac:dyDescent="0.75">
      <c r="G4958" s="10"/>
      <c r="H4958" s="10"/>
      <c r="I4958" s="39"/>
      <c r="J4958" s="103"/>
      <c r="K4958" s="39"/>
      <c r="L4958" s="78"/>
      <c r="M4958" s="19"/>
      <c r="N4958" s="10"/>
    </row>
    <row r="4959" spans="7:14" x14ac:dyDescent="0.75">
      <c r="G4959" s="10"/>
      <c r="H4959" s="10"/>
      <c r="I4959" s="39"/>
      <c r="J4959" s="103"/>
      <c r="K4959" s="39"/>
      <c r="L4959" s="78"/>
      <c r="M4959" s="19"/>
      <c r="N4959" s="10"/>
    </row>
    <row r="4960" spans="7:14" x14ac:dyDescent="0.75">
      <c r="G4960" s="10"/>
      <c r="H4960" s="10"/>
      <c r="I4960" s="39"/>
      <c r="J4960" s="103"/>
      <c r="K4960" s="39"/>
      <c r="L4960" s="10"/>
      <c r="M4960" s="19"/>
      <c r="N4960" s="10"/>
    </row>
    <row r="4961" spans="7:14" x14ac:dyDescent="0.75">
      <c r="G4961" s="10"/>
      <c r="H4961" s="10"/>
      <c r="I4961" s="39"/>
      <c r="J4961" s="103"/>
      <c r="K4961" s="39"/>
      <c r="L4961" s="78"/>
      <c r="M4961" s="19"/>
      <c r="N4961" s="10"/>
    </row>
    <row r="4962" spans="7:14" x14ac:dyDescent="0.75">
      <c r="G4962" s="10"/>
      <c r="H4962" s="10"/>
      <c r="I4962" s="39"/>
      <c r="J4962" s="103"/>
      <c r="K4962" s="39"/>
      <c r="L4962" s="10"/>
      <c r="M4962" s="19"/>
      <c r="N4962" s="10"/>
    </row>
    <row r="4963" spans="7:14" x14ac:dyDescent="0.75">
      <c r="G4963" s="10"/>
      <c r="H4963" s="10"/>
      <c r="I4963" s="39"/>
      <c r="J4963" s="103"/>
      <c r="K4963" s="39"/>
      <c r="L4963" s="78"/>
      <c r="M4963" s="19"/>
      <c r="N4963" s="10"/>
    </row>
    <row r="4964" spans="7:14" x14ac:dyDescent="0.75">
      <c r="G4964" s="10"/>
      <c r="H4964" s="10"/>
      <c r="I4964" s="39"/>
      <c r="J4964" s="103"/>
      <c r="K4964" s="39"/>
      <c r="L4964" s="78"/>
      <c r="M4964" s="19"/>
      <c r="N4964" s="10"/>
    </row>
    <row r="4965" spans="7:14" x14ac:dyDescent="0.75">
      <c r="G4965" s="10"/>
      <c r="H4965" s="10"/>
      <c r="I4965" s="39"/>
      <c r="J4965" s="103"/>
      <c r="K4965" s="39"/>
      <c r="L4965" s="78"/>
      <c r="M4965" s="19"/>
      <c r="N4965" s="10"/>
    </row>
    <row r="4966" spans="7:14" x14ac:dyDescent="0.75">
      <c r="G4966" s="10"/>
      <c r="H4966" s="10"/>
      <c r="I4966" s="39"/>
      <c r="J4966" s="103"/>
      <c r="K4966" s="39"/>
      <c r="L4966" s="78"/>
      <c r="M4966" s="19"/>
      <c r="N4966" s="10"/>
    </row>
    <row r="4967" spans="7:14" x14ac:dyDescent="0.75">
      <c r="G4967" s="10"/>
      <c r="H4967" s="10"/>
      <c r="I4967" s="39"/>
      <c r="J4967" s="103"/>
      <c r="K4967" s="39"/>
      <c r="L4967" s="78"/>
      <c r="M4967" s="19"/>
      <c r="N4967" s="10"/>
    </row>
    <row r="4968" spans="7:14" x14ac:dyDescent="0.75">
      <c r="G4968" s="10"/>
      <c r="H4968" s="10"/>
      <c r="I4968" s="39"/>
      <c r="J4968" s="103"/>
      <c r="K4968" s="39"/>
      <c r="L4968" s="78"/>
      <c r="M4968" s="19"/>
      <c r="N4968" s="10"/>
    </row>
    <row r="4969" spans="7:14" x14ac:dyDescent="0.75">
      <c r="G4969" s="10"/>
      <c r="H4969" s="10"/>
      <c r="I4969" s="39"/>
      <c r="J4969" s="103"/>
      <c r="K4969" s="39"/>
      <c r="L4969" s="78"/>
      <c r="M4969" s="19"/>
      <c r="N4969" s="10"/>
    </row>
    <row r="4970" spans="7:14" x14ac:dyDescent="0.75">
      <c r="G4970" s="10"/>
      <c r="H4970" s="10"/>
      <c r="I4970" s="39"/>
      <c r="J4970" s="103"/>
      <c r="K4970" s="39"/>
      <c r="L4970" s="10"/>
      <c r="M4970" s="19"/>
      <c r="N4970" s="10"/>
    </row>
    <row r="4971" spans="7:14" x14ac:dyDescent="0.75">
      <c r="G4971" s="10"/>
      <c r="H4971" s="10"/>
      <c r="I4971" s="39"/>
      <c r="J4971" s="103"/>
      <c r="K4971" s="39"/>
      <c r="L4971" s="10"/>
      <c r="M4971" s="19"/>
      <c r="N4971" s="10"/>
    </row>
    <row r="4972" spans="7:14" x14ac:dyDescent="0.75">
      <c r="G4972" s="10"/>
      <c r="H4972" s="10"/>
      <c r="I4972" s="39"/>
      <c r="J4972" s="103"/>
      <c r="K4972" s="39"/>
      <c r="L4972" s="10"/>
      <c r="M4972" s="19"/>
      <c r="N4972" s="10"/>
    </row>
    <row r="4973" spans="7:14" x14ac:dyDescent="0.75">
      <c r="G4973" s="10"/>
      <c r="H4973" s="10"/>
      <c r="I4973" s="39"/>
      <c r="J4973" s="103"/>
      <c r="K4973" s="39"/>
      <c r="L4973" s="10"/>
      <c r="M4973" s="19"/>
      <c r="N4973" s="10"/>
    </row>
    <row r="4974" spans="7:14" x14ac:dyDescent="0.75">
      <c r="G4974" s="10"/>
      <c r="H4974" s="10"/>
      <c r="I4974" s="39"/>
      <c r="J4974" s="103"/>
      <c r="K4974" s="39"/>
      <c r="L4974" s="78"/>
      <c r="M4974" s="19"/>
      <c r="N4974" s="10"/>
    </row>
    <row r="4975" spans="7:14" x14ac:dyDescent="0.75">
      <c r="G4975" s="10"/>
      <c r="H4975" s="10"/>
      <c r="I4975" s="39"/>
      <c r="J4975" s="103"/>
      <c r="K4975" s="39"/>
      <c r="L4975" s="78"/>
      <c r="M4975" s="19"/>
      <c r="N4975" s="10"/>
    </row>
    <row r="4976" spans="7:14" x14ac:dyDescent="0.75">
      <c r="G4976" s="10"/>
      <c r="H4976" s="10"/>
      <c r="I4976" s="39"/>
      <c r="J4976" s="103"/>
      <c r="K4976" s="39"/>
      <c r="L4976" s="78"/>
      <c r="M4976" s="19"/>
      <c r="N4976" s="10"/>
    </row>
    <row r="4977" spans="7:14" x14ac:dyDescent="0.75">
      <c r="G4977" s="10"/>
      <c r="H4977" s="10"/>
      <c r="I4977" s="39"/>
      <c r="J4977" s="103"/>
      <c r="K4977" s="39"/>
      <c r="L4977" s="78"/>
      <c r="M4977" s="19"/>
      <c r="N4977" s="10"/>
    </row>
    <row r="4978" spans="7:14" x14ac:dyDescent="0.75">
      <c r="G4978" s="10"/>
      <c r="H4978" s="10"/>
      <c r="I4978" s="39"/>
      <c r="J4978" s="103"/>
      <c r="K4978" s="39"/>
      <c r="L4978" s="78"/>
      <c r="M4978" s="19"/>
      <c r="N4978" s="10"/>
    </row>
    <row r="4979" spans="7:14" x14ac:dyDescent="0.75">
      <c r="G4979" s="10"/>
      <c r="H4979" s="10"/>
      <c r="I4979" s="39"/>
      <c r="J4979" s="103"/>
      <c r="K4979" s="39"/>
      <c r="L4979" s="78"/>
      <c r="M4979" s="19"/>
      <c r="N4979" s="10"/>
    </row>
    <row r="4980" spans="7:14" x14ac:dyDescent="0.75">
      <c r="G4980" s="10"/>
      <c r="H4980" s="10"/>
      <c r="I4980" s="39"/>
      <c r="J4980" s="103"/>
      <c r="K4980" s="39"/>
      <c r="L4980" s="10"/>
      <c r="M4980" s="19"/>
      <c r="N4980" s="10"/>
    </row>
    <row r="4981" spans="7:14" x14ac:dyDescent="0.75">
      <c r="G4981" s="10"/>
      <c r="H4981" s="10"/>
      <c r="I4981" s="39"/>
      <c r="J4981" s="103"/>
      <c r="K4981" s="39"/>
      <c r="L4981" s="78"/>
      <c r="M4981" s="19"/>
      <c r="N4981" s="10"/>
    </row>
    <row r="4982" spans="7:14" x14ac:dyDescent="0.75">
      <c r="G4982" s="10"/>
      <c r="H4982" s="10"/>
      <c r="I4982" s="39"/>
      <c r="J4982" s="103"/>
      <c r="K4982" s="39"/>
      <c r="L4982" s="78"/>
      <c r="M4982" s="19"/>
      <c r="N4982" s="10"/>
    </row>
    <row r="4983" spans="7:14" x14ac:dyDescent="0.75">
      <c r="G4983" s="10"/>
      <c r="H4983" s="10"/>
      <c r="I4983" s="39"/>
      <c r="J4983" s="103"/>
      <c r="K4983" s="39"/>
      <c r="L4983" s="78"/>
      <c r="M4983" s="19"/>
      <c r="N4983" s="10"/>
    </row>
    <row r="4984" spans="7:14" x14ac:dyDescent="0.75">
      <c r="G4984" s="10"/>
      <c r="H4984" s="10"/>
      <c r="I4984" s="39"/>
      <c r="J4984" s="103"/>
      <c r="K4984" s="39"/>
      <c r="L4984" s="78"/>
      <c r="M4984" s="19"/>
      <c r="N4984" s="10"/>
    </row>
    <row r="4985" spans="7:14" x14ac:dyDescent="0.75">
      <c r="G4985" s="10"/>
      <c r="H4985" s="10"/>
      <c r="I4985" s="39"/>
      <c r="J4985" s="103"/>
      <c r="K4985" s="39"/>
      <c r="L4985" s="78"/>
      <c r="M4985" s="19"/>
      <c r="N4985" s="10"/>
    </row>
    <row r="4986" spans="7:14" x14ac:dyDescent="0.75">
      <c r="G4986" s="10"/>
      <c r="H4986" s="10"/>
      <c r="I4986" s="39"/>
      <c r="J4986" s="103"/>
      <c r="K4986" s="39"/>
      <c r="L4986" s="78"/>
      <c r="M4986" s="19"/>
      <c r="N4986" s="10"/>
    </row>
    <row r="4987" spans="7:14" x14ac:dyDescent="0.75">
      <c r="G4987" s="10"/>
      <c r="H4987" s="10"/>
      <c r="I4987" s="39"/>
      <c r="J4987" s="103"/>
      <c r="K4987" s="39"/>
      <c r="L4987" s="78"/>
      <c r="M4987" s="19"/>
      <c r="N4987" s="10"/>
    </row>
    <row r="4988" spans="7:14" x14ac:dyDescent="0.75">
      <c r="G4988" s="10"/>
      <c r="H4988" s="10"/>
      <c r="I4988" s="39"/>
      <c r="J4988" s="103"/>
      <c r="K4988" s="39"/>
      <c r="L4988" s="78"/>
      <c r="M4988" s="19"/>
      <c r="N4988" s="10"/>
    </row>
    <row r="4989" spans="7:14" x14ac:dyDescent="0.75">
      <c r="G4989" s="10"/>
      <c r="H4989" s="10"/>
      <c r="I4989" s="39"/>
      <c r="J4989" s="103"/>
      <c r="K4989" s="39"/>
      <c r="L4989" s="78"/>
      <c r="M4989" s="19"/>
      <c r="N4989" s="10"/>
    </row>
    <row r="4990" spans="7:14" x14ac:dyDescent="0.75">
      <c r="G4990" s="10"/>
      <c r="H4990" s="10"/>
      <c r="I4990" s="39"/>
      <c r="J4990" s="103"/>
      <c r="K4990" s="39"/>
      <c r="L4990" s="10"/>
      <c r="M4990" s="19"/>
      <c r="N4990" s="10"/>
    </row>
    <row r="4991" spans="7:14" x14ac:dyDescent="0.75">
      <c r="G4991" s="10"/>
      <c r="H4991" s="10"/>
      <c r="I4991" s="39"/>
      <c r="J4991" s="103"/>
      <c r="K4991" s="39"/>
      <c r="L4991" s="10"/>
      <c r="M4991" s="19"/>
      <c r="N4991" s="10"/>
    </row>
    <row r="4992" spans="7:14" x14ac:dyDescent="0.75">
      <c r="G4992" s="10"/>
      <c r="H4992" s="10"/>
      <c r="I4992" s="39"/>
      <c r="J4992" s="103"/>
      <c r="K4992" s="39"/>
      <c r="L4992" s="10"/>
      <c r="M4992" s="19"/>
      <c r="N4992" s="10"/>
    </row>
    <row r="4993" spans="7:14" x14ac:dyDescent="0.75">
      <c r="G4993" s="10"/>
      <c r="H4993" s="10"/>
      <c r="I4993" s="39"/>
      <c r="J4993" s="103"/>
      <c r="K4993" s="39"/>
      <c r="L4993" s="10"/>
      <c r="M4993" s="19"/>
      <c r="N4993" s="10"/>
    </row>
    <row r="4994" spans="7:14" x14ac:dyDescent="0.75">
      <c r="G4994" s="10"/>
      <c r="H4994" s="10"/>
      <c r="I4994" s="39"/>
      <c r="J4994" s="103"/>
      <c r="K4994" s="39"/>
      <c r="L4994" s="10"/>
      <c r="M4994" s="19"/>
      <c r="N4994" s="10"/>
    </row>
    <row r="4995" spans="7:14" x14ac:dyDescent="0.75">
      <c r="G4995" s="10"/>
      <c r="H4995" s="10"/>
      <c r="I4995" s="39"/>
      <c r="J4995" s="103"/>
      <c r="K4995" s="39"/>
      <c r="L4995" s="78"/>
      <c r="M4995" s="19"/>
      <c r="N4995" s="10"/>
    </row>
    <row r="4996" spans="7:14" x14ac:dyDescent="0.75">
      <c r="G4996" s="10"/>
      <c r="H4996" s="10"/>
      <c r="I4996" s="39"/>
      <c r="J4996" s="103"/>
      <c r="K4996" s="39"/>
      <c r="L4996" s="78"/>
      <c r="M4996" s="19"/>
      <c r="N4996" s="10"/>
    </row>
    <row r="4997" spans="7:14" x14ac:dyDescent="0.75">
      <c r="G4997" s="10"/>
      <c r="H4997" s="10"/>
      <c r="I4997" s="39"/>
      <c r="J4997" s="103"/>
      <c r="K4997" s="39"/>
      <c r="L4997" s="78"/>
      <c r="M4997" s="19"/>
      <c r="N4997" s="10"/>
    </row>
    <row r="4998" spans="7:14" x14ac:dyDescent="0.75">
      <c r="G4998" s="10"/>
      <c r="H4998" s="10"/>
      <c r="I4998" s="39"/>
      <c r="J4998" s="103"/>
      <c r="K4998" s="39"/>
      <c r="L4998" s="78"/>
      <c r="M4998" s="19"/>
      <c r="N4998" s="10"/>
    </row>
    <row r="4999" spans="7:14" x14ac:dyDescent="0.75">
      <c r="G4999" s="10"/>
      <c r="H4999" s="10"/>
      <c r="I4999" s="39"/>
      <c r="J4999" s="103"/>
      <c r="K4999" s="39"/>
      <c r="L4999" s="78"/>
      <c r="M4999" s="19"/>
      <c r="N4999" s="10"/>
    </row>
    <row r="5000" spans="7:14" x14ac:dyDescent="0.75">
      <c r="G5000" s="10"/>
      <c r="H5000" s="10"/>
      <c r="I5000" s="39"/>
      <c r="J5000" s="103"/>
      <c r="K5000" s="39"/>
      <c r="L5000" s="78"/>
      <c r="M5000" s="19"/>
      <c r="N5000" s="10"/>
    </row>
    <row r="5001" spans="7:14" x14ac:dyDescent="0.75">
      <c r="G5001" s="10"/>
      <c r="H5001" s="10"/>
      <c r="I5001" s="39"/>
      <c r="J5001" s="103"/>
      <c r="K5001" s="39"/>
      <c r="L5001" s="78"/>
      <c r="M5001" s="19"/>
      <c r="N5001" s="10"/>
    </row>
    <row r="5002" spans="7:14" x14ac:dyDescent="0.75">
      <c r="G5002" s="10"/>
      <c r="H5002" s="10"/>
      <c r="I5002" s="39"/>
      <c r="J5002" s="103"/>
      <c r="K5002" s="39"/>
      <c r="L5002" s="10"/>
      <c r="M5002" s="19"/>
      <c r="N5002" s="10"/>
    </row>
    <row r="5003" spans="7:14" x14ac:dyDescent="0.75">
      <c r="G5003" s="10"/>
      <c r="H5003" s="10"/>
      <c r="I5003" s="39"/>
      <c r="J5003" s="103"/>
      <c r="K5003" s="39"/>
      <c r="L5003" s="78"/>
      <c r="M5003" s="19"/>
      <c r="N5003" s="10"/>
    </row>
    <row r="5004" spans="7:14" x14ac:dyDescent="0.75">
      <c r="G5004" s="10"/>
      <c r="H5004" s="10"/>
      <c r="I5004" s="39"/>
      <c r="J5004" s="103"/>
      <c r="K5004" s="39"/>
      <c r="L5004" s="78"/>
      <c r="M5004" s="19"/>
      <c r="N5004" s="10"/>
    </row>
    <row r="5005" spans="7:14" x14ac:dyDescent="0.75">
      <c r="G5005" s="10"/>
      <c r="H5005" s="10"/>
      <c r="I5005" s="39"/>
      <c r="J5005" s="103"/>
      <c r="K5005" s="39"/>
      <c r="L5005" s="78"/>
      <c r="M5005" s="19"/>
      <c r="N5005" s="10"/>
    </row>
    <row r="5006" spans="7:14" x14ac:dyDescent="0.75">
      <c r="G5006" s="10"/>
      <c r="H5006" s="10"/>
      <c r="I5006" s="39"/>
      <c r="J5006" s="103"/>
      <c r="K5006" s="39"/>
      <c r="L5006" s="78"/>
      <c r="M5006" s="19"/>
      <c r="N5006" s="10"/>
    </row>
    <row r="5007" spans="7:14" x14ac:dyDescent="0.75">
      <c r="G5007" s="10"/>
      <c r="H5007" s="10"/>
      <c r="I5007" s="39"/>
      <c r="J5007" s="103"/>
      <c r="K5007" s="39"/>
      <c r="L5007" s="78"/>
      <c r="M5007" s="19"/>
      <c r="N5007" s="10"/>
    </row>
    <row r="5008" spans="7:14" x14ac:dyDescent="0.75">
      <c r="G5008" s="10"/>
      <c r="H5008" s="10"/>
      <c r="I5008" s="39"/>
      <c r="J5008" s="103"/>
      <c r="K5008" s="39"/>
      <c r="L5008" s="78"/>
      <c r="M5008" s="19"/>
      <c r="N5008" s="10"/>
    </row>
    <row r="5009" spans="7:14" x14ac:dyDescent="0.75">
      <c r="G5009" s="10"/>
      <c r="H5009" s="10"/>
      <c r="I5009" s="39"/>
      <c r="J5009" s="103"/>
      <c r="K5009" s="39"/>
      <c r="L5009" s="78"/>
      <c r="M5009" s="19"/>
      <c r="N5009" s="10"/>
    </row>
    <row r="5010" spans="7:14" x14ac:dyDescent="0.75">
      <c r="G5010" s="10"/>
      <c r="H5010" s="10"/>
      <c r="I5010" s="39"/>
      <c r="J5010" s="103"/>
      <c r="K5010" s="39"/>
      <c r="L5010" s="78"/>
      <c r="M5010" s="19"/>
      <c r="N5010" s="10"/>
    </row>
    <row r="5011" spans="7:14" x14ac:dyDescent="0.75">
      <c r="G5011" s="10"/>
      <c r="H5011" s="10"/>
      <c r="I5011" s="39"/>
      <c r="J5011" s="103"/>
      <c r="K5011" s="39"/>
      <c r="L5011" s="78"/>
      <c r="M5011" s="19"/>
      <c r="N5011" s="10"/>
    </row>
    <row r="5012" spans="7:14" x14ac:dyDescent="0.75">
      <c r="G5012" s="10"/>
      <c r="H5012" s="10"/>
      <c r="I5012" s="39"/>
      <c r="J5012" s="103"/>
      <c r="K5012" s="39"/>
      <c r="L5012" s="78"/>
      <c r="M5012" s="19"/>
      <c r="N5012" s="10"/>
    </row>
    <row r="5013" spans="7:14" x14ac:dyDescent="0.75">
      <c r="G5013" s="10"/>
      <c r="H5013" s="10"/>
      <c r="I5013" s="39"/>
      <c r="J5013" s="103"/>
      <c r="K5013" s="39"/>
      <c r="L5013" s="78"/>
      <c r="M5013" s="19"/>
      <c r="N5013" s="10"/>
    </row>
    <row r="5014" spans="7:14" x14ac:dyDescent="0.75">
      <c r="G5014" s="10"/>
      <c r="H5014" s="10"/>
      <c r="I5014" s="39"/>
      <c r="J5014" s="103"/>
      <c r="K5014" s="39"/>
      <c r="L5014" s="78"/>
      <c r="M5014" s="19"/>
      <c r="N5014" s="10"/>
    </row>
    <row r="5015" spans="7:14" x14ac:dyDescent="0.75">
      <c r="G5015" s="10"/>
      <c r="H5015" s="10"/>
      <c r="I5015" s="39"/>
      <c r="J5015" s="103"/>
      <c r="K5015" s="39"/>
      <c r="L5015" s="78"/>
      <c r="M5015" s="19"/>
      <c r="N5015" s="10"/>
    </row>
    <row r="5016" spans="7:14" x14ac:dyDescent="0.75">
      <c r="G5016" s="10"/>
      <c r="H5016" s="10"/>
      <c r="I5016" s="39"/>
      <c r="J5016" s="103"/>
      <c r="K5016" s="39"/>
      <c r="L5016" s="78"/>
      <c r="M5016" s="19"/>
      <c r="N5016" s="10"/>
    </row>
    <row r="5017" spans="7:14" x14ac:dyDescent="0.75">
      <c r="G5017" s="10"/>
      <c r="H5017" s="10"/>
      <c r="I5017" s="39"/>
      <c r="J5017" s="103"/>
      <c r="K5017" s="39"/>
      <c r="L5017" s="78"/>
      <c r="M5017" s="19"/>
      <c r="N5017" s="10"/>
    </row>
    <row r="5018" spans="7:14" x14ac:dyDescent="0.75">
      <c r="G5018" s="10"/>
      <c r="H5018" s="10"/>
      <c r="I5018" s="39"/>
      <c r="J5018" s="103"/>
      <c r="K5018" s="39"/>
      <c r="L5018" s="78"/>
      <c r="M5018" s="19"/>
      <c r="N5018" s="10"/>
    </row>
    <row r="5019" spans="7:14" x14ac:dyDescent="0.75">
      <c r="G5019" s="10"/>
      <c r="H5019" s="10"/>
      <c r="I5019" s="39"/>
      <c r="J5019" s="103"/>
      <c r="K5019" s="39"/>
      <c r="L5019" s="78"/>
      <c r="M5019" s="19"/>
      <c r="N5019" s="10"/>
    </row>
    <row r="5020" spans="7:14" x14ac:dyDescent="0.75">
      <c r="G5020" s="10"/>
      <c r="H5020" s="10"/>
      <c r="I5020" s="39"/>
      <c r="J5020" s="103"/>
      <c r="K5020" s="39"/>
      <c r="L5020" s="78"/>
      <c r="M5020" s="19"/>
      <c r="N5020" s="10"/>
    </row>
    <row r="5021" spans="7:14" x14ac:dyDescent="0.75">
      <c r="G5021" s="10"/>
      <c r="H5021" s="10"/>
      <c r="I5021" s="39"/>
      <c r="J5021" s="103"/>
      <c r="K5021" s="39"/>
      <c r="L5021" s="78"/>
      <c r="M5021" s="19"/>
      <c r="N5021" s="10"/>
    </row>
    <row r="5022" spans="7:14" x14ac:dyDescent="0.75">
      <c r="G5022" s="10"/>
      <c r="H5022" s="10"/>
      <c r="I5022" s="39"/>
      <c r="J5022" s="103"/>
      <c r="K5022" s="39"/>
      <c r="L5022" s="78"/>
      <c r="M5022" s="19"/>
      <c r="N5022" s="10"/>
    </row>
    <row r="5023" spans="7:14" x14ac:dyDescent="0.75">
      <c r="G5023" s="10"/>
      <c r="H5023" s="10"/>
      <c r="I5023" s="39"/>
      <c r="J5023" s="103"/>
      <c r="K5023" s="39"/>
      <c r="L5023" s="10"/>
      <c r="M5023" s="19"/>
      <c r="N5023" s="10"/>
    </row>
    <row r="5024" spans="7:14" x14ac:dyDescent="0.75">
      <c r="G5024" s="10"/>
      <c r="H5024" s="10"/>
      <c r="I5024" s="39"/>
      <c r="J5024" s="103"/>
      <c r="K5024" s="39"/>
      <c r="L5024" s="78"/>
      <c r="M5024" s="19"/>
      <c r="N5024" s="10"/>
    </row>
    <row r="5025" spans="7:14" x14ac:dyDescent="0.75">
      <c r="G5025" s="10"/>
      <c r="H5025" s="10"/>
      <c r="I5025" s="39"/>
      <c r="J5025" s="103"/>
      <c r="K5025" s="39"/>
      <c r="L5025" s="78"/>
      <c r="M5025" s="19"/>
      <c r="N5025" s="10"/>
    </row>
    <row r="5026" spans="7:14" x14ac:dyDescent="0.75">
      <c r="G5026" s="10"/>
      <c r="H5026" s="10"/>
      <c r="I5026" s="39"/>
      <c r="J5026" s="103"/>
      <c r="K5026" s="39"/>
      <c r="L5026" s="78"/>
      <c r="M5026" s="19"/>
      <c r="N5026" s="10"/>
    </row>
    <row r="5027" spans="7:14" x14ac:dyDescent="0.75">
      <c r="G5027" s="10"/>
      <c r="H5027" s="10"/>
      <c r="I5027" s="39"/>
      <c r="J5027" s="103"/>
      <c r="K5027" s="39"/>
      <c r="L5027" s="78"/>
      <c r="M5027" s="19"/>
      <c r="N5027" s="10"/>
    </row>
    <row r="5028" spans="7:14" x14ac:dyDescent="0.75">
      <c r="G5028" s="10"/>
      <c r="H5028" s="10"/>
      <c r="I5028" s="39"/>
      <c r="J5028" s="103"/>
      <c r="K5028" s="39"/>
      <c r="L5028" s="78"/>
      <c r="M5028" s="19"/>
      <c r="N5028" s="10"/>
    </row>
    <row r="5029" spans="7:14" x14ac:dyDescent="0.75">
      <c r="G5029" s="10"/>
      <c r="H5029" s="10"/>
      <c r="I5029" s="39"/>
      <c r="J5029" s="103"/>
      <c r="K5029" s="39"/>
      <c r="L5029" s="78"/>
      <c r="M5029" s="19"/>
      <c r="N5029" s="10"/>
    </row>
    <row r="5030" spans="7:14" x14ac:dyDescent="0.75">
      <c r="G5030" s="10"/>
      <c r="H5030" s="10"/>
      <c r="I5030" s="39"/>
      <c r="J5030" s="103"/>
      <c r="K5030" s="39"/>
      <c r="L5030" s="78"/>
      <c r="M5030" s="19"/>
      <c r="N5030" s="10"/>
    </row>
    <row r="5031" spans="7:14" x14ac:dyDescent="0.75">
      <c r="G5031" s="10"/>
      <c r="H5031" s="10"/>
      <c r="I5031" s="39"/>
      <c r="J5031" s="103"/>
      <c r="K5031" s="39"/>
      <c r="L5031" s="10"/>
      <c r="M5031" s="19"/>
      <c r="N5031" s="10"/>
    </row>
    <row r="5032" spans="7:14" x14ac:dyDescent="0.75">
      <c r="G5032" s="10"/>
      <c r="H5032" s="10"/>
      <c r="I5032" s="39"/>
      <c r="J5032" s="103"/>
      <c r="K5032" s="39"/>
      <c r="L5032" s="78"/>
      <c r="M5032" s="19"/>
      <c r="N5032" s="10"/>
    </row>
    <row r="5033" spans="7:14" x14ac:dyDescent="0.75">
      <c r="G5033" s="10"/>
      <c r="H5033" s="10"/>
      <c r="I5033" s="39"/>
      <c r="J5033" s="103"/>
      <c r="K5033" s="39"/>
      <c r="L5033" s="78"/>
      <c r="M5033" s="19"/>
      <c r="N5033" s="10"/>
    </row>
    <row r="5034" spans="7:14" x14ac:dyDescent="0.75">
      <c r="G5034" s="10"/>
      <c r="H5034" s="10"/>
      <c r="I5034" s="39"/>
      <c r="J5034" s="103"/>
      <c r="K5034" s="39"/>
      <c r="L5034" s="78"/>
      <c r="M5034" s="19"/>
      <c r="N5034" s="10"/>
    </row>
    <row r="5035" spans="7:14" x14ac:dyDescent="0.75">
      <c r="G5035" s="10"/>
      <c r="H5035" s="10"/>
      <c r="I5035" s="39"/>
      <c r="J5035" s="103"/>
      <c r="K5035" s="39"/>
      <c r="L5035" s="78"/>
      <c r="M5035" s="19"/>
      <c r="N5035" s="10"/>
    </row>
    <row r="5036" spans="7:14" x14ac:dyDescent="0.75">
      <c r="G5036" s="10"/>
      <c r="H5036" s="10"/>
      <c r="I5036" s="39"/>
      <c r="J5036" s="103"/>
      <c r="K5036" s="39"/>
      <c r="L5036" s="78"/>
      <c r="M5036" s="19"/>
      <c r="N5036" s="10"/>
    </row>
    <row r="5037" spans="7:14" x14ac:dyDescent="0.75">
      <c r="G5037" s="10"/>
      <c r="H5037" s="10"/>
      <c r="I5037" s="39"/>
      <c r="J5037" s="103"/>
      <c r="K5037" s="39"/>
      <c r="L5037" s="78"/>
      <c r="M5037" s="19"/>
      <c r="N5037" s="10"/>
    </row>
    <row r="5038" spans="7:14" x14ac:dyDescent="0.75">
      <c r="G5038" s="10"/>
      <c r="H5038" s="10"/>
      <c r="I5038" s="39"/>
      <c r="J5038" s="103"/>
      <c r="K5038" s="39"/>
      <c r="L5038" s="78"/>
      <c r="M5038" s="19"/>
      <c r="N5038" s="10"/>
    </row>
    <row r="5039" spans="7:14" x14ac:dyDescent="0.75">
      <c r="G5039" s="10"/>
      <c r="H5039" s="10"/>
      <c r="I5039" s="39"/>
      <c r="J5039" s="103"/>
      <c r="K5039" s="39"/>
      <c r="L5039" s="78"/>
      <c r="M5039" s="19"/>
      <c r="N5039" s="10"/>
    </row>
    <row r="5040" spans="7:14" x14ac:dyDescent="0.75">
      <c r="G5040" s="10"/>
      <c r="H5040" s="10"/>
      <c r="I5040" s="39"/>
      <c r="J5040" s="103"/>
      <c r="K5040" s="39"/>
      <c r="L5040" s="78"/>
      <c r="M5040" s="19"/>
      <c r="N5040" s="10"/>
    </row>
    <row r="5041" spans="7:14" x14ac:dyDescent="0.75">
      <c r="G5041" s="10"/>
      <c r="H5041" s="10"/>
      <c r="I5041" s="39"/>
      <c r="J5041" s="103"/>
      <c r="K5041" s="39"/>
      <c r="L5041" s="78"/>
      <c r="M5041" s="19"/>
      <c r="N5041" s="10"/>
    </row>
    <row r="5042" spans="7:14" x14ac:dyDescent="0.75">
      <c r="G5042" s="10"/>
      <c r="H5042" s="10"/>
      <c r="I5042" s="39"/>
      <c r="J5042" s="103"/>
      <c r="K5042" s="39"/>
      <c r="L5042" s="78"/>
      <c r="M5042" s="19"/>
      <c r="N5042" s="10"/>
    </row>
    <row r="5043" spans="7:14" x14ac:dyDescent="0.75">
      <c r="G5043" s="10"/>
      <c r="H5043" s="10"/>
      <c r="I5043" s="39"/>
      <c r="J5043" s="103"/>
      <c r="K5043" s="39"/>
      <c r="L5043" s="78"/>
      <c r="M5043" s="19"/>
      <c r="N5043" s="10"/>
    </row>
    <row r="5044" spans="7:14" x14ac:dyDescent="0.75">
      <c r="G5044" s="10"/>
      <c r="H5044" s="10"/>
      <c r="I5044" s="39"/>
      <c r="J5044" s="103"/>
      <c r="K5044" s="39"/>
      <c r="L5044" s="10"/>
      <c r="M5044" s="19"/>
      <c r="N5044" s="10"/>
    </row>
    <row r="5045" spans="7:14" x14ac:dyDescent="0.75">
      <c r="G5045" s="10"/>
      <c r="H5045" s="10"/>
      <c r="I5045" s="39"/>
      <c r="J5045" s="103"/>
      <c r="K5045" s="39"/>
      <c r="L5045" s="78"/>
      <c r="M5045" s="19"/>
      <c r="N5045" s="10"/>
    </row>
    <row r="5046" spans="7:14" x14ac:dyDescent="0.75">
      <c r="G5046" s="10"/>
      <c r="H5046" s="10"/>
      <c r="I5046" s="39"/>
      <c r="J5046" s="103"/>
      <c r="K5046" s="39"/>
      <c r="L5046" s="78"/>
      <c r="M5046" s="19"/>
      <c r="N5046" s="10"/>
    </row>
    <row r="5047" spans="7:14" x14ac:dyDescent="0.75">
      <c r="G5047" s="10"/>
      <c r="H5047" s="10"/>
      <c r="I5047" s="39"/>
      <c r="J5047" s="103"/>
      <c r="K5047" s="39"/>
      <c r="L5047" s="78"/>
      <c r="M5047" s="19"/>
      <c r="N5047" s="10"/>
    </row>
    <row r="5048" spans="7:14" x14ac:dyDescent="0.75">
      <c r="G5048" s="10"/>
      <c r="H5048" s="10"/>
      <c r="I5048" s="39"/>
      <c r="J5048" s="103"/>
      <c r="K5048" s="39"/>
      <c r="L5048" s="78"/>
      <c r="M5048" s="19"/>
      <c r="N5048" s="10"/>
    </row>
    <row r="5049" spans="7:14" x14ac:dyDescent="0.75">
      <c r="G5049" s="10"/>
      <c r="H5049" s="10"/>
      <c r="I5049" s="39"/>
      <c r="J5049" s="103"/>
      <c r="K5049" s="39"/>
      <c r="L5049" s="78"/>
      <c r="M5049" s="19"/>
      <c r="N5049" s="10"/>
    </row>
    <row r="5050" spans="7:14" x14ac:dyDescent="0.75">
      <c r="G5050" s="10"/>
      <c r="H5050" s="10"/>
      <c r="I5050" s="39"/>
      <c r="J5050" s="103"/>
      <c r="K5050" s="39"/>
      <c r="L5050" s="78"/>
      <c r="M5050" s="19"/>
      <c r="N5050" s="10"/>
    </row>
    <row r="5051" spans="7:14" x14ac:dyDescent="0.75">
      <c r="G5051" s="10"/>
      <c r="H5051" s="10"/>
      <c r="I5051" s="39"/>
      <c r="J5051" s="103"/>
      <c r="K5051" s="39"/>
      <c r="L5051" s="10"/>
      <c r="M5051" s="19"/>
      <c r="N5051" s="10"/>
    </row>
    <row r="5052" spans="7:14" x14ac:dyDescent="0.75">
      <c r="G5052" s="10"/>
      <c r="H5052" s="10"/>
      <c r="I5052" s="39"/>
      <c r="J5052" s="103"/>
      <c r="K5052" s="39"/>
      <c r="L5052" s="78"/>
      <c r="M5052" s="19"/>
      <c r="N5052" s="10"/>
    </row>
    <row r="5053" spans="7:14" x14ac:dyDescent="0.75">
      <c r="G5053" s="10"/>
      <c r="H5053" s="10"/>
      <c r="I5053" s="39"/>
      <c r="J5053" s="103"/>
      <c r="K5053" s="39"/>
      <c r="L5053" s="78"/>
      <c r="M5053" s="19"/>
      <c r="N5053" s="10"/>
    </row>
    <row r="5054" spans="7:14" x14ac:dyDescent="0.75">
      <c r="G5054" s="10"/>
      <c r="H5054" s="10"/>
      <c r="I5054" s="39"/>
      <c r="J5054" s="103"/>
      <c r="K5054" s="39"/>
      <c r="L5054" s="78"/>
      <c r="M5054" s="19"/>
      <c r="N5054" s="10"/>
    </row>
    <row r="5055" spans="7:14" x14ac:dyDescent="0.75">
      <c r="G5055" s="10"/>
      <c r="H5055" s="10"/>
      <c r="I5055" s="39"/>
      <c r="J5055" s="103"/>
      <c r="K5055" s="39"/>
      <c r="L5055" s="78"/>
      <c r="M5055" s="19"/>
      <c r="N5055" s="10"/>
    </row>
    <row r="5056" spans="7:14" x14ac:dyDescent="0.75">
      <c r="G5056" s="10"/>
      <c r="H5056" s="10"/>
      <c r="I5056" s="39"/>
      <c r="J5056" s="103"/>
      <c r="K5056" s="39"/>
      <c r="L5056" s="78"/>
      <c r="M5056" s="19"/>
      <c r="N5056" s="10"/>
    </row>
    <row r="5057" spans="7:14" x14ac:dyDescent="0.75">
      <c r="G5057" s="10"/>
      <c r="H5057" s="10"/>
      <c r="I5057" s="39"/>
      <c r="J5057" s="103"/>
      <c r="K5057" s="39"/>
      <c r="L5057" s="78"/>
      <c r="M5057" s="19"/>
      <c r="N5057" s="10"/>
    </row>
    <row r="5058" spans="7:14" x14ac:dyDescent="0.75">
      <c r="G5058" s="10"/>
      <c r="H5058" s="10"/>
      <c r="I5058" s="39"/>
      <c r="J5058" s="103"/>
      <c r="K5058" s="39"/>
      <c r="L5058" s="78"/>
      <c r="M5058" s="19"/>
      <c r="N5058" s="10"/>
    </row>
    <row r="5059" spans="7:14" x14ac:dyDescent="0.75">
      <c r="G5059" s="10"/>
      <c r="H5059" s="10"/>
      <c r="I5059" s="39"/>
      <c r="J5059" s="103"/>
      <c r="K5059" s="39"/>
      <c r="L5059" s="78"/>
      <c r="M5059" s="19"/>
      <c r="N5059" s="10"/>
    </row>
    <row r="5060" spans="7:14" x14ac:dyDescent="0.75">
      <c r="G5060" s="10"/>
      <c r="H5060" s="10"/>
      <c r="I5060" s="39"/>
      <c r="J5060" s="103"/>
      <c r="K5060" s="39"/>
      <c r="L5060" s="78"/>
      <c r="M5060" s="19"/>
      <c r="N5060" s="10"/>
    </row>
    <row r="5061" spans="7:14" x14ac:dyDescent="0.75">
      <c r="G5061" s="10"/>
      <c r="H5061" s="10"/>
      <c r="I5061" s="39"/>
      <c r="J5061" s="103"/>
      <c r="K5061" s="39"/>
      <c r="L5061" s="78"/>
      <c r="M5061" s="19"/>
      <c r="N5061" s="10"/>
    </row>
    <row r="5062" spans="7:14" x14ac:dyDescent="0.75">
      <c r="G5062" s="10"/>
      <c r="H5062" s="10"/>
      <c r="I5062" s="39"/>
      <c r="J5062" s="103"/>
      <c r="K5062" s="39"/>
      <c r="L5062" s="78"/>
      <c r="M5062" s="19"/>
      <c r="N5062" s="10"/>
    </row>
    <row r="5063" spans="7:14" x14ac:dyDescent="0.75">
      <c r="G5063" s="10"/>
      <c r="H5063" s="10"/>
      <c r="I5063" s="39"/>
      <c r="J5063" s="103"/>
      <c r="K5063" s="39"/>
      <c r="L5063" s="78"/>
      <c r="M5063" s="19"/>
      <c r="N5063" s="10"/>
    </row>
    <row r="5064" spans="7:14" x14ac:dyDescent="0.75">
      <c r="G5064" s="10"/>
      <c r="H5064" s="10"/>
      <c r="I5064" s="39"/>
      <c r="J5064" s="103"/>
      <c r="K5064" s="39"/>
      <c r="L5064" s="78"/>
      <c r="M5064" s="19"/>
      <c r="N5064" s="10"/>
    </row>
    <row r="5065" spans="7:14" x14ac:dyDescent="0.75">
      <c r="G5065" s="10"/>
      <c r="H5065" s="10"/>
      <c r="I5065" s="39"/>
      <c r="J5065" s="103"/>
      <c r="K5065" s="39"/>
      <c r="L5065" s="78"/>
      <c r="M5065" s="19"/>
      <c r="N5065" s="10"/>
    </row>
    <row r="5066" spans="7:14" x14ac:dyDescent="0.75">
      <c r="G5066" s="10"/>
      <c r="H5066" s="10"/>
      <c r="I5066" s="39"/>
      <c r="J5066" s="103"/>
      <c r="K5066" s="39"/>
      <c r="L5066" s="78"/>
      <c r="M5066" s="19"/>
      <c r="N5066" s="10"/>
    </row>
    <row r="5067" spans="7:14" x14ac:dyDescent="0.75">
      <c r="G5067" s="10"/>
      <c r="H5067" s="10"/>
      <c r="I5067" s="39"/>
      <c r="J5067" s="103"/>
      <c r="K5067" s="39"/>
      <c r="L5067" s="78"/>
      <c r="M5067" s="19"/>
      <c r="N5067" s="10"/>
    </row>
    <row r="5068" spans="7:14" x14ac:dyDescent="0.75">
      <c r="G5068" s="10"/>
      <c r="H5068" s="10"/>
      <c r="I5068" s="39"/>
      <c r="J5068" s="103"/>
      <c r="K5068" s="39"/>
      <c r="L5068" s="78"/>
      <c r="M5068" s="19"/>
      <c r="N5068" s="10"/>
    </row>
    <row r="5069" spans="7:14" x14ac:dyDescent="0.75">
      <c r="G5069" s="10"/>
      <c r="H5069" s="10"/>
      <c r="I5069" s="39"/>
      <c r="J5069" s="103"/>
      <c r="K5069" s="39"/>
      <c r="L5069" s="78"/>
      <c r="M5069" s="19"/>
      <c r="N5069" s="10"/>
    </row>
    <row r="5070" spans="7:14" x14ac:dyDescent="0.75">
      <c r="G5070" s="10"/>
      <c r="H5070" s="10"/>
      <c r="I5070" s="39"/>
      <c r="J5070" s="103"/>
      <c r="K5070" s="39"/>
      <c r="L5070" s="78"/>
      <c r="M5070" s="19"/>
      <c r="N5070" s="10"/>
    </row>
    <row r="5071" spans="7:14" x14ac:dyDescent="0.75">
      <c r="G5071" s="10"/>
      <c r="H5071" s="10"/>
      <c r="I5071" s="39"/>
      <c r="J5071" s="103"/>
      <c r="K5071" s="39"/>
      <c r="L5071" s="78"/>
      <c r="M5071" s="19"/>
      <c r="N5071" s="10"/>
    </row>
    <row r="5072" spans="7:14" x14ac:dyDescent="0.75">
      <c r="G5072" s="10"/>
      <c r="H5072" s="10"/>
      <c r="I5072" s="39"/>
      <c r="J5072" s="103"/>
      <c r="K5072" s="39"/>
      <c r="L5072" s="78"/>
      <c r="M5072" s="19"/>
      <c r="N5072" s="10"/>
    </row>
    <row r="5073" spans="7:14" x14ac:dyDescent="0.75">
      <c r="G5073" s="10"/>
      <c r="H5073" s="10"/>
      <c r="I5073" s="39"/>
      <c r="J5073" s="103"/>
      <c r="K5073" s="39"/>
      <c r="L5073" s="78"/>
      <c r="M5073" s="19"/>
      <c r="N5073" s="10"/>
    </row>
    <row r="5074" spans="7:14" x14ac:dyDescent="0.75">
      <c r="G5074" s="10"/>
      <c r="H5074" s="10"/>
      <c r="I5074" s="39"/>
      <c r="J5074" s="103"/>
      <c r="K5074" s="39"/>
      <c r="L5074" s="78"/>
      <c r="M5074" s="19"/>
      <c r="N5074" s="10"/>
    </row>
    <row r="5075" spans="7:14" x14ac:dyDescent="0.75">
      <c r="G5075" s="10"/>
      <c r="H5075" s="10"/>
      <c r="I5075" s="39"/>
      <c r="J5075" s="103"/>
      <c r="K5075" s="39"/>
      <c r="L5075" s="78"/>
      <c r="M5075" s="19"/>
      <c r="N5075" s="10"/>
    </row>
    <row r="5076" spans="7:14" x14ac:dyDescent="0.75">
      <c r="G5076" s="10"/>
      <c r="H5076" s="10"/>
      <c r="I5076" s="39"/>
      <c r="J5076" s="103"/>
      <c r="K5076" s="39"/>
      <c r="L5076" s="78"/>
      <c r="M5076" s="19"/>
      <c r="N5076" s="10"/>
    </row>
    <row r="5077" spans="7:14" x14ac:dyDescent="0.75">
      <c r="G5077" s="10"/>
      <c r="H5077" s="10"/>
      <c r="I5077" s="39"/>
      <c r="J5077" s="103"/>
      <c r="K5077" s="39"/>
      <c r="L5077" s="78"/>
      <c r="M5077" s="19"/>
      <c r="N5077" s="10"/>
    </row>
    <row r="5078" spans="7:14" x14ac:dyDescent="0.75">
      <c r="G5078" s="10"/>
      <c r="H5078" s="10"/>
      <c r="I5078" s="39"/>
      <c r="J5078" s="103"/>
      <c r="K5078" s="39"/>
      <c r="L5078" s="78"/>
      <c r="M5078" s="19"/>
      <c r="N5078" s="10"/>
    </row>
    <row r="5079" spans="7:14" x14ac:dyDescent="0.75">
      <c r="G5079" s="10"/>
      <c r="H5079" s="10"/>
      <c r="I5079" s="39"/>
      <c r="J5079" s="103"/>
      <c r="K5079" s="39"/>
      <c r="L5079" s="78"/>
      <c r="M5079" s="19"/>
      <c r="N5079" s="10"/>
    </row>
    <row r="5080" spans="7:14" x14ac:dyDescent="0.75">
      <c r="G5080" s="10"/>
      <c r="H5080" s="10"/>
      <c r="I5080" s="39"/>
      <c r="J5080" s="103"/>
      <c r="K5080" s="39"/>
      <c r="L5080" s="78"/>
      <c r="M5080" s="19"/>
      <c r="N5080" s="10"/>
    </row>
    <row r="5081" spans="7:14" x14ac:dyDescent="0.75">
      <c r="G5081" s="10"/>
      <c r="H5081" s="10"/>
      <c r="I5081" s="39"/>
      <c r="J5081" s="103"/>
      <c r="K5081" s="39"/>
      <c r="L5081" s="78"/>
      <c r="M5081" s="19"/>
      <c r="N5081" s="10"/>
    </row>
    <row r="5082" spans="7:14" x14ac:dyDescent="0.75">
      <c r="G5082" s="10"/>
      <c r="H5082" s="10"/>
      <c r="I5082" s="39"/>
      <c r="J5082" s="103"/>
      <c r="K5082" s="39"/>
      <c r="L5082" s="78"/>
      <c r="M5082" s="19"/>
      <c r="N5082" s="10"/>
    </row>
    <row r="5083" spans="7:14" x14ac:dyDescent="0.75">
      <c r="G5083" s="10"/>
      <c r="H5083" s="10"/>
      <c r="I5083" s="39"/>
      <c r="J5083" s="103"/>
      <c r="K5083" s="39"/>
      <c r="L5083" s="78"/>
      <c r="M5083" s="19"/>
      <c r="N5083" s="10"/>
    </row>
    <row r="5084" spans="7:14" x14ac:dyDescent="0.75">
      <c r="G5084" s="10"/>
      <c r="H5084" s="10"/>
      <c r="I5084" s="39"/>
      <c r="J5084" s="103"/>
      <c r="K5084" s="39"/>
      <c r="L5084" s="78"/>
      <c r="M5084" s="19"/>
      <c r="N5084" s="10"/>
    </row>
    <row r="5085" spans="7:14" x14ac:dyDescent="0.75">
      <c r="G5085" s="10"/>
      <c r="H5085" s="10"/>
      <c r="I5085" s="39"/>
      <c r="J5085" s="103"/>
      <c r="K5085" s="39"/>
      <c r="L5085" s="78"/>
      <c r="M5085" s="19"/>
      <c r="N5085" s="10"/>
    </row>
    <row r="5086" spans="7:14" x14ac:dyDescent="0.75">
      <c r="G5086" s="10"/>
      <c r="H5086" s="10"/>
      <c r="I5086" s="39"/>
      <c r="J5086" s="103"/>
      <c r="K5086" s="39"/>
      <c r="L5086" s="78"/>
      <c r="M5086" s="19"/>
      <c r="N5086" s="10"/>
    </row>
    <row r="5087" spans="7:14" x14ac:dyDescent="0.75">
      <c r="G5087" s="10"/>
      <c r="H5087" s="10"/>
      <c r="I5087" s="39"/>
      <c r="J5087" s="103"/>
      <c r="K5087" s="39"/>
      <c r="L5087" s="10"/>
      <c r="M5087" s="19"/>
      <c r="N5087" s="10"/>
    </row>
    <row r="5088" spans="7:14" x14ac:dyDescent="0.75">
      <c r="G5088" s="10"/>
      <c r="H5088" s="10"/>
      <c r="I5088" s="39"/>
      <c r="J5088" s="103"/>
      <c r="K5088" s="39"/>
      <c r="L5088" s="78"/>
      <c r="M5088" s="19"/>
      <c r="N5088" s="10"/>
    </row>
    <row r="5089" spans="7:14" x14ac:dyDescent="0.75">
      <c r="G5089" s="10"/>
      <c r="H5089" s="10"/>
      <c r="I5089" s="39"/>
      <c r="J5089" s="103"/>
      <c r="K5089" s="39"/>
      <c r="L5089" s="78"/>
      <c r="M5089" s="19"/>
      <c r="N5089" s="10"/>
    </row>
    <row r="5090" spans="7:14" x14ac:dyDescent="0.75">
      <c r="G5090" s="10"/>
      <c r="H5090" s="10"/>
      <c r="I5090" s="39"/>
      <c r="J5090" s="103"/>
      <c r="K5090" s="39"/>
      <c r="L5090" s="78"/>
      <c r="M5090" s="19"/>
      <c r="N5090" s="10"/>
    </row>
    <row r="5091" spans="7:14" x14ac:dyDescent="0.75">
      <c r="G5091" s="10"/>
      <c r="H5091" s="10"/>
      <c r="I5091" s="39"/>
      <c r="J5091" s="103"/>
      <c r="K5091" s="39"/>
      <c r="L5091" s="78"/>
      <c r="M5091" s="19"/>
      <c r="N5091" s="10"/>
    </row>
    <row r="5092" spans="7:14" x14ac:dyDescent="0.75">
      <c r="G5092" s="10"/>
      <c r="H5092" s="10"/>
      <c r="I5092" s="39"/>
      <c r="J5092" s="103"/>
      <c r="K5092" s="39"/>
      <c r="L5092" s="78"/>
      <c r="M5092" s="19"/>
      <c r="N5092" s="10"/>
    </row>
    <row r="5093" spans="7:14" x14ac:dyDescent="0.75">
      <c r="G5093" s="10"/>
      <c r="H5093" s="10"/>
      <c r="I5093" s="39"/>
      <c r="J5093" s="103"/>
      <c r="K5093" s="39"/>
      <c r="L5093" s="78"/>
      <c r="M5093" s="19"/>
      <c r="N5093" s="10"/>
    </row>
    <row r="5094" spans="7:14" x14ac:dyDescent="0.75">
      <c r="G5094" s="10"/>
      <c r="H5094" s="10"/>
      <c r="I5094" s="39"/>
      <c r="J5094" s="103"/>
      <c r="K5094" s="39"/>
      <c r="L5094" s="78"/>
      <c r="M5094" s="19"/>
      <c r="N5094" s="10"/>
    </row>
    <row r="5095" spans="7:14" x14ac:dyDescent="0.75">
      <c r="G5095" s="10"/>
      <c r="H5095" s="10"/>
      <c r="I5095" s="39"/>
      <c r="J5095" s="103"/>
      <c r="K5095" s="39"/>
      <c r="L5095" s="78"/>
      <c r="M5095" s="19"/>
      <c r="N5095" s="10"/>
    </row>
    <row r="5096" spans="7:14" x14ac:dyDescent="0.75">
      <c r="G5096" s="10"/>
      <c r="H5096" s="10"/>
      <c r="I5096" s="39"/>
      <c r="J5096" s="103"/>
      <c r="K5096" s="39"/>
      <c r="L5096" s="10"/>
      <c r="M5096" s="19"/>
      <c r="N5096" s="10"/>
    </row>
    <row r="5097" spans="7:14" x14ac:dyDescent="0.75">
      <c r="G5097" s="10"/>
      <c r="H5097" s="10"/>
      <c r="I5097" s="39"/>
      <c r="J5097" s="103"/>
      <c r="K5097" s="39"/>
      <c r="L5097" s="10"/>
      <c r="M5097" s="19"/>
      <c r="N5097" s="10"/>
    </row>
    <row r="5098" spans="7:14" x14ac:dyDescent="0.75">
      <c r="G5098" s="10"/>
      <c r="H5098" s="10"/>
      <c r="I5098" s="39"/>
      <c r="J5098" s="103"/>
      <c r="K5098" s="39"/>
      <c r="L5098" s="10"/>
      <c r="M5098" s="19"/>
      <c r="N5098" s="10"/>
    </row>
    <row r="5099" spans="7:14" x14ac:dyDescent="0.75">
      <c r="G5099" s="10"/>
      <c r="H5099" s="10"/>
      <c r="I5099" s="39"/>
      <c r="J5099" s="103"/>
      <c r="K5099" s="39"/>
      <c r="L5099" s="78"/>
      <c r="M5099" s="19"/>
      <c r="N5099" s="10"/>
    </row>
    <row r="5100" spans="7:14" x14ac:dyDescent="0.75">
      <c r="G5100" s="10"/>
      <c r="H5100" s="10"/>
      <c r="I5100" s="39"/>
      <c r="J5100" s="103"/>
      <c r="K5100" s="39"/>
      <c r="L5100" s="78"/>
      <c r="M5100" s="19"/>
      <c r="N5100" s="10"/>
    </row>
    <row r="5101" spans="7:14" x14ac:dyDescent="0.75">
      <c r="G5101" s="10"/>
      <c r="H5101" s="10"/>
      <c r="I5101" s="39"/>
      <c r="J5101" s="103"/>
      <c r="K5101" s="39"/>
      <c r="L5101" s="78"/>
      <c r="M5101" s="19"/>
      <c r="N5101" s="10"/>
    </row>
    <row r="5102" spans="7:14" x14ac:dyDescent="0.75">
      <c r="G5102" s="10"/>
      <c r="H5102" s="10"/>
      <c r="I5102" s="39"/>
      <c r="J5102" s="103"/>
      <c r="K5102" s="39"/>
      <c r="L5102" s="78"/>
      <c r="M5102" s="19"/>
      <c r="N5102" s="10"/>
    </row>
    <row r="5103" spans="7:14" x14ac:dyDescent="0.75">
      <c r="G5103" s="10"/>
      <c r="H5103" s="10"/>
      <c r="I5103" s="39"/>
      <c r="J5103" s="103"/>
      <c r="K5103" s="39"/>
      <c r="L5103" s="78"/>
      <c r="M5103" s="19"/>
      <c r="N5103" s="10"/>
    </row>
    <row r="5104" spans="7:14" x14ac:dyDescent="0.75">
      <c r="G5104" s="10"/>
      <c r="H5104" s="10"/>
      <c r="I5104" s="39"/>
      <c r="J5104" s="103"/>
      <c r="K5104" s="39"/>
      <c r="L5104" s="78"/>
      <c r="M5104" s="19"/>
      <c r="N5104" s="10"/>
    </row>
    <row r="5105" spans="7:14" x14ac:dyDescent="0.75">
      <c r="G5105" s="10"/>
      <c r="H5105" s="10"/>
      <c r="I5105" s="39"/>
      <c r="J5105" s="103"/>
      <c r="K5105" s="39"/>
      <c r="L5105" s="78"/>
      <c r="M5105" s="19"/>
      <c r="N5105" s="10"/>
    </row>
    <row r="5106" spans="7:14" x14ac:dyDescent="0.75">
      <c r="G5106" s="10"/>
      <c r="H5106" s="10"/>
      <c r="I5106" s="39"/>
      <c r="J5106" s="103"/>
      <c r="K5106" s="39"/>
      <c r="L5106" s="78"/>
      <c r="M5106" s="19"/>
      <c r="N5106" s="10"/>
    </row>
    <row r="5107" spans="7:14" x14ac:dyDescent="0.75">
      <c r="G5107" s="10"/>
      <c r="H5107" s="10"/>
      <c r="I5107" s="39"/>
      <c r="J5107" s="103"/>
      <c r="K5107" s="39"/>
      <c r="L5107" s="10"/>
      <c r="M5107" s="19"/>
      <c r="N5107" s="10"/>
    </row>
    <row r="5108" spans="7:14" x14ac:dyDescent="0.75">
      <c r="G5108" s="10"/>
      <c r="H5108" s="10"/>
      <c r="I5108" s="39"/>
      <c r="J5108" s="103"/>
      <c r="K5108" s="39"/>
      <c r="L5108" s="10"/>
      <c r="M5108" s="19"/>
      <c r="N5108" s="10"/>
    </row>
    <row r="5109" spans="7:14" x14ac:dyDescent="0.75">
      <c r="G5109" s="10"/>
      <c r="H5109" s="10"/>
      <c r="I5109" s="39"/>
      <c r="J5109" s="103"/>
      <c r="K5109" s="39"/>
      <c r="L5109" s="78"/>
      <c r="M5109" s="19"/>
      <c r="N5109" s="10"/>
    </row>
    <row r="5110" spans="7:14" x14ac:dyDescent="0.75">
      <c r="G5110" s="10"/>
      <c r="H5110" s="10"/>
      <c r="I5110" s="39"/>
      <c r="J5110" s="103"/>
      <c r="K5110" s="39"/>
      <c r="L5110" s="78"/>
      <c r="M5110" s="19"/>
      <c r="N5110" s="10"/>
    </row>
    <row r="5111" spans="7:14" x14ac:dyDescent="0.75">
      <c r="G5111" s="10"/>
      <c r="H5111" s="10"/>
      <c r="I5111" s="39"/>
      <c r="J5111" s="103"/>
      <c r="K5111" s="39"/>
      <c r="L5111" s="78"/>
      <c r="M5111" s="19"/>
      <c r="N5111" s="10"/>
    </row>
    <row r="5112" spans="7:14" x14ac:dyDescent="0.75">
      <c r="G5112" s="10"/>
      <c r="H5112" s="10"/>
      <c r="I5112" s="39"/>
      <c r="J5112" s="103"/>
      <c r="K5112" s="39"/>
      <c r="L5112" s="78"/>
      <c r="M5112" s="19"/>
      <c r="N5112" s="10"/>
    </row>
    <row r="5113" spans="7:14" x14ac:dyDescent="0.75">
      <c r="G5113" s="10"/>
      <c r="H5113" s="10"/>
      <c r="I5113" s="39"/>
      <c r="J5113" s="103"/>
      <c r="K5113" s="39"/>
      <c r="L5113" s="10"/>
      <c r="M5113" s="19"/>
      <c r="N5113" s="10"/>
    </row>
    <row r="5114" spans="7:14" x14ac:dyDescent="0.75">
      <c r="G5114" s="10"/>
      <c r="H5114" s="10"/>
      <c r="I5114" s="39"/>
      <c r="J5114" s="103"/>
      <c r="K5114" s="39"/>
      <c r="L5114" s="78"/>
      <c r="M5114" s="19"/>
      <c r="N5114" s="10"/>
    </row>
    <row r="5115" spans="7:14" x14ac:dyDescent="0.75">
      <c r="G5115" s="10"/>
      <c r="H5115" s="10"/>
      <c r="I5115" s="39"/>
      <c r="J5115" s="103"/>
      <c r="K5115" s="39"/>
      <c r="L5115" s="78"/>
      <c r="M5115" s="19"/>
      <c r="N5115" s="10"/>
    </row>
    <row r="5116" spans="7:14" x14ac:dyDescent="0.75">
      <c r="G5116" s="10"/>
      <c r="H5116" s="10"/>
      <c r="I5116" s="39"/>
      <c r="J5116" s="103"/>
      <c r="K5116" s="39"/>
      <c r="L5116" s="78"/>
      <c r="M5116" s="19"/>
      <c r="N5116" s="10"/>
    </row>
    <row r="5117" spans="7:14" x14ac:dyDescent="0.75">
      <c r="G5117" s="10"/>
      <c r="H5117" s="10"/>
      <c r="I5117" s="39"/>
      <c r="J5117" s="103"/>
      <c r="K5117" s="39"/>
      <c r="L5117" s="10"/>
      <c r="M5117" s="19"/>
      <c r="N5117" s="10"/>
    </row>
    <row r="5118" spans="7:14" x14ac:dyDescent="0.75">
      <c r="G5118" s="10"/>
      <c r="H5118" s="10"/>
      <c r="I5118" s="39"/>
      <c r="J5118" s="103"/>
      <c r="K5118" s="39"/>
      <c r="L5118" s="10"/>
      <c r="M5118" s="19"/>
      <c r="N5118" s="10"/>
    </row>
    <row r="5119" spans="7:14" x14ac:dyDescent="0.75">
      <c r="G5119" s="10"/>
      <c r="H5119" s="10"/>
      <c r="I5119" s="39"/>
      <c r="J5119" s="103"/>
      <c r="K5119" s="39"/>
      <c r="L5119" s="10"/>
      <c r="M5119" s="19"/>
      <c r="N5119" s="10"/>
    </row>
    <row r="5120" spans="7:14" x14ac:dyDescent="0.75">
      <c r="G5120" s="10"/>
      <c r="H5120" s="10"/>
      <c r="I5120" s="39"/>
      <c r="J5120" s="103"/>
      <c r="K5120" s="39"/>
      <c r="L5120" s="78"/>
      <c r="M5120" s="19"/>
      <c r="N5120" s="10"/>
    </row>
    <row r="5121" spans="7:14" x14ac:dyDescent="0.75">
      <c r="G5121" s="10"/>
      <c r="H5121" s="10"/>
      <c r="I5121" s="39"/>
      <c r="J5121" s="103"/>
      <c r="K5121" s="39"/>
      <c r="L5121" s="78"/>
      <c r="M5121" s="19"/>
      <c r="N5121" s="10"/>
    </row>
    <row r="5122" spans="7:14" x14ac:dyDescent="0.75">
      <c r="G5122" s="10"/>
      <c r="H5122" s="10"/>
      <c r="I5122" s="39"/>
      <c r="J5122" s="103"/>
      <c r="K5122" s="39"/>
      <c r="L5122" s="78"/>
      <c r="M5122" s="19"/>
      <c r="N5122" s="10"/>
    </row>
    <row r="5123" spans="7:14" x14ac:dyDescent="0.75">
      <c r="G5123" s="10"/>
      <c r="H5123" s="10"/>
      <c r="I5123" s="39"/>
      <c r="J5123" s="103"/>
      <c r="K5123" s="39"/>
      <c r="L5123" s="78"/>
      <c r="M5123" s="19"/>
      <c r="N5123" s="10"/>
    </row>
    <row r="5124" spans="7:14" x14ac:dyDescent="0.75">
      <c r="G5124" s="10"/>
      <c r="H5124" s="10"/>
      <c r="I5124" s="39"/>
      <c r="J5124" s="103"/>
      <c r="K5124" s="39"/>
      <c r="L5124" s="78"/>
      <c r="M5124" s="19"/>
      <c r="N5124" s="10"/>
    </row>
    <row r="5125" spans="7:14" x14ac:dyDescent="0.75">
      <c r="G5125" s="10"/>
      <c r="H5125" s="10"/>
      <c r="I5125" s="39"/>
      <c r="J5125" s="103"/>
      <c r="K5125" s="39"/>
      <c r="L5125" s="78"/>
      <c r="M5125" s="19"/>
      <c r="N5125" s="10"/>
    </row>
    <row r="5126" spans="7:14" x14ac:dyDescent="0.75">
      <c r="G5126" s="10"/>
      <c r="H5126" s="10"/>
      <c r="I5126" s="39"/>
      <c r="J5126" s="103"/>
      <c r="K5126" s="39"/>
      <c r="L5126" s="78"/>
      <c r="M5126" s="19"/>
      <c r="N5126" s="10"/>
    </row>
    <row r="5127" spans="7:14" x14ac:dyDescent="0.75">
      <c r="G5127" s="10"/>
      <c r="H5127" s="10"/>
      <c r="I5127" s="39"/>
      <c r="J5127" s="103"/>
      <c r="K5127" s="39"/>
      <c r="L5127" s="78"/>
      <c r="M5127" s="19"/>
      <c r="N5127" s="10"/>
    </row>
    <row r="5128" spans="7:14" x14ac:dyDescent="0.75">
      <c r="G5128" s="10"/>
      <c r="H5128" s="10"/>
      <c r="I5128" s="39"/>
      <c r="J5128" s="103"/>
      <c r="K5128" s="39"/>
      <c r="L5128" s="78"/>
      <c r="M5128" s="19"/>
      <c r="N5128" s="10"/>
    </row>
    <row r="5129" spans="7:14" x14ac:dyDescent="0.75">
      <c r="G5129" s="10"/>
      <c r="H5129" s="10"/>
      <c r="I5129" s="39"/>
      <c r="J5129" s="103"/>
      <c r="K5129" s="39"/>
      <c r="L5129" s="78"/>
      <c r="M5129" s="19"/>
      <c r="N5129" s="10"/>
    </row>
    <row r="5130" spans="7:14" x14ac:dyDescent="0.75">
      <c r="G5130" s="10"/>
      <c r="H5130" s="10"/>
      <c r="I5130" s="39"/>
      <c r="J5130" s="103"/>
      <c r="K5130" s="39"/>
      <c r="L5130" s="78"/>
      <c r="M5130" s="19"/>
      <c r="N5130" s="10"/>
    </row>
    <row r="5131" spans="7:14" x14ac:dyDescent="0.75">
      <c r="G5131" s="10"/>
      <c r="H5131" s="10"/>
      <c r="I5131" s="39"/>
      <c r="J5131" s="103"/>
      <c r="K5131" s="39"/>
      <c r="L5131" s="78"/>
      <c r="M5131" s="19"/>
      <c r="N5131" s="10"/>
    </row>
    <row r="5132" spans="7:14" x14ac:dyDescent="0.75">
      <c r="G5132" s="10"/>
      <c r="H5132" s="10"/>
      <c r="I5132" s="39"/>
      <c r="J5132" s="103"/>
      <c r="K5132" s="39"/>
      <c r="L5132" s="78"/>
      <c r="M5132" s="19"/>
      <c r="N5132" s="10"/>
    </row>
    <row r="5133" spans="7:14" x14ac:dyDescent="0.75">
      <c r="G5133" s="10"/>
      <c r="H5133" s="10"/>
      <c r="I5133" s="39"/>
      <c r="J5133" s="103"/>
      <c r="K5133" s="39"/>
      <c r="L5133" s="78"/>
      <c r="M5133" s="19"/>
      <c r="N5133" s="10"/>
    </row>
    <row r="5134" spans="7:14" x14ac:dyDescent="0.75">
      <c r="G5134" s="10"/>
      <c r="H5134" s="10"/>
      <c r="I5134" s="39"/>
      <c r="J5134" s="103"/>
      <c r="K5134" s="39"/>
      <c r="L5134" s="78"/>
      <c r="M5134" s="19"/>
      <c r="N5134" s="10"/>
    </row>
    <row r="5135" spans="7:14" x14ac:dyDescent="0.75">
      <c r="G5135" s="10"/>
      <c r="H5135" s="10"/>
      <c r="I5135" s="39"/>
      <c r="J5135" s="103"/>
      <c r="K5135" s="39"/>
      <c r="L5135" s="78"/>
      <c r="M5135" s="19"/>
      <c r="N5135" s="10"/>
    </row>
    <row r="5136" spans="7:14" x14ac:dyDescent="0.75">
      <c r="G5136" s="10"/>
      <c r="H5136" s="10"/>
      <c r="I5136" s="39"/>
      <c r="J5136" s="103"/>
      <c r="K5136" s="39"/>
      <c r="L5136" s="78"/>
      <c r="M5136" s="19"/>
      <c r="N5136" s="10"/>
    </row>
    <row r="5137" spans="7:14" x14ac:dyDescent="0.75">
      <c r="G5137" s="10"/>
      <c r="H5137" s="10"/>
      <c r="I5137" s="39"/>
      <c r="J5137" s="103"/>
      <c r="K5137" s="39"/>
      <c r="L5137" s="78"/>
      <c r="M5137" s="19"/>
      <c r="N5137" s="10"/>
    </row>
    <row r="5138" spans="7:14" x14ac:dyDescent="0.75">
      <c r="G5138" s="10"/>
      <c r="H5138" s="10"/>
      <c r="I5138" s="39"/>
      <c r="J5138" s="103"/>
      <c r="K5138" s="39"/>
      <c r="L5138" s="78"/>
      <c r="M5138" s="19"/>
      <c r="N5138" s="10"/>
    </row>
    <row r="5139" spans="7:14" x14ac:dyDescent="0.75">
      <c r="G5139" s="10"/>
      <c r="H5139" s="10"/>
      <c r="I5139" s="39"/>
      <c r="J5139" s="103"/>
      <c r="K5139" s="39"/>
      <c r="L5139" s="78"/>
      <c r="M5139" s="19"/>
      <c r="N5139" s="10"/>
    </row>
    <row r="5140" spans="7:14" x14ac:dyDescent="0.75">
      <c r="G5140" s="10"/>
      <c r="H5140" s="10"/>
      <c r="I5140" s="39"/>
      <c r="J5140" s="103"/>
      <c r="K5140" s="39"/>
      <c r="L5140" s="78"/>
      <c r="M5140" s="19"/>
      <c r="N5140" s="10"/>
    </row>
    <row r="5141" spans="7:14" x14ac:dyDescent="0.75">
      <c r="G5141" s="10"/>
      <c r="H5141" s="10"/>
      <c r="I5141" s="39"/>
      <c r="J5141" s="103"/>
      <c r="K5141" s="39"/>
      <c r="L5141" s="78"/>
      <c r="M5141" s="19"/>
      <c r="N5141" s="10"/>
    </row>
    <row r="5142" spans="7:14" x14ac:dyDescent="0.75">
      <c r="G5142" s="10"/>
      <c r="H5142" s="10"/>
      <c r="I5142" s="39"/>
      <c r="J5142" s="103"/>
      <c r="K5142" s="39"/>
      <c r="L5142" s="78"/>
      <c r="M5142" s="19"/>
      <c r="N5142" s="10"/>
    </row>
    <row r="5143" spans="7:14" x14ac:dyDescent="0.75">
      <c r="G5143" s="10"/>
      <c r="H5143" s="10"/>
      <c r="I5143" s="39"/>
      <c r="J5143" s="103"/>
      <c r="K5143" s="39"/>
      <c r="L5143" s="78"/>
      <c r="M5143" s="19"/>
      <c r="N5143" s="10"/>
    </row>
    <row r="5144" spans="7:14" x14ac:dyDescent="0.75">
      <c r="G5144" s="10"/>
      <c r="H5144" s="10"/>
      <c r="I5144" s="39"/>
      <c r="J5144" s="103"/>
      <c r="K5144" s="39"/>
      <c r="L5144" s="10"/>
      <c r="M5144" s="19"/>
      <c r="N5144" s="10"/>
    </row>
    <row r="5145" spans="7:14" x14ac:dyDescent="0.75">
      <c r="G5145" s="10"/>
      <c r="H5145" s="10"/>
      <c r="I5145" s="39"/>
      <c r="J5145" s="103"/>
      <c r="K5145" s="39"/>
      <c r="L5145" s="10"/>
      <c r="M5145" s="19"/>
      <c r="N5145" s="10"/>
    </row>
    <row r="5146" spans="7:14" x14ac:dyDescent="0.75">
      <c r="G5146" s="10"/>
      <c r="H5146" s="10"/>
      <c r="I5146" s="39"/>
      <c r="J5146" s="103"/>
      <c r="K5146" s="39"/>
      <c r="L5146" s="10"/>
      <c r="M5146" s="19"/>
      <c r="N5146" s="10"/>
    </row>
    <row r="5147" spans="7:14" x14ac:dyDescent="0.75">
      <c r="G5147" s="10"/>
      <c r="H5147" s="10"/>
      <c r="I5147" s="39"/>
      <c r="J5147" s="103"/>
      <c r="K5147" s="39"/>
      <c r="L5147" s="10"/>
      <c r="M5147" s="19"/>
      <c r="N5147" s="10"/>
    </row>
    <row r="5148" spans="7:14" x14ac:dyDescent="0.75">
      <c r="G5148" s="10"/>
      <c r="H5148" s="10"/>
      <c r="I5148" s="39"/>
      <c r="J5148" s="103"/>
      <c r="K5148" s="39"/>
      <c r="L5148" s="78"/>
      <c r="M5148" s="19"/>
      <c r="N5148" s="10"/>
    </row>
    <row r="5149" spans="7:14" x14ac:dyDescent="0.75">
      <c r="G5149" s="10"/>
      <c r="H5149" s="10"/>
      <c r="I5149" s="39"/>
      <c r="J5149" s="103"/>
      <c r="K5149" s="39"/>
      <c r="L5149" s="78"/>
      <c r="M5149" s="19"/>
      <c r="N5149" s="10"/>
    </row>
    <row r="5150" spans="7:14" x14ac:dyDescent="0.75">
      <c r="G5150" s="10"/>
      <c r="H5150" s="10"/>
      <c r="I5150" s="39"/>
      <c r="J5150" s="103"/>
      <c r="K5150" s="39"/>
      <c r="L5150" s="78"/>
      <c r="M5150" s="19"/>
      <c r="N5150" s="10"/>
    </row>
    <row r="5151" spans="7:14" x14ac:dyDescent="0.75">
      <c r="G5151" s="10"/>
      <c r="H5151" s="10"/>
      <c r="I5151" s="39"/>
      <c r="J5151" s="103"/>
      <c r="K5151" s="39"/>
      <c r="L5151" s="78"/>
      <c r="M5151" s="19"/>
      <c r="N5151" s="10"/>
    </row>
    <row r="5152" spans="7:14" x14ac:dyDescent="0.75">
      <c r="G5152" s="10"/>
      <c r="H5152" s="10"/>
      <c r="I5152" s="39"/>
      <c r="J5152" s="103"/>
      <c r="K5152" s="39"/>
      <c r="L5152" s="78"/>
      <c r="M5152" s="19"/>
      <c r="N5152" s="10"/>
    </row>
    <row r="5153" spans="7:14" x14ac:dyDescent="0.75">
      <c r="G5153" s="10"/>
      <c r="H5153" s="10"/>
      <c r="I5153" s="39"/>
      <c r="J5153" s="103"/>
      <c r="K5153" s="39"/>
      <c r="L5153" s="78"/>
      <c r="M5153" s="19"/>
      <c r="N5153" s="10"/>
    </row>
    <row r="5154" spans="7:14" x14ac:dyDescent="0.75">
      <c r="G5154" s="10"/>
      <c r="H5154" s="10"/>
      <c r="I5154" s="39"/>
      <c r="J5154" s="103"/>
      <c r="K5154" s="39"/>
      <c r="L5154" s="78"/>
      <c r="M5154" s="19"/>
      <c r="N5154" s="10"/>
    </row>
    <row r="5155" spans="7:14" x14ac:dyDescent="0.75">
      <c r="G5155" s="10"/>
      <c r="H5155" s="10"/>
      <c r="I5155" s="39"/>
      <c r="J5155" s="103"/>
      <c r="K5155" s="39"/>
      <c r="L5155" s="78"/>
      <c r="M5155" s="19"/>
      <c r="N5155" s="10"/>
    </row>
    <row r="5156" spans="7:14" x14ac:dyDescent="0.75">
      <c r="G5156" s="10"/>
      <c r="H5156" s="10"/>
      <c r="I5156" s="39"/>
      <c r="J5156" s="103"/>
      <c r="K5156" s="39"/>
      <c r="L5156" s="10"/>
      <c r="M5156" s="19"/>
      <c r="N5156" s="10"/>
    </row>
    <row r="5157" spans="7:14" x14ac:dyDescent="0.75">
      <c r="G5157" s="10"/>
      <c r="H5157" s="10"/>
      <c r="I5157" s="39"/>
      <c r="J5157" s="103"/>
      <c r="K5157" s="39"/>
      <c r="L5157" s="78"/>
      <c r="M5157" s="19"/>
      <c r="N5157" s="10"/>
    </row>
    <row r="5158" spans="7:14" x14ac:dyDescent="0.75">
      <c r="G5158" s="10"/>
      <c r="H5158" s="10"/>
      <c r="I5158" s="39"/>
      <c r="J5158" s="103"/>
      <c r="K5158" s="39"/>
      <c r="L5158" s="78"/>
      <c r="M5158" s="19"/>
      <c r="N5158" s="10"/>
    </row>
    <row r="5159" spans="7:14" x14ac:dyDescent="0.75">
      <c r="G5159" s="10"/>
      <c r="H5159" s="10"/>
      <c r="I5159" s="39"/>
      <c r="J5159" s="103"/>
      <c r="K5159" s="39"/>
      <c r="L5159" s="78"/>
      <c r="M5159" s="19"/>
      <c r="N5159" s="10"/>
    </row>
    <row r="5160" spans="7:14" x14ac:dyDescent="0.75">
      <c r="G5160" s="10"/>
      <c r="H5160" s="10"/>
      <c r="I5160" s="39"/>
      <c r="J5160" s="103"/>
      <c r="K5160" s="39"/>
      <c r="L5160" s="78"/>
      <c r="M5160" s="19"/>
      <c r="N5160" s="10"/>
    </row>
    <row r="5161" spans="7:14" x14ac:dyDescent="0.75">
      <c r="G5161" s="10"/>
      <c r="H5161" s="10"/>
      <c r="I5161" s="39"/>
      <c r="J5161" s="103"/>
      <c r="K5161" s="39"/>
      <c r="L5161" s="78"/>
      <c r="M5161" s="19"/>
      <c r="N5161" s="10"/>
    </row>
    <row r="5162" spans="7:14" x14ac:dyDescent="0.75">
      <c r="G5162" s="10"/>
      <c r="H5162" s="10"/>
      <c r="I5162" s="39"/>
      <c r="J5162" s="103"/>
      <c r="K5162" s="39"/>
      <c r="L5162" s="78"/>
      <c r="M5162" s="19"/>
      <c r="N5162" s="10"/>
    </row>
    <row r="5163" spans="7:14" x14ac:dyDescent="0.75">
      <c r="G5163" s="10"/>
      <c r="H5163" s="10"/>
      <c r="I5163" s="39"/>
      <c r="J5163" s="103"/>
      <c r="K5163" s="39"/>
      <c r="L5163" s="78"/>
      <c r="M5163" s="19"/>
      <c r="N5163" s="10"/>
    </row>
    <row r="5164" spans="7:14" x14ac:dyDescent="0.75">
      <c r="G5164" s="10"/>
      <c r="H5164" s="10"/>
      <c r="I5164" s="39"/>
      <c r="J5164" s="103"/>
      <c r="K5164" s="39"/>
      <c r="L5164" s="78"/>
      <c r="M5164" s="19"/>
      <c r="N5164" s="10"/>
    </row>
    <row r="5165" spans="7:14" x14ac:dyDescent="0.75">
      <c r="G5165" s="10"/>
      <c r="H5165" s="10"/>
      <c r="I5165" s="39"/>
      <c r="J5165" s="103"/>
      <c r="K5165" s="39"/>
      <c r="L5165" s="78"/>
      <c r="M5165" s="19"/>
      <c r="N5165" s="10"/>
    </row>
    <row r="5166" spans="7:14" x14ac:dyDescent="0.75">
      <c r="G5166" s="10"/>
      <c r="H5166" s="10"/>
      <c r="I5166" s="39"/>
      <c r="J5166" s="103"/>
      <c r="K5166" s="39"/>
      <c r="L5166" s="78"/>
      <c r="M5166" s="19"/>
      <c r="N5166" s="10"/>
    </row>
    <row r="5167" spans="7:14" x14ac:dyDescent="0.75">
      <c r="G5167" s="10"/>
      <c r="H5167" s="10"/>
      <c r="I5167" s="39"/>
      <c r="J5167" s="103"/>
      <c r="K5167" s="39"/>
      <c r="L5167" s="78"/>
      <c r="M5167" s="19"/>
      <c r="N5167" s="10"/>
    </row>
    <row r="5168" spans="7:14" x14ac:dyDescent="0.75">
      <c r="G5168" s="10"/>
      <c r="H5168" s="10"/>
      <c r="I5168" s="39"/>
      <c r="J5168" s="103"/>
      <c r="K5168" s="39"/>
      <c r="L5168" s="78"/>
      <c r="M5168" s="19"/>
      <c r="N5168" s="10"/>
    </row>
    <row r="5169" spans="7:14" x14ac:dyDescent="0.75">
      <c r="G5169" s="10"/>
      <c r="H5169" s="10"/>
      <c r="I5169" s="39"/>
      <c r="J5169" s="103"/>
      <c r="K5169" s="39"/>
      <c r="L5169" s="78"/>
      <c r="M5169" s="19"/>
      <c r="N5169" s="10"/>
    </row>
    <row r="5170" spans="7:14" x14ac:dyDescent="0.75">
      <c r="G5170" s="10"/>
      <c r="H5170" s="10"/>
      <c r="I5170" s="39"/>
      <c r="J5170" s="103"/>
      <c r="K5170" s="39"/>
      <c r="L5170" s="78"/>
      <c r="M5170" s="19"/>
      <c r="N5170" s="10"/>
    </row>
    <row r="5171" spans="7:14" x14ac:dyDescent="0.75">
      <c r="G5171" s="10"/>
      <c r="H5171" s="10"/>
      <c r="I5171" s="39"/>
      <c r="J5171" s="103"/>
      <c r="K5171" s="39"/>
      <c r="L5171" s="78"/>
      <c r="M5171" s="19"/>
      <c r="N5171" s="10"/>
    </row>
    <row r="5172" spans="7:14" x14ac:dyDescent="0.75">
      <c r="G5172" s="10"/>
      <c r="H5172" s="10"/>
      <c r="I5172" s="39"/>
      <c r="J5172" s="103"/>
      <c r="K5172" s="39"/>
      <c r="L5172" s="78"/>
      <c r="M5172" s="19"/>
      <c r="N5172" s="10"/>
    </row>
    <row r="5173" spans="7:14" x14ac:dyDescent="0.75">
      <c r="G5173" s="10"/>
      <c r="H5173" s="10"/>
      <c r="I5173" s="39"/>
      <c r="J5173" s="103"/>
      <c r="K5173" s="39"/>
      <c r="L5173" s="78"/>
      <c r="M5173" s="19"/>
      <c r="N5173" s="10"/>
    </row>
    <row r="5174" spans="7:14" x14ac:dyDescent="0.75">
      <c r="G5174" s="10"/>
      <c r="H5174" s="10"/>
      <c r="I5174" s="39"/>
      <c r="J5174" s="103"/>
      <c r="K5174" s="39"/>
      <c r="L5174" s="78"/>
      <c r="M5174" s="19"/>
      <c r="N5174" s="10"/>
    </row>
    <row r="5175" spans="7:14" x14ac:dyDescent="0.75">
      <c r="G5175" s="10"/>
      <c r="H5175" s="10"/>
      <c r="I5175" s="39"/>
      <c r="J5175" s="103"/>
      <c r="K5175" s="39"/>
      <c r="L5175" s="78"/>
      <c r="M5175" s="19"/>
      <c r="N5175" s="10"/>
    </row>
    <row r="5176" spans="7:14" x14ac:dyDescent="0.75">
      <c r="G5176" s="10"/>
      <c r="H5176" s="10"/>
      <c r="I5176" s="39"/>
      <c r="J5176" s="103"/>
      <c r="K5176" s="39"/>
      <c r="L5176" s="78"/>
      <c r="M5176" s="19"/>
      <c r="N5176" s="10"/>
    </row>
    <row r="5177" spans="7:14" x14ac:dyDescent="0.75">
      <c r="G5177" s="10"/>
      <c r="H5177" s="10"/>
      <c r="I5177" s="39"/>
      <c r="J5177" s="103"/>
      <c r="K5177" s="39"/>
      <c r="L5177" s="78"/>
      <c r="M5177" s="19"/>
      <c r="N5177" s="10"/>
    </row>
    <row r="5178" spans="7:14" x14ac:dyDescent="0.75">
      <c r="G5178" s="10"/>
      <c r="H5178" s="10"/>
      <c r="I5178" s="39"/>
      <c r="J5178" s="103"/>
      <c r="K5178" s="39"/>
      <c r="L5178" s="78"/>
      <c r="M5178" s="19"/>
      <c r="N5178" s="10"/>
    </row>
    <row r="5179" spans="7:14" x14ac:dyDescent="0.75">
      <c r="G5179" s="10"/>
      <c r="H5179" s="10"/>
      <c r="I5179" s="39"/>
      <c r="J5179" s="103"/>
      <c r="K5179" s="39"/>
      <c r="L5179" s="78"/>
      <c r="M5179" s="19"/>
      <c r="N5179" s="10"/>
    </row>
    <row r="5180" spans="7:14" x14ac:dyDescent="0.75">
      <c r="G5180" s="10"/>
      <c r="H5180" s="10"/>
      <c r="I5180" s="39"/>
      <c r="J5180" s="103"/>
      <c r="K5180" s="39"/>
      <c r="L5180" s="78"/>
      <c r="M5180" s="19"/>
      <c r="N5180" s="10"/>
    </row>
    <row r="5181" spans="7:14" x14ac:dyDescent="0.75">
      <c r="G5181" s="10"/>
      <c r="H5181" s="10"/>
      <c r="I5181" s="39"/>
      <c r="J5181" s="103"/>
      <c r="K5181" s="39"/>
      <c r="L5181" s="78"/>
      <c r="M5181" s="19"/>
      <c r="N5181" s="10"/>
    </row>
    <row r="5182" spans="7:14" x14ac:dyDescent="0.75">
      <c r="G5182" s="10"/>
      <c r="H5182" s="10"/>
      <c r="I5182" s="39"/>
      <c r="J5182" s="103"/>
      <c r="K5182" s="39"/>
      <c r="L5182" s="78"/>
      <c r="M5182" s="19"/>
      <c r="N5182" s="10"/>
    </row>
    <row r="5183" spans="7:14" x14ac:dyDescent="0.75">
      <c r="G5183" s="10"/>
      <c r="H5183" s="10"/>
      <c r="I5183" s="39"/>
      <c r="J5183" s="103"/>
      <c r="K5183" s="39"/>
      <c r="L5183" s="78"/>
      <c r="M5183" s="19"/>
      <c r="N5183" s="10"/>
    </row>
    <row r="5184" spans="7:14" x14ac:dyDescent="0.75">
      <c r="G5184" s="10"/>
      <c r="H5184" s="10"/>
      <c r="I5184" s="39"/>
      <c r="J5184" s="103"/>
      <c r="K5184" s="39"/>
      <c r="L5184" s="78"/>
      <c r="M5184" s="19"/>
      <c r="N5184" s="10"/>
    </row>
    <row r="5185" spans="7:14" x14ac:dyDescent="0.75">
      <c r="G5185" s="10"/>
      <c r="H5185" s="10"/>
      <c r="I5185" s="39"/>
      <c r="J5185" s="103"/>
      <c r="K5185" s="39"/>
      <c r="L5185" s="78"/>
      <c r="M5185" s="19"/>
      <c r="N5185" s="10"/>
    </row>
    <row r="5186" spans="7:14" x14ac:dyDescent="0.75">
      <c r="G5186" s="10"/>
      <c r="H5186" s="10"/>
      <c r="I5186" s="39"/>
      <c r="J5186" s="103"/>
      <c r="K5186" s="39"/>
      <c r="L5186" s="78"/>
      <c r="M5186" s="19"/>
      <c r="N5186" s="10"/>
    </row>
    <row r="5187" spans="7:14" x14ac:dyDescent="0.75">
      <c r="G5187" s="10"/>
      <c r="H5187" s="10"/>
      <c r="I5187" s="39"/>
      <c r="J5187" s="103"/>
      <c r="K5187" s="39"/>
      <c r="L5187" s="78"/>
      <c r="M5187" s="19"/>
      <c r="N5187" s="10"/>
    </row>
    <row r="5188" spans="7:14" x14ac:dyDescent="0.75">
      <c r="G5188" s="10"/>
      <c r="H5188" s="10"/>
      <c r="I5188" s="39"/>
      <c r="J5188" s="103"/>
      <c r="K5188" s="39"/>
      <c r="L5188" s="78"/>
      <c r="M5188" s="19"/>
      <c r="N5188" s="10"/>
    </row>
    <row r="5189" spans="7:14" x14ac:dyDescent="0.75">
      <c r="G5189" s="10"/>
      <c r="H5189" s="10"/>
      <c r="I5189" s="39"/>
      <c r="J5189" s="103"/>
      <c r="K5189" s="39"/>
      <c r="L5189" s="78"/>
      <c r="M5189" s="19"/>
      <c r="N5189" s="10"/>
    </row>
    <row r="5190" spans="7:14" x14ac:dyDescent="0.75">
      <c r="G5190" s="10"/>
      <c r="H5190" s="10"/>
      <c r="I5190" s="39"/>
      <c r="J5190" s="103"/>
      <c r="K5190" s="39"/>
      <c r="L5190" s="10"/>
      <c r="M5190" s="19"/>
      <c r="N5190" s="10"/>
    </row>
    <row r="5191" spans="7:14" x14ac:dyDescent="0.75">
      <c r="G5191" s="10"/>
      <c r="H5191" s="10"/>
      <c r="I5191" s="39"/>
      <c r="J5191" s="103"/>
      <c r="K5191" s="39"/>
      <c r="L5191" s="78"/>
      <c r="M5191" s="19"/>
      <c r="N5191" s="10"/>
    </row>
    <row r="5192" spans="7:14" x14ac:dyDescent="0.75">
      <c r="G5192" s="10"/>
      <c r="H5192" s="10"/>
      <c r="I5192" s="39"/>
      <c r="J5192" s="103"/>
      <c r="K5192" s="39"/>
      <c r="L5192" s="78"/>
      <c r="M5192" s="19"/>
      <c r="N5192" s="10"/>
    </row>
    <row r="5193" spans="7:14" x14ac:dyDescent="0.75">
      <c r="G5193" s="10"/>
      <c r="H5193" s="10"/>
      <c r="I5193" s="39"/>
      <c r="J5193" s="103"/>
      <c r="K5193" s="39"/>
      <c r="L5193" s="78"/>
      <c r="M5193" s="19"/>
      <c r="N5193" s="10"/>
    </row>
    <row r="5194" spans="7:14" x14ac:dyDescent="0.75">
      <c r="G5194" s="10"/>
      <c r="H5194" s="10"/>
      <c r="I5194" s="39"/>
      <c r="J5194" s="103"/>
      <c r="K5194" s="39"/>
      <c r="L5194" s="78"/>
      <c r="M5194" s="19"/>
      <c r="N5194" s="10"/>
    </row>
    <row r="5195" spans="7:14" x14ac:dyDescent="0.75">
      <c r="G5195" s="10"/>
      <c r="H5195" s="10"/>
      <c r="I5195" s="39"/>
      <c r="J5195" s="103"/>
      <c r="K5195" s="39"/>
      <c r="L5195" s="78"/>
      <c r="M5195" s="19"/>
      <c r="N5195" s="10"/>
    </row>
    <row r="5196" spans="7:14" x14ac:dyDescent="0.75">
      <c r="G5196" s="10"/>
      <c r="H5196" s="10"/>
      <c r="I5196" s="39"/>
      <c r="J5196" s="103"/>
      <c r="K5196" s="39"/>
      <c r="L5196" s="78"/>
      <c r="M5196" s="19"/>
      <c r="N5196" s="10"/>
    </row>
    <row r="5197" spans="7:14" x14ac:dyDescent="0.75">
      <c r="G5197" s="10"/>
      <c r="H5197" s="10"/>
      <c r="I5197" s="39"/>
      <c r="J5197" s="103"/>
      <c r="K5197" s="39"/>
      <c r="L5197" s="78"/>
      <c r="M5197" s="19"/>
      <c r="N5197" s="10"/>
    </row>
    <row r="5198" spans="7:14" x14ac:dyDescent="0.75">
      <c r="G5198" s="10"/>
      <c r="H5198" s="10"/>
      <c r="I5198" s="39"/>
      <c r="J5198" s="103"/>
      <c r="K5198" s="39"/>
      <c r="L5198" s="78"/>
      <c r="M5198" s="19"/>
      <c r="N5198" s="10"/>
    </row>
    <row r="5199" spans="7:14" x14ac:dyDescent="0.75">
      <c r="G5199" s="10"/>
      <c r="H5199" s="10"/>
      <c r="I5199" s="39"/>
      <c r="J5199" s="103"/>
      <c r="K5199" s="39"/>
      <c r="L5199" s="78"/>
      <c r="M5199" s="19"/>
      <c r="N5199" s="10"/>
    </row>
    <row r="5200" spans="7:14" x14ac:dyDescent="0.75">
      <c r="G5200" s="10"/>
      <c r="H5200" s="10"/>
      <c r="I5200" s="39"/>
      <c r="J5200" s="103"/>
      <c r="K5200" s="39"/>
      <c r="L5200" s="78"/>
      <c r="M5200" s="19"/>
      <c r="N5200" s="10"/>
    </row>
    <row r="5201" spans="7:14" x14ac:dyDescent="0.75">
      <c r="G5201" s="10"/>
      <c r="H5201" s="10"/>
      <c r="I5201" s="39"/>
      <c r="J5201" s="103"/>
      <c r="K5201" s="39"/>
      <c r="L5201" s="78"/>
      <c r="M5201" s="19"/>
      <c r="N5201" s="10"/>
    </row>
    <row r="5202" spans="7:14" x14ac:dyDescent="0.75">
      <c r="G5202" s="10"/>
      <c r="H5202" s="10"/>
      <c r="I5202" s="39"/>
      <c r="J5202" s="103"/>
      <c r="K5202" s="39"/>
      <c r="L5202" s="78"/>
      <c r="M5202" s="19"/>
      <c r="N5202" s="10"/>
    </row>
    <row r="5203" spans="7:14" x14ac:dyDescent="0.75">
      <c r="G5203" s="10"/>
      <c r="H5203" s="10"/>
      <c r="I5203" s="39"/>
      <c r="J5203" s="103"/>
      <c r="K5203" s="39"/>
      <c r="L5203" s="78"/>
      <c r="M5203" s="19"/>
      <c r="N5203" s="10"/>
    </row>
    <row r="5204" spans="7:14" x14ac:dyDescent="0.75">
      <c r="G5204" s="10"/>
      <c r="H5204" s="10"/>
      <c r="I5204" s="39"/>
      <c r="J5204" s="103"/>
      <c r="K5204" s="39"/>
      <c r="L5204" s="78"/>
      <c r="M5204" s="19"/>
      <c r="N5204" s="10"/>
    </row>
    <row r="5205" spans="7:14" x14ac:dyDescent="0.75">
      <c r="G5205" s="10"/>
      <c r="H5205" s="10"/>
      <c r="I5205" s="39"/>
      <c r="J5205" s="103"/>
      <c r="K5205" s="39"/>
      <c r="L5205" s="78"/>
      <c r="M5205" s="19"/>
      <c r="N5205" s="10"/>
    </row>
    <row r="5206" spans="7:14" x14ac:dyDescent="0.75">
      <c r="G5206" s="10"/>
      <c r="H5206" s="10"/>
      <c r="I5206" s="39"/>
      <c r="J5206" s="103"/>
      <c r="K5206" s="39"/>
      <c r="L5206" s="10"/>
      <c r="M5206" s="19"/>
      <c r="N5206" s="10"/>
    </row>
    <row r="5207" spans="7:14" x14ac:dyDescent="0.75">
      <c r="G5207" s="10"/>
      <c r="H5207" s="10"/>
      <c r="I5207" s="39"/>
      <c r="J5207" s="103"/>
      <c r="K5207" s="39"/>
      <c r="L5207" s="78"/>
      <c r="M5207" s="19"/>
      <c r="N5207" s="10"/>
    </row>
    <row r="5208" spans="7:14" x14ac:dyDescent="0.75">
      <c r="G5208" s="10"/>
      <c r="H5208" s="10"/>
      <c r="I5208" s="39"/>
      <c r="J5208" s="103"/>
      <c r="K5208" s="39"/>
      <c r="L5208" s="10"/>
      <c r="M5208" s="19"/>
      <c r="N5208" s="10"/>
    </row>
    <row r="5209" spans="7:14" x14ac:dyDescent="0.75">
      <c r="G5209" s="10"/>
      <c r="H5209" s="10"/>
      <c r="I5209" s="39"/>
      <c r="J5209" s="103"/>
      <c r="K5209" s="39"/>
      <c r="L5209" s="10"/>
      <c r="M5209" s="19"/>
      <c r="N5209" s="10"/>
    </row>
    <row r="5210" spans="7:14" x14ac:dyDescent="0.75">
      <c r="G5210" s="10"/>
      <c r="H5210" s="10"/>
      <c r="I5210" s="39"/>
      <c r="J5210" s="103"/>
      <c r="K5210" s="39"/>
      <c r="L5210" s="10"/>
      <c r="M5210" s="19"/>
      <c r="N5210" s="10"/>
    </row>
    <row r="5211" spans="7:14" x14ac:dyDescent="0.75">
      <c r="G5211" s="10"/>
      <c r="H5211" s="10"/>
      <c r="I5211" s="39"/>
      <c r="J5211" s="103"/>
      <c r="K5211" s="39"/>
      <c r="L5211" s="78"/>
      <c r="M5211" s="19"/>
      <c r="N5211" s="10"/>
    </row>
    <row r="5212" spans="7:14" x14ac:dyDescent="0.75">
      <c r="G5212" s="10"/>
      <c r="H5212" s="10"/>
      <c r="I5212" s="39"/>
      <c r="J5212" s="103"/>
      <c r="K5212" s="39"/>
      <c r="L5212" s="78"/>
      <c r="M5212" s="19"/>
      <c r="N5212" s="10"/>
    </row>
    <row r="5213" spans="7:14" x14ac:dyDescent="0.75">
      <c r="G5213" s="10"/>
      <c r="H5213" s="10"/>
      <c r="I5213" s="39"/>
      <c r="J5213" s="103"/>
      <c r="K5213" s="39"/>
      <c r="L5213" s="78"/>
      <c r="M5213" s="19"/>
      <c r="N5213" s="10"/>
    </row>
    <row r="5214" spans="7:14" x14ac:dyDescent="0.75">
      <c r="G5214" s="10"/>
      <c r="H5214" s="10"/>
      <c r="I5214" s="39"/>
      <c r="J5214" s="103"/>
      <c r="K5214" s="39"/>
      <c r="L5214" s="78"/>
      <c r="M5214" s="19"/>
      <c r="N5214" s="10"/>
    </row>
    <row r="5215" spans="7:14" x14ac:dyDescent="0.75">
      <c r="G5215" s="10"/>
      <c r="H5215" s="10"/>
      <c r="I5215" s="39"/>
      <c r="J5215" s="103"/>
      <c r="K5215" s="39"/>
      <c r="L5215" s="78"/>
      <c r="M5215" s="19"/>
      <c r="N5215" s="10"/>
    </row>
    <row r="5216" spans="7:14" x14ac:dyDescent="0.75">
      <c r="G5216" s="10"/>
      <c r="H5216" s="10"/>
      <c r="I5216" s="39"/>
      <c r="J5216" s="103"/>
      <c r="K5216" s="39"/>
      <c r="L5216" s="78"/>
      <c r="M5216" s="19"/>
      <c r="N5216" s="10"/>
    </row>
    <row r="5217" spans="7:14" x14ac:dyDescent="0.75">
      <c r="G5217" s="10"/>
      <c r="H5217" s="10"/>
      <c r="I5217" s="39"/>
      <c r="J5217" s="103"/>
      <c r="K5217" s="39"/>
      <c r="L5217" s="78"/>
      <c r="M5217" s="19"/>
      <c r="N5217" s="10"/>
    </row>
    <row r="5218" spans="7:14" x14ac:dyDescent="0.75">
      <c r="G5218" s="10"/>
      <c r="H5218" s="10"/>
      <c r="I5218" s="39"/>
      <c r="J5218" s="103"/>
      <c r="K5218" s="39"/>
      <c r="L5218" s="78"/>
      <c r="M5218" s="19"/>
      <c r="N5218" s="10"/>
    </row>
    <row r="5219" spans="7:14" x14ac:dyDescent="0.75">
      <c r="G5219" s="10"/>
      <c r="H5219" s="10"/>
      <c r="I5219" s="39"/>
      <c r="J5219" s="103"/>
      <c r="K5219" s="39"/>
      <c r="L5219" s="78"/>
      <c r="M5219" s="19"/>
      <c r="N5219" s="10"/>
    </row>
    <row r="5220" spans="7:14" x14ac:dyDescent="0.75">
      <c r="G5220" s="10"/>
      <c r="H5220" s="10"/>
      <c r="I5220" s="39"/>
      <c r="J5220" s="103"/>
      <c r="K5220" s="39"/>
      <c r="L5220" s="10"/>
      <c r="M5220" s="19"/>
      <c r="N5220" s="10"/>
    </row>
    <row r="5221" spans="7:14" x14ac:dyDescent="0.75">
      <c r="G5221" s="10"/>
      <c r="H5221" s="10"/>
      <c r="I5221" s="39"/>
      <c r="J5221" s="103"/>
      <c r="K5221" s="39"/>
      <c r="L5221" s="10"/>
      <c r="M5221" s="19"/>
      <c r="N5221" s="10"/>
    </row>
    <row r="5222" spans="7:14" x14ac:dyDescent="0.75">
      <c r="G5222" s="10"/>
      <c r="H5222" s="10"/>
      <c r="I5222" s="39"/>
      <c r="J5222" s="103"/>
      <c r="K5222" s="39"/>
      <c r="L5222" s="10"/>
      <c r="M5222" s="19"/>
      <c r="N5222" s="10"/>
    </row>
    <row r="5223" spans="7:14" x14ac:dyDescent="0.75">
      <c r="G5223" s="10"/>
      <c r="H5223" s="10"/>
      <c r="I5223" s="39"/>
      <c r="J5223" s="103"/>
      <c r="K5223" s="39"/>
      <c r="L5223" s="10"/>
      <c r="M5223" s="19"/>
      <c r="N5223" s="10"/>
    </row>
    <row r="5224" spans="7:14" x14ac:dyDescent="0.75">
      <c r="G5224" s="10"/>
      <c r="H5224" s="10"/>
      <c r="I5224" s="39"/>
      <c r="J5224" s="103"/>
      <c r="K5224" s="39"/>
      <c r="L5224" s="10"/>
      <c r="M5224" s="19"/>
      <c r="N5224" s="10"/>
    </row>
    <row r="5225" spans="7:14" x14ac:dyDescent="0.75">
      <c r="G5225" s="10"/>
      <c r="H5225" s="10"/>
      <c r="I5225" s="39"/>
      <c r="J5225" s="103"/>
      <c r="K5225" s="39"/>
      <c r="L5225" s="78"/>
      <c r="M5225" s="19"/>
      <c r="N5225" s="10"/>
    </row>
    <row r="5226" spans="7:14" x14ac:dyDescent="0.75">
      <c r="G5226" s="10"/>
      <c r="H5226" s="10"/>
      <c r="I5226" s="39"/>
      <c r="J5226" s="103"/>
      <c r="K5226" s="39"/>
      <c r="L5226" s="10"/>
      <c r="M5226" s="19"/>
      <c r="N5226" s="10"/>
    </row>
    <row r="5227" spans="7:14" x14ac:dyDescent="0.75">
      <c r="G5227" s="10"/>
      <c r="H5227" s="10"/>
      <c r="I5227" s="39"/>
      <c r="J5227" s="103"/>
      <c r="K5227" s="39"/>
      <c r="L5227" s="78"/>
      <c r="M5227" s="19"/>
      <c r="N5227" s="10"/>
    </row>
    <row r="5228" spans="7:14" x14ac:dyDescent="0.75">
      <c r="G5228" s="10"/>
      <c r="H5228" s="10"/>
      <c r="I5228" s="39"/>
      <c r="J5228" s="103"/>
      <c r="K5228" s="39"/>
      <c r="L5228" s="78"/>
      <c r="M5228" s="19"/>
      <c r="N5228" s="10"/>
    </row>
    <row r="5229" spans="7:14" x14ac:dyDescent="0.75">
      <c r="G5229" s="10"/>
      <c r="H5229" s="10"/>
      <c r="I5229" s="39"/>
      <c r="J5229" s="103"/>
      <c r="K5229" s="39"/>
      <c r="L5229" s="78"/>
      <c r="M5229" s="19"/>
      <c r="N5229" s="10"/>
    </row>
    <row r="5230" spans="7:14" x14ac:dyDescent="0.75">
      <c r="G5230" s="10"/>
      <c r="H5230" s="10"/>
      <c r="I5230" s="39"/>
      <c r="J5230" s="103"/>
      <c r="K5230" s="39"/>
      <c r="L5230" s="78"/>
      <c r="M5230" s="19"/>
      <c r="N5230" s="10"/>
    </row>
    <row r="5231" spans="7:14" x14ac:dyDescent="0.75">
      <c r="G5231" s="10"/>
      <c r="H5231" s="10"/>
      <c r="I5231" s="39"/>
      <c r="J5231" s="103"/>
      <c r="K5231" s="39"/>
      <c r="L5231" s="78"/>
      <c r="M5231" s="19"/>
      <c r="N5231" s="10"/>
    </row>
    <row r="5232" spans="7:14" x14ac:dyDescent="0.75">
      <c r="G5232" s="10"/>
      <c r="H5232" s="10"/>
      <c r="I5232" s="39"/>
      <c r="J5232" s="103"/>
      <c r="K5232" s="39"/>
      <c r="L5232" s="78"/>
      <c r="M5232" s="19"/>
      <c r="N5232" s="10"/>
    </row>
    <row r="5233" spans="7:14" x14ac:dyDescent="0.75">
      <c r="G5233" s="10"/>
      <c r="H5233" s="10"/>
      <c r="I5233" s="39"/>
      <c r="J5233" s="103"/>
      <c r="K5233" s="39"/>
      <c r="L5233" s="78"/>
      <c r="M5233" s="19"/>
      <c r="N5233" s="10"/>
    </row>
    <row r="5234" spans="7:14" x14ac:dyDescent="0.75">
      <c r="G5234" s="10"/>
      <c r="H5234" s="10"/>
      <c r="I5234" s="39"/>
      <c r="J5234" s="103"/>
      <c r="K5234" s="39"/>
      <c r="L5234" s="78"/>
      <c r="M5234" s="19"/>
      <c r="N5234" s="10"/>
    </row>
    <row r="5235" spans="7:14" x14ac:dyDescent="0.75">
      <c r="G5235" s="10"/>
      <c r="H5235" s="10"/>
      <c r="I5235" s="39"/>
      <c r="J5235" s="103"/>
      <c r="K5235" s="39"/>
      <c r="L5235" s="78"/>
      <c r="M5235" s="19"/>
      <c r="N5235" s="10"/>
    </row>
    <row r="5236" spans="7:14" x14ac:dyDescent="0.75">
      <c r="G5236" s="10"/>
      <c r="H5236" s="10"/>
      <c r="I5236" s="39"/>
      <c r="J5236" s="103"/>
      <c r="K5236" s="39"/>
      <c r="L5236" s="78"/>
      <c r="M5236" s="19"/>
      <c r="N5236" s="10"/>
    </row>
    <row r="5237" spans="7:14" x14ac:dyDescent="0.75">
      <c r="G5237" s="10"/>
      <c r="H5237" s="10"/>
      <c r="I5237" s="39"/>
      <c r="J5237" s="103"/>
      <c r="K5237" s="39"/>
      <c r="L5237" s="78"/>
      <c r="M5237" s="19"/>
      <c r="N5237" s="10"/>
    </row>
    <row r="5238" spans="7:14" x14ac:dyDescent="0.75">
      <c r="G5238" s="10"/>
      <c r="H5238" s="10"/>
      <c r="I5238" s="39"/>
      <c r="J5238" s="103"/>
      <c r="K5238" s="39"/>
      <c r="L5238" s="78"/>
      <c r="M5238" s="19"/>
      <c r="N5238" s="10"/>
    </row>
    <row r="5239" spans="7:14" x14ac:dyDescent="0.75">
      <c r="G5239" s="10"/>
      <c r="H5239" s="10"/>
      <c r="I5239" s="39"/>
      <c r="J5239" s="103"/>
      <c r="K5239" s="39"/>
      <c r="L5239" s="78"/>
      <c r="M5239" s="19"/>
      <c r="N5239" s="10"/>
    </row>
    <row r="5240" spans="7:14" x14ac:dyDescent="0.75">
      <c r="G5240" s="10"/>
      <c r="H5240" s="10"/>
      <c r="I5240" s="39"/>
      <c r="J5240" s="103"/>
      <c r="K5240" s="39"/>
      <c r="L5240" s="78"/>
      <c r="M5240" s="19"/>
      <c r="N5240" s="10"/>
    </row>
    <row r="5241" spans="7:14" x14ac:dyDescent="0.75">
      <c r="G5241" s="10"/>
      <c r="H5241" s="10"/>
      <c r="I5241" s="39"/>
      <c r="J5241" s="103"/>
      <c r="K5241" s="39"/>
      <c r="L5241" s="78"/>
      <c r="M5241" s="19"/>
      <c r="N5241" s="10"/>
    </row>
    <row r="5242" spans="7:14" x14ac:dyDescent="0.75">
      <c r="G5242" s="10"/>
      <c r="H5242" s="10"/>
      <c r="I5242" s="39"/>
      <c r="J5242" s="103"/>
      <c r="K5242" s="39"/>
      <c r="L5242" s="78"/>
      <c r="M5242" s="19"/>
      <c r="N5242" s="10"/>
    </row>
    <row r="5243" spans="7:14" x14ac:dyDescent="0.75">
      <c r="G5243" s="10"/>
      <c r="H5243" s="10"/>
      <c r="I5243" s="39"/>
      <c r="J5243" s="103"/>
      <c r="K5243" s="39"/>
      <c r="L5243" s="78"/>
      <c r="M5243" s="19"/>
      <c r="N5243" s="10"/>
    </row>
    <row r="5244" spans="7:14" x14ac:dyDescent="0.75">
      <c r="G5244" s="10"/>
      <c r="H5244" s="10"/>
      <c r="I5244" s="39"/>
      <c r="J5244" s="103"/>
      <c r="K5244" s="39"/>
      <c r="L5244" s="78"/>
      <c r="M5244" s="19"/>
      <c r="N5244" s="10"/>
    </row>
    <row r="5245" spans="7:14" x14ac:dyDescent="0.75">
      <c r="G5245" s="10"/>
      <c r="H5245" s="10"/>
      <c r="I5245" s="39"/>
      <c r="J5245" s="103"/>
      <c r="K5245" s="39"/>
      <c r="L5245" s="78"/>
      <c r="M5245" s="19"/>
      <c r="N5245" s="10"/>
    </row>
    <row r="5246" spans="7:14" x14ac:dyDescent="0.75">
      <c r="G5246" s="10"/>
      <c r="H5246" s="10"/>
      <c r="I5246" s="39"/>
      <c r="J5246" s="103"/>
      <c r="K5246" s="39"/>
      <c r="L5246" s="78"/>
      <c r="M5246" s="19"/>
      <c r="N5246" s="10"/>
    </row>
    <row r="5247" spans="7:14" x14ac:dyDescent="0.75">
      <c r="G5247" s="10"/>
      <c r="H5247" s="10"/>
      <c r="I5247" s="39"/>
      <c r="J5247" s="103"/>
      <c r="K5247" s="39"/>
      <c r="L5247" s="78"/>
      <c r="M5247" s="19"/>
      <c r="N5247" s="10"/>
    </row>
    <row r="5248" spans="7:14" x14ac:dyDescent="0.75">
      <c r="G5248" s="10"/>
      <c r="H5248" s="10"/>
      <c r="I5248" s="39"/>
      <c r="J5248" s="103"/>
      <c r="K5248" s="39"/>
      <c r="L5248" s="78"/>
      <c r="M5248" s="19"/>
      <c r="N5248" s="10"/>
    </row>
    <row r="5249" spans="7:14" x14ac:dyDescent="0.75">
      <c r="G5249" s="10"/>
      <c r="H5249" s="10"/>
      <c r="I5249" s="39"/>
      <c r="J5249" s="103"/>
      <c r="K5249" s="39"/>
      <c r="L5249" s="10"/>
      <c r="M5249" s="19"/>
      <c r="N5249" s="10"/>
    </row>
    <row r="5250" spans="7:14" x14ac:dyDescent="0.75">
      <c r="G5250" s="10"/>
      <c r="H5250" s="10"/>
      <c r="I5250" s="39"/>
      <c r="J5250" s="103"/>
      <c r="K5250" s="39"/>
      <c r="L5250" s="78"/>
      <c r="M5250" s="19"/>
      <c r="N5250" s="10"/>
    </row>
    <row r="5251" spans="7:14" x14ac:dyDescent="0.75">
      <c r="G5251" s="10"/>
      <c r="H5251" s="10"/>
      <c r="I5251" s="39"/>
      <c r="J5251" s="103"/>
      <c r="K5251" s="39"/>
      <c r="L5251" s="78"/>
      <c r="M5251" s="19"/>
      <c r="N5251" s="10"/>
    </row>
    <row r="5252" spans="7:14" x14ac:dyDescent="0.75">
      <c r="G5252" s="10"/>
      <c r="H5252" s="10"/>
      <c r="I5252" s="39"/>
      <c r="J5252" s="103"/>
      <c r="K5252" s="39"/>
      <c r="L5252" s="78"/>
      <c r="M5252" s="19"/>
      <c r="N5252" s="10"/>
    </row>
    <row r="5253" spans="7:14" x14ac:dyDescent="0.75">
      <c r="G5253" s="10"/>
      <c r="H5253" s="10"/>
      <c r="I5253" s="39"/>
      <c r="J5253" s="103"/>
      <c r="K5253" s="39"/>
      <c r="L5253" s="78"/>
      <c r="M5253" s="19"/>
      <c r="N5253" s="10"/>
    </row>
    <row r="5254" spans="7:14" x14ac:dyDescent="0.75">
      <c r="G5254" s="10"/>
      <c r="H5254" s="10"/>
      <c r="I5254" s="39"/>
      <c r="J5254" s="103"/>
      <c r="K5254" s="39"/>
      <c r="L5254" s="10"/>
      <c r="M5254" s="19"/>
      <c r="N5254" s="10"/>
    </row>
    <row r="5255" spans="7:14" x14ac:dyDescent="0.75">
      <c r="G5255" s="10"/>
      <c r="H5255" s="10"/>
      <c r="I5255" s="39"/>
      <c r="J5255" s="103"/>
      <c r="K5255" s="39"/>
      <c r="L5255" s="78"/>
      <c r="M5255" s="19"/>
      <c r="N5255" s="10"/>
    </row>
    <row r="5256" spans="7:14" x14ac:dyDescent="0.75">
      <c r="G5256" s="10"/>
      <c r="H5256" s="10"/>
      <c r="I5256" s="39"/>
      <c r="J5256" s="103"/>
      <c r="K5256" s="39"/>
      <c r="L5256" s="78"/>
      <c r="M5256" s="19"/>
      <c r="N5256" s="10"/>
    </row>
    <row r="5257" spans="7:14" x14ac:dyDescent="0.75">
      <c r="G5257" s="10"/>
      <c r="H5257" s="10"/>
      <c r="I5257" s="39"/>
      <c r="J5257" s="103"/>
      <c r="K5257" s="39"/>
      <c r="L5257" s="78"/>
      <c r="M5257" s="19"/>
      <c r="N5257" s="10"/>
    </row>
    <row r="5258" spans="7:14" x14ac:dyDescent="0.75">
      <c r="G5258" s="10"/>
      <c r="H5258" s="10"/>
      <c r="I5258" s="39"/>
      <c r="J5258" s="103"/>
      <c r="K5258" s="39"/>
      <c r="L5258" s="78"/>
      <c r="M5258" s="19"/>
      <c r="N5258" s="10"/>
    </row>
    <row r="5259" spans="7:14" x14ac:dyDescent="0.75">
      <c r="G5259" s="10"/>
      <c r="H5259" s="10"/>
      <c r="I5259" s="39"/>
      <c r="J5259" s="103"/>
      <c r="K5259" s="39"/>
      <c r="L5259" s="78"/>
      <c r="M5259" s="19"/>
      <c r="N5259" s="10"/>
    </row>
    <row r="5260" spans="7:14" x14ac:dyDescent="0.75">
      <c r="G5260" s="10"/>
      <c r="H5260" s="10"/>
      <c r="I5260" s="39"/>
      <c r="J5260" s="103"/>
      <c r="K5260" s="39"/>
      <c r="L5260" s="78"/>
      <c r="M5260" s="19"/>
      <c r="N5260" s="10"/>
    </row>
    <row r="5261" spans="7:14" x14ac:dyDescent="0.75">
      <c r="G5261" s="10"/>
      <c r="H5261" s="10"/>
      <c r="I5261" s="39"/>
      <c r="J5261" s="103"/>
      <c r="K5261" s="39"/>
      <c r="L5261" s="78"/>
      <c r="M5261" s="19"/>
      <c r="N5261" s="10"/>
    </row>
    <row r="5262" spans="7:14" x14ac:dyDescent="0.75">
      <c r="G5262" s="10"/>
      <c r="H5262" s="10"/>
      <c r="I5262" s="39"/>
      <c r="J5262" s="103"/>
      <c r="K5262" s="39"/>
      <c r="L5262" s="78"/>
      <c r="M5262" s="19"/>
      <c r="N5262" s="10"/>
    </row>
    <row r="5263" spans="7:14" x14ac:dyDescent="0.75">
      <c r="G5263" s="10"/>
      <c r="H5263" s="10"/>
      <c r="I5263" s="39"/>
      <c r="J5263" s="103"/>
      <c r="K5263" s="39"/>
      <c r="L5263" s="78"/>
      <c r="M5263" s="19"/>
      <c r="N5263" s="10"/>
    </row>
    <row r="5264" spans="7:14" x14ac:dyDescent="0.75">
      <c r="G5264" s="10"/>
      <c r="H5264" s="10"/>
      <c r="I5264" s="39"/>
      <c r="J5264" s="103"/>
      <c r="K5264" s="39"/>
      <c r="L5264" s="10"/>
      <c r="M5264" s="19"/>
      <c r="N5264" s="10"/>
    </row>
    <row r="5265" spans="7:14" x14ac:dyDescent="0.75">
      <c r="G5265" s="10"/>
      <c r="H5265" s="10"/>
      <c r="I5265" s="39"/>
      <c r="J5265" s="103"/>
      <c r="K5265" s="39"/>
      <c r="L5265" s="10"/>
      <c r="M5265" s="19"/>
      <c r="N5265" s="10"/>
    </row>
    <row r="5266" spans="7:14" x14ac:dyDescent="0.75">
      <c r="G5266" s="10"/>
      <c r="H5266" s="10"/>
      <c r="I5266" s="39"/>
      <c r="J5266" s="103"/>
      <c r="K5266" s="39"/>
      <c r="L5266" s="10"/>
      <c r="M5266" s="19"/>
      <c r="N5266" s="10"/>
    </row>
    <row r="5267" spans="7:14" x14ac:dyDescent="0.75">
      <c r="G5267" s="10"/>
      <c r="H5267" s="10"/>
      <c r="I5267" s="39"/>
      <c r="J5267" s="103"/>
      <c r="K5267" s="39"/>
      <c r="L5267" s="78"/>
      <c r="M5267" s="19"/>
      <c r="N5267" s="10"/>
    </row>
    <row r="5268" spans="7:14" x14ac:dyDescent="0.75">
      <c r="G5268" s="10"/>
      <c r="H5268" s="10"/>
      <c r="I5268" s="39"/>
      <c r="J5268" s="103"/>
      <c r="K5268" s="39"/>
      <c r="L5268" s="78"/>
      <c r="M5268" s="19"/>
      <c r="N5268" s="10"/>
    </row>
    <row r="5269" spans="7:14" x14ac:dyDescent="0.75">
      <c r="G5269" s="10"/>
      <c r="H5269" s="10"/>
      <c r="I5269" s="39"/>
      <c r="J5269" s="103"/>
      <c r="K5269" s="39"/>
      <c r="L5269" s="78"/>
      <c r="M5269" s="19"/>
      <c r="N5269" s="10"/>
    </row>
    <row r="5270" spans="7:14" x14ac:dyDescent="0.75">
      <c r="G5270" s="10"/>
      <c r="H5270" s="10"/>
      <c r="I5270" s="39"/>
      <c r="J5270" s="103"/>
      <c r="K5270" s="39"/>
      <c r="L5270" s="78"/>
      <c r="M5270" s="19"/>
      <c r="N5270" s="10"/>
    </row>
    <row r="5271" spans="7:14" x14ac:dyDescent="0.75">
      <c r="G5271" s="10"/>
      <c r="H5271" s="10"/>
      <c r="I5271" s="39"/>
      <c r="J5271" s="103"/>
      <c r="K5271" s="39"/>
      <c r="L5271" s="78"/>
      <c r="M5271" s="19"/>
      <c r="N5271" s="10"/>
    </row>
    <row r="5272" spans="7:14" x14ac:dyDescent="0.75">
      <c r="G5272" s="10"/>
      <c r="H5272" s="10"/>
      <c r="I5272" s="39"/>
      <c r="J5272" s="103"/>
      <c r="K5272" s="39"/>
      <c r="L5272" s="78"/>
      <c r="M5272" s="19"/>
      <c r="N5272" s="10"/>
    </row>
    <row r="5273" spans="7:14" x14ac:dyDescent="0.75">
      <c r="G5273" s="10"/>
      <c r="H5273" s="10"/>
      <c r="I5273" s="39"/>
      <c r="J5273" s="103"/>
      <c r="K5273" s="39"/>
      <c r="L5273" s="78"/>
      <c r="M5273" s="19"/>
      <c r="N5273" s="10"/>
    </row>
    <row r="5274" spans="7:14" x14ac:dyDescent="0.75">
      <c r="G5274" s="10"/>
      <c r="H5274" s="10"/>
      <c r="I5274" s="39"/>
      <c r="J5274" s="103"/>
      <c r="K5274" s="39"/>
      <c r="L5274" s="78"/>
      <c r="M5274" s="19"/>
      <c r="N5274" s="10"/>
    </row>
    <row r="5275" spans="7:14" x14ac:dyDescent="0.75">
      <c r="G5275" s="10"/>
      <c r="H5275" s="10"/>
      <c r="I5275" s="39"/>
      <c r="J5275" s="103"/>
      <c r="K5275" s="39"/>
      <c r="L5275" s="78"/>
      <c r="M5275" s="19"/>
      <c r="N5275" s="10"/>
    </row>
    <row r="5276" spans="7:14" x14ac:dyDescent="0.75">
      <c r="G5276" s="10"/>
      <c r="H5276" s="10"/>
      <c r="I5276" s="39"/>
      <c r="J5276" s="103"/>
      <c r="K5276" s="39"/>
      <c r="L5276" s="10"/>
      <c r="M5276" s="19"/>
      <c r="N5276" s="10"/>
    </row>
    <row r="5277" spans="7:14" x14ac:dyDescent="0.75">
      <c r="G5277" s="10"/>
      <c r="H5277" s="10"/>
      <c r="I5277" s="39"/>
      <c r="J5277" s="103"/>
      <c r="K5277" s="39"/>
      <c r="L5277" s="78"/>
      <c r="M5277" s="19"/>
      <c r="N5277" s="10"/>
    </row>
    <row r="5278" spans="7:14" x14ac:dyDescent="0.75">
      <c r="G5278" s="10"/>
      <c r="H5278" s="10"/>
      <c r="I5278" s="39"/>
      <c r="J5278" s="103"/>
      <c r="K5278" s="39"/>
      <c r="L5278" s="78"/>
      <c r="M5278" s="19"/>
      <c r="N5278" s="10"/>
    </row>
    <row r="5279" spans="7:14" x14ac:dyDescent="0.75">
      <c r="G5279" s="10"/>
      <c r="H5279" s="10"/>
      <c r="I5279" s="39"/>
      <c r="J5279" s="103"/>
      <c r="K5279" s="39"/>
      <c r="L5279" s="78"/>
      <c r="M5279" s="19"/>
      <c r="N5279" s="10"/>
    </row>
    <row r="5280" spans="7:14" x14ac:dyDescent="0.75">
      <c r="G5280" s="10"/>
      <c r="H5280" s="10"/>
      <c r="I5280" s="39"/>
      <c r="J5280" s="103"/>
      <c r="K5280" s="39"/>
      <c r="L5280" s="78"/>
      <c r="M5280" s="19"/>
      <c r="N5280" s="10"/>
    </row>
    <row r="5281" spans="7:14" x14ac:dyDescent="0.75">
      <c r="G5281" s="10"/>
      <c r="H5281" s="10"/>
      <c r="I5281" s="39"/>
      <c r="J5281" s="103"/>
      <c r="K5281" s="39"/>
      <c r="L5281" s="78"/>
      <c r="M5281" s="19"/>
      <c r="N5281" s="10"/>
    </row>
    <row r="5282" spans="7:14" x14ac:dyDescent="0.75">
      <c r="G5282" s="10"/>
      <c r="H5282" s="10"/>
      <c r="I5282" s="39"/>
      <c r="J5282" s="103"/>
      <c r="K5282" s="39"/>
      <c r="L5282" s="10"/>
      <c r="M5282" s="19"/>
      <c r="N5282" s="10"/>
    </row>
    <row r="5283" spans="7:14" x14ac:dyDescent="0.75">
      <c r="G5283" s="10"/>
      <c r="H5283" s="10"/>
      <c r="I5283" s="39"/>
      <c r="J5283" s="103"/>
      <c r="K5283" s="39"/>
      <c r="L5283" s="10"/>
      <c r="M5283" s="19"/>
      <c r="N5283" s="10"/>
    </row>
    <row r="5284" spans="7:14" x14ac:dyDescent="0.75">
      <c r="G5284" s="10"/>
      <c r="H5284" s="10"/>
      <c r="I5284" s="39"/>
      <c r="J5284" s="103"/>
      <c r="K5284" s="39"/>
      <c r="L5284" s="78"/>
      <c r="M5284" s="19"/>
      <c r="N5284" s="10"/>
    </row>
    <row r="5285" spans="7:14" x14ac:dyDescent="0.75">
      <c r="G5285" s="10"/>
      <c r="H5285" s="10"/>
      <c r="I5285" s="39"/>
      <c r="J5285" s="103"/>
      <c r="K5285" s="39"/>
      <c r="L5285" s="78"/>
      <c r="M5285" s="19"/>
      <c r="N5285" s="10"/>
    </row>
    <row r="5286" spans="7:14" x14ac:dyDescent="0.75">
      <c r="G5286" s="10"/>
      <c r="H5286" s="10"/>
      <c r="I5286" s="39"/>
      <c r="J5286" s="103"/>
      <c r="K5286" s="39"/>
      <c r="L5286" s="78"/>
      <c r="M5286" s="19"/>
      <c r="N5286" s="10"/>
    </row>
    <row r="5287" spans="7:14" x14ac:dyDescent="0.75">
      <c r="G5287" s="10"/>
      <c r="H5287" s="10"/>
      <c r="I5287" s="39"/>
      <c r="J5287" s="103"/>
      <c r="K5287" s="39"/>
      <c r="L5287" s="78"/>
      <c r="M5287" s="19"/>
      <c r="N5287" s="10"/>
    </row>
    <row r="5288" spans="7:14" x14ac:dyDescent="0.75">
      <c r="G5288" s="10"/>
      <c r="H5288" s="10"/>
      <c r="I5288" s="39"/>
      <c r="J5288" s="103"/>
      <c r="K5288" s="39"/>
      <c r="L5288" s="78"/>
      <c r="M5288" s="19"/>
      <c r="N5288" s="10"/>
    </row>
    <row r="5289" spans="7:14" x14ac:dyDescent="0.75">
      <c r="G5289" s="10"/>
      <c r="H5289" s="10"/>
      <c r="I5289" s="39"/>
      <c r="J5289" s="103"/>
      <c r="K5289" s="39"/>
      <c r="L5289" s="78"/>
      <c r="M5289" s="19"/>
      <c r="N5289" s="10"/>
    </row>
    <row r="5290" spans="7:14" x14ac:dyDescent="0.75">
      <c r="G5290" s="10"/>
      <c r="H5290" s="10"/>
      <c r="I5290" s="39"/>
      <c r="J5290" s="103"/>
      <c r="K5290" s="39"/>
      <c r="L5290" s="78"/>
      <c r="M5290" s="19"/>
      <c r="N5290" s="10"/>
    </row>
    <row r="5291" spans="7:14" x14ac:dyDescent="0.75">
      <c r="G5291" s="10"/>
      <c r="H5291" s="10"/>
      <c r="I5291" s="39"/>
      <c r="J5291" s="103"/>
      <c r="K5291" s="39"/>
      <c r="L5291" s="78"/>
      <c r="M5291" s="19"/>
      <c r="N5291" s="10"/>
    </row>
    <row r="5292" spans="7:14" x14ac:dyDescent="0.75">
      <c r="G5292" s="10"/>
      <c r="H5292" s="10"/>
      <c r="I5292" s="39"/>
      <c r="J5292" s="103"/>
      <c r="K5292" s="39"/>
      <c r="L5292" s="78"/>
      <c r="M5292" s="19"/>
      <c r="N5292" s="10"/>
    </row>
    <row r="5293" spans="7:14" x14ac:dyDescent="0.75">
      <c r="G5293" s="10"/>
      <c r="H5293" s="10"/>
      <c r="I5293" s="39"/>
      <c r="J5293" s="103"/>
      <c r="K5293" s="39"/>
      <c r="L5293" s="78"/>
      <c r="M5293" s="19"/>
      <c r="N5293" s="10"/>
    </row>
    <row r="5294" spans="7:14" x14ac:dyDescent="0.75">
      <c r="G5294" s="10"/>
      <c r="H5294" s="10"/>
      <c r="I5294" s="39"/>
      <c r="J5294" s="103"/>
      <c r="K5294" s="39"/>
      <c r="L5294" s="78"/>
      <c r="M5294" s="19"/>
      <c r="N5294" s="10"/>
    </row>
    <row r="5295" spans="7:14" x14ac:dyDescent="0.75">
      <c r="G5295" s="10"/>
      <c r="H5295" s="10"/>
      <c r="I5295" s="39"/>
      <c r="J5295" s="103"/>
      <c r="K5295" s="39"/>
      <c r="L5295" s="78"/>
      <c r="M5295" s="19"/>
      <c r="N5295" s="10"/>
    </row>
    <row r="5296" spans="7:14" x14ac:dyDescent="0.75">
      <c r="G5296" s="10"/>
      <c r="H5296" s="10"/>
      <c r="I5296" s="39"/>
      <c r="J5296" s="103"/>
      <c r="K5296" s="39"/>
      <c r="L5296" s="78"/>
      <c r="M5296" s="19"/>
      <c r="N5296" s="10"/>
    </row>
    <row r="5297" spans="7:14" x14ac:dyDescent="0.75">
      <c r="G5297" s="10"/>
      <c r="H5297" s="10"/>
      <c r="I5297" s="39"/>
      <c r="J5297" s="103"/>
      <c r="K5297" s="39"/>
      <c r="L5297" s="78"/>
      <c r="M5297" s="19"/>
      <c r="N5297" s="10"/>
    </row>
    <row r="5298" spans="7:14" x14ac:dyDescent="0.75">
      <c r="G5298" s="10"/>
      <c r="H5298" s="10"/>
      <c r="I5298" s="39"/>
      <c r="J5298" s="103"/>
      <c r="K5298" s="39"/>
      <c r="L5298" s="78"/>
      <c r="M5298" s="19"/>
      <c r="N5298" s="10"/>
    </row>
    <row r="5299" spans="7:14" x14ac:dyDescent="0.75">
      <c r="G5299" s="10"/>
      <c r="H5299" s="10"/>
      <c r="I5299" s="39"/>
      <c r="J5299" s="103"/>
      <c r="K5299" s="39"/>
      <c r="L5299" s="78"/>
      <c r="M5299" s="19"/>
      <c r="N5299" s="10"/>
    </row>
    <row r="5300" spans="7:14" x14ac:dyDescent="0.75">
      <c r="G5300" s="10"/>
      <c r="H5300" s="10"/>
      <c r="I5300" s="39"/>
      <c r="J5300" s="103"/>
      <c r="K5300" s="39"/>
      <c r="L5300" s="78"/>
      <c r="M5300" s="19"/>
      <c r="N5300" s="10"/>
    </row>
    <row r="5301" spans="7:14" x14ac:dyDescent="0.75">
      <c r="G5301" s="10"/>
      <c r="H5301" s="10"/>
      <c r="I5301" s="39"/>
      <c r="J5301" s="103"/>
      <c r="K5301" s="39"/>
      <c r="L5301" s="78"/>
      <c r="M5301" s="19"/>
      <c r="N5301" s="10"/>
    </row>
    <row r="5302" spans="7:14" x14ac:dyDescent="0.75">
      <c r="G5302" s="10"/>
      <c r="H5302" s="10"/>
      <c r="I5302" s="39"/>
      <c r="J5302" s="103"/>
      <c r="K5302" s="39"/>
      <c r="L5302" s="78"/>
      <c r="M5302" s="19"/>
      <c r="N5302" s="10"/>
    </row>
    <row r="5303" spans="7:14" x14ac:dyDescent="0.75">
      <c r="G5303" s="10"/>
      <c r="H5303" s="10"/>
      <c r="I5303" s="39"/>
      <c r="J5303" s="103"/>
      <c r="K5303" s="39"/>
      <c r="L5303" s="78"/>
      <c r="M5303" s="19"/>
      <c r="N5303" s="10"/>
    </row>
    <row r="5304" spans="7:14" x14ac:dyDescent="0.75">
      <c r="G5304" s="10"/>
      <c r="H5304" s="10"/>
      <c r="I5304" s="39"/>
      <c r="J5304" s="103"/>
      <c r="K5304" s="39"/>
      <c r="L5304" s="78"/>
      <c r="M5304" s="19"/>
      <c r="N5304" s="10"/>
    </row>
    <row r="5305" spans="7:14" x14ac:dyDescent="0.75">
      <c r="G5305" s="10"/>
      <c r="H5305" s="10"/>
      <c r="I5305" s="39"/>
      <c r="J5305" s="103"/>
      <c r="K5305" s="39"/>
      <c r="L5305" s="78"/>
      <c r="M5305" s="19"/>
      <c r="N5305" s="10"/>
    </row>
    <row r="5306" spans="7:14" x14ac:dyDescent="0.75">
      <c r="G5306" s="10"/>
      <c r="H5306" s="10"/>
      <c r="I5306" s="39"/>
      <c r="J5306" s="103"/>
      <c r="K5306" s="39"/>
      <c r="L5306" s="78"/>
      <c r="M5306" s="19"/>
      <c r="N5306" s="10"/>
    </row>
    <row r="5307" spans="7:14" x14ac:dyDescent="0.75">
      <c r="G5307" s="10"/>
      <c r="H5307" s="10"/>
      <c r="I5307" s="39"/>
      <c r="J5307" s="103"/>
      <c r="K5307" s="39"/>
      <c r="L5307" s="78"/>
      <c r="M5307" s="19"/>
      <c r="N5307" s="10"/>
    </row>
    <row r="5308" spans="7:14" x14ac:dyDescent="0.75">
      <c r="G5308" s="10"/>
      <c r="H5308" s="10"/>
      <c r="I5308" s="39"/>
      <c r="J5308" s="103"/>
      <c r="K5308" s="39"/>
      <c r="L5308" s="78"/>
      <c r="M5308" s="19"/>
      <c r="N5308" s="10"/>
    </row>
    <row r="5309" spans="7:14" x14ac:dyDescent="0.75">
      <c r="G5309" s="10"/>
      <c r="H5309" s="10"/>
      <c r="I5309" s="39"/>
      <c r="J5309" s="103"/>
      <c r="K5309" s="39"/>
      <c r="L5309" s="10"/>
      <c r="M5309" s="19"/>
      <c r="N5309" s="10"/>
    </row>
    <row r="5310" spans="7:14" x14ac:dyDescent="0.75">
      <c r="G5310" s="10"/>
      <c r="H5310" s="10"/>
      <c r="I5310" s="39"/>
      <c r="J5310" s="103"/>
      <c r="K5310" s="39"/>
      <c r="L5310" s="10"/>
      <c r="M5310" s="19"/>
      <c r="N5310" s="10"/>
    </row>
    <row r="5311" spans="7:14" x14ac:dyDescent="0.75">
      <c r="G5311" s="10"/>
      <c r="H5311" s="10"/>
      <c r="I5311" s="39"/>
      <c r="J5311" s="103"/>
      <c r="K5311" s="39"/>
      <c r="L5311" s="78"/>
      <c r="M5311" s="19"/>
      <c r="N5311" s="10"/>
    </row>
    <row r="5312" spans="7:14" x14ac:dyDescent="0.75">
      <c r="G5312" s="10"/>
      <c r="H5312" s="10"/>
      <c r="I5312" s="39"/>
      <c r="J5312" s="103"/>
      <c r="K5312" s="39"/>
      <c r="L5312" s="10"/>
      <c r="M5312" s="19"/>
      <c r="N5312" s="10"/>
    </row>
    <row r="5313" spans="7:14" x14ac:dyDescent="0.75">
      <c r="G5313" s="10"/>
      <c r="H5313" s="10"/>
      <c r="I5313" s="39"/>
      <c r="J5313" s="103"/>
      <c r="K5313" s="39"/>
      <c r="L5313" s="10"/>
      <c r="M5313" s="19"/>
      <c r="N5313" s="10"/>
    </row>
    <row r="5314" spans="7:14" x14ac:dyDescent="0.75">
      <c r="G5314" s="10"/>
      <c r="H5314" s="10"/>
      <c r="I5314" s="39"/>
      <c r="J5314" s="103"/>
      <c r="K5314" s="39"/>
      <c r="L5314" s="10"/>
      <c r="M5314" s="19"/>
      <c r="N5314" s="10"/>
    </row>
    <row r="5315" spans="7:14" x14ac:dyDescent="0.75">
      <c r="G5315" s="10"/>
      <c r="H5315" s="10"/>
      <c r="I5315" s="39"/>
      <c r="J5315" s="103"/>
      <c r="K5315" s="39"/>
      <c r="L5315" s="10"/>
      <c r="M5315" s="19"/>
      <c r="N5315" s="10"/>
    </row>
    <row r="5316" spans="7:14" x14ac:dyDescent="0.75">
      <c r="G5316" s="10"/>
      <c r="H5316" s="10"/>
      <c r="I5316" s="39"/>
      <c r="J5316" s="103"/>
      <c r="K5316" s="39"/>
      <c r="L5316" s="10"/>
      <c r="M5316" s="19"/>
      <c r="N5316" s="10"/>
    </row>
    <row r="5317" spans="7:14" x14ac:dyDescent="0.75">
      <c r="G5317" s="10"/>
      <c r="H5317" s="10"/>
      <c r="I5317" s="39"/>
      <c r="J5317" s="103"/>
      <c r="K5317" s="39"/>
      <c r="L5317" s="10"/>
      <c r="M5317" s="19"/>
      <c r="N5317" s="10"/>
    </row>
    <row r="5318" spans="7:14" x14ac:dyDescent="0.75">
      <c r="G5318" s="10"/>
      <c r="H5318" s="10"/>
      <c r="I5318" s="39"/>
      <c r="J5318" s="103"/>
      <c r="K5318" s="39"/>
      <c r="L5318" s="78"/>
      <c r="M5318" s="19"/>
      <c r="N5318" s="10"/>
    </row>
    <row r="5319" spans="7:14" x14ac:dyDescent="0.75">
      <c r="G5319" s="10"/>
      <c r="H5319" s="10"/>
      <c r="I5319" s="39"/>
      <c r="J5319" s="103"/>
      <c r="K5319" s="39"/>
      <c r="L5319" s="78"/>
      <c r="M5319" s="19"/>
      <c r="N5319" s="10"/>
    </row>
    <row r="5320" spans="7:14" x14ac:dyDescent="0.75">
      <c r="G5320" s="10"/>
      <c r="H5320" s="10"/>
      <c r="I5320" s="39"/>
      <c r="J5320" s="103"/>
      <c r="K5320" s="39"/>
      <c r="L5320" s="78"/>
      <c r="M5320" s="19"/>
      <c r="N5320" s="10"/>
    </row>
    <row r="5321" spans="7:14" x14ac:dyDescent="0.75">
      <c r="G5321" s="10"/>
      <c r="H5321" s="10"/>
      <c r="I5321" s="39"/>
      <c r="J5321" s="103"/>
      <c r="K5321" s="39"/>
      <c r="L5321" s="78"/>
      <c r="M5321" s="19"/>
      <c r="N5321" s="10"/>
    </row>
    <row r="5322" spans="7:14" x14ac:dyDescent="0.75">
      <c r="G5322" s="10"/>
      <c r="H5322" s="10"/>
      <c r="I5322" s="39"/>
      <c r="J5322" s="103"/>
      <c r="K5322" s="39"/>
      <c r="L5322" s="78"/>
      <c r="M5322" s="19"/>
      <c r="N5322" s="10"/>
    </row>
    <row r="5323" spans="7:14" x14ac:dyDescent="0.75">
      <c r="G5323" s="10"/>
      <c r="H5323" s="10"/>
      <c r="I5323" s="39"/>
      <c r="J5323" s="103"/>
      <c r="K5323" s="39"/>
      <c r="L5323" s="78"/>
      <c r="M5323" s="19"/>
      <c r="N5323" s="10"/>
    </row>
    <row r="5324" spans="7:14" x14ac:dyDescent="0.75">
      <c r="G5324" s="10"/>
      <c r="H5324" s="10"/>
      <c r="I5324" s="39"/>
      <c r="J5324" s="103"/>
      <c r="K5324" s="39"/>
      <c r="L5324" s="78"/>
      <c r="M5324" s="19"/>
      <c r="N5324" s="10"/>
    </row>
    <row r="5325" spans="7:14" x14ac:dyDescent="0.75">
      <c r="G5325" s="10"/>
      <c r="H5325" s="10"/>
      <c r="I5325" s="39"/>
      <c r="J5325" s="103"/>
      <c r="K5325" s="39"/>
      <c r="L5325" s="78"/>
      <c r="M5325" s="19"/>
      <c r="N5325" s="10"/>
    </row>
    <row r="5326" spans="7:14" x14ac:dyDescent="0.75">
      <c r="G5326" s="10"/>
      <c r="H5326" s="10"/>
      <c r="I5326" s="39"/>
      <c r="J5326" s="103"/>
      <c r="K5326" s="39"/>
      <c r="L5326" s="78"/>
      <c r="M5326" s="19"/>
      <c r="N5326" s="10"/>
    </row>
    <row r="5327" spans="7:14" x14ac:dyDescent="0.75">
      <c r="G5327" s="10"/>
      <c r="H5327" s="10"/>
      <c r="I5327" s="39"/>
      <c r="J5327" s="103"/>
      <c r="K5327" s="39"/>
      <c r="L5327" s="78"/>
      <c r="M5327" s="19"/>
      <c r="N5327" s="10"/>
    </row>
    <row r="5328" spans="7:14" x14ac:dyDescent="0.75">
      <c r="G5328" s="10"/>
      <c r="H5328" s="10"/>
      <c r="I5328" s="39"/>
      <c r="J5328" s="103"/>
      <c r="K5328" s="39"/>
      <c r="L5328" s="78"/>
      <c r="M5328" s="19"/>
      <c r="N5328" s="10"/>
    </row>
    <row r="5329" spans="7:14" x14ac:dyDescent="0.75">
      <c r="G5329" s="10"/>
      <c r="H5329" s="10"/>
      <c r="I5329" s="39"/>
      <c r="J5329" s="103"/>
      <c r="K5329" s="39"/>
      <c r="L5329" s="78"/>
      <c r="M5329" s="19"/>
      <c r="N5329" s="10"/>
    </row>
    <row r="5330" spans="7:14" x14ac:dyDescent="0.75">
      <c r="G5330" s="10"/>
      <c r="H5330" s="10"/>
      <c r="I5330" s="39"/>
      <c r="J5330" s="103"/>
      <c r="K5330" s="39"/>
      <c r="L5330" s="78"/>
      <c r="M5330" s="19"/>
      <c r="N5330" s="10"/>
    </row>
    <row r="5331" spans="7:14" x14ac:dyDescent="0.75">
      <c r="G5331" s="10"/>
      <c r="H5331" s="10"/>
      <c r="I5331" s="39"/>
      <c r="J5331" s="103"/>
      <c r="K5331" s="39"/>
      <c r="L5331" s="78"/>
      <c r="M5331" s="19"/>
      <c r="N5331" s="10"/>
    </row>
    <row r="5332" spans="7:14" x14ac:dyDescent="0.75">
      <c r="G5332" s="10"/>
      <c r="H5332" s="10"/>
      <c r="I5332" s="39"/>
      <c r="J5332" s="103"/>
      <c r="K5332" s="39"/>
      <c r="L5332" s="78"/>
      <c r="M5332" s="19"/>
      <c r="N5332" s="10"/>
    </row>
    <row r="5333" spans="7:14" x14ac:dyDescent="0.75">
      <c r="G5333" s="10"/>
      <c r="H5333" s="10"/>
      <c r="I5333" s="39"/>
      <c r="J5333" s="103"/>
      <c r="K5333" s="39"/>
      <c r="L5333" s="78"/>
      <c r="M5333" s="19"/>
      <c r="N5333" s="10"/>
    </row>
    <row r="5334" spans="7:14" x14ac:dyDescent="0.75">
      <c r="G5334" s="10"/>
      <c r="H5334" s="10"/>
      <c r="I5334" s="39"/>
      <c r="J5334" s="103"/>
      <c r="K5334" s="39"/>
      <c r="L5334" s="78"/>
      <c r="M5334" s="19"/>
      <c r="N5334" s="10"/>
    </row>
    <row r="5335" spans="7:14" x14ac:dyDescent="0.75">
      <c r="G5335" s="10"/>
      <c r="H5335" s="10"/>
      <c r="I5335" s="39"/>
      <c r="J5335" s="103"/>
      <c r="K5335" s="39"/>
      <c r="L5335" s="78"/>
      <c r="M5335" s="19"/>
      <c r="N5335" s="10"/>
    </row>
    <row r="5336" spans="7:14" x14ac:dyDescent="0.75">
      <c r="G5336" s="10"/>
      <c r="H5336" s="10"/>
      <c r="I5336" s="39"/>
      <c r="J5336" s="103"/>
      <c r="K5336" s="39"/>
      <c r="L5336" s="78"/>
      <c r="M5336" s="19"/>
      <c r="N5336" s="10"/>
    </row>
    <row r="5337" spans="7:14" x14ac:dyDescent="0.75">
      <c r="G5337" s="10"/>
      <c r="H5337" s="10"/>
      <c r="I5337" s="39"/>
      <c r="J5337" s="103"/>
      <c r="K5337" s="39"/>
      <c r="L5337" s="10"/>
      <c r="M5337" s="19"/>
      <c r="N5337" s="10"/>
    </row>
    <row r="5338" spans="7:14" x14ac:dyDescent="0.75">
      <c r="G5338" s="10"/>
      <c r="H5338" s="10"/>
      <c r="I5338" s="39"/>
      <c r="J5338" s="103"/>
      <c r="K5338" s="39"/>
      <c r="L5338" s="78"/>
      <c r="M5338" s="19"/>
      <c r="N5338" s="10"/>
    </row>
    <row r="5339" spans="7:14" x14ac:dyDescent="0.75">
      <c r="G5339" s="10"/>
      <c r="H5339" s="10"/>
      <c r="I5339" s="39"/>
      <c r="J5339" s="103"/>
      <c r="K5339" s="39"/>
      <c r="L5339" s="78"/>
      <c r="M5339" s="19"/>
      <c r="N5339" s="10"/>
    </row>
    <row r="5340" spans="7:14" x14ac:dyDescent="0.75">
      <c r="G5340" s="10"/>
      <c r="H5340" s="10"/>
      <c r="I5340" s="39"/>
      <c r="J5340" s="103"/>
      <c r="K5340" s="39"/>
      <c r="L5340" s="78"/>
      <c r="M5340" s="19"/>
      <c r="N5340" s="10"/>
    </row>
    <row r="5341" spans="7:14" x14ac:dyDescent="0.75">
      <c r="G5341" s="10"/>
      <c r="H5341" s="10"/>
      <c r="I5341" s="39"/>
      <c r="J5341" s="103"/>
      <c r="K5341" s="39"/>
      <c r="L5341" s="10"/>
      <c r="M5341" s="19"/>
      <c r="N5341" s="10"/>
    </row>
    <row r="5342" spans="7:14" x14ac:dyDescent="0.75">
      <c r="G5342" s="10"/>
      <c r="H5342" s="10"/>
      <c r="I5342" s="39"/>
      <c r="J5342" s="103"/>
      <c r="K5342" s="39"/>
      <c r="L5342" s="10"/>
      <c r="M5342" s="19"/>
      <c r="N5342" s="10"/>
    </row>
    <row r="5343" spans="7:14" x14ac:dyDescent="0.75">
      <c r="G5343" s="10"/>
      <c r="H5343" s="10"/>
      <c r="I5343" s="39"/>
      <c r="J5343" s="103"/>
      <c r="K5343" s="39"/>
      <c r="L5343" s="10"/>
      <c r="M5343" s="19"/>
      <c r="N5343" s="10"/>
    </row>
    <row r="5344" spans="7:14" x14ac:dyDescent="0.75">
      <c r="G5344" s="10"/>
      <c r="H5344" s="10"/>
      <c r="I5344" s="39"/>
      <c r="J5344" s="103"/>
      <c r="K5344" s="39"/>
      <c r="L5344" s="78"/>
      <c r="M5344" s="19"/>
      <c r="N5344" s="10"/>
    </row>
    <row r="5345" spans="7:14" x14ac:dyDescent="0.75">
      <c r="G5345" s="10"/>
      <c r="H5345" s="10"/>
      <c r="I5345" s="39"/>
      <c r="J5345" s="103"/>
      <c r="K5345" s="39"/>
      <c r="L5345" s="78"/>
      <c r="M5345" s="19"/>
      <c r="N5345" s="10"/>
    </row>
    <row r="5346" spans="7:14" x14ac:dyDescent="0.75">
      <c r="G5346" s="10"/>
      <c r="H5346" s="10"/>
      <c r="I5346" s="39"/>
      <c r="J5346" s="103"/>
      <c r="K5346" s="39"/>
      <c r="L5346" s="78"/>
      <c r="M5346" s="19"/>
      <c r="N5346" s="10"/>
    </row>
    <row r="5347" spans="7:14" x14ac:dyDescent="0.75">
      <c r="G5347" s="10"/>
      <c r="H5347" s="10"/>
      <c r="I5347" s="39"/>
      <c r="J5347" s="103"/>
      <c r="K5347" s="39"/>
      <c r="L5347" s="78"/>
      <c r="M5347" s="19"/>
      <c r="N5347" s="10"/>
    </row>
    <row r="5348" spans="7:14" x14ac:dyDescent="0.75">
      <c r="G5348" s="10"/>
      <c r="H5348" s="10"/>
      <c r="I5348" s="39"/>
      <c r="J5348" s="103"/>
      <c r="K5348" s="39"/>
      <c r="L5348" s="10"/>
      <c r="M5348" s="19"/>
      <c r="N5348" s="10"/>
    </row>
    <row r="5349" spans="7:14" x14ac:dyDescent="0.75">
      <c r="G5349" s="10"/>
      <c r="H5349" s="10"/>
      <c r="I5349" s="39"/>
      <c r="J5349" s="103"/>
      <c r="K5349" s="39"/>
      <c r="L5349" s="10"/>
      <c r="M5349" s="19"/>
      <c r="N5349" s="10"/>
    </row>
    <row r="5350" spans="7:14" x14ac:dyDescent="0.75">
      <c r="G5350" s="10"/>
      <c r="H5350" s="10"/>
      <c r="I5350" s="39"/>
      <c r="J5350" s="103"/>
      <c r="K5350" s="39"/>
      <c r="L5350" s="10"/>
      <c r="M5350" s="19"/>
      <c r="N5350" s="10"/>
    </row>
    <row r="5351" spans="7:14" x14ac:dyDescent="0.75">
      <c r="G5351" s="10"/>
      <c r="H5351" s="10"/>
      <c r="I5351" s="39"/>
      <c r="J5351" s="103"/>
      <c r="K5351" s="39"/>
      <c r="L5351" s="78"/>
      <c r="M5351" s="19"/>
      <c r="N5351" s="10"/>
    </row>
    <row r="5352" spans="7:14" x14ac:dyDescent="0.75">
      <c r="G5352" s="10"/>
      <c r="H5352" s="10"/>
      <c r="I5352" s="39"/>
      <c r="J5352" s="103"/>
      <c r="K5352" s="39"/>
      <c r="L5352" s="78"/>
      <c r="M5352" s="19"/>
      <c r="N5352" s="10"/>
    </row>
    <row r="5353" spans="7:14" x14ac:dyDescent="0.75">
      <c r="G5353" s="10"/>
      <c r="H5353" s="10"/>
      <c r="I5353" s="39"/>
      <c r="J5353" s="103"/>
      <c r="K5353" s="39"/>
      <c r="L5353" s="78"/>
      <c r="M5353" s="19"/>
      <c r="N5353" s="10"/>
    </row>
    <row r="5354" spans="7:14" x14ac:dyDescent="0.75">
      <c r="G5354" s="10"/>
      <c r="H5354" s="10"/>
      <c r="I5354" s="39"/>
      <c r="J5354" s="103"/>
      <c r="K5354" s="39"/>
      <c r="L5354" s="78"/>
      <c r="M5354" s="19"/>
      <c r="N5354" s="10"/>
    </row>
    <row r="5355" spans="7:14" x14ac:dyDescent="0.75">
      <c r="G5355" s="10"/>
      <c r="H5355" s="10"/>
      <c r="I5355" s="39"/>
      <c r="J5355" s="103"/>
      <c r="K5355" s="39"/>
      <c r="L5355" s="78"/>
      <c r="M5355" s="19"/>
      <c r="N5355" s="10"/>
    </row>
    <row r="5356" spans="7:14" x14ac:dyDescent="0.75">
      <c r="G5356" s="10"/>
      <c r="H5356" s="10"/>
      <c r="I5356" s="39"/>
      <c r="J5356" s="103"/>
      <c r="K5356" s="39"/>
      <c r="L5356" s="78"/>
      <c r="M5356" s="19"/>
      <c r="N5356" s="10"/>
    </row>
    <row r="5357" spans="7:14" x14ac:dyDescent="0.75">
      <c r="G5357" s="10"/>
      <c r="H5357" s="10"/>
      <c r="I5357" s="39"/>
      <c r="J5357" s="103"/>
      <c r="K5357" s="39"/>
      <c r="L5357" s="78"/>
      <c r="M5357" s="19"/>
      <c r="N5357" s="10"/>
    </row>
    <row r="5358" spans="7:14" x14ac:dyDescent="0.75">
      <c r="G5358" s="10"/>
      <c r="H5358" s="10"/>
      <c r="I5358" s="39"/>
      <c r="J5358" s="103"/>
      <c r="K5358" s="39"/>
      <c r="L5358" s="78"/>
      <c r="M5358" s="19"/>
      <c r="N5358" s="10"/>
    </row>
    <row r="5359" spans="7:14" x14ac:dyDescent="0.75">
      <c r="G5359" s="10"/>
      <c r="H5359" s="10"/>
      <c r="I5359" s="39"/>
      <c r="J5359" s="103"/>
      <c r="K5359" s="39"/>
      <c r="L5359" s="78"/>
      <c r="M5359" s="19"/>
      <c r="N5359" s="10"/>
    </row>
    <row r="5360" spans="7:14" x14ac:dyDescent="0.75">
      <c r="G5360" s="10"/>
      <c r="H5360" s="10"/>
      <c r="I5360" s="39"/>
      <c r="J5360" s="103"/>
      <c r="K5360" s="39"/>
      <c r="L5360" s="78"/>
      <c r="M5360" s="19"/>
      <c r="N5360" s="10"/>
    </row>
    <row r="5361" spans="7:14" x14ac:dyDescent="0.75">
      <c r="G5361" s="10"/>
      <c r="H5361" s="10"/>
      <c r="I5361" s="39"/>
      <c r="J5361" s="103"/>
      <c r="K5361" s="39"/>
      <c r="L5361" s="10"/>
      <c r="M5361" s="19"/>
      <c r="N5361" s="10"/>
    </row>
    <row r="5362" spans="7:14" x14ac:dyDescent="0.75">
      <c r="G5362" s="10"/>
      <c r="H5362" s="10"/>
      <c r="I5362" s="39"/>
      <c r="J5362" s="103"/>
      <c r="K5362" s="39"/>
      <c r="L5362" s="78"/>
      <c r="M5362" s="19"/>
      <c r="N5362" s="10"/>
    </row>
    <row r="5363" spans="7:14" x14ac:dyDescent="0.75">
      <c r="G5363" s="10"/>
      <c r="H5363" s="10"/>
      <c r="I5363" s="39"/>
      <c r="J5363" s="103"/>
      <c r="K5363" s="39"/>
      <c r="L5363" s="78"/>
      <c r="M5363" s="19"/>
      <c r="N5363" s="10"/>
    </row>
    <row r="5364" spans="7:14" x14ac:dyDescent="0.75">
      <c r="G5364" s="10"/>
      <c r="H5364" s="10"/>
      <c r="I5364" s="39"/>
      <c r="J5364" s="103"/>
      <c r="K5364" s="39"/>
      <c r="L5364" s="78"/>
      <c r="M5364" s="19"/>
      <c r="N5364" s="10"/>
    </row>
    <row r="5365" spans="7:14" x14ac:dyDescent="0.75">
      <c r="G5365" s="10"/>
      <c r="H5365" s="10"/>
      <c r="I5365" s="39"/>
      <c r="J5365" s="103"/>
      <c r="K5365" s="39"/>
      <c r="L5365" s="10"/>
      <c r="M5365" s="19"/>
      <c r="N5365" s="10"/>
    </row>
    <row r="5366" spans="7:14" x14ac:dyDescent="0.75">
      <c r="G5366" s="10"/>
      <c r="H5366" s="10"/>
      <c r="I5366" s="39"/>
      <c r="J5366" s="103"/>
      <c r="K5366" s="39"/>
      <c r="L5366" s="78"/>
      <c r="M5366" s="19"/>
      <c r="N5366" s="10"/>
    </row>
    <row r="5367" spans="7:14" x14ac:dyDescent="0.75">
      <c r="G5367" s="10"/>
      <c r="H5367" s="10"/>
      <c r="I5367" s="39"/>
      <c r="J5367" s="103"/>
      <c r="K5367" s="39"/>
      <c r="L5367" s="78"/>
      <c r="M5367" s="19"/>
      <c r="N5367" s="10"/>
    </row>
    <row r="5368" spans="7:14" x14ac:dyDescent="0.75">
      <c r="G5368" s="10"/>
      <c r="H5368" s="10"/>
      <c r="I5368" s="39"/>
      <c r="J5368" s="103"/>
      <c r="K5368" s="39"/>
      <c r="L5368" s="78"/>
      <c r="M5368" s="19"/>
      <c r="N5368" s="10"/>
    </row>
    <row r="5369" spans="7:14" x14ac:dyDescent="0.75">
      <c r="G5369" s="10"/>
      <c r="H5369" s="10"/>
      <c r="I5369" s="39"/>
      <c r="J5369" s="103"/>
      <c r="K5369" s="39"/>
      <c r="L5369" s="78"/>
      <c r="M5369" s="19"/>
      <c r="N5369" s="10"/>
    </row>
    <row r="5370" spans="7:14" x14ac:dyDescent="0.75">
      <c r="G5370" s="10"/>
      <c r="H5370" s="10"/>
      <c r="I5370" s="39"/>
      <c r="J5370" s="103"/>
      <c r="K5370" s="39"/>
      <c r="L5370" s="78"/>
      <c r="M5370" s="19"/>
      <c r="N5370" s="10"/>
    </row>
    <row r="5371" spans="7:14" x14ac:dyDescent="0.75">
      <c r="G5371" s="10"/>
      <c r="H5371" s="10"/>
      <c r="I5371" s="39"/>
      <c r="J5371" s="103"/>
      <c r="K5371" s="39"/>
      <c r="L5371" s="78"/>
      <c r="M5371" s="19"/>
      <c r="N5371" s="10"/>
    </row>
    <row r="5372" spans="7:14" x14ac:dyDescent="0.75">
      <c r="G5372" s="10"/>
      <c r="H5372" s="10"/>
      <c r="I5372" s="39"/>
      <c r="J5372" s="103"/>
      <c r="K5372" s="39"/>
      <c r="L5372" s="78"/>
      <c r="M5372" s="19"/>
      <c r="N5372" s="10"/>
    </row>
    <row r="5373" spans="7:14" x14ac:dyDescent="0.75">
      <c r="G5373" s="10"/>
      <c r="H5373" s="10"/>
      <c r="I5373" s="39"/>
      <c r="J5373" s="103"/>
      <c r="K5373" s="39"/>
      <c r="L5373" s="78"/>
      <c r="M5373" s="19"/>
      <c r="N5373" s="10"/>
    </row>
    <row r="5374" spans="7:14" x14ac:dyDescent="0.75">
      <c r="G5374" s="10"/>
      <c r="H5374" s="10"/>
      <c r="I5374" s="39"/>
      <c r="J5374" s="103"/>
      <c r="K5374" s="39"/>
      <c r="L5374" s="78"/>
      <c r="M5374" s="19"/>
      <c r="N5374" s="10"/>
    </row>
    <row r="5375" spans="7:14" x14ac:dyDescent="0.75">
      <c r="G5375" s="10"/>
      <c r="H5375" s="10"/>
      <c r="I5375" s="39"/>
      <c r="J5375" s="103"/>
      <c r="K5375" s="39"/>
      <c r="L5375" s="78"/>
      <c r="M5375" s="19"/>
      <c r="N5375" s="10"/>
    </row>
    <row r="5376" spans="7:14" x14ac:dyDescent="0.75">
      <c r="G5376" s="10"/>
      <c r="H5376" s="10"/>
      <c r="I5376" s="39"/>
      <c r="J5376" s="103"/>
      <c r="K5376" s="39"/>
      <c r="L5376" s="78"/>
      <c r="M5376" s="19"/>
      <c r="N5376" s="10"/>
    </row>
    <row r="5377" spans="7:14" x14ac:dyDescent="0.75">
      <c r="G5377" s="10"/>
      <c r="H5377" s="10"/>
      <c r="I5377" s="39"/>
      <c r="J5377" s="103"/>
      <c r="K5377" s="39"/>
      <c r="L5377" s="78"/>
      <c r="M5377" s="19"/>
      <c r="N5377" s="10"/>
    </row>
    <row r="5378" spans="7:14" x14ac:dyDescent="0.75">
      <c r="G5378" s="10"/>
      <c r="H5378" s="10"/>
      <c r="I5378" s="39"/>
      <c r="J5378" s="103"/>
      <c r="K5378" s="39"/>
      <c r="L5378" s="78"/>
      <c r="M5378" s="19"/>
      <c r="N5378" s="10"/>
    </row>
    <row r="5379" spans="7:14" x14ac:dyDescent="0.75">
      <c r="G5379" s="10"/>
      <c r="H5379" s="10"/>
      <c r="I5379" s="39"/>
      <c r="J5379" s="103"/>
      <c r="K5379" s="39"/>
      <c r="L5379" s="10"/>
      <c r="M5379" s="19"/>
      <c r="N5379" s="10"/>
    </row>
    <row r="5380" spans="7:14" x14ac:dyDescent="0.75">
      <c r="G5380" s="10"/>
      <c r="H5380" s="10"/>
      <c r="I5380" s="39"/>
      <c r="J5380" s="103"/>
      <c r="K5380" s="39"/>
      <c r="L5380" s="78"/>
      <c r="M5380" s="19"/>
      <c r="N5380" s="10"/>
    </row>
    <row r="5381" spans="7:14" x14ac:dyDescent="0.75">
      <c r="G5381" s="10"/>
      <c r="H5381" s="10"/>
      <c r="I5381" s="39"/>
      <c r="J5381" s="103"/>
      <c r="K5381" s="39"/>
      <c r="L5381" s="78"/>
      <c r="M5381" s="19"/>
      <c r="N5381" s="10"/>
    </row>
    <row r="5382" spans="7:14" x14ac:dyDescent="0.75">
      <c r="G5382" s="10"/>
      <c r="H5382" s="10"/>
      <c r="I5382" s="39"/>
      <c r="J5382" s="103"/>
      <c r="K5382" s="39"/>
      <c r="L5382" s="78"/>
      <c r="M5382" s="19"/>
      <c r="N5382" s="10"/>
    </row>
    <row r="5383" spans="7:14" x14ac:dyDescent="0.75">
      <c r="G5383" s="10"/>
      <c r="H5383" s="10"/>
      <c r="I5383" s="39"/>
      <c r="J5383" s="103"/>
      <c r="K5383" s="39"/>
      <c r="L5383" s="78"/>
      <c r="M5383" s="19"/>
      <c r="N5383" s="10"/>
    </row>
    <row r="5384" spans="7:14" x14ac:dyDescent="0.75">
      <c r="G5384" s="10"/>
      <c r="H5384" s="10"/>
      <c r="I5384" s="39"/>
      <c r="J5384" s="103"/>
      <c r="K5384" s="39"/>
      <c r="L5384" s="78"/>
      <c r="M5384" s="19"/>
      <c r="N5384" s="10"/>
    </row>
    <row r="5385" spans="7:14" x14ac:dyDescent="0.75">
      <c r="G5385" s="10"/>
      <c r="H5385" s="10"/>
      <c r="I5385" s="39"/>
      <c r="J5385" s="103"/>
      <c r="K5385" s="39"/>
      <c r="L5385" s="78"/>
      <c r="M5385" s="19"/>
      <c r="N5385" s="10"/>
    </row>
    <row r="5386" spans="7:14" x14ac:dyDescent="0.75">
      <c r="G5386" s="10"/>
      <c r="H5386" s="10"/>
      <c r="I5386" s="39"/>
      <c r="J5386" s="103"/>
      <c r="K5386" s="39"/>
      <c r="L5386" s="78"/>
      <c r="M5386" s="19"/>
      <c r="N5386" s="10"/>
    </row>
    <row r="5387" spans="7:14" x14ac:dyDescent="0.75">
      <c r="G5387" s="10"/>
      <c r="H5387" s="10"/>
      <c r="I5387" s="39"/>
      <c r="J5387" s="103"/>
      <c r="K5387" s="39"/>
      <c r="L5387" s="10"/>
      <c r="M5387" s="19"/>
      <c r="N5387" s="10"/>
    </row>
    <row r="5388" spans="7:14" x14ac:dyDescent="0.75">
      <c r="G5388" s="10"/>
      <c r="H5388" s="10"/>
      <c r="I5388" s="39"/>
      <c r="J5388" s="103"/>
      <c r="K5388" s="39"/>
      <c r="L5388" s="78"/>
      <c r="M5388" s="19"/>
      <c r="N5388" s="10"/>
    </row>
    <row r="5389" spans="7:14" x14ac:dyDescent="0.75">
      <c r="G5389" s="10"/>
      <c r="H5389" s="10"/>
      <c r="I5389" s="39"/>
      <c r="J5389" s="103"/>
      <c r="K5389" s="39"/>
      <c r="L5389" s="78"/>
      <c r="M5389" s="19"/>
      <c r="N5389" s="10"/>
    </row>
    <row r="5390" spans="7:14" x14ac:dyDescent="0.75">
      <c r="G5390" s="10"/>
      <c r="H5390" s="10"/>
      <c r="I5390" s="39"/>
      <c r="J5390" s="103"/>
      <c r="K5390" s="39"/>
      <c r="L5390" s="78"/>
      <c r="M5390" s="19"/>
      <c r="N5390" s="10"/>
    </row>
    <row r="5391" spans="7:14" x14ac:dyDescent="0.75">
      <c r="G5391" s="10"/>
      <c r="H5391" s="10"/>
      <c r="I5391" s="39"/>
      <c r="J5391" s="103"/>
      <c r="K5391" s="39"/>
      <c r="L5391" s="78"/>
      <c r="M5391" s="19"/>
      <c r="N5391" s="10"/>
    </row>
    <row r="5392" spans="7:14" x14ac:dyDescent="0.75">
      <c r="G5392" s="10"/>
      <c r="H5392" s="10"/>
      <c r="I5392" s="39"/>
      <c r="J5392" s="103"/>
      <c r="K5392" s="39"/>
      <c r="L5392" s="78"/>
      <c r="M5392" s="19"/>
      <c r="N5392" s="10"/>
    </row>
    <row r="5393" spans="7:14" x14ac:dyDescent="0.75">
      <c r="G5393" s="10"/>
      <c r="H5393" s="10"/>
      <c r="I5393" s="39"/>
      <c r="J5393" s="103"/>
      <c r="K5393" s="39"/>
      <c r="L5393" s="78"/>
      <c r="M5393" s="19"/>
      <c r="N5393" s="10"/>
    </row>
    <row r="5394" spans="7:14" x14ac:dyDescent="0.75">
      <c r="G5394" s="10"/>
      <c r="H5394" s="10"/>
      <c r="I5394" s="39"/>
      <c r="J5394" s="103"/>
      <c r="K5394" s="39"/>
      <c r="L5394" s="78"/>
      <c r="M5394" s="19"/>
      <c r="N5394" s="10"/>
    </row>
    <row r="5395" spans="7:14" x14ac:dyDescent="0.75">
      <c r="G5395" s="10"/>
      <c r="H5395" s="10"/>
      <c r="I5395" s="39"/>
      <c r="J5395" s="103"/>
      <c r="K5395" s="39"/>
      <c r="L5395" s="78"/>
      <c r="M5395" s="19"/>
      <c r="N5395" s="10"/>
    </row>
    <row r="5396" spans="7:14" x14ac:dyDescent="0.75">
      <c r="G5396" s="10"/>
      <c r="H5396" s="10"/>
      <c r="I5396" s="39"/>
      <c r="J5396" s="103"/>
      <c r="K5396" s="39"/>
      <c r="L5396" s="78"/>
      <c r="M5396" s="19"/>
      <c r="N5396" s="10"/>
    </row>
    <row r="5397" spans="7:14" x14ac:dyDescent="0.75">
      <c r="G5397" s="10"/>
      <c r="H5397" s="10"/>
      <c r="I5397" s="39"/>
      <c r="J5397" s="103"/>
      <c r="K5397" s="39"/>
      <c r="L5397" s="78"/>
      <c r="M5397" s="19"/>
      <c r="N5397" s="10"/>
    </row>
    <row r="5398" spans="7:14" x14ac:dyDescent="0.75">
      <c r="G5398" s="10"/>
      <c r="H5398" s="10"/>
      <c r="I5398" s="39"/>
      <c r="J5398" s="103"/>
      <c r="K5398" s="39"/>
      <c r="L5398" s="78"/>
      <c r="M5398" s="19"/>
      <c r="N5398" s="10"/>
    </row>
    <row r="5399" spans="7:14" x14ac:dyDescent="0.75">
      <c r="G5399" s="10"/>
      <c r="H5399" s="10"/>
      <c r="I5399" s="39"/>
      <c r="J5399" s="103"/>
      <c r="K5399" s="39"/>
      <c r="L5399" s="78"/>
      <c r="M5399" s="19"/>
      <c r="N5399" s="10"/>
    </row>
    <row r="5400" spans="7:14" x14ac:dyDescent="0.75">
      <c r="G5400" s="10"/>
      <c r="H5400" s="10"/>
      <c r="I5400" s="39"/>
      <c r="J5400" s="103"/>
      <c r="K5400" s="39"/>
      <c r="L5400" s="78"/>
      <c r="M5400" s="19"/>
      <c r="N5400" s="10"/>
    </row>
    <row r="5401" spans="7:14" x14ac:dyDescent="0.75">
      <c r="G5401" s="10"/>
      <c r="H5401" s="10"/>
      <c r="I5401" s="39"/>
      <c r="J5401" s="103"/>
      <c r="K5401" s="39"/>
      <c r="L5401" s="78"/>
      <c r="M5401" s="19"/>
      <c r="N5401" s="10"/>
    </row>
    <row r="5402" spans="7:14" x14ac:dyDescent="0.75">
      <c r="G5402" s="10"/>
      <c r="H5402" s="10"/>
      <c r="I5402" s="39"/>
      <c r="J5402" s="103"/>
      <c r="K5402" s="39"/>
      <c r="L5402" s="78"/>
      <c r="M5402" s="19"/>
      <c r="N5402" s="10"/>
    </row>
    <row r="5403" spans="7:14" x14ac:dyDescent="0.75">
      <c r="G5403" s="10"/>
      <c r="H5403" s="10"/>
      <c r="I5403" s="39"/>
      <c r="J5403" s="103"/>
      <c r="K5403" s="39"/>
      <c r="L5403" s="78"/>
      <c r="M5403" s="19"/>
      <c r="N5403" s="10"/>
    </row>
    <row r="5404" spans="7:14" x14ac:dyDescent="0.75">
      <c r="G5404" s="10"/>
      <c r="H5404" s="10"/>
      <c r="I5404" s="39"/>
      <c r="J5404" s="103"/>
      <c r="K5404" s="39"/>
      <c r="L5404" s="78"/>
      <c r="M5404" s="19"/>
      <c r="N5404" s="10"/>
    </row>
    <row r="5405" spans="7:14" x14ac:dyDescent="0.75">
      <c r="G5405" s="10"/>
      <c r="H5405" s="10"/>
      <c r="I5405" s="39"/>
      <c r="J5405" s="103"/>
      <c r="K5405" s="39"/>
      <c r="L5405" s="78"/>
      <c r="M5405" s="19"/>
      <c r="N5405" s="10"/>
    </row>
    <row r="5406" spans="7:14" x14ac:dyDescent="0.75">
      <c r="G5406" s="10"/>
      <c r="H5406" s="10"/>
      <c r="I5406" s="39"/>
      <c r="J5406" s="103"/>
      <c r="K5406" s="39"/>
      <c r="L5406" s="78"/>
      <c r="M5406" s="19"/>
      <c r="N5406" s="10"/>
    </row>
    <row r="5407" spans="7:14" x14ac:dyDescent="0.75">
      <c r="G5407" s="10"/>
      <c r="H5407" s="10"/>
      <c r="I5407" s="39"/>
      <c r="J5407" s="103"/>
      <c r="K5407" s="39"/>
      <c r="L5407" s="78"/>
      <c r="M5407" s="19"/>
      <c r="N5407" s="10"/>
    </row>
    <row r="5408" spans="7:14" x14ac:dyDescent="0.75">
      <c r="G5408" s="10"/>
      <c r="H5408" s="10"/>
      <c r="I5408" s="39"/>
      <c r="J5408" s="103"/>
      <c r="K5408" s="39"/>
      <c r="L5408" s="78"/>
      <c r="M5408" s="19"/>
      <c r="N5408" s="10"/>
    </row>
    <row r="5409" spans="7:14" x14ac:dyDescent="0.75">
      <c r="G5409" s="10"/>
      <c r="H5409" s="10"/>
      <c r="I5409" s="39"/>
      <c r="J5409" s="103"/>
      <c r="K5409" s="39"/>
      <c r="L5409" s="78"/>
      <c r="M5409" s="19"/>
      <c r="N5409" s="10"/>
    </row>
    <row r="5410" spans="7:14" x14ac:dyDescent="0.75">
      <c r="G5410" s="10"/>
      <c r="H5410" s="10"/>
      <c r="I5410" s="39"/>
      <c r="J5410" s="103"/>
      <c r="K5410" s="39"/>
      <c r="L5410" s="78"/>
      <c r="M5410" s="19"/>
      <c r="N5410" s="10"/>
    </row>
    <row r="5411" spans="7:14" x14ac:dyDescent="0.75">
      <c r="G5411" s="10"/>
      <c r="H5411" s="10"/>
      <c r="I5411" s="39"/>
      <c r="J5411" s="103"/>
      <c r="K5411" s="39"/>
      <c r="L5411" s="78"/>
      <c r="M5411" s="19"/>
      <c r="N5411" s="10"/>
    </row>
    <row r="5412" spans="7:14" x14ac:dyDescent="0.75">
      <c r="G5412" s="10"/>
      <c r="H5412" s="10"/>
      <c r="I5412" s="39"/>
      <c r="J5412" s="103"/>
      <c r="K5412" s="39"/>
      <c r="L5412" s="78"/>
      <c r="M5412" s="19"/>
      <c r="N5412" s="10"/>
    </row>
    <row r="5413" spans="7:14" x14ac:dyDescent="0.75">
      <c r="G5413" s="10"/>
      <c r="H5413" s="10"/>
      <c r="I5413" s="39"/>
      <c r="J5413" s="103"/>
      <c r="K5413" s="39"/>
      <c r="L5413" s="78"/>
      <c r="M5413" s="19"/>
      <c r="N5413" s="10"/>
    </row>
    <row r="5414" spans="7:14" x14ac:dyDescent="0.75">
      <c r="G5414" s="10"/>
      <c r="H5414" s="10"/>
      <c r="I5414" s="39"/>
      <c r="J5414" s="103"/>
      <c r="K5414" s="39"/>
      <c r="L5414" s="78"/>
      <c r="M5414" s="19"/>
      <c r="N5414" s="10"/>
    </row>
    <row r="5415" spans="7:14" x14ac:dyDescent="0.75">
      <c r="G5415" s="10"/>
      <c r="H5415" s="10"/>
      <c r="I5415" s="39"/>
      <c r="J5415" s="103"/>
      <c r="K5415" s="39"/>
      <c r="L5415" s="78"/>
      <c r="M5415" s="19"/>
      <c r="N5415" s="10"/>
    </row>
    <row r="5416" spans="7:14" x14ac:dyDescent="0.75">
      <c r="G5416" s="10"/>
      <c r="H5416" s="10"/>
      <c r="I5416" s="39"/>
      <c r="J5416" s="103"/>
      <c r="K5416" s="39"/>
      <c r="L5416" s="78"/>
      <c r="M5416" s="19"/>
      <c r="N5416" s="10"/>
    </row>
    <row r="5417" spans="7:14" x14ac:dyDescent="0.75">
      <c r="G5417" s="10"/>
      <c r="H5417" s="10"/>
      <c r="I5417" s="39"/>
      <c r="J5417" s="103"/>
      <c r="K5417" s="39"/>
      <c r="L5417" s="78"/>
      <c r="M5417" s="19"/>
      <c r="N5417" s="10"/>
    </row>
    <row r="5418" spans="7:14" x14ac:dyDescent="0.75">
      <c r="G5418" s="10"/>
      <c r="H5418" s="10"/>
      <c r="I5418" s="39"/>
      <c r="J5418" s="103"/>
      <c r="K5418" s="39"/>
      <c r="L5418" s="78"/>
      <c r="M5418" s="19"/>
      <c r="N5418" s="10"/>
    </row>
    <row r="5419" spans="7:14" x14ac:dyDescent="0.75">
      <c r="G5419" s="10"/>
      <c r="H5419" s="10"/>
      <c r="I5419" s="39"/>
      <c r="J5419" s="103"/>
      <c r="K5419" s="39"/>
      <c r="L5419" s="78"/>
      <c r="M5419" s="19"/>
      <c r="N5419" s="10"/>
    </row>
    <row r="5420" spans="7:14" x14ac:dyDescent="0.75">
      <c r="G5420" s="10"/>
      <c r="H5420" s="10"/>
      <c r="I5420" s="39"/>
      <c r="J5420" s="103"/>
      <c r="K5420" s="39"/>
      <c r="L5420" s="78"/>
      <c r="M5420" s="19"/>
      <c r="N5420" s="10"/>
    </row>
    <row r="5421" spans="7:14" x14ac:dyDescent="0.75">
      <c r="G5421" s="10"/>
      <c r="H5421" s="10"/>
      <c r="I5421" s="39"/>
      <c r="J5421" s="103"/>
      <c r="K5421" s="39"/>
      <c r="L5421" s="78"/>
      <c r="M5421" s="19"/>
      <c r="N5421" s="10"/>
    </row>
    <row r="5422" spans="7:14" x14ac:dyDescent="0.75">
      <c r="G5422" s="10"/>
      <c r="H5422" s="10"/>
      <c r="I5422" s="39"/>
      <c r="J5422" s="103"/>
      <c r="K5422" s="39"/>
      <c r="L5422" s="78"/>
      <c r="M5422" s="19"/>
      <c r="N5422" s="10"/>
    </row>
    <row r="5423" spans="7:14" x14ac:dyDescent="0.75">
      <c r="G5423" s="10"/>
      <c r="H5423" s="10"/>
      <c r="I5423" s="39"/>
      <c r="J5423" s="103"/>
      <c r="K5423" s="39"/>
      <c r="L5423" s="10"/>
      <c r="M5423" s="19"/>
      <c r="N5423" s="10"/>
    </row>
    <row r="5424" spans="7:14" x14ac:dyDescent="0.75">
      <c r="G5424" s="10"/>
      <c r="H5424" s="10"/>
      <c r="I5424" s="39"/>
      <c r="J5424" s="103"/>
      <c r="K5424" s="39"/>
      <c r="L5424" s="78"/>
      <c r="M5424" s="19"/>
      <c r="N5424" s="10"/>
    </row>
    <row r="5425" spans="7:14" x14ac:dyDescent="0.75">
      <c r="G5425" s="10"/>
      <c r="H5425" s="10"/>
      <c r="I5425" s="39"/>
      <c r="J5425" s="103"/>
      <c r="K5425" s="39"/>
      <c r="L5425" s="10"/>
      <c r="M5425" s="19"/>
      <c r="N5425" s="10"/>
    </row>
    <row r="5426" spans="7:14" x14ac:dyDescent="0.75">
      <c r="G5426" s="10"/>
      <c r="H5426" s="10"/>
      <c r="I5426" s="39"/>
      <c r="J5426" s="103"/>
      <c r="K5426" s="39"/>
      <c r="L5426" s="10"/>
      <c r="M5426" s="19"/>
      <c r="N5426" s="10"/>
    </row>
    <row r="5427" spans="7:14" x14ac:dyDescent="0.75">
      <c r="G5427" s="10"/>
      <c r="H5427" s="10"/>
      <c r="I5427" s="39"/>
      <c r="J5427" s="103"/>
      <c r="K5427" s="39"/>
      <c r="L5427" s="10"/>
      <c r="M5427" s="19"/>
      <c r="N5427" s="10"/>
    </row>
    <row r="5428" spans="7:14" x14ac:dyDescent="0.75">
      <c r="G5428" s="10"/>
      <c r="H5428" s="10"/>
      <c r="I5428" s="39"/>
      <c r="J5428" s="103"/>
      <c r="K5428" s="39"/>
      <c r="L5428" s="78"/>
      <c r="M5428" s="19"/>
      <c r="N5428" s="10"/>
    </row>
    <row r="5429" spans="7:14" x14ac:dyDescent="0.75">
      <c r="G5429" s="10"/>
      <c r="H5429" s="10"/>
      <c r="I5429" s="39"/>
      <c r="J5429" s="103"/>
      <c r="K5429" s="39"/>
      <c r="L5429" s="78"/>
      <c r="M5429" s="19"/>
      <c r="N5429" s="10"/>
    </row>
    <row r="5430" spans="7:14" x14ac:dyDescent="0.75">
      <c r="G5430" s="10"/>
      <c r="H5430" s="10"/>
      <c r="I5430" s="39"/>
      <c r="J5430" s="103"/>
      <c r="K5430" s="39"/>
      <c r="L5430" s="78"/>
      <c r="M5430" s="19"/>
      <c r="N5430" s="10"/>
    </row>
    <row r="5431" spans="7:14" x14ac:dyDescent="0.75">
      <c r="G5431" s="10"/>
      <c r="H5431" s="10"/>
      <c r="I5431" s="39"/>
      <c r="J5431" s="103"/>
      <c r="K5431" s="39"/>
      <c r="L5431" s="78"/>
      <c r="M5431" s="19"/>
      <c r="N5431" s="10"/>
    </row>
    <row r="5432" spans="7:14" x14ac:dyDescent="0.75">
      <c r="G5432" s="10"/>
      <c r="H5432" s="10"/>
      <c r="I5432" s="39"/>
      <c r="J5432" s="103"/>
      <c r="K5432" s="39"/>
      <c r="L5432" s="78"/>
      <c r="M5432" s="19"/>
      <c r="N5432" s="10"/>
    </row>
    <row r="5433" spans="7:14" x14ac:dyDescent="0.75">
      <c r="G5433" s="10"/>
      <c r="H5433" s="10"/>
      <c r="I5433" s="39"/>
      <c r="J5433" s="103"/>
      <c r="K5433" s="39"/>
      <c r="L5433" s="78"/>
      <c r="M5433" s="19"/>
      <c r="N5433" s="10"/>
    </row>
    <row r="5434" spans="7:14" x14ac:dyDescent="0.75">
      <c r="G5434" s="10"/>
      <c r="H5434" s="10"/>
      <c r="I5434" s="39"/>
      <c r="J5434" s="103"/>
      <c r="K5434" s="39"/>
      <c r="L5434" s="78"/>
      <c r="M5434" s="19"/>
      <c r="N5434" s="10"/>
    </row>
    <row r="5435" spans="7:14" x14ac:dyDescent="0.75">
      <c r="G5435" s="10"/>
      <c r="H5435" s="10"/>
      <c r="I5435" s="39"/>
      <c r="J5435" s="103"/>
      <c r="K5435" s="39"/>
      <c r="L5435" s="78"/>
      <c r="M5435" s="19"/>
      <c r="N5435" s="10"/>
    </row>
    <row r="5436" spans="7:14" x14ac:dyDescent="0.75">
      <c r="G5436" s="10"/>
      <c r="H5436" s="10"/>
      <c r="I5436" s="39"/>
      <c r="J5436" s="103"/>
      <c r="K5436" s="39"/>
      <c r="L5436" s="78"/>
      <c r="M5436" s="19"/>
      <c r="N5436" s="10"/>
    </row>
    <row r="5437" spans="7:14" x14ac:dyDescent="0.75">
      <c r="G5437" s="10"/>
      <c r="H5437" s="10"/>
      <c r="I5437" s="39"/>
      <c r="J5437" s="103"/>
      <c r="K5437" s="39"/>
      <c r="L5437" s="78"/>
      <c r="M5437" s="19"/>
      <c r="N5437" s="10"/>
    </row>
    <row r="5438" spans="7:14" x14ac:dyDescent="0.75">
      <c r="G5438" s="10"/>
      <c r="H5438" s="10"/>
      <c r="I5438" s="39"/>
      <c r="J5438" s="103"/>
      <c r="K5438" s="39"/>
      <c r="L5438" s="78"/>
      <c r="M5438" s="19"/>
      <c r="N5438" s="10"/>
    </row>
    <row r="5439" spans="7:14" x14ac:dyDescent="0.75">
      <c r="G5439" s="10"/>
      <c r="H5439" s="10"/>
      <c r="I5439" s="39"/>
      <c r="J5439" s="103"/>
      <c r="K5439" s="39"/>
      <c r="L5439" s="78"/>
      <c r="M5439" s="19"/>
      <c r="N5439" s="10"/>
    </row>
    <row r="5440" spans="7:14" x14ac:dyDescent="0.75">
      <c r="G5440" s="10"/>
      <c r="H5440" s="10"/>
      <c r="I5440" s="39"/>
      <c r="J5440" s="103"/>
      <c r="K5440" s="39"/>
      <c r="L5440" s="78"/>
      <c r="M5440" s="19"/>
      <c r="N5440" s="10"/>
    </row>
    <row r="5441" spans="7:14" x14ac:dyDescent="0.75">
      <c r="G5441" s="10"/>
      <c r="H5441" s="10"/>
      <c r="I5441" s="39"/>
      <c r="J5441" s="103"/>
      <c r="K5441" s="39"/>
      <c r="L5441" s="78"/>
      <c r="M5441" s="19"/>
      <c r="N5441" s="10"/>
    </row>
    <row r="5442" spans="7:14" x14ac:dyDescent="0.75">
      <c r="G5442" s="10"/>
      <c r="H5442" s="10"/>
      <c r="I5442" s="39"/>
      <c r="J5442" s="103"/>
      <c r="K5442" s="39"/>
      <c r="L5442" s="78"/>
      <c r="M5442" s="19"/>
      <c r="N5442" s="10"/>
    </row>
    <row r="5443" spans="7:14" x14ac:dyDescent="0.75">
      <c r="G5443" s="10"/>
      <c r="H5443" s="10"/>
      <c r="I5443" s="39"/>
      <c r="J5443" s="103"/>
      <c r="K5443" s="39"/>
      <c r="L5443" s="78"/>
      <c r="M5443" s="19"/>
      <c r="N5443" s="10"/>
    </row>
    <row r="5444" spans="7:14" x14ac:dyDescent="0.75">
      <c r="G5444" s="10"/>
      <c r="H5444" s="10"/>
      <c r="I5444" s="39"/>
      <c r="J5444" s="103"/>
      <c r="K5444" s="39"/>
      <c r="L5444" s="78"/>
      <c r="M5444" s="19"/>
      <c r="N5444" s="10"/>
    </row>
    <row r="5445" spans="7:14" x14ac:dyDescent="0.75">
      <c r="G5445" s="10"/>
      <c r="H5445" s="10"/>
      <c r="I5445" s="39"/>
      <c r="J5445" s="103"/>
      <c r="K5445" s="39"/>
      <c r="L5445" s="78"/>
      <c r="M5445" s="19"/>
      <c r="N5445" s="10"/>
    </row>
    <row r="5446" spans="7:14" x14ac:dyDescent="0.75">
      <c r="G5446" s="10"/>
      <c r="H5446" s="10"/>
      <c r="I5446" s="39"/>
      <c r="J5446" s="103"/>
      <c r="K5446" s="39"/>
      <c r="L5446" s="78"/>
      <c r="M5446" s="19"/>
      <c r="N5446" s="10"/>
    </row>
    <row r="5447" spans="7:14" x14ac:dyDescent="0.75">
      <c r="G5447" s="10"/>
      <c r="H5447" s="10"/>
      <c r="I5447" s="39"/>
      <c r="J5447" s="103"/>
      <c r="K5447" s="39"/>
      <c r="L5447" s="78"/>
      <c r="M5447" s="19"/>
      <c r="N5447" s="10"/>
    </row>
    <row r="5448" spans="7:14" x14ac:dyDescent="0.75">
      <c r="G5448" s="10"/>
      <c r="H5448" s="10"/>
      <c r="I5448" s="39"/>
      <c r="J5448" s="103"/>
      <c r="K5448" s="39"/>
      <c r="L5448" s="78"/>
      <c r="M5448" s="19"/>
      <c r="N5448" s="10"/>
    </row>
    <row r="5449" spans="7:14" x14ac:dyDescent="0.75">
      <c r="G5449" s="10"/>
      <c r="H5449" s="10"/>
      <c r="I5449" s="39"/>
      <c r="J5449" s="103"/>
      <c r="K5449" s="39"/>
      <c r="L5449" s="78"/>
      <c r="M5449" s="19"/>
      <c r="N5449" s="10"/>
    </row>
    <row r="5450" spans="7:14" x14ac:dyDescent="0.75">
      <c r="G5450" s="10"/>
      <c r="H5450" s="10"/>
      <c r="I5450" s="39"/>
      <c r="J5450" s="103"/>
      <c r="K5450" s="39"/>
      <c r="L5450" s="78"/>
      <c r="M5450" s="19"/>
      <c r="N5450" s="10"/>
    </row>
    <row r="5451" spans="7:14" x14ac:dyDescent="0.75">
      <c r="G5451" s="10"/>
      <c r="H5451" s="10"/>
      <c r="I5451" s="39"/>
      <c r="J5451" s="103"/>
      <c r="K5451" s="39"/>
      <c r="L5451" s="78"/>
      <c r="M5451" s="19"/>
      <c r="N5451" s="10"/>
    </row>
    <row r="5452" spans="7:14" x14ac:dyDescent="0.75">
      <c r="G5452" s="10"/>
      <c r="H5452" s="10"/>
      <c r="I5452" s="39"/>
      <c r="J5452" s="103"/>
      <c r="K5452" s="39"/>
      <c r="L5452" s="78"/>
      <c r="M5452" s="19"/>
      <c r="N5452" s="10"/>
    </row>
    <row r="5453" spans="7:14" x14ac:dyDescent="0.75">
      <c r="G5453" s="10"/>
      <c r="H5453" s="10"/>
      <c r="I5453" s="39"/>
      <c r="J5453" s="103"/>
      <c r="K5453" s="39"/>
      <c r="L5453" s="78"/>
      <c r="M5453" s="19"/>
      <c r="N5453" s="10"/>
    </row>
    <row r="5454" spans="7:14" x14ac:dyDescent="0.75">
      <c r="G5454" s="10"/>
      <c r="H5454" s="10"/>
      <c r="I5454" s="39"/>
      <c r="J5454" s="103"/>
      <c r="K5454" s="39"/>
      <c r="L5454" s="78"/>
      <c r="M5454" s="19"/>
      <c r="N5454" s="10"/>
    </row>
    <row r="5455" spans="7:14" x14ac:dyDescent="0.75">
      <c r="G5455" s="10"/>
      <c r="H5455" s="10"/>
      <c r="I5455" s="39"/>
      <c r="J5455" s="103"/>
      <c r="K5455" s="39"/>
      <c r="L5455" s="78"/>
      <c r="M5455" s="19"/>
      <c r="N5455" s="10"/>
    </row>
    <row r="5456" spans="7:14" x14ac:dyDescent="0.75">
      <c r="G5456" s="10"/>
      <c r="H5456" s="10"/>
      <c r="I5456" s="39"/>
      <c r="J5456" s="103"/>
      <c r="K5456" s="39"/>
      <c r="L5456" s="78"/>
      <c r="M5456" s="19"/>
      <c r="N5456" s="10"/>
    </row>
    <row r="5457" spans="7:14" x14ac:dyDescent="0.75">
      <c r="G5457" s="10"/>
      <c r="H5457" s="10"/>
      <c r="I5457" s="39"/>
      <c r="J5457" s="103"/>
      <c r="K5457" s="39"/>
      <c r="L5457" s="78"/>
      <c r="M5457" s="19"/>
      <c r="N5457" s="10"/>
    </row>
    <row r="5458" spans="7:14" x14ac:dyDescent="0.75">
      <c r="G5458" s="10"/>
      <c r="H5458" s="10"/>
      <c r="I5458" s="39"/>
      <c r="J5458" s="103"/>
      <c r="K5458" s="39"/>
      <c r="L5458" s="78"/>
      <c r="M5458" s="19"/>
      <c r="N5458" s="10"/>
    </row>
    <row r="5459" spans="7:14" x14ac:dyDescent="0.75">
      <c r="G5459" s="10"/>
      <c r="H5459" s="10"/>
      <c r="I5459" s="39"/>
      <c r="J5459" s="103"/>
      <c r="K5459" s="39"/>
      <c r="L5459" s="10"/>
      <c r="M5459" s="19"/>
      <c r="N5459" s="10"/>
    </row>
    <row r="5460" spans="7:14" x14ac:dyDescent="0.75">
      <c r="G5460" s="10"/>
      <c r="H5460" s="10"/>
      <c r="I5460" s="39"/>
      <c r="J5460" s="103"/>
      <c r="K5460" s="39"/>
      <c r="L5460" s="10"/>
      <c r="M5460" s="19"/>
      <c r="N5460" s="10"/>
    </row>
    <row r="5461" spans="7:14" x14ac:dyDescent="0.75">
      <c r="G5461" s="10"/>
      <c r="H5461" s="10"/>
      <c r="I5461" s="39"/>
      <c r="J5461" s="103"/>
      <c r="K5461" s="39"/>
      <c r="L5461" s="10"/>
      <c r="M5461" s="19"/>
      <c r="N5461" s="10"/>
    </row>
    <row r="5462" spans="7:14" x14ac:dyDescent="0.75">
      <c r="G5462" s="10"/>
      <c r="H5462" s="10"/>
      <c r="I5462" s="39"/>
      <c r="J5462" s="103"/>
      <c r="K5462" s="39"/>
      <c r="L5462" s="10"/>
      <c r="M5462" s="19"/>
      <c r="N5462" s="10"/>
    </row>
    <row r="5463" spans="7:14" x14ac:dyDescent="0.75">
      <c r="G5463" s="10"/>
      <c r="H5463" s="10"/>
      <c r="I5463" s="39"/>
      <c r="J5463" s="103"/>
      <c r="K5463" s="39"/>
      <c r="L5463" s="78"/>
      <c r="M5463" s="19"/>
      <c r="N5463" s="10"/>
    </row>
    <row r="5464" spans="7:14" x14ac:dyDescent="0.75">
      <c r="G5464" s="10"/>
      <c r="H5464" s="10"/>
      <c r="I5464" s="39"/>
      <c r="J5464" s="103"/>
      <c r="K5464" s="39"/>
      <c r="L5464" s="78"/>
      <c r="M5464" s="19"/>
      <c r="N5464" s="10"/>
    </row>
    <row r="5465" spans="7:14" x14ac:dyDescent="0.75">
      <c r="G5465" s="10"/>
      <c r="H5465" s="10"/>
      <c r="I5465" s="39"/>
      <c r="J5465" s="103"/>
      <c r="K5465" s="39"/>
      <c r="L5465" s="10"/>
      <c r="M5465" s="19"/>
      <c r="N5465" s="10"/>
    </row>
    <row r="5466" spans="7:14" x14ac:dyDescent="0.75">
      <c r="G5466" s="10"/>
      <c r="H5466" s="10"/>
      <c r="I5466" s="39"/>
      <c r="J5466" s="103"/>
      <c r="K5466" s="39"/>
      <c r="L5466" s="78"/>
      <c r="M5466" s="19"/>
      <c r="N5466" s="10"/>
    </row>
    <row r="5467" spans="7:14" x14ac:dyDescent="0.75">
      <c r="G5467" s="10"/>
      <c r="H5467" s="10"/>
      <c r="I5467" s="39"/>
      <c r="J5467" s="103"/>
      <c r="K5467" s="39"/>
      <c r="L5467" s="78"/>
      <c r="M5467" s="19"/>
      <c r="N5467" s="10"/>
    </row>
    <row r="5468" spans="7:14" x14ac:dyDescent="0.75">
      <c r="G5468" s="10"/>
      <c r="H5468" s="10"/>
      <c r="I5468" s="39"/>
      <c r="J5468" s="103"/>
      <c r="K5468" s="39"/>
      <c r="L5468" s="78"/>
      <c r="M5468" s="19"/>
      <c r="N5468" s="10"/>
    </row>
    <row r="5469" spans="7:14" x14ac:dyDescent="0.75">
      <c r="G5469" s="10"/>
      <c r="H5469" s="10"/>
      <c r="I5469" s="39"/>
      <c r="J5469" s="103"/>
      <c r="K5469" s="39"/>
      <c r="L5469" s="78"/>
      <c r="M5469" s="19"/>
      <c r="N5469" s="10"/>
    </row>
    <row r="5470" spans="7:14" x14ac:dyDescent="0.75">
      <c r="G5470" s="10"/>
      <c r="H5470" s="10"/>
      <c r="I5470" s="39"/>
      <c r="J5470" s="103"/>
      <c r="K5470" s="39"/>
      <c r="L5470" s="78"/>
      <c r="M5470" s="19"/>
      <c r="N5470" s="10"/>
    </row>
    <row r="5471" spans="7:14" x14ac:dyDescent="0.75">
      <c r="G5471" s="10"/>
      <c r="H5471" s="10"/>
      <c r="I5471" s="39"/>
      <c r="J5471" s="103"/>
      <c r="K5471" s="39"/>
      <c r="L5471" s="78"/>
      <c r="M5471" s="19"/>
      <c r="N5471" s="10"/>
    </row>
    <row r="5472" spans="7:14" x14ac:dyDescent="0.75">
      <c r="G5472" s="10"/>
      <c r="H5472" s="10"/>
      <c r="I5472" s="39"/>
      <c r="J5472" s="103"/>
      <c r="K5472" s="39"/>
      <c r="L5472" s="78"/>
      <c r="M5472" s="19"/>
      <c r="N5472" s="10"/>
    </row>
    <row r="5473" spans="7:14" x14ac:dyDescent="0.75">
      <c r="G5473" s="10"/>
      <c r="H5473" s="10"/>
      <c r="I5473" s="39"/>
      <c r="J5473" s="103"/>
      <c r="K5473" s="39"/>
      <c r="L5473" s="78"/>
      <c r="M5473" s="19"/>
      <c r="N5473" s="10"/>
    </row>
    <row r="5474" spans="7:14" x14ac:dyDescent="0.75">
      <c r="G5474" s="10"/>
      <c r="H5474" s="10"/>
      <c r="I5474" s="39"/>
      <c r="J5474" s="103"/>
      <c r="K5474" s="39"/>
      <c r="L5474" s="78"/>
      <c r="M5474" s="19"/>
      <c r="N5474" s="10"/>
    </row>
    <row r="5475" spans="7:14" x14ac:dyDescent="0.75">
      <c r="G5475" s="10"/>
      <c r="H5475" s="10"/>
      <c r="I5475" s="39"/>
      <c r="J5475" s="103"/>
      <c r="K5475" s="39"/>
      <c r="L5475" s="78"/>
      <c r="M5475" s="19"/>
      <c r="N5475" s="10"/>
    </row>
    <row r="5476" spans="7:14" x14ac:dyDescent="0.75">
      <c r="G5476" s="10"/>
      <c r="H5476" s="10"/>
      <c r="I5476" s="39"/>
      <c r="J5476" s="103"/>
      <c r="K5476" s="39"/>
      <c r="L5476" s="78"/>
      <c r="M5476" s="19"/>
      <c r="N5476" s="10"/>
    </row>
    <row r="5477" spans="7:14" x14ac:dyDescent="0.75">
      <c r="G5477" s="10"/>
      <c r="H5477" s="10"/>
      <c r="I5477" s="39"/>
      <c r="J5477" s="103"/>
      <c r="K5477" s="39"/>
      <c r="L5477" s="78"/>
      <c r="M5477" s="19"/>
      <c r="N5477" s="10"/>
    </row>
    <row r="5478" spans="7:14" x14ac:dyDescent="0.75">
      <c r="G5478" s="10"/>
      <c r="H5478" s="10"/>
      <c r="I5478" s="39"/>
      <c r="J5478" s="103"/>
      <c r="K5478" s="39"/>
      <c r="L5478" s="78"/>
      <c r="M5478" s="19"/>
      <c r="N5478" s="10"/>
    </row>
    <row r="5479" spans="7:14" x14ac:dyDescent="0.75">
      <c r="G5479" s="10"/>
      <c r="H5479" s="10"/>
      <c r="I5479" s="39"/>
      <c r="J5479" s="103"/>
      <c r="K5479" s="39"/>
      <c r="L5479" s="78"/>
      <c r="M5479" s="19"/>
      <c r="N5479" s="10"/>
    </row>
    <row r="5480" spans="7:14" x14ac:dyDescent="0.75">
      <c r="G5480" s="10"/>
      <c r="H5480" s="10"/>
      <c r="I5480" s="39"/>
      <c r="J5480" s="103"/>
      <c r="K5480" s="39"/>
      <c r="L5480" s="78"/>
      <c r="M5480" s="19"/>
      <c r="N5480" s="10"/>
    </row>
    <row r="5481" spans="7:14" x14ac:dyDescent="0.75">
      <c r="G5481" s="10"/>
      <c r="H5481" s="10"/>
      <c r="I5481" s="39"/>
      <c r="J5481" s="103"/>
      <c r="K5481" s="39"/>
      <c r="L5481" s="78"/>
      <c r="M5481" s="19"/>
      <c r="N5481" s="10"/>
    </row>
    <row r="5482" spans="7:14" x14ac:dyDescent="0.75">
      <c r="G5482" s="10"/>
      <c r="H5482" s="10"/>
      <c r="I5482" s="39"/>
      <c r="J5482" s="103"/>
      <c r="K5482" s="39"/>
      <c r="L5482" s="78"/>
      <c r="M5482" s="19"/>
      <c r="N5482" s="10"/>
    </row>
    <row r="5483" spans="7:14" x14ac:dyDescent="0.75">
      <c r="G5483" s="10"/>
      <c r="H5483" s="10"/>
      <c r="I5483" s="39"/>
      <c r="J5483" s="103"/>
      <c r="K5483" s="39"/>
      <c r="L5483" s="78"/>
      <c r="M5483" s="19"/>
      <c r="N5483" s="10"/>
    </row>
    <row r="5484" spans="7:14" x14ac:dyDescent="0.75">
      <c r="G5484" s="10"/>
      <c r="H5484" s="10"/>
      <c r="I5484" s="39"/>
      <c r="J5484" s="103"/>
      <c r="K5484" s="39"/>
      <c r="L5484" s="78"/>
      <c r="M5484" s="19"/>
      <c r="N5484" s="10"/>
    </row>
    <row r="5485" spans="7:14" x14ac:dyDescent="0.75">
      <c r="G5485" s="10"/>
      <c r="H5485" s="10"/>
      <c r="I5485" s="39"/>
      <c r="J5485" s="103"/>
      <c r="K5485" s="39"/>
      <c r="L5485" s="78"/>
      <c r="M5485" s="19"/>
      <c r="N5485" s="10"/>
    </row>
    <row r="5486" spans="7:14" x14ac:dyDescent="0.75">
      <c r="G5486" s="10"/>
      <c r="H5486" s="10"/>
      <c r="I5486" s="39"/>
      <c r="J5486" s="103"/>
      <c r="K5486" s="39"/>
      <c r="L5486" s="78"/>
      <c r="M5486" s="19"/>
      <c r="N5486" s="10"/>
    </row>
    <row r="5487" spans="7:14" x14ac:dyDescent="0.75">
      <c r="G5487" s="10"/>
      <c r="H5487" s="10"/>
      <c r="I5487" s="39"/>
      <c r="J5487" s="103"/>
      <c r="K5487" s="39"/>
      <c r="L5487" s="78"/>
      <c r="M5487" s="19"/>
      <c r="N5487" s="10"/>
    </row>
    <row r="5488" spans="7:14" x14ac:dyDescent="0.75">
      <c r="G5488" s="10"/>
      <c r="H5488" s="10"/>
      <c r="I5488" s="39"/>
      <c r="J5488" s="103"/>
      <c r="K5488" s="39"/>
      <c r="L5488" s="78"/>
      <c r="M5488" s="19"/>
      <c r="N5488" s="10"/>
    </row>
    <row r="5489" spans="7:14" x14ac:dyDescent="0.75">
      <c r="G5489" s="10"/>
      <c r="H5489" s="10"/>
      <c r="I5489" s="39"/>
      <c r="J5489" s="103"/>
      <c r="K5489" s="39"/>
      <c r="L5489" s="78"/>
      <c r="M5489" s="19"/>
      <c r="N5489" s="10"/>
    </row>
    <row r="5490" spans="7:14" x14ac:dyDescent="0.75">
      <c r="G5490" s="10"/>
      <c r="H5490" s="10"/>
      <c r="I5490" s="39"/>
      <c r="J5490" s="103"/>
      <c r="K5490" s="39"/>
      <c r="L5490" s="78"/>
      <c r="M5490" s="19"/>
      <c r="N5490" s="10"/>
    </row>
    <row r="5491" spans="7:14" x14ac:dyDescent="0.75">
      <c r="G5491" s="10"/>
      <c r="H5491" s="10"/>
      <c r="I5491" s="39"/>
      <c r="J5491" s="103"/>
      <c r="K5491" s="39"/>
      <c r="L5491" s="78"/>
      <c r="M5491" s="19"/>
      <c r="N5491" s="10"/>
    </row>
    <row r="5492" spans="7:14" x14ac:dyDescent="0.75">
      <c r="G5492" s="10"/>
      <c r="H5492" s="10"/>
      <c r="I5492" s="39"/>
      <c r="J5492" s="103"/>
      <c r="K5492" s="39"/>
      <c r="L5492" s="78"/>
      <c r="M5492" s="19"/>
      <c r="N5492" s="10"/>
    </row>
    <row r="5493" spans="7:14" x14ac:dyDescent="0.75">
      <c r="G5493" s="10"/>
      <c r="H5493" s="10"/>
      <c r="I5493" s="39"/>
      <c r="J5493" s="103"/>
      <c r="K5493" s="39"/>
      <c r="L5493" s="78"/>
      <c r="M5493" s="19"/>
      <c r="N5493" s="10"/>
    </row>
    <row r="5494" spans="7:14" x14ac:dyDescent="0.75">
      <c r="G5494" s="10"/>
      <c r="H5494" s="10"/>
      <c r="I5494" s="39"/>
      <c r="J5494" s="103"/>
      <c r="K5494" s="39"/>
      <c r="L5494" s="78"/>
      <c r="M5494" s="19"/>
      <c r="N5494" s="10"/>
    </row>
    <row r="5495" spans="7:14" x14ac:dyDescent="0.75">
      <c r="G5495" s="10"/>
      <c r="H5495" s="10"/>
      <c r="I5495" s="39"/>
      <c r="J5495" s="103"/>
      <c r="K5495" s="39"/>
      <c r="L5495" s="78"/>
      <c r="M5495" s="19"/>
      <c r="N5495" s="10"/>
    </row>
    <row r="5496" spans="7:14" x14ac:dyDescent="0.75">
      <c r="G5496" s="10"/>
      <c r="H5496" s="10"/>
      <c r="I5496" s="39"/>
      <c r="J5496" s="103"/>
      <c r="K5496" s="39"/>
      <c r="L5496" s="78"/>
      <c r="M5496" s="19"/>
      <c r="N5496" s="10"/>
    </row>
    <row r="5497" spans="7:14" x14ac:dyDescent="0.75">
      <c r="G5497" s="10"/>
      <c r="H5497" s="10"/>
      <c r="I5497" s="39"/>
      <c r="J5497" s="103"/>
      <c r="K5497" s="39"/>
      <c r="L5497" s="78"/>
      <c r="M5497" s="19"/>
      <c r="N5497" s="10"/>
    </row>
    <row r="5498" spans="7:14" x14ac:dyDescent="0.75">
      <c r="G5498" s="10"/>
      <c r="H5498" s="10"/>
      <c r="I5498" s="39"/>
      <c r="J5498" s="103"/>
      <c r="K5498" s="39"/>
      <c r="L5498" s="78"/>
      <c r="M5498" s="19"/>
      <c r="N5498" s="10"/>
    </row>
    <row r="5499" spans="7:14" x14ac:dyDescent="0.75">
      <c r="G5499" s="10"/>
      <c r="H5499" s="10"/>
      <c r="I5499" s="39"/>
      <c r="J5499" s="103"/>
      <c r="K5499" s="39"/>
      <c r="L5499" s="78"/>
      <c r="M5499" s="19"/>
      <c r="N5499" s="10"/>
    </row>
    <row r="5500" spans="7:14" x14ac:dyDescent="0.75">
      <c r="G5500" s="10"/>
      <c r="H5500" s="10"/>
      <c r="I5500" s="39"/>
      <c r="J5500" s="103"/>
      <c r="K5500" s="39"/>
      <c r="L5500" s="78"/>
      <c r="M5500" s="19"/>
      <c r="N5500" s="10"/>
    </row>
    <row r="5501" spans="7:14" x14ac:dyDescent="0.75">
      <c r="G5501" s="10"/>
      <c r="H5501" s="10"/>
      <c r="I5501" s="39"/>
      <c r="J5501" s="103"/>
      <c r="K5501" s="39"/>
      <c r="L5501" s="78"/>
      <c r="M5501" s="19"/>
      <c r="N5501" s="10"/>
    </row>
    <row r="5502" spans="7:14" x14ac:dyDescent="0.75">
      <c r="G5502" s="10"/>
      <c r="H5502" s="10"/>
      <c r="I5502" s="39"/>
      <c r="J5502" s="103"/>
      <c r="K5502" s="39"/>
      <c r="L5502" s="78"/>
      <c r="M5502" s="19"/>
      <c r="N5502" s="10"/>
    </row>
    <row r="5503" spans="7:14" x14ac:dyDescent="0.75">
      <c r="G5503" s="10"/>
      <c r="H5503" s="10"/>
      <c r="I5503" s="39"/>
      <c r="J5503" s="103"/>
      <c r="K5503" s="39"/>
      <c r="L5503" s="78"/>
      <c r="M5503" s="19"/>
      <c r="N5503" s="10"/>
    </row>
    <row r="5504" spans="7:14" x14ac:dyDescent="0.75">
      <c r="G5504" s="10"/>
      <c r="H5504" s="10"/>
      <c r="I5504" s="39"/>
      <c r="J5504" s="103"/>
      <c r="K5504" s="39"/>
      <c r="L5504" s="78"/>
      <c r="M5504" s="19"/>
      <c r="N5504" s="10"/>
    </row>
    <row r="5505" spans="7:14" x14ac:dyDescent="0.75">
      <c r="G5505" s="10"/>
      <c r="H5505" s="10"/>
      <c r="I5505" s="39"/>
      <c r="J5505" s="103"/>
      <c r="K5505" s="39"/>
      <c r="L5505" s="10"/>
      <c r="M5505" s="19"/>
      <c r="N5505" s="10"/>
    </row>
    <row r="5506" spans="7:14" x14ac:dyDescent="0.75">
      <c r="G5506" s="10"/>
      <c r="H5506" s="10"/>
      <c r="I5506" s="39"/>
      <c r="J5506" s="103"/>
      <c r="K5506" s="39"/>
      <c r="L5506" s="78"/>
      <c r="M5506" s="19"/>
      <c r="N5506" s="10"/>
    </row>
    <row r="5507" spans="7:14" x14ac:dyDescent="0.75">
      <c r="G5507" s="10"/>
      <c r="H5507" s="10"/>
      <c r="I5507" s="39"/>
      <c r="J5507" s="103"/>
      <c r="K5507" s="39"/>
      <c r="L5507" s="78"/>
      <c r="M5507" s="19"/>
      <c r="N5507" s="10"/>
    </row>
    <row r="5508" spans="7:14" x14ac:dyDescent="0.75">
      <c r="G5508" s="10"/>
      <c r="H5508" s="10"/>
      <c r="I5508" s="39"/>
      <c r="J5508" s="103"/>
      <c r="K5508" s="39"/>
      <c r="L5508" s="10"/>
      <c r="M5508" s="19"/>
      <c r="N5508" s="10"/>
    </row>
    <row r="5509" spans="7:14" x14ac:dyDescent="0.75">
      <c r="G5509" s="10"/>
      <c r="H5509" s="10"/>
      <c r="I5509" s="39"/>
      <c r="J5509" s="103"/>
      <c r="K5509" s="39"/>
      <c r="L5509" s="78"/>
      <c r="M5509" s="19"/>
      <c r="N5509" s="10"/>
    </row>
    <row r="5510" spans="7:14" x14ac:dyDescent="0.75">
      <c r="G5510" s="10"/>
      <c r="H5510" s="10"/>
      <c r="I5510" s="39"/>
      <c r="J5510" s="103"/>
      <c r="K5510" s="39"/>
      <c r="L5510" s="78"/>
      <c r="M5510" s="19"/>
      <c r="N5510" s="10"/>
    </row>
    <row r="5511" spans="7:14" x14ac:dyDescent="0.75">
      <c r="G5511" s="10"/>
      <c r="H5511" s="10"/>
      <c r="I5511" s="39"/>
      <c r="J5511" s="103"/>
      <c r="K5511" s="39"/>
      <c r="L5511" s="78"/>
      <c r="M5511" s="19"/>
      <c r="N5511" s="10"/>
    </row>
    <row r="5512" spans="7:14" x14ac:dyDescent="0.75">
      <c r="G5512" s="10"/>
      <c r="H5512" s="10"/>
      <c r="I5512" s="39"/>
      <c r="J5512" s="103"/>
      <c r="K5512" s="39"/>
      <c r="L5512" s="78"/>
      <c r="M5512" s="19"/>
      <c r="N5512" s="10"/>
    </row>
    <row r="5513" spans="7:14" x14ac:dyDescent="0.75">
      <c r="G5513" s="10"/>
      <c r="H5513" s="10"/>
      <c r="I5513" s="39"/>
      <c r="J5513" s="103"/>
      <c r="K5513" s="39"/>
      <c r="L5513" s="78"/>
      <c r="M5513" s="19"/>
      <c r="N5513" s="10"/>
    </row>
    <row r="5514" spans="7:14" x14ac:dyDescent="0.75">
      <c r="G5514" s="10"/>
      <c r="H5514" s="10"/>
      <c r="I5514" s="39"/>
      <c r="J5514" s="103"/>
      <c r="K5514" s="39"/>
      <c r="L5514" s="78"/>
      <c r="M5514" s="19"/>
      <c r="N5514" s="10"/>
    </row>
    <row r="5515" spans="7:14" x14ac:dyDescent="0.75">
      <c r="G5515" s="10"/>
      <c r="H5515" s="10"/>
      <c r="I5515" s="39"/>
      <c r="J5515" s="103"/>
      <c r="K5515" s="39"/>
      <c r="L5515" s="78"/>
      <c r="M5515" s="19"/>
      <c r="N5515" s="10"/>
    </row>
    <row r="5516" spans="7:14" x14ac:dyDescent="0.75">
      <c r="G5516" s="10"/>
      <c r="H5516" s="10"/>
      <c r="I5516" s="39"/>
      <c r="J5516" s="103"/>
      <c r="K5516" s="39"/>
      <c r="L5516" s="78"/>
      <c r="M5516" s="19"/>
      <c r="N5516" s="10"/>
    </row>
    <row r="5517" spans="7:14" x14ac:dyDescent="0.75">
      <c r="G5517" s="10"/>
      <c r="H5517" s="10"/>
      <c r="I5517" s="39"/>
      <c r="J5517" s="103"/>
      <c r="K5517" s="39"/>
      <c r="L5517" s="78"/>
      <c r="M5517" s="19"/>
      <c r="N5517" s="10"/>
    </row>
    <row r="5518" spans="7:14" x14ac:dyDescent="0.75">
      <c r="G5518" s="10"/>
      <c r="H5518" s="10"/>
      <c r="I5518" s="39"/>
      <c r="J5518" s="103"/>
      <c r="K5518" s="39"/>
      <c r="L5518" s="78"/>
      <c r="M5518" s="19"/>
      <c r="N5518" s="10"/>
    </row>
    <row r="5519" spans="7:14" x14ac:dyDescent="0.75">
      <c r="G5519" s="10"/>
      <c r="H5519" s="10"/>
      <c r="I5519" s="39"/>
      <c r="J5519" s="103"/>
      <c r="K5519" s="39"/>
      <c r="L5519" s="78"/>
      <c r="M5519" s="19"/>
      <c r="N5519" s="10"/>
    </row>
    <row r="5520" spans="7:14" x14ac:dyDescent="0.75">
      <c r="G5520" s="10"/>
      <c r="H5520" s="10"/>
      <c r="I5520" s="39"/>
      <c r="J5520" s="103"/>
      <c r="K5520" s="39"/>
      <c r="L5520" s="10"/>
      <c r="M5520" s="19"/>
      <c r="N5520" s="10"/>
    </row>
    <row r="5521" spans="7:14" x14ac:dyDescent="0.75">
      <c r="G5521" s="10"/>
      <c r="H5521" s="10"/>
      <c r="I5521" s="39"/>
      <c r="J5521" s="103"/>
      <c r="K5521" s="39"/>
      <c r="L5521" s="78"/>
      <c r="M5521" s="19"/>
      <c r="N5521" s="10"/>
    </row>
    <row r="5522" spans="7:14" x14ac:dyDescent="0.75">
      <c r="G5522" s="10"/>
      <c r="H5522" s="10"/>
      <c r="I5522" s="39"/>
      <c r="J5522" s="103"/>
      <c r="K5522" s="39"/>
      <c r="L5522" s="78"/>
      <c r="M5522" s="19"/>
      <c r="N5522" s="10"/>
    </row>
    <row r="5523" spans="7:14" x14ac:dyDescent="0.75">
      <c r="G5523" s="10"/>
      <c r="H5523" s="10"/>
      <c r="I5523" s="39"/>
      <c r="J5523" s="103"/>
      <c r="K5523" s="39"/>
      <c r="L5523" s="78"/>
      <c r="M5523" s="19"/>
      <c r="N5523" s="10"/>
    </row>
    <row r="5524" spans="7:14" x14ac:dyDescent="0.75">
      <c r="G5524" s="10"/>
      <c r="H5524" s="10"/>
      <c r="I5524" s="39"/>
      <c r="J5524" s="103"/>
      <c r="K5524" s="39"/>
      <c r="L5524" s="78"/>
      <c r="M5524" s="19"/>
      <c r="N5524" s="10"/>
    </row>
    <row r="5525" spans="7:14" x14ac:dyDescent="0.75">
      <c r="G5525" s="10"/>
      <c r="H5525" s="10"/>
      <c r="I5525" s="39"/>
      <c r="J5525" s="103"/>
      <c r="K5525" s="39"/>
      <c r="L5525" s="78"/>
      <c r="M5525" s="19"/>
      <c r="N5525" s="10"/>
    </row>
    <row r="5526" spans="7:14" x14ac:dyDescent="0.75">
      <c r="G5526" s="10"/>
      <c r="H5526" s="10"/>
      <c r="I5526" s="39"/>
      <c r="J5526" s="103"/>
      <c r="K5526" s="39"/>
      <c r="L5526" s="78"/>
      <c r="M5526" s="19"/>
      <c r="N5526" s="10"/>
    </row>
    <row r="5527" spans="7:14" x14ac:dyDescent="0.75">
      <c r="G5527" s="10"/>
      <c r="H5527" s="10"/>
      <c r="I5527" s="39"/>
      <c r="J5527" s="103"/>
      <c r="K5527" s="39"/>
      <c r="L5527" s="78"/>
      <c r="M5527" s="19"/>
      <c r="N5527" s="10"/>
    </row>
    <row r="5528" spans="7:14" x14ac:dyDescent="0.75">
      <c r="G5528" s="10"/>
      <c r="H5528" s="10"/>
      <c r="I5528" s="39"/>
      <c r="J5528" s="103"/>
      <c r="K5528" s="39"/>
      <c r="L5528" s="78"/>
      <c r="M5528" s="19"/>
      <c r="N5528" s="10"/>
    </row>
    <row r="5529" spans="7:14" x14ac:dyDescent="0.75">
      <c r="G5529" s="10"/>
      <c r="H5529" s="10"/>
      <c r="I5529" s="39"/>
      <c r="J5529" s="103"/>
      <c r="K5529" s="39"/>
      <c r="L5529" s="78"/>
      <c r="M5529" s="19"/>
      <c r="N5529" s="10"/>
    </row>
    <row r="5530" spans="7:14" x14ac:dyDescent="0.75">
      <c r="G5530" s="10"/>
      <c r="H5530" s="10"/>
      <c r="I5530" s="39"/>
      <c r="J5530" s="103"/>
      <c r="K5530" s="39"/>
      <c r="L5530" s="78"/>
      <c r="M5530" s="19"/>
      <c r="N5530" s="10"/>
    </row>
    <row r="5531" spans="7:14" x14ac:dyDescent="0.75">
      <c r="G5531" s="10"/>
      <c r="H5531" s="10"/>
      <c r="I5531" s="39"/>
      <c r="J5531" s="103"/>
      <c r="K5531" s="39"/>
      <c r="L5531" s="78"/>
      <c r="M5531" s="19"/>
      <c r="N5531" s="10"/>
    </row>
    <row r="5532" spans="7:14" x14ac:dyDescent="0.75">
      <c r="G5532" s="10"/>
      <c r="H5532" s="10"/>
      <c r="I5532" s="39"/>
      <c r="J5532" s="103"/>
      <c r="K5532" s="39"/>
      <c r="L5532" s="78"/>
      <c r="M5532" s="19"/>
      <c r="N5532" s="10"/>
    </row>
    <row r="5533" spans="7:14" x14ac:dyDescent="0.75">
      <c r="G5533" s="10"/>
      <c r="H5533" s="10"/>
      <c r="I5533" s="39"/>
      <c r="J5533" s="103"/>
      <c r="K5533" s="39"/>
      <c r="L5533" s="78"/>
      <c r="M5533" s="19"/>
      <c r="N5533" s="10"/>
    </row>
    <row r="5534" spans="7:14" x14ac:dyDescent="0.75">
      <c r="G5534" s="10"/>
      <c r="H5534" s="10"/>
      <c r="I5534" s="39"/>
      <c r="J5534" s="103"/>
      <c r="K5534" s="39"/>
      <c r="L5534" s="78"/>
      <c r="M5534" s="19"/>
      <c r="N5534" s="10"/>
    </row>
    <row r="5535" spans="7:14" x14ac:dyDescent="0.75">
      <c r="G5535" s="10"/>
      <c r="H5535" s="10"/>
      <c r="I5535" s="39"/>
      <c r="J5535" s="103"/>
      <c r="K5535" s="39"/>
      <c r="L5535" s="78"/>
      <c r="M5535" s="19"/>
      <c r="N5535" s="10"/>
    </row>
    <row r="5536" spans="7:14" x14ac:dyDescent="0.75">
      <c r="G5536" s="10"/>
      <c r="H5536" s="10"/>
      <c r="I5536" s="39"/>
      <c r="J5536" s="103"/>
      <c r="K5536" s="39"/>
      <c r="L5536" s="78"/>
      <c r="M5536" s="19"/>
      <c r="N5536" s="10"/>
    </row>
    <row r="5537" spans="7:14" x14ac:dyDescent="0.75">
      <c r="G5537" s="10"/>
      <c r="H5537" s="10"/>
      <c r="I5537" s="39"/>
      <c r="J5537" s="103"/>
      <c r="K5537" s="39"/>
      <c r="L5537" s="78"/>
      <c r="M5537" s="19"/>
      <c r="N5537" s="10"/>
    </row>
    <row r="5538" spans="7:14" x14ac:dyDescent="0.75">
      <c r="G5538" s="10"/>
      <c r="H5538" s="10"/>
      <c r="I5538" s="39"/>
      <c r="J5538" s="103"/>
      <c r="K5538" s="39"/>
      <c r="L5538" s="78"/>
      <c r="M5538" s="19"/>
      <c r="N5538" s="10"/>
    </row>
    <row r="5539" spans="7:14" x14ac:dyDescent="0.75">
      <c r="G5539" s="10"/>
      <c r="H5539" s="10"/>
      <c r="I5539" s="39"/>
      <c r="J5539" s="103"/>
      <c r="K5539" s="39"/>
      <c r="L5539" s="78"/>
      <c r="M5539" s="19"/>
      <c r="N5539" s="10"/>
    </row>
    <row r="5540" spans="7:14" x14ac:dyDescent="0.75">
      <c r="G5540" s="10"/>
      <c r="H5540" s="10"/>
      <c r="I5540" s="39"/>
      <c r="J5540" s="103"/>
      <c r="K5540" s="39"/>
      <c r="L5540" s="78"/>
      <c r="M5540" s="19"/>
      <c r="N5540" s="10"/>
    </row>
    <row r="5541" spans="7:14" x14ac:dyDescent="0.75">
      <c r="G5541" s="10"/>
      <c r="H5541" s="10"/>
      <c r="I5541" s="39"/>
      <c r="J5541" s="103"/>
      <c r="K5541" s="39"/>
      <c r="L5541" s="78"/>
      <c r="M5541" s="19"/>
      <c r="N5541" s="10"/>
    </row>
    <row r="5542" spans="7:14" x14ac:dyDescent="0.75">
      <c r="G5542" s="10"/>
      <c r="H5542" s="10"/>
      <c r="I5542" s="39"/>
      <c r="J5542" s="103"/>
      <c r="K5542" s="39"/>
      <c r="L5542" s="78"/>
      <c r="M5542" s="19"/>
      <c r="N5542" s="10"/>
    </row>
    <row r="5543" spans="7:14" x14ac:dyDescent="0.75">
      <c r="G5543" s="10"/>
      <c r="H5543" s="10"/>
      <c r="I5543" s="39"/>
      <c r="J5543" s="103"/>
      <c r="K5543" s="39"/>
      <c r="L5543" s="78"/>
      <c r="M5543" s="19"/>
      <c r="N5543" s="10"/>
    </row>
    <row r="5544" spans="7:14" x14ac:dyDescent="0.75">
      <c r="G5544" s="10"/>
      <c r="H5544" s="10"/>
      <c r="I5544" s="39"/>
      <c r="J5544" s="103"/>
      <c r="K5544" s="39"/>
      <c r="L5544" s="10"/>
      <c r="M5544" s="19"/>
      <c r="N5544" s="10"/>
    </row>
    <row r="5545" spans="7:14" x14ac:dyDescent="0.75">
      <c r="G5545" s="10"/>
      <c r="H5545" s="10"/>
      <c r="I5545" s="39"/>
      <c r="J5545" s="103"/>
      <c r="K5545" s="39"/>
      <c r="L5545" s="10"/>
      <c r="M5545" s="19"/>
      <c r="N5545" s="10"/>
    </row>
    <row r="5546" spans="7:14" x14ac:dyDescent="0.75">
      <c r="G5546" s="10"/>
      <c r="H5546" s="10"/>
      <c r="I5546" s="39"/>
      <c r="J5546" s="103"/>
      <c r="K5546" s="39"/>
      <c r="L5546" s="10"/>
      <c r="M5546" s="19"/>
      <c r="N5546" s="10"/>
    </row>
    <row r="5547" spans="7:14" x14ac:dyDescent="0.75">
      <c r="G5547" s="10"/>
      <c r="H5547" s="10"/>
      <c r="I5547" s="39"/>
      <c r="J5547" s="103"/>
      <c r="K5547" s="39"/>
      <c r="L5547" s="78"/>
      <c r="M5547" s="19"/>
      <c r="N5547" s="10"/>
    </row>
    <row r="5548" spans="7:14" x14ac:dyDescent="0.75">
      <c r="G5548" s="10"/>
      <c r="H5548" s="10"/>
      <c r="I5548" s="39"/>
      <c r="J5548" s="103"/>
      <c r="K5548" s="39"/>
      <c r="L5548" s="78"/>
      <c r="M5548" s="19"/>
      <c r="N5548" s="10"/>
    </row>
    <row r="5549" spans="7:14" x14ac:dyDescent="0.75">
      <c r="G5549" s="10"/>
      <c r="H5549" s="10"/>
      <c r="I5549" s="39"/>
      <c r="J5549" s="103"/>
      <c r="K5549" s="39"/>
      <c r="L5549" s="10"/>
      <c r="M5549" s="19"/>
      <c r="N5549" s="10"/>
    </row>
    <row r="5550" spans="7:14" x14ac:dyDescent="0.75">
      <c r="G5550" s="10"/>
      <c r="H5550" s="10"/>
      <c r="I5550" s="39"/>
      <c r="J5550" s="103"/>
      <c r="K5550" s="39"/>
      <c r="L5550" s="78"/>
      <c r="M5550" s="19"/>
      <c r="N5550" s="10"/>
    </row>
    <row r="5551" spans="7:14" x14ac:dyDescent="0.75">
      <c r="G5551" s="10"/>
      <c r="H5551" s="10"/>
      <c r="I5551" s="39"/>
      <c r="J5551" s="103"/>
      <c r="K5551" s="39"/>
      <c r="L5551" s="78"/>
      <c r="M5551" s="19"/>
      <c r="N5551" s="10"/>
    </row>
    <row r="5552" spans="7:14" x14ac:dyDescent="0.75">
      <c r="G5552" s="10"/>
      <c r="H5552" s="10"/>
      <c r="I5552" s="39"/>
      <c r="J5552" s="103"/>
      <c r="K5552" s="39"/>
      <c r="L5552" s="78"/>
      <c r="M5552" s="19"/>
      <c r="N5552" s="10"/>
    </row>
    <row r="5553" spans="7:14" x14ac:dyDescent="0.75">
      <c r="G5553" s="10"/>
      <c r="H5553" s="10"/>
      <c r="I5553" s="39"/>
      <c r="J5553" s="103"/>
      <c r="K5553" s="39"/>
      <c r="L5553" s="78"/>
      <c r="M5553" s="19"/>
      <c r="N5553" s="10"/>
    </row>
    <row r="5554" spans="7:14" x14ac:dyDescent="0.75">
      <c r="G5554" s="10"/>
      <c r="H5554" s="10"/>
      <c r="I5554" s="39"/>
      <c r="J5554" s="103"/>
      <c r="K5554" s="39"/>
      <c r="L5554" s="78"/>
      <c r="M5554" s="19"/>
      <c r="N5554" s="10"/>
    </row>
    <row r="5555" spans="7:14" x14ac:dyDescent="0.75">
      <c r="G5555" s="10"/>
      <c r="H5555" s="10"/>
      <c r="I5555" s="39"/>
      <c r="J5555" s="103"/>
      <c r="K5555" s="39"/>
      <c r="L5555" s="78"/>
      <c r="M5555" s="19"/>
      <c r="N5555" s="10"/>
    </row>
    <row r="5556" spans="7:14" x14ac:dyDescent="0.75">
      <c r="G5556" s="10"/>
      <c r="H5556" s="10"/>
      <c r="I5556" s="39"/>
      <c r="J5556" s="103"/>
      <c r="K5556" s="39"/>
      <c r="L5556" s="10"/>
      <c r="M5556" s="19"/>
      <c r="N5556" s="10"/>
    </row>
    <row r="5557" spans="7:14" x14ac:dyDescent="0.75">
      <c r="G5557" s="10"/>
      <c r="H5557" s="10"/>
      <c r="I5557" s="39"/>
      <c r="J5557" s="103"/>
      <c r="K5557" s="39"/>
      <c r="L5557" s="78"/>
      <c r="M5557" s="19"/>
      <c r="N5557" s="10"/>
    </row>
    <row r="5558" spans="7:14" x14ac:dyDescent="0.75">
      <c r="G5558" s="10"/>
      <c r="H5558" s="10"/>
      <c r="I5558" s="39"/>
      <c r="J5558" s="103"/>
      <c r="K5558" s="39"/>
      <c r="L5558" s="78"/>
      <c r="M5558" s="19"/>
      <c r="N5558" s="10"/>
    </row>
    <row r="5559" spans="7:14" x14ac:dyDescent="0.75">
      <c r="G5559" s="10"/>
      <c r="H5559" s="10"/>
      <c r="I5559" s="39"/>
      <c r="J5559" s="103"/>
      <c r="K5559" s="39"/>
      <c r="L5559" s="78"/>
      <c r="M5559" s="19"/>
      <c r="N5559" s="10"/>
    </row>
    <row r="5560" spans="7:14" x14ac:dyDescent="0.75">
      <c r="G5560" s="10"/>
      <c r="H5560" s="10"/>
      <c r="I5560" s="39"/>
      <c r="J5560" s="103"/>
      <c r="K5560" s="39"/>
      <c r="L5560" s="78"/>
      <c r="M5560" s="19"/>
      <c r="N5560" s="10"/>
    </row>
    <row r="5561" spans="7:14" x14ac:dyDescent="0.75">
      <c r="G5561" s="10"/>
      <c r="H5561" s="10"/>
      <c r="I5561" s="39"/>
      <c r="J5561" s="103"/>
      <c r="K5561" s="39"/>
      <c r="L5561" s="78"/>
      <c r="M5561" s="19"/>
      <c r="N5561" s="10"/>
    </row>
    <row r="5562" spans="7:14" x14ac:dyDescent="0.75">
      <c r="G5562" s="10"/>
      <c r="H5562" s="10"/>
      <c r="I5562" s="39"/>
      <c r="J5562" s="103"/>
      <c r="K5562" s="39"/>
      <c r="L5562" s="10"/>
      <c r="M5562" s="19"/>
      <c r="N5562" s="10"/>
    </row>
    <row r="5563" spans="7:14" x14ac:dyDescent="0.75">
      <c r="G5563" s="10"/>
      <c r="H5563" s="10"/>
      <c r="I5563" s="39"/>
      <c r="J5563" s="103"/>
      <c r="K5563" s="39"/>
      <c r="L5563" s="78"/>
      <c r="M5563" s="19"/>
      <c r="N5563" s="10"/>
    </row>
    <row r="5564" spans="7:14" x14ac:dyDescent="0.75">
      <c r="G5564" s="10"/>
      <c r="H5564" s="10"/>
      <c r="I5564" s="39"/>
      <c r="J5564" s="103"/>
      <c r="K5564" s="39"/>
      <c r="L5564" s="78"/>
      <c r="M5564" s="19"/>
      <c r="N5564" s="10"/>
    </row>
    <row r="5565" spans="7:14" x14ac:dyDescent="0.75">
      <c r="G5565" s="10"/>
      <c r="H5565" s="10"/>
      <c r="I5565" s="39"/>
      <c r="J5565" s="103"/>
      <c r="K5565" s="39"/>
      <c r="L5565" s="78"/>
      <c r="M5565" s="19"/>
      <c r="N5565" s="10"/>
    </row>
    <row r="5566" spans="7:14" x14ac:dyDescent="0.75">
      <c r="G5566" s="10"/>
      <c r="H5566" s="10"/>
      <c r="I5566" s="39"/>
      <c r="J5566" s="103"/>
      <c r="K5566" s="39"/>
      <c r="L5566" s="78"/>
      <c r="M5566" s="19"/>
      <c r="N5566" s="10"/>
    </row>
    <row r="5567" spans="7:14" x14ac:dyDescent="0.75">
      <c r="G5567" s="10"/>
      <c r="H5567" s="10"/>
      <c r="I5567" s="39"/>
      <c r="J5567" s="103"/>
      <c r="K5567" s="39"/>
      <c r="L5567" s="78"/>
      <c r="M5567" s="19"/>
      <c r="N5567" s="10"/>
    </row>
    <row r="5568" spans="7:14" x14ac:dyDescent="0.75">
      <c r="G5568" s="10"/>
      <c r="H5568" s="10"/>
      <c r="I5568" s="39"/>
      <c r="J5568" s="103"/>
      <c r="K5568" s="39"/>
      <c r="L5568" s="10"/>
      <c r="M5568" s="19"/>
      <c r="N5568" s="10"/>
    </row>
    <row r="5569" spans="7:14" x14ac:dyDescent="0.75">
      <c r="G5569" s="10"/>
      <c r="H5569" s="10"/>
      <c r="I5569" s="39"/>
      <c r="J5569" s="103"/>
      <c r="K5569" s="39"/>
      <c r="L5569" s="78"/>
      <c r="M5569" s="19"/>
      <c r="N5569" s="10"/>
    </row>
    <row r="5570" spans="7:14" x14ac:dyDescent="0.75">
      <c r="G5570" s="10"/>
      <c r="H5570" s="10"/>
      <c r="I5570" s="39"/>
      <c r="J5570" s="103"/>
      <c r="K5570" s="39"/>
      <c r="L5570" s="78"/>
      <c r="M5570" s="19"/>
      <c r="N5570" s="10"/>
    </row>
    <row r="5571" spans="7:14" x14ac:dyDescent="0.75">
      <c r="G5571" s="10"/>
      <c r="H5571" s="10"/>
      <c r="I5571" s="39"/>
      <c r="J5571" s="103"/>
      <c r="K5571" s="39"/>
      <c r="L5571" s="78"/>
      <c r="M5571" s="19"/>
      <c r="N5571" s="10"/>
    </row>
    <row r="5572" spans="7:14" x14ac:dyDescent="0.75">
      <c r="G5572" s="10"/>
      <c r="H5572" s="10"/>
      <c r="I5572" s="39"/>
      <c r="J5572" s="103"/>
      <c r="K5572" s="39"/>
      <c r="L5572" s="78"/>
      <c r="M5572" s="19"/>
      <c r="N5572" s="10"/>
    </row>
    <row r="5573" spans="7:14" x14ac:dyDescent="0.75">
      <c r="G5573" s="10"/>
      <c r="H5573" s="10"/>
      <c r="I5573" s="39"/>
      <c r="J5573" s="103"/>
      <c r="K5573" s="39"/>
      <c r="L5573" s="78"/>
      <c r="M5573" s="19"/>
      <c r="N5573" s="10"/>
    </row>
    <row r="5574" spans="7:14" x14ac:dyDescent="0.75">
      <c r="G5574" s="10"/>
      <c r="H5574" s="10"/>
      <c r="I5574" s="39"/>
      <c r="J5574" s="103"/>
      <c r="K5574" s="39"/>
      <c r="L5574" s="78"/>
      <c r="M5574" s="19"/>
      <c r="N5574" s="10"/>
    </row>
    <row r="5575" spans="7:14" x14ac:dyDescent="0.75">
      <c r="G5575" s="10"/>
      <c r="H5575" s="10"/>
      <c r="I5575" s="39"/>
      <c r="J5575" s="103"/>
      <c r="K5575" s="39"/>
      <c r="L5575" s="78"/>
      <c r="M5575" s="19"/>
      <c r="N5575" s="10"/>
    </row>
    <row r="5576" spans="7:14" x14ac:dyDescent="0.75">
      <c r="G5576" s="10"/>
      <c r="H5576" s="10"/>
      <c r="I5576" s="39"/>
      <c r="J5576" s="103"/>
      <c r="K5576" s="39"/>
      <c r="L5576" s="78"/>
      <c r="M5576" s="19"/>
      <c r="N5576" s="10"/>
    </row>
    <row r="5577" spans="7:14" x14ac:dyDescent="0.75">
      <c r="G5577" s="10"/>
      <c r="H5577" s="10"/>
      <c r="I5577" s="39"/>
      <c r="J5577" s="103"/>
      <c r="K5577" s="39"/>
      <c r="L5577" s="78"/>
      <c r="M5577" s="19"/>
      <c r="N5577" s="10"/>
    </row>
    <row r="5578" spans="7:14" x14ac:dyDescent="0.75">
      <c r="G5578" s="10"/>
      <c r="H5578" s="10"/>
      <c r="I5578" s="39"/>
      <c r="J5578" s="103"/>
      <c r="K5578" s="39"/>
      <c r="L5578" s="78"/>
      <c r="M5578" s="19"/>
      <c r="N5578" s="10"/>
    </row>
    <row r="5579" spans="7:14" x14ac:dyDescent="0.75">
      <c r="G5579" s="10"/>
      <c r="H5579" s="10"/>
      <c r="I5579" s="39"/>
      <c r="J5579" s="103"/>
      <c r="K5579" s="39"/>
      <c r="L5579" s="78"/>
      <c r="M5579" s="19"/>
      <c r="N5579" s="10"/>
    </row>
    <row r="5580" spans="7:14" x14ac:dyDescent="0.75">
      <c r="G5580" s="10"/>
      <c r="H5580" s="10"/>
      <c r="I5580" s="39"/>
      <c r="J5580" s="103"/>
      <c r="K5580" s="39"/>
      <c r="L5580" s="78"/>
      <c r="M5580" s="19"/>
      <c r="N5580" s="10"/>
    </row>
    <row r="5581" spans="7:14" x14ac:dyDescent="0.75">
      <c r="G5581" s="10"/>
      <c r="H5581" s="10"/>
      <c r="I5581" s="39"/>
      <c r="J5581" s="103"/>
      <c r="K5581" s="39"/>
      <c r="L5581" s="78"/>
      <c r="M5581" s="19"/>
      <c r="N5581" s="10"/>
    </row>
    <row r="5582" spans="7:14" x14ac:dyDescent="0.75">
      <c r="G5582" s="10"/>
      <c r="H5582" s="10"/>
      <c r="I5582" s="39"/>
      <c r="J5582" s="103"/>
      <c r="K5582" s="39"/>
      <c r="L5582" s="78"/>
      <c r="M5582" s="19"/>
      <c r="N5582" s="10"/>
    </row>
    <row r="5583" spans="7:14" x14ac:dyDescent="0.75">
      <c r="G5583" s="10"/>
      <c r="H5583" s="10"/>
      <c r="I5583" s="39"/>
      <c r="J5583" s="103"/>
      <c r="K5583" s="39"/>
      <c r="L5583" s="78"/>
      <c r="M5583" s="19"/>
      <c r="N5583" s="10"/>
    </row>
    <row r="5584" spans="7:14" x14ac:dyDescent="0.75">
      <c r="G5584" s="10"/>
      <c r="H5584" s="10"/>
      <c r="I5584" s="39"/>
      <c r="J5584" s="103"/>
      <c r="K5584" s="39"/>
      <c r="L5584" s="78"/>
      <c r="M5584" s="19"/>
      <c r="N5584" s="10"/>
    </row>
    <row r="5585" spans="7:14" x14ac:dyDescent="0.75">
      <c r="G5585" s="10"/>
      <c r="H5585" s="10"/>
      <c r="I5585" s="39"/>
      <c r="J5585" s="103"/>
      <c r="K5585" s="39"/>
      <c r="L5585" s="78"/>
      <c r="M5585" s="19"/>
      <c r="N5585" s="10"/>
    </row>
    <row r="5586" spans="7:14" x14ac:dyDescent="0.75">
      <c r="G5586" s="10"/>
      <c r="H5586" s="10"/>
      <c r="I5586" s="39"/>
      <c r="J5586" s="103"/>
      <c r="K5586" s="39"/>
      <c r="L5586" s="78"/>
      <c r="M5586" s="19"/>
      <c r="N5586" s="10"/>
    </row>
    <row r="5587" spans="7:14" x14ac:dyDescent="0.75">
      <c r="G5587" s="10"/>
      <c r="H5587" s="10"/>
      <c r="I5587" s="39"/>
      <c r="J5587" s="103"/>
      <c r="K5587" s="39"/>
      <c r="L5587" s="78"/>
      <c r="M5587" s="19"/>
      <c r="N5587" s="10"/>
    </row>
    <row r="5588" spans="7:14" x14ac:dyDescent="0.75">
      <c r="G5588" s="10"/>
      <c r="H5588" s="10"/>
      <c r="I5588" s="39"/>
      <c r="J5588" s="103"/>
      <c r="K5588" s="39"/>
      <c r="L5588" s="78"/>
      <c r="M5588" s="19"/>
      <c r="N5588" s="10"/>
    </row>
    <row r="5589" spans="7:14" x14ac:dyDescent="0.75">
      <c r="G5589" s="10"/>
      <c r="H5589" s="10"/>
      <c r="I5589" s="39"/>
      <c r="J5589" s="103"/>
      <c r="K5589" s="39"/>
      <c r="L5589" s="10"/>
      <c r="M5589" s="19"/>
      <c r="N5589" s="10"/>
    </row>
    <row r="5590" spans="7:14" x14ac:dyDescent="0.75">
      <c r="G5590" s="10"/>
      <c r="H5590" s="10"/>
      <c r="I5590" s="39"/>
      <c r="J5590" s="103"/>
      <c r="K5590" s="39"/>
      <c r="L5590" s="78"/>
      <c r="M5590" s="19"/>
      <c r="N5590" s="10"/>
    </row>
    <row r="5591" spans="7:14" x14ac:dyDescent="0.75">
      <c r="G5591" s="10"/>
      <c r="H5591" s="10"/>
      <c r="I5591" s="39"/>
      <c r="J5591" s="103"/>
      <c r="K5591" s="39"/>
      <c r="L5591" s="10"/>
      <c r="M5591" s="19"/>
      <c r="N5591" s="10"/>
    </row>
    <row r="5592" spans="7:14" x14ac:dyDescent="0.75">
      <c r="G5592" s="10"/>
      <c r="H5592" s="10"/>
      <c r="I5592" s="39"/>
      <c r="J5592" s="103"/>
      <c r="K5592" s="39"/>
      <c r="L5592" s="78"/>
      <c r="M5592" s="19"/>
      <c r="N5592" s="10"/>
    </row>
    <row r="5593" spans="7:14" x14ac:dyDescent="0.75">
      <c r="G5593" s="10"/>
      <c r="H5593" s="10"/>
      <c r="I5593" s="39"/>
      <c r="J5593" s="103"/>
      <c r="K5593" s="39"/>
      <c r="L5593" s="10"/>
      <c r="M5593" s="19"/>
      <c r="N5593" s="10"/>
    </row>
    <row r="5594" spans="7:14" x14ac:dyDescent="0.75">
      <c r="G5594" s="10"/>
      <c r="H5594" s="10"/>
      <c r="I5594" s="39"/>
      <c r="J5594" s="103"/>
      <c r="K5594" s="39"/>
      <c r="L5594" s="10"/>
      <c r="M5594" s="19"/>
      <c r="N5594" s="10"/>
    </row>
    <row r="5595" spans="7:14" x14ac:dyDescent="0.75">
      <c r="G5595" s="10"/>
      <c r="H5595" s="10"/>
      <c r="I5595" s="39"/>
      <c r="J5595" s="103"/>
      <c r="K5595" s="39"/>
      <c r="L5595" s="10"/>
      <c r="M5595" s="19"/>
      <c r="N5595" s="10"/>
    </row>
    <row r="5596" spans="7:14" x14ac:dyDescent="0.75">
      <c r="G5596" s="10"/>
      <c r="H5596" s="10"/>
      <c r="I5596" s="39"/>
      <c r="J5596" s="103"/>
      <c r="K5596" s="39"/>
      <c r="L5596" s="10"/>
      <c r="M5596" s="19"/>
      <c r="N5596" s="10"/>
    </row>
    <row r="5597" spans="7:14" x14ac:dyDescent="0.75">
      <c r="G5597" s="10"/>
      <c r="H5597" s="10"/>
      <c r="I5597" s="39"/>
      <c r="J5597" s="103"/>
      <c r="K5597" s="39"/>
      <c r="L5597" s="78"/>
      <c r="M5597" s="19"/>
      <c r="N5597" s="10"/>
    </row>
    <row r="5598" spans="7:14" x14ac:dyDescent="0.75">
      <c r="G5598" s="10"/>
      <c r="H5598" s="10"/>
      <c r="I5598" s="39"/>
      <c r="J5598" s="103"/>
      <c r="K5598" s="39"/>
      <c r="L5598" s="78"/>
      <c r="M5598" s="19"/>
      <c r="N5598" s="10"/>
    </row>
    <row r="5599" spans="7:14" x14ac:dyDescent="0.75">
      <c r="G5599" s="10"/>
      <c r="H5599" s="10"/>
      <c r="I5599" s="39"/>
      <c r="J5599" s="103"/>
      <c r="K5599" s="39"/>
      <c r="L5599" s="78"/>
      <c r="M5599" s="19"/>
      <c r="N5599" s="10"/>
    </row>
    <row r="5600" spans="7:14" x14ac:dyDescent="0.75">
      <c r="G5600" s="10"/>
      <c r="H5600" s="10"/>
      <c r="I5600" s="39"/>
      <c r="J5600" s="103"/>
      <c r="K5600" s="39"/>
      <c r="L5600" s="10"/>
      <c r="M5600" s="19"/>
      <c r="N5600" s="10"/>
    </row>
    <row r="5601" spans="7:14" x14ac:dyDescent="0.75">
      <c r="G5601" s="10"/>
      <c r="H5601" s="10"/>
      <c r="I5601" s="39"/>
      <c r="J5601" s="103"/>
      <c r="K5601" s="39"/>
      <c r="L5601" s="10"/>
      <c r="M5601" s="19"/>
      <c r="N5601" s="10"/>
    </row>
    <row r="5602" spans="7:14" x14ac:dyDescent="0.75">
      <c r="G5602" s="10"/>
      <c r="H5602" s="10"/>
      <c r="I5602" s="39"/>
      <c r="J5602" s="103"/>
      <c r="K5602" s="39"/>
      <c r="L5602" s="10"/>
      <c r="M5602" s="19"/>
      <c r="N5602" s="10"/>
    </row>
    <row r="5603" spans="7:14" x14ac:dyDescent="0.75">
      <c r="G5603" s="10"/>
      <c r="H5603" s="10"/>
      <c r="I5603" s="39"/>
      <c r="J5603" s="103"/>
      <c r="K5603" s="39"/>
      <c r="L5603" s="10"/>
      <c r="M5603" s="19"/>
      <c r="N5603" s="10"/>
    </row>
    <row r="5604" spans="7:14" x14ac:dyDescent="0.75">
      <c r="G5604" s="10"/>
      <c r="H5604" s="10"/>
      <c r="I5604" s="39"/>
      <c r="J5604" s="103"/>
      <c r="K5604" s="39"/>
      <c r="L5604" s="78"/>
      <c r="M5604" s="19"/>
      <c r="N5604" s="10"/>
    </row>
    <row r="5605" spans="7:14" x14ac:dyDescent="0.75">
      <c r="G5605" s="10"/>
      <c r="H5605" s="10"/>
      <c r="I5605" s="39"/>
      <c r="J5605" s="103"/>
      <c r="K5605" s="39"/>
      <c r="L5605" s="78"/>
      <c r="M5605" s="19"/>
      <c r="N5605" s="10"/>
    </row>
    <row r="5606" spans="7:14" x14ac:dyDescent="0.75">
      <c r="G5606" s="10"/>
      <c r="H5606" s="10"/>
      <c r="I5606" s="39"/>
      <c r="J5606" s="103"/>
      <c r="K5606" s="39"/>
      <c r="L5606" s="78"/>
      <c r="M5606" s="19"/>
      <c r="N5606" s="10"/>
    </row>
    <row r="5607" spans="7:14" x14ac:dyDescent="0.75">
      <c r="G5607" s="10"/>
      <c r="H5607" s="10"/>
      <c r="I5607" s="39"/>
      <c r="J5607" s="103"/>
      <c r="K5607" s="39"/>
      <c r="L5607" s="78"/>
      <c r="M5607" s="19"/>
      <c r="N5607" s="10"/>
    </row>
    <row r="5608" spans="7:14" x14ac:dyDescent="0.75">
      <c r="G5608" s="10"/>
      <c r="H5608" s="10"/>
      <c r="I5608" s="39"/>
      <c r="J5608" s="103"/>
      <c r="K5608" s="39"/>
      <c r="L5608" s="78"/>
      <c r="M5608" s="19"/>
      <c r="N5608" s="10"/>
    </row>
    <row r="5609" spans="7:14" x14ac:dyDescent="0.75">
      <c r="G5609" s="10"/>
      <c r="H5609" s="10"/>
      <c r="I5609" s="39"/>
      <c r="J5609" s="103"/>
      <c r="K5609" s="39"/>
      <c r="L5609" s="78"/>
      <c r="M5609" s="19"/>
      <c r="N5609" s="10"/>
    </row>
    <row r="5610" spans="7:14" x14ac:dyDescent="0.75">
      <c r="G5610" s="10"/>
      <c r="H5610" s="10"/>
      <c r="I5610" s="39"/>
      <c r="J5610" s="103"/>
      <c r="K5610" s="39"/>
      <c r="L5610" s="78"/>
      <c r="M5610" s="19"/>
      <c r="N5610" s="10"/>
    </row>
    <row r="5611" spans="7:14" x14ac:dyDescent="0.75">
      <c r="G5611" s="10"/>
      <c r="H5611" s="10"/>
      <c r="I5611" s="39"/>
      <c r="J5611" s="103"/>
      <c r="K5611" s="39"/>
      <c r="L5611" s="78"/>
      <c r="M5611" s="19"/>
      <c r="N5611" s="10"/>
    </row>
    <row r="5612" spans="7:14" x14ac:dyDescent="0.75">
      <c r="G5612" s="10"/>
      <c r="H5612" s="10"/>
      <c r="I5612" s="39"/>
      <c r="J5612" s="103"/>
      <c r="K5612" s="39"/>
      <c r="L5612" s="78"/>
      <c r="M5612" s="19"/>
      <c r="N5612" s="10"/>
    </row>
    <row r="5613" spans="7:14" x14ac:dyDescent="0.75">
      <c r="G5613" s="10"/>
      <c r="H5613" s="10"/>
      <c r="I5613" s="39"/>
      <c r="J5613" s="103"/>
      <c r="K5613" s="39"/>
      <c r="L5613" s="78"/>
      <c r="M5613" s="19"/>
      <c r="N5613" s="10"/>
    </row>
    <row r="5614" spans="7:14" x14ac:dyDescent="0.75">
      <c r="G5614" s="10"/>
      <c r="H5614" s="10"/>
      <c r="I5614" s="39"/>
      <c r="J5614" s="103"/>
      <c r="K5614" s="39"/>
      <c r="L5614" s="78"/>
      <c r="M5614" s="19"/>
      <c r="N5614" s="10"/>
    </row>
    <row r="5615" spans="7:14" x14ac:dyDescent="0.75">
      <c r="G5615" s="10"/>
      <c r="H5615" s="10"/>
      <c r="I5615" s="39"/>
      <c r="J5615" s="103"/>
      <c r="K5615" s="39"/>
      <c r="L5615" s="78"/>
      <c r="M5615" s="19"/>
      <c r="N5615" s="10"/>
    </row>
    <row r="5616" spans="7:14" x14ac:dyDescent="0.75">
      <c r="G5616" s="10"/>
      <c r="H5616" s="10"/>
      <c r="I5616" s="39"/>
      <c r="J5616" s="103"/>
      <c r="K5616" s="39"/>
      <c r="L5616" s="78"/>
      <c r="M5616" s="19"/>
      <c r="N5616" s="10"/>
    </row>
    <row r="5617" spans="7:14" x14ac:dyDescent="0.75">
      <c r="G5617" s="10"/>
      <c r="H5617" s="10"/>
      <c r="I5617" s="39"/>
      <c r="J5617" s="103"/>
      <c r="K5617" s="39"/>
      <c r="L5617" s="78"/>
      <c r="M5617" s="19"/>
      <c r="N5617" s="10"/>
    </row>
    <row r="5618" spans="7:14" x14ac:dyDescent="0.75">
      <c r="G5618" s="10"/>
      <c r="H5618" s="10"/>
      <c r="I5618" s="39"/>
      <c r="J5618" s="103"/>
      <c r="K5618" s="39"/>
      <c r="L5618" s="78"/>
      <c r="M5618" s="19"/>
      <c r="N5618" s="10"/>
    </row>
    <row r="5619" spans="7:14" x14ac:dyDescent="0.75">
      <c r="G5619" s="10"/>
      <c r="H5619" s="10"/>
      <c r="I5619" s="39"/>
      <c r="J5619" s="103"/>
      <c r="K5619" s="39"/>
      <c r="L5619" s="78"/>
      <c r="M5619" s="19"/>
      <c r="N5619" s="10"/>
    </row>
    <row r="5620" spans="7:14" x14ac:dyDescent="0.75">
      <c r="G5620" s="10"/>
      <c r="H5620" s="10"/>
      <c r="I5620" s="39"/>
      <c r="J5620" s="103"/>
      <c r="K5620" s="39"/>
      <c r="L5620" s="78"/>
      <c r="M5620" s="19"/>
      <c r="N5620" s="10"/>
    </row>
    <row r="5621" spans="7:14" x14ac:dyDescent="0.75">
      <c r="G5621" s="10"/>
      <c r="H5621" s="10"/>
      <c r="I5621" s="39"/>
      <c r="J5621" s="103"/>
      <c r="K5621" s="39"/>
      <c r="L5621" s="78"/>
      <c r="M5621" s="19"/>
      <c r="N5621" s="10"/>
    </row>
    <row r="5622" spans="7:14" x14ac:dyDescent="0.75">
      <c r="G5622" s="10"/>
      <c r="H5622" s="10"/>
      <c r="I5622" s="39"/>
      <c r="J5622" s="103"/>
      <c r="K5622" s="39"/>
      <c r="L5622" s="78"/>
      <c r="M5622" s="19"/>
      <c r="N5622" s="10"/>
    </row>
    <row r="5623" spans="7:14" x14ac:dyDescent="0.75">
      <c r="G5623" s="10"/>
      <c r="H5623" s="10"/>
      <c r="I5623" s="39"/>
      <c r="J5623" s="103"/>
      <c r="K5623" s="39"/>
      <c r="L5623" s="78"/>
      <c r="M5623" s="19"/>
      <c r="N5623" s="10"/>
    </row>
    <row r="5624" spans="7:14" x14ac:dyDescent="0.75">
      <c r="G5624" s="10"/>
      <c r="H5624" s="10"/>
      <c r="I5624" s="39"/>
      <c r="J5624" s="103"/>
      <c r="K5624" s="39"/>
      <c r="L5624" s="10"/>
      <c r="M5624" s="19"/>
      <c r="N5624" s="10"/>
    </row>
    <row r="5625" spans="7:14" x14ac:dyDescent="0.75">
      <c r="G5625" s="10"/>
      <c r="H5625" s="10"/>
      <c r="I5625" s="39"/>
      <c r="J5625" s="103"/>
      <c r="K5625" s="39"/>
      <c r="L5625" s="10"/>
      <c r="M5625" s="19"/>
      <c r="N5625" s="10"/>
    </row>
    <row r="5626" spans="7:14" x14ac:dyDescent="0.75">
      <c r="G5626" s="10"/>
      <c r="H5626" s="10"/>
      <c r="I5626" s="39"/>
      <c r="J5626" s="103"/>
      <c r="K5626" s="39"/>
      <c r="L5626" s="78"/>
      <c r="M5626" s="19"/>
      <c r="N5626" s="10"/>
    </row>
    <row r="5627" spans="7:14" x14ac:dyDescent="0.75">
      <c r="G5627" s="10"/>
      <c r="H5627" s="10"/>
      <c r="I5627" s="39"/>
      <c r="J5627" s="103"/>
      <c r="K5627" s="39"/>
      <c r="L5627" s="78"/>
      <c r="M5627" s="19"/>
      <c r="N5627" s="10"/>
    </row>
    <row r="5628" spans="7:14" x14ac:dyDescent="0.75">
      <c r="G5628" s="10"/>
      <c r="H5628" s="10"/>
      <c r="I5628" s="39"/>
      <c r="J5628" s="103"/>
      <c r="K5628" s="39"/>
      <c r="L5628" s="78"/>
      <c r="M5628" s="19"/>
      <c r="N5628" s="10"/>
    </row>
    <row r="5629" spans="7:14" x14ac:dyDescent="0.75">
      <c r="G5629" s="10"/>
      <c r="H5629" s="10"/>
      <c r="I5629" s="39"/>
      <c r="J5629" s="103"/>
      <c r="K5629" s="39"/>
      <c r="L5629" s="78"/>
      <c r="M5629" s="19"/>
      <c r="N5629" s="10"/>
    </row>
    <row r="5630" spans="7:14" x14ac:dyDescent="0.75">
      <c r="G5630" s="10"/>
      <c r="H5630" s="10"/>
      <c r="I5630" s="39"/>
      <c r="J5630" s="103"/>
      <c r="K5630" s="39"/>
      <c r="L5630" s="78"/>
      <c r="M5630" s="19"/>
      <c r="N5630" s="10"/>
    </row>
    <row r="5631" spans="7:14" x14ac:dyDescent="0.75">
      <c r="G5631" s="10"/>
      <c r="H5631" s="10"/>
      <c r="I5631" s="39"/>
      <c r="J5631" s="103"/>
      <c r="K5631" s="39"/>
      <c r="L5631" s="78"/>
      <c r="M5631" s="19"/>
      <c r="N5631" s="10"/>
    </row>
    <row r="5632" spans="7:14" x14ac:dyDescent="0.75">
      <c r="G5632" s="10"/>
      <c r="H5632" s="10"/>
      <c r="I5632" s="39"/>
      <c r="J5632" s="103"/>
      <c r="K5632" s="39"/>
      <c r="L5632" s="78"/>
      <c r="M5632" s="19"/>
      <c r="N5632" s="10"/>
    </row>
    <row r="5633" spans="7:14" x14ac:dyDescent="0.75">
      <c r="G5633" s="10"/>
      <c r="H5633" s="10"/>
      <c r="I5633" s="39"/>
      <c r="J5633" s="103"/>
      <c r="K5633" s="39"/>
      <c r="L5633" s="78"/>
      <c r="M5633" s="19"/>
      <c r="N5633" s="10"/>
    </row>
    <row r="5634" spans="7:14" x14ac:dyDescent="0.75">
      <c r="G5634" s="10"/>
      <c r="H5634" s="10"/>
      <c r="I5634" s="39"/>
      <c r="J5634" s="103"/>
      <c r="K5634" s="39"/>
      <c r="L5634" s="78"/>
      <c r="M5634" s="19"/>
      <c r="N5634" s="10"/>
    </row>
    <row r="5635" spans="7:14" x14ac:dyDescent="0.75">
      <c r="G5635" s="10"/>
      <c r="H5635" s="10"/>
      <c r="I5635" s="39"/>
      <c r="J5635" s="103"/>
      <c r="K5635" s="39"/>
      <c r="L5635" s="78"/>
      <c r="M5635" s="19"/>
      <c r="N5635" s="10"/>
    </row>
    <row r="5636" spans="7:14" x14ac:dyDescent="0.75">
      <c r="G5636" s="10"/>
      <c r="H5636" s="10"/>
      <c r="I5636" s="39"/>
      <c r="J5636" s="103"/>
      <c r="K5636" s="39"/>
      <c r="L5636" s="78"/>
      <c r="M5636" s="19"/>
      <c r="N5636" s="10"/>
    </row>
    <row r="5637" spans="7:14" x14ac:dyDescent="0.75">
      <c r="G5637" s="10"/>
      <c r="H5637" s="10"/>
      <c r="I5637" s="39"/>
      <c r="J5637" s="103"/>
      <c r="K5637" s="39"/>
      <c r="L5637" s="78"/>
      <c r="M5637" s="19"/>
      <c r="N5637" s="10"/>
    </row>
    <row r="5638" spans="7:14" x14ac:dyDescent="0.75">
      <c r="G5638" s="10"/>
      <c r="H5638" s="10"/>
      <c r="I5638" s="39"/>
      <c r="J5638" s="103"/>
      <c r="K5638" s="39"/>
      <c r="L5638" s="78"/>
      <c r="M5638" s="19"/>
      <c r="N5638" s="10"/>
    </row>
    <row r="5639" spans="7:14" x14ac:dyDescent="0.75">
      <c r="G5639" s="10"/>
      <c r="H5639" s="10"/>
      <c r="I5639" s="39"/>
      <c r="J5639" s="103"/>
      <c r="K5639" s="39"/>
      <c r="L5639" s="78"/>
      <c r="M5639" s="19"/>
      <c r="N5639" s="10"/>
    </row>
    <row r="5640" spans="7:14" x14ac:dyDescent="0.75">
      <c r="G5640" s="10"/>
      <c r="H5640" s="10"/>
      <c r="I5640" s="39"/>
      <c r="J5640" s="103"/>
      <c r="K5640" s="39"/>
      <c r="L5640" s="78"/>
      <c r="M5640" s="19"/>
      <c r="N5640" s="10"/>
    </row>
    <row r="5641" spans="7:14" x14ac:dyDescent="0.75">
      <c r="G5641" s="10"/>
      <c r="H5641" s="10"/>
      <c r="I5641" s="39"/>
      <c r="J5641" s="103"/>
      <c r="K5641" s="39"/>
      <c r="L5641" s="78"/>
      <c r="M5641" s="19"/>
      <c r="N5641" s="10"/>
    </row>
    <row r="5642" spans="7:14" x14ac:dyDescent="0.75">
      <c r="G5642" s="10"/>
      <c r="H5642" s="10"/>
      <c r="I5642" s="39"/>
      <c r="J5642" s="103"/>
      <c r="K5642" s="39"/>
      <c r="L5642" s="78"/>
      <c r="M5642" s="19"/>
      <c r="N5642" s="10"/>
    </row>
    <row r="5643" spans="7:14" x14ac:dyDescent="0.75">
      <c r="G5643" s="10"/>
      <c r="H5643" s="10"/>
      <c r="I5643" s="39"/>
      <c r="J5643" s="103"/>
      <c r="K5643" s="39"/>
      <c r="L5643" s="78"/>
      <c r="M5643" s="19"/>
      <c r="N5643" s="10"/>
    </row>
    <row r="5644" spans="7:14" x14ac:dyDescent="0.75">
      <c r="G5644" s="10"/>
      <c r="H5644" s="10"/>
      <c r="I5644" s="39"/>
      <c r="J5644" s="103"/>
      <c r="K5644" s="39"/>
      <c r="L5644" s="78"/>
      <c r="M5644" s="19"/>
      <c r="N5644" s="10"/>
    </row>
    <row r="5645" spans="7:14" x14ac:dyDescent="0.75">
      <c r="G5645" s="10"/>
      <c r="H5645" s="10"/>
      <c r="I5645" s="39"/>
      <c r="J5645" s="103"/>
      <c r="K5645" s="39"/>
      <c r="L5645" s="78"/>
      <c r="M5645" s="19"/>
      <c r="N5645" s="10"/>
    </row>
    <row r="5646" spans="7:14" x14ac:dyDescent="0.75">
      <c r="G5646" s="10"/>
      <c r="H5646" s="10"/>
      <c r="I5646" s="39"/>
      <c r="J5646" s="103"/>
      <c r="K5646" s="39"/>
      <c r="L5646" s="78"/>
      <c r="M5646" s="19"/>
      <c r="N5646" s="10"/>
    </row>
    <row r="5647" spans="7:14" x14ac:dyDescent="0.75">
      <c r="G5647" s="10"/>
      <c r="H5647" s="10"/>
      <c r="I5647" s="39"/>
      <c r="J5647" s="103"/>
      <c r="K5647" s="39"/>
      <c r="L5647" s="78"/>
      <c r="M5647" s="19"/>
      <c r="N5647" s="10"/>
    </row>
    <row r="5648" spans="7:14" x14ac:dyDescent="0.75">
      <c r="G5648" s="10"/>
      <c r="H5648" s="10"/>
      <c r="I5648" s="39"/>
      <c r="J5648" s="103"/>
      <c r="K5648" s="39"/>
      <c r="L5648" s="78"/>
      <c r="M5648" s="19"/>
      <c r="N5648" s="10"/>
    </row>
    <row r="5649" spans="7:14" x14ac:dyDescent="0.75">
      <c r="G5649" s="10"/>
      <c r="H5649" s="10"/>
      <c r="I5649" s="39"/>
      <c r="J5649" s="103"/>
      <c r="K5649" s="39"/>
      <c r="L5649" s="78"/>
      <c r="M5649" s="19"/>
      <c r="N5649" s="10"/>
    </row>
    <row r="5650" spans="7:14" x14ac:dyDescent="0.75">
      <c r="G5650" s="10"/>
      <c r="H5650" s="10"/>
      <c r="I5650" s="39"/>
      <c r="J5650" s="103"/>
      <c r="K5650" s="39"/>
      <c r="L5650" s="78"/>
      <c r="M5650" s="19"/>
      <c r="N5650" s="10"/>
    </row>
    <row r="5651" spans="7:14" x14ac:dyDescent="0.75">
      <c r="G5651" s="10"/>
      <c r="H5651" s="10"/>
      <c r="I5651" s="39"/>
      <c r="J5651" s="103"/>
      <c r="K5651" s="39"/>
      <c r="L5651" s="78"/>
      <c r="M5651" s="19"/>
      <c r="N5651" s="10"/>
    </row>
    <row r="5652" spans="7:14" x14ac:dyDescent="0.75">
      <c r="G5652" s="10"/>
      <c r="H5652" s="10"/>
      <c r="I5652" s="39"/>
      <c r="J5652" s="103"/>
      <c r="K5652" s="39"/>
      <c r="L5652" s="78"/>
      <c r="M5652" s="19"/>
      <c r="N5652" s="10"/>
    </row>
    <row r="5653" spans="7:14" x14ac:dyDescent="0.75">
      <c r="G5653" s="10"/>
      <c r="H5653" s="10"/>
      <c r="I5653" s="39"/>
      <c r="J5653" s="103"/>
      <c r="K5653" s="39"/>
      <c r="L5653" s="78"/>
      <c r="M5653" s="19"/>
      <c r="N5653" s="10"/>
    </row>
    <row r="5654" spans="7:14" x14ac:dyDescent="0.75">
      <c r="G5654" s="10"/>
      <c r="H5654" s="10"/>
      <c r="I5654" s="39"/>
      <c r="J5654" s="103"/>
      <c r="K5654" s="39"/>
      <c r="L5654" s="78"/>
      <c r="M5654" s="19"/>
      <c r="N5654" s="10"/>
    </row>
    <row r="5655" spans="7:14" x14ac:dyDescent="0.75">
      <c r="G5655" s="10"/>
      <c r="H5655" s="10"/>
      <c r="I5655" s="39"/>
      <c r="J5655" s="103"/>
      <c r="K5655" s="39"/>
      <c r="L5655" s="78"/>
      <c r="M5655" s="19"/>
      <c r="N5655" s="10"/>
    </row>
    <row r="5656" spans="7:14" x14ac:dyDescent="0.75">
      <c r="G5656" s="10"/>
      <c r="H5656" s="10"/>
      <c r="I5656" s="39"/>
      <c r="J5656" s="103"/>
      <c r="K5656" s="39"/>
      <c r="L5656" s="78"/>
      <c r="M5656" s="19"/>
      <c r="N5656" s="10"/>
    </row>
    <row r="5657" spans="7:14" x14ac:dyDescent="0.75">
      <c r="G5657" s="10"/>
      <c r="H5657" s="10"/>
      <c r="I5657" s="39"/>
      <c r="J5657" s="103"/>
      <c r="K5657" s="39"/>
      <c r="L5657" s="78"/>
      <c r="M5657" s="19"/>
      <c r="N5657" s="10"/>
    </row>
    <row r="5658" spans="7:14" x14ac:dyDescent="0.75">
      <c r="G5658" s="10"/>
      <c r="H5658" s="10"/>
      <c r="I5658" s="39"/>
      <c r="J5658" s="103"/>
      <c r="K5658" s="39"/>
      <c r="L5658" s="78"/>
      <c r="M5658" s="19"/>
      <c r="N5658" s="10"/>
    </row>
    <row r="5659" spans="7:14" x14ac:dyDescent="0.75">
      <c r="G5659" s="10"/>
      <c r="H5659" s="10"/>
      <c r="I5659" s="39"/>
      <c r="J5659" s="103"/>
      <c r="K5659" s="39"/>
      <c r="L5659" s="78"/>
      <c r="M5659" s="19"/>
      <c r="N5659" s="10"/>
    </row>
    <row r="5660" spans="7:14" x14ac:dyDescent="0.75">
      <c r="G5660" s="10"/>
      <c r="H5660" s="10"/>
      <c r="I5660" s="39"/>
      <c r="J5660" s="103"/>
      <c r="K5660" s="39"/>
      <c r="L5660" s="78"/>
      <c r="M5660" s="19"/>
      <c r="N5660" s="10"/>
    </row>
    <row r="5661" spans="7:14" x14ac:dyDescent="0.75">
      <c r="G5661" s="10"/>
      <c r="H5661" s="10"/>
      <c r="I5661" s="39"/>
      <c r="J5661" s="103"/>
      <c r="K5661" s="39"/>
      <c r="L5661" s="78"/>
      <c r="M5661" s="19"/>
      <c r="N5661" s="10"/>
    </row>
    <row r="5662" spans="7:14" x14ac:dyDescent="0.75">
      <c r="G5662" s="10"/>
      <c r="H5662" s="10"/>
      <c r="I5662" s="39"/>
      <c r="J5662" s="103"/>
      <c r="K5662" s="39"/>
      <c r="L5662" s="78"/>
      <c r="M5662" s="19"/>
      <c r="N5662" s="10"/>
    </row>
    <row r="5663" spans="7:14" x14ac:dyDescent="0.75">
      <c r="G5663" s="10"/>
      <c r="H5663" s="10"/>
      <c r="I5663" s="39"/>
      <c r="J5663" s="103"/>
      <c r="K5663" s="39"/>
      <c r="L5663" s="78"/>
      <c r="M5663" s="19"/>
      <c r="N5663" s="10"/>
    </row>
    <row r="5664" spans="7:14" x14ac:dyDescent="0.75">
      <c r="G5664" s="10"/>
      <c r="H5664" s="10"/>
      <c r="I5664" s="39"/>
      <c r="J5664" s="103"/>
      <c r="K5664" s="39"/>
      <c r="L5664" s="78"/>
      <c r="M5664" s="19"/>
      <c r="N5664" s="10"/>
    </row>
    <row r="5665" spans="7:14" x14ac:dyDescent="0.75">
      <c r="G5665" s="10"/>
      <c r="H5665" s="10"/>
      <c r="I5665" s="39"/>
      <c r="J5665" s="103"/>
      <c r="K5665" s="39"/>
      <c r="L5665" s="78"/>
      <c r="M5665" s="19"/>
      <c r="N5665" s="10"/>
    </row>
    <row r="5666" spans="7:14" x14ac:dyDescent="0.75">
      <c r="G5666" s="10"/>
      <c r="H5666" s="10"/>
      <c r="I5666" s="39"/>
      <c r="J5666" s="103"/>
      <c r="K5666" s="39"/>
      <c r="L5666" s="78"/>
      <c r="M5666" s="19"/>
      <c r="N5666" s="10"/>
    </row>
    <row r="5667" spans="7:14" x14ac:dyDescent="0.75">
      <c r="G5667" s="10"/>
      <c r="H5667" s="10"/>
      <c r="I5667" s="39"/>
      <c r="J5667" s="103"/>
      <c r="K5667" s="39"/>
      <c r="L5667" s="78"/>
      <c r="M5667" s="19"/>
      <c r="N5667" s="10"/>
    </row>
    <row r="5668" spans="7:14" x14ac:dyDescent="0.75">
      <c r="G5668" s="10"/>
      <c r="H5668" s="10"/>
      <c r="I5668" s="39"/>
      <c r="J5668" s="103"/>
      <c r="K5668" s="39"/>
      <c r="L5668" s="78"/>
      <c r="M5668" s="19"/>
      <c r="N5668" s="10"/>
    </row>
    <row r="5669" spans="7:14" x14ac:dyDescent="0.75">
      <c r="G5669" s="10"/>
      <c r="H5669" s="10"/>
      <c r="I5669" s="39"/>
      <c r="J5669" s="103"/>
      <c r="K5669" s="39"/>
      <c r="L5669" s="78"/>
      <c r="M5669" s="19"/>
      <c r="N5669" s="10"/>
    </row>
    <row r="5670" spans="7:14" x14ac:dyDescent="0.75">
      <c r="G5670" s="10"/>
      <c r="H5670" s="10"/>
      <c r="I5670" s="39"/>
      <c r="J5670" s="103"/>
      <c r="K5670" s="39"/>
      <c r="L5670" s="78"/>
      <c r="M5670" s="19"/>
      <c r="N5670" s="10"/>
    </row>
    <row r="5671" spans="7:14" x14ac:dyDescent="0.75">
      <c r="G5671" s="10"/>
      <c r="H5671" s="10"/>
      <c r="I5671" s="39"/>
      <c r="J5671" s="103"/>
      <c r="K5671" s="39"/>
      <c r="L5671" s="78"/>
      <c r="M5671" s="19"/>
      <c r="N5671" s="10"/>
    </row>
    <row r="5672" spans="7:14" x14ac:dyDescent="0.75">
      <c r="G5672" s="10"/>
      <c r="H5672" s="10"/>
      <c r="I5672" s="39"/>
      <c r="J5672" s="103"/>
      <c r="K5672" s="39"/>
      <c r="L5672" s="78"/>
      <c r="M5672" s="19"/>
      <c r="N5672" s="10"/>
    </row>
    <row r="5673" spans="7:14" x14ac:dyDescent="0.75">
      <c r="G5673" s="10"/>
      <c r="H5673" s="10"/>
      <c r="I5673" s="39"/>
      <c r="J5673" s="103"/>
      <c r="K5673" s="39"/>
      <c r="L5673" s="78"/>
      <c r="M5673" s="19"/>
      <c r="N5673" s="10"/>
    </row>
    <row r="5674" spans="7:14" x14ac:dyDescent="0.75">
      <c r="G5674" s="10"/>
      <c r="H5674" s="10"/>
      <c r="I5674" s="39"/>
      <c r="J5674" s="103"/>
      <c r="K5674" s="39"/>
      <c r="L5674" s="78"/>
      <c r="M5674" s="19"/>
      <c r="N5674" s="10"/>
    </row>
    <row r="5675" spans="7:14" x14ac:dyDescent="0.75">
      <c r="G5675" s="10"/>
      <c r="H5675" s="10"/>
      <c r="I5675" s="39"/>
      <c r="J5675" s="103"/>
      <c r="K5675" s="39"/>
      <c r="L5675" s="78"/>
      <c r="M5675" s="19"/>
      <c r="N5675" s="10"/>
    </row>
    <row r="5676" spans="7:14" x14ac:dyDescent="0.75">
      <c r="G5676" s="10"/>
      <c r="H5676" s="10"/>
      <c r="I5676" s="39"/>
      <c r="J5676" s="103"/>
      <c r="K5676" s="39"/>
      <c r="L5676" s="78"/>
      <c r="M5676" s="19"/>
      <c r="N5676" s="10"/>
    </row>
    <row r="5677" spans="7:14" x14ac:dyDescent="0.75">
      <c r="G5677" s="10"/>
      <c r="H5677" s="10"/>
      <c r="I5677" s="39"/>
      <c r="J5677" s="103"/>
      <c r="K5677" s="39"/>
      <c r="L5677" s="78"/>
      <c r="M5677" s="19"/>
      <c r="N5677" s="10"/>
    </row>
    <row r="5678" spans="7:14" x14ac:dyDescent="0.75">
      <c r="G5678" s="10"/>
      <c r="H5678" s="10"/>
      <c r="I5678" s="39"/>
      <c r="J5678" s="103"/>
      <c r="K5678" s="39"/>
      <c r="L5678" s="78"/>
      <c r="M5678" s="19"/>
      <c r="N5678" s="10"/>
    </row>
    <row r="5679" spans="7:14" x14ac:dyDescent="0.75">
      <c r="G5679" s="10"/>
      <c r="H5679" s="10"/>
      <c r="I5679" s="39"/>
      <c r="J5679" s="103"/>
      <c r="K5679" s="39"/>
      <c r="L5679" s="78"/>
      <c r="M5679" s="19"/>
      <c r="N5679" s="10"/>
    </row>
    <row r="5680" spans="7:14" x14ac:dyDescent="0.75">
      <c r="G5680" s="10"/>
      <c r="H5680" s="10"/>
      <c r="I5680" s="39"/>
      <c r="J5680" s="103"/>
      <c r="K5680" s="39"/>
      <c r="L5680" s="78"/>
      <c r="M5680" s="19"/>
      <c r="N5680" s="10"/>
    </row>
    <row r="5681" spans="7:14" x14ac:dyDescent="0.75">
      <c r="G5681" s="10"/>
      <c r="H5681" s="10"/>
      <c r="I5681" s="39"/>
      <c r="J5681" s="103"/>
      <c r="K5681" s="39"/>
      <c r="L5681" s="78"/>
      <c r="M5681" s="19"/>
      <c r="N5681" s="10"/>
    </row>
    <row r="5682" spans="7:14" x14ac:dyDescent="0.75">
      <c r="G5682" s="10"/>
      <c r="H5682" s="10"/>
      <c r="I5682" s="39"/>
      <c r="J5682" s="103"/>
      <c r="K5682" s="39"/>
      <c r="L5682" s="78"/>
      <c r="M5682" s="19"/>
      <c r="N5682" s="10"/>
    </row>
    <row r="5683" spans="7:14" x14ac:dyDescent="0.75">
      <c r="G5683" s="10"/>
      <c r="H5683" s="10"/>
      <c r="I5683" s="39"/>
      <c r="J5683" s="103"/>
      <c r="K5683" s="39"/>
      <c r="L5683" s="78"/>
      <c r="M5683" s="19"/>
      <c r="N5683" s="10"/>
    </row>
    <row r="5684" spans="7:14" x14ac:dyDescent="0.75">
      <c r="G5684" s="10"/>
      <c r="H5684" s="10"/>
      <c r="I5684" s="39"/>
      <c r="J5684" s="103"/>
      <c r="K5684" s="39"/>
      <c r="L5684" s="78"/>
      <c r="M5684" s="19"/>
      <c r="N5684" s="10"/>
    </row>
    <row r="5685" spans="7:14" x14ac:dyDescent="0.75">
      <c r="G5685" s="10"/>
      <c r="H5685" s="10"/>
      <c r="I5685" s="39"/>
      <c r="J5685" s="103"/>
      <c r="K5685" s="39"/>
      <c r="L5685" s="78"/>
      <c r="M5685" s="19"/>
      <c r="N5685" s="10"/>
    </row>
    <row r="5686" spans="7:14" x14ac:dyDescent="0.75">
      <c r="G5686" s="10"/>
      <c r="H5686" s="10"/>
      <c r="I5686" s="39"/>
      <c r="J5686" s="103"/>
      <c r="K5686" s="39"/>
      <c r="L5686" s="78"/>
      <c r="M5686" s="19"/>
      <c r="N5686" s="10"/>
    </row>
    <row r="5687" spans="7:14" x14ac:dyDescent="0.75">
      <c r="G5687" s="10"/>
      <c r="H5687" s="10"/>
      <c r="I5687" s="39"/>
      <c r="J5687" s="103"/>
      <c r="K5687" s="39"/>
      <c r="L5687" s="78"/>
      <c r="M5687" s="19"/>
      <c r="N5687" s="10"/>
    </row>
    <row r="5688" spans="7:14" x14ac:dyDescent="0.75">
      <c r="G5688" s="10"/>
      <c r="H5688" s="10"/>
      <c r="I5688" s="39"/>
      <c r="J5688" s="103"/>
      <c r="K5688" s="39"/>
      <c r="L5688" s="78"/>
      <c r="M5688" s="19"/>
      <c r="N5688" s="10"/>
    </row>
    <row r="5689" spans="7:14" x14ac:dyDescent="0.75">
      <c r="G5689" s="10"/>
      <c r="H5689" s="10"/>
      <c r="I5689" s="39"/>
      <c r="J5689" s="103"/>
      <c r="K5689" s="39"/>
      <c r="L5689" s="78"/>
      <c r="M5689" s="19"/>
      <c r="N5689" s="10"/>
    </row>
    <row r="5690" spans="7:14" x14ac:dyDescent="0.75">
      <c r="G5690" s="10"/>
      <c r="H5690" s="10"/>
      <c r="I5690" s="39"/>
      <c r="J5690" s="103"/>
      <c r="K5690" s="39"/>
      <c r="L5690" s="78"/>
      <c r="M5690" s="19"/>
      <c r="N5690" s="10"/>
    </row>
    <row r="5691" spans="7:14" x14ac:dyDescent="0.75">
      <c r="G5691" s="10"/>
      <c r="H5691" s="10"/>
      <c r="I5691" s="39"/>
      <c r="J5691" s="103"/>
      <c r="K5691" s="39"/>
      <c r="L5691" s="78"/>
      <c r="M5691" s="19"/>
      <c r="N5691" s="10"/>
    </row>
    <row r="5692" spans="7:14" x14ac:dyDescent="0.75">
      <c r="G5692" s="10"/>
      <c r="H5692" s="10"/>
      <c r="I5692" s="39"/>
      <c r="J5692" s="103"/>
      <c r="K5692" s="39"/>
      <c r="L5692" s="78"/>
      <c r="M5692" s="19"/>
      <c r="N5692" s="10"/>
    </row>
    <row r="5693" spans="7:14" x14ac:dyDescent="0.75">
      <c r="G5693" s="10"/>
      <c r="H5693" s="10"/>
      <c r="I5693" s="39"/>
      <c r="J5693" s="103"/>
      <c r="K5693" s="39"/>
      <c r="L5693" s="78"/>
      <c r="M5693" s="19"/>
      <c r="N5693" s="10"/>
    </row>
    <row r="5694" spans="7:14" x14ac:dyDescent="0.75">
      <c r="G5694" s="10"/>
      <c r="H5694" s="10"/>
      <c r="I5694" s="39"/>
      <c r="J5694" s="103"/>
      <c r="K5694" s="39"/>
      <c r="L5694" s="10"/>
      <c r="M5694" s="19"/>
      <c r="N5694" s="10"/>
    </row>
    <row r="5695" spans="7:14" x14ac:dyDescent="0.75">
      <c r="G5695" s="10"/>
      <c r="H5695" s="10"/>
      <c r="I5695" s="39"/>
      <c r="J5695" s="103"/>
      <c r="K5695" s="39"/>
      <c r="L5695" s="78"/>
      <c r="M5695" s="19"/>
      <c r="N5695" s="10"/>
    </row>
    <row r="5696" spans="7:14" x14ac:dyDescent="0.75">
      <c r="G5696" s="10"/>
      <c r="H5696" s="10"/>
      <c r="I5696" s="39"/>
      <c r="J5696" s="103"/>
      <c r="K5696" s="39"/>
      <c r="L5696" s="78"/>
      <c r="M5696" s="19"/>
      <c r="N5696" s="10"/>
    </row>
    <row r="5697" spans="7:14" x14ac:dyDescent="0.75">
      <c r="G5697" s="10"/>
      <c r="H5697" s="10"/>
      <c r="I5697" s="39"/>
      <c r="J5697" s="103"/>
      <c r="K5697" s="39"/>
      <c r="L5697" s="10"/>
      <c r="M5697" s="19"/>
      <c r="N5697" s="10"/>
    </row>
    <row r="5698" spans="7:14" x14ac:dyDescent="0.75">
      <c r="G5698" s="10"/>
      <c r="H5698" s="10"/>
      <c r="I5698" s="39"/>
      <c r="J5698" s="103"/>
      <c r="K5698" s="39"/>
      <c r="L5698" s="78"/>
      <c r="M5698" s="19"/>
      <c r="N5698" s="10"/>
    </row>
    <row r="5699" spans="7:14" x14ac:dyDescent="0.75">
      <c r="G5699" s="10"/>
      <c r="H5699" s="10"/>
      <c r="I5699" s="39"/>
      <c r="J5699" s="103"/>
      <c r="K5699" s="39"/>
      <c r="L5699" s="78"/>
      <c r="M5699" s="19"/>
      <c r="N5699" s="10"/>
    </row>
    <row r="5700" spans="7:14" x14ac:dyDescent="0.75">
      <c r="G5700" s="10"/>
      <c r="H5700" s="10"/>
      <c r="I5700" s="39"/>
      <c r="J5700" s="103"/>
      <c r="K5700" s="39"/>
      <c r="L5700" s="78"/>
      <c r="M5700" s="19"/>
      <c r="N5700" s="10"/>
    </row>
    <row r="5701" spans="7:14" x14ac:dyDescent="0.75">
      <c r="G5701" s="10"/>
      <c r="H5701" s="10"/>
      <c r="I5701" s="39"/>
      <c r="J5701" s="103"/>
      <c r="K5701" s="39"/>
      <c r="L5701" s="78"/>
      <c r="M5701" s="19"/>
      <c r="N5701" s="10"/>
    </row>
    <row r="5702" spans="7:14" x14ac:dyDescent="0.75">
      <c r="G5702" s="10"/>
      <c r="H5702" s="10"/>
      <c r="I5702" s="39"/>
      <c r="J5702" s="103"/>
      <c r="K5702" s="39"/>
      <c r="L5702" s="78"/>
      <c r="M5702" s="19"/>
      <c r="N5702" s="10"/>
    </row>
    <row r="5703" spans="7:14" x14ac:dyDescent="0.75">
      <c r="G5703" s="10"/>
      <c r="H5703" s="10"/>
      <c r="I5703" s="39"/>
      <c r="J5703" s="103"/>
      <c r="K5703" s="39"/>
      <c r="L5703" s="78"/>
      <c r="M5703" s="19"/>
      <c r="N5703" s="10"/>
    </row>
    <row r="5704" spans="7:14" x14ac:dyDescent="0.75">
      <c r="G5704" s="10"/>
      <c r="H5704" s="10"/>
      <c r="I5704" s="39"/>
      <c r="J5704" s="103"/>
      <c r="K5704" s="39"/>
      <c r="L5704" s="78"/>
      <c r="M5704" s="19"/>
      <c r="N5704" s="10"/>
    </row>
    <row r="5705" spans="7:14" x14ac:dyDescent="0.75">
      <c r="G5705" s="10"/>
      <c r="H5705" s="10"/>
      <c r="I5705" s="39"/>
      <c r="J5705" s="103"/>
      <c r="K5705" s="39"/>
      <c r="L5705" s="78"/>
      <c r="M5705" s="19"/>
      <c r="N5705" s="10"/>
    </row>
    <row r="5706" spans="7:14" x14ac:dyDescent="0.75">
      <c r="G5706" s="10"/>
      <c r="H5706" s="10"/>
      <c r="I5706" s="39"/>
      <c r="J5706" s="103"/>
      <c r="K5706" s="39"/>
      <c r="L5706" s="78"/>
      <c r="M5706" s="19"/>
      <c r="N5706" s="10"/>
    </row>
    <row r="5707" spans="7:14" x14ac:dyDescent="0.75">
      <c r="G5707" s="10"/>
      <c r="H5707" s="10"/>
      <c r="I5707" s="39"/>
      <c r="J5707" s="103"/>
      <c r="K5707" s="39"/>
      <c r="L5707" s="78"/>
      <c r="M5707" s="19"/>
      <c r="N5707" s="10"/>
    </row>
    <row r="5708" spans="7:14" x14ac:dyDescent="0.75">
      <c r="G5708" s="10"/>
      <c r="H5708" s="10"/>
      <c r="I5708" s="39"/>
      <c r="J5708" s="103"/>
      <c r="K5708" s="39"/>
      <c r="L5708" s="78"/>
      <c r="M5708" s="19"/>
      <c r="N5708" s="10"/>
    </row>
    <row r="5709" spans="7:14" x14ac:dyDescent="0.75">
      <c r="G5709" s="10"/>
      <c r="H5709" s="10"/>
      <c r="I5709" s="39"/>
      <c r="J5709" s="103"/>
      <c r="K5709" s="39"/>
      <c r="L5709" s="78"/>
      <c r="M5709" s="19"/>
      <c r="N5709" s="10"/>
    </row>
    <row r="5710" spans="7:14" x14ac:dyDescent="0.75">
      <c r="G5710" s="10"/>
      <c r="H5710" s="10"/>
      <c r="I5710" s="39"/>
      <c r="J5710" s="103"/>
      <c r="K5710" s="39"/>
      <c r="L5710" s="78"/>
      <c r="M5710" s="19"/>
      <c r="N5710" s="10"/>
    </row>
    <row r="5711" spans="7:14" x14ac:dyDescent="0.75">
      <c r="G5711" s="10"/>
      <c r="H5711" s="10"/>
      <c r="I5711" s="39"/>
      <c r="J5711" s="103"/>
      <c r="K5711" s="39"/>
      <c r="L5711" s="78"/>
      <c r="M5711" s="19"/>
      <c r="N5711" s="10"/>
    </row>
    <row r="5712" spans="7:14" x14ac:dyDescent="0.75">
      <c r="G5712" s="10"/>
      <c r="H5712" s="10"/>
      <c r="I5712" s="39"/>
      <c r="J5712" s="103"/>
      <c r="K5712" s="39"/>
      <c r="L5712" s="78"/>
      <c r="M5712" s="19"/>
      <c r="N5712" s="10"/>
    </row>
    <row r="5713" spans="7:14" x14ac:dyDescent="0.75">
      <c r="G5713" s="10"/>
      <c r="H5713" s="10"/>
      <c r="I5713" s="39"/>
      <c r="J5713" s="103"/>
      <c r="K5713" s="39"/>
      <c r="L5713" s="78"/>
      <c r="M5713" s="19"/>
      <c r="N5713" s="10"/>
    </row>
    <row r="5714" spans="7:14" x14ac:dyDescent="0.75">
      <c r="G5714" s="10"/>
      <c r="H5714" s="10"/>
      <c r="I5714" s="39"/>
      <c r="J5714" s="103"/>
      <c r="K5714" s="39"/>
      <c r="L5714" s="78"/>
      <c r="M5714" s="19"/>
      <c r="N5714" s="10"/>
    </row>
    <row r="5715" spans="7:14" x14ac:dyDescent="0.75">
      <c r="G5715" s="10"/>
      <c r="H5715" s="10"/>
      <c r="I5715" s="39"/>
      <c r="J5715" s="103"/>
      <c r="K5715" s="39"/>
      <c r="L5715" s="78"/>
      <c r="M5715" s="19"/>
      <c r="N5715" s="10"/>
    </row>
    <row r="5716" spans="7:14" x14ac:dyDescent="0.75">
      <c r="G5716" s="10"/>
      <c r="H5716" s="10"/>
      <c r="I5716" s="39"/>
      <c r="J5716" s="103"/>
      <c r="K5716" s="39"/>
      <c r="L5716" s="78"/>
      <c r="M5716" s="19"/>
      <c r="N5716" s="10"/>
    </row>
    <row r="5717" spans="7:14" x14ac:dyDescent="0.75">
      <c r="G5717" s="10"/>
      <c r="H5717" s="10"/>
      <c r="I5717" s="39"/>
      <c r="J5717" s="103"/>
      <c r="K5717" s="39"/>
      <c r="L5717" s="78"/>
      <c r="M5717" s="19"/>
      <c r="N5717" s="10"/>
    </row>
    <row r="5718" spans="7:14" x14ac:dyDescent="0.75">
      <c r="G5718" s="10"/>
      <c r="H5718" s="10"/>
      <c r="I5718" s="39"/>
      <c r="J5718" s="103"/>
      <c r="K5718" s="39"/>
      <c r="L5718" s="78"/>
      <c r="M5718" s="19"/>
      <c r="N5718" s="10"/>
    </row>
    <row r="5719" spans="7:14" x14ac:dyDescent="0.75">
      <c r="G5719" s="10"/>
      <c r="H5719" s="10"/>
      <c r="I5719" s="39"/>
      <c r="J5719" s="103"/>
      <c r="K5719" s="39"/>
      <c r="L5719" s="78"/>
      <c r="M5719" s="19"/>
      <c r="N5719" s="10"/>
    </row>
    <row r="5720" spans="7:14" x14ac:dyDescent="0.75">
      <c r="G5720" s="10"/>
      <c r="H5720" s="10"/>
      <c r="I5720" s="39"/>
      <c r="J5720" s="103"/>
      <c r="K5720" s="39"/>
      <c r="L5720" s="78"/>
      <c r="M5720" s="19"/>
      <c r="N5720" s="10"/>
    </row>
    <row r="5721" spans="7:14" x14ac:dyDescent="0.75">
      <c r="G5721" s="10"/>
      <c r="H5721" s="10"/>
      <c r="I5721" s="39"/>
      <c r="J5721" s="103"/>
      <c r="K5721" s="39"/>
      <c r="L5721" s="78"/>
      <c r="M5721" s="19"/>
      <c r="N5721" s="10"/>
    </row>
    <row r="5722" spans="7:14" x14ac:dyDescent="0.75">
      <c r="G5722" s="10"/>
      <c r="H5722" s="10"/>
      <c r="I5722" s="39"/>
      <c r="J5722" s="103"/>
      <c r="K5722" s="39"/>
      <c r="L5722" s="78"/>
      <c r="M5722" s="19"/>
      <c r="N5722" s="10"/>
    </row>
    <row r="5723" spans="7:14" x14ac:dyDescent="0.75">
      <c r="G5723" s="10"/>
      <c r="H5723" s="10"/>
      <c r="I5723" s="39"/>
      <c r="J5723" s="103"/>
      <c r="K5723" s="39"/>
      <c r="L5723" s="78"/>
      <c r="M5723" s="19"/>
      <c r="N5723" s="10"/>
    </row>
    <row r="5724" spans="7:14" x14ac:dyDescent="0.75">
      <c r="G5724" s="10"/>
      <c r="H5724" s="10"/>
      <c r="I5724" s="39"/>
      <c r="J5724" s="103"/>
      <c r="K5724" s="39"/>
      <c r="L5724" s="78"/>
      <c r="M5724" s="19"/>
      <c r="N5724" s="10"/>
    </row>
    <row r="5725" spans="7:14" x14ac:dyDescent="0.75">
      <c r="G5725" s="10"/>
      <c r="H5725" s="10"/>
      <c r="I5725" s="39"/>
      <c r="J5725" s="103"/>
      <c r="K5725" s="39"/>
      <c r="L5725" s="78"/>
      <c r="M5725" s="19"/>
      <c r="N5725" s="10"/>
    </row>
    <row r="5726" spans="7:14" x14ac:dyDescent="0.75">
      <c r="G5726" s="10"/>
      <c r="H5726" s="10"/>
      <c r="I5726" s="39"/>
      <c r="J5726" s="103"/>
      <c r="K5726" s="39"/>
      <c r="L5726" s="78"/>
      <c r="M5726" s="19"/>
      <c r="N5726" s="10"/>
    </row>
    <row r="5727" spans="7:14" x14ac:dyDescent="0.75">
      <c r="G5727" s="10"/>
      <c r="H5727" s="10"/>
      <c r="I5727" s="39"/>
      <c r="J5727" s="103"/>
      <c r="K5727" s="39"/>
      <c r="L5727" s="78"/>
      <c r="M5727" s="19"/>
      <c r="N5727" s="10"/>
    </row>
    <row r="5728" spans="7:14" x14ac:dyDescent="0.75">
      <c r="G5728" s="10"/>
      <c r="H5728" s="10"/>
      <c r="I5728" s="39"/>
      <c r="J5728" s="103"/>
      <c r="K5728" s="39"/>
      <c r="L5728" s="78"/>
      <c r="M5728" s="19"/>
      <c r="N5728" s="10"/>
    </row>
    <row r="5729" spans="7:14" x14ac:dyDescent="0.75">
      <c r="G5729" s="10"/>
      <c r="H5729" s="10"/>
      <c r="I5729" s="39"/>
      <c r="J5729" s="103"/>
      <c r="K5729" s="39"/>
      <c r="L5729" s="78"/>
      <c r="M5729" s="19"/>
      <c r="N5729" s="10"/>
    </row>
    <row r="5730" spans="7:14" x14ac:dyDescent="0.75">
      <c r="G5730" s="10"/>
      <c r="H5730" s="10"/>
      <c r="I5730" s="39"/>
      <c r="J5730" s="103"/>
      <c r="K5730" s="39"/>
      <c r="L5730" s="78"/>
      <c r="M5730" s="19"/>
      <c r="N5730" s="10"/>
    </row>
    <row r="5731" spans="7:14" x14ac:dyDescent="0.75">
      <c r="G5731" s="10"/>
      <c r="H5731" s="10"/>
      <c r="I5731" s="39"/>
      <c r="J5731" s="103"/>
      <c r="K5731" s="39"/>
      <c r="L5731" s="78"/>
      <c r="M5731" s="19"/>
      <c r="N5731" s="10"/>
    </row>
    <row r="5732" spans="7:14" x14ac:dyDescent="0.75">
      <c r="G5732" s="10"/>
      <c r="H5732" s="10"/>
      <c r="I5732" s="39"/>
      <c r="J5732" s="103"/>
      <c r="K5732" s="39"/>
      <c r="L5732" s="78"/>
      <c r="M5732" s="19"/>
      <c r="N5732" s="10"/>
    </row>
    <row r="5733" spans="7:14" x14ac:dyDescent="0.75">
      <c r="G5733" s="10"/>
      <c r="H5733" s="10"/>
      <c r="I5733" s="39"/>
      <c r="J5733" s="103"/>
      <c r="K5733" s="39"/>
      <c r="L5733" s="78"/>
      <c r="M5733" s="19"/>
      <c r="N5733" s="10"/>
    </row>
    <row r="5734" spans="7:14" x14ac:dyDescent="0.75">
      <c r="G5734" s="10"/>
      <c r="H5734" s="10"/>
      <c r="I5734" s="39"/>
      <c r="J5734" s="103"/>
      <c r="K5734" s="39"/>
      <c r="L5734" s="78"/>
      <c r="M5734" s="19"/>
      <c r="N5734" s="10"/>
    </row>
    <row r="5735" spans="7:14" x14ac:dyDescent="0.75">
      <c r="G5735" s="10"/>
      <c r="H5735" s="10"/>
      <c r="I5735" s="39"/>
      <c r="J5735" s="103"/>
      <c r="K5735" s="39"/>
      <c r="L5735" s="78"/>
      <c r="M5735" s="19"/>
      <c r="N5735" s="10"/>
    </row>
    <row r="5736" spans="7:14" x14ac:dyDescent="0.75">
      <c r="G5736" s="10"/>
      <c r="H5736" s="10"/>
      <c r="I5736" s="39"/>
      <c r="J5736" s="103"/>
      <c r="K5736" s="39"/>
      <c r="L5736" s="78"/>
      <c r="M5736" s="19"/>
      <c r="N5736" s="10"/>
    </row>
    <row r="5737" spans="7:14" x14ac:dyDescent="0.75">
      <c r="G5737" s="10"/>
      <c r="H5737" s="10"/>
      <c r="I5737" s="39"/>
      <c r="J5737" s="103"/>
      <c r="K5737" s="39"/>
      <c r="L5737" s="78"/>
      <c r="M5737" s="19"/>
      <c r="N5737" s="10"/>
    </row>
    <row r="5738" spans="7:14" x14ac:dyDescent="0.75">
      <c r="G5738" s="10"/>
      <c r="H5738" s="10"/>
      <c r="I5738" s="39"/>
      <c r="J5738" s="103"/>
      <c r="K5738" s="39"/>
      <c r="L5738" s="78"/>
      <c r="M5738" s="19"/>
      <c r="N5738" s="10"/>
    </row>
    <row r="5739" spans="7:14" x14ac:dyDescent="0.75">
      <c r="G5739" s="10"/>
      <c r="H5739" s="10"/>
      <c r="I5739" s="39"/>
      <c r="J5739" s="103"/>
      <c r="K5739" s="39"/>
      <c r="L5739" s="10"/>
      <c r="M5739" s="19"/>
      <c r="N5739" s="10"/>
    </row>
    <row r="5740" spans="7:14" x14ac:dyDescent="0.75">
      <c r="G5740" s="10"/>
      <c r="H5740" s="10"/>
      <c r="I5740" s="39"/>
      <c r="J5740" s="103"/>
      <c r="K5740" s="39"/>
      <c r="L5740" s="78"/>
      <c r="M5740" s="19"/>
      <c r="N5740" s="10"/>
    </row>
    <row r="5741" spans="7:14" x14ac:dyDescent="0.75">
      <c r="G5741" s="10"/>
      <c r="H5741" s="10"/>
      <c r="I5741" s="39"/>
      <c r="J5741" s="103"/>
      <c r="K5741" s="39"/>
      <c r="L5741" s="78"/>
      <c r="M5741" s="19"/>
      <c r="N5741" s="10"/>
    </row>
    <row r="5742" spans="7:14" x14ac:dyDescent="0.75">
      <c r="G5742" s="10"/>
      <c r="H5742" s="10"/>
      <c r="I5742" s="39"/>
      <c r="J5742" s="103"/>
      <c r="K5742" s="39"/>
      <c r="L5742" s="78"/>
      <c r="M5742" s="19"/>
      <c r="N5742" s="10"/>
    </row>
    <row r="5743" spans="7:14" x14ac:dyDescent="0.75">
      <c r="G5743" s="10"/>
      <c r="H5743" s="10"/>
      <c r="I5743" s="39"/>
      <c r="J5743" s="103"/>
      <c r="K5743" s="39"/>
      <c r="L5743" s="78"/>
      <c r="M5743" s="19"/>
      <c r="N5743" s="10"/>
    </row>
    <row r="5744" spans="7:14" x14ac:dyDescent="0.75">
      <c r="G5744" s="10"/>
      <c r="H5744" s="10"/>
      <c r="I5744" s="39"/>
      <c r="J5744" s="103"/>
      <c r="K5744" s="39"/>
      <c r="L5744" s="78"/>
      <c r="M5744" s="19"/>
      <c r="N5744" s="10"/>
    </row>
    <row r="5745" spans="7:14" x14ac:dyDescent="0.75">
      <c r="G5745" s="10"/>
      <c r="H5745" s="10"/>
      <c r="I5745" s="39"/>
      <c r="J5745" s="103"/>
      <c r="K5745" s="39"/>
      <c r="L5745" s="78"/>
      <c r="M5745" s="19"/>
      <c r="N5745" s="10"/>
    </row>
    <row r="5746" spans="7:14" x14ac:dyDescent="0.75">
      <c r="G5746" s="10"/>
      <c r="H5746" s="10"/>
      <c r="I5746" s="39"/>
      <c r="J5746" s="103"/>
      <c r="K5746" s="39"/>
      <c r="L5746" s="78"/>
      <c r="M5746" s="19"/>
      <c r="N5746" s="10"/>
    </row>
    <row r="5747" spans="7:14" x14ac:dyDescent="0.75">
      <c r="G5747" s="10"/>
      <c r="H5747" s="10"/>
      <c r="I5747" s="39"/>
      <c r="J5747" s="103"/>
      <c r="K5747" s="39"/>
      <c r="L5747" s="78"/>
      <c r="M5747" s="19"/>
      <c r="N5747" s="10"/>
    </row>
    <row r="5748" spans="7:14" x14ac:dyDescent="0.75">
      <c r="G5748" s="10"/>
      <c r="H5748" s="10"/>
      <c r="I5748" s="39"/>
      <c r="J5748" s="103"/>
      <c r="K5748" s="39"/>
      <c r="L5748" s="78"/>
      <c r="M5748" s="19"/>
      <c r="N5748" s="10"/>
    </row>
    <row r="5749" spans="7:14" x14ac:dyDescent="0.75">
      <c r="G5749" s="10"/>
      <c r="H5749" s="10"/>
      <c r="I5749" s="39"/>
      <c r="J5749" s="103"/>
      <c r="K5749" s="39"/>
      <c r="L5749" s="78"/>
      <c r="M5749" s="19"/>
      <c r="N5749" s="10"/>
    </row>
    <row r="5750" spans="7:14" x14ac:dyDescent="0.75">
      <c r="G5750" s="10"/>
      <c r="H5750" s="10"/>
      <c r="I5750" s="39"/>
      <c r="J5750" s="103"/>
      <c r="K5750" s="39"/>
      <c r="L5750" s="78"/>
      <c r="M5750" s="19"/>
      <c r="N5750" s="10"/>
    </row>
    <row r="5751" spans="7:14" x14ac:dyDescent="0.75">
      <c r="G5751" s="10"/>
      <c r="H5751" s="10"/>
      <c r="I5751" s="39"/>
      <c r="J5751" s="103"/>
      <c r="K5751" s="39"/>
      <c r="L5751" s="10"/>
      <c r="M5751" s="19"/>
      <c r="N5751" s="10"/>
    </row>
    <row r="5752" spans="7:14" x14ac:dyDescent="0.75">
      <c r="G5752" s="10"/>
      <c r="H5752" s="10"/>
      <c r="I5752" s="39"/>
      <c r="J5752" s="103"/>
      <c r="K5752" s="39"/>
      <c r="L5752" s="78"/>
      <c r="M5752" s="19"/>
      <c r="N5752" s="10"/>
    </row>
    <row r="5753" spans="7:14" x14ac:dyDescent="0.75">
      <c r="G5753" s="10"/>
      <c r="H5753" s="10"/>
      <c r="I5753" s="39"/>
      <c r="J5753" s="103"/>
      <c r="K5753" s="39"/>
      <c r="L5753" s="78"/>
      <c r="M5753" s="19"/>
      <c r="N5753" s="10"/>
    </row>
    <row r="5754" spans="7:14" x14ac:dyDescent="0.75">
      <c r="G5754" s="10"/>
      <c r="H5754" s="10"/>
      <c r="I5754" s="39"/>
      <c r="J5754" s="103"/>
      <c r="K5754" s="39"/>
      <c r="L5754" s="78"/>
      <c r="M5754" s="19"/>
      <c r="N5754" s="10"/>
    </row>
    <row r="5755" spans="7:14" x14ac:dyDescent="0.75">
      <c r="G5755" s="10"/>
      <c r="H5755" s="10"/>
      <c r="I5755" s="39"/>
      <c r="J5755" s="103"/>
      <c r="K5755" s="39"/>
      <c r="L5755" s="78"/>
      <c r="M5755" s="19"/>
      <c r="N5755" s="10"/>
    </row>
    <row r="5756" spans="7:14" x14ac:dyDescent="0.75">
      <c r="G5756" s="10"/>
      <c r="H5756" s="10"/>
      <c r="I5756" s="39"/>
      <c r="J5756" s="103"/>
      <c r="K5756" s="39"/>
      <c r="L5756" s="78"/>
      <c r="M5756" s="19"/>
      <c r="N5756" s="10"/>
    </row>
    <row r="5757" spans="7:14" x14ac:dyDescent="0.75">
      <c r="G5757" s="10"/>
      <c r="H5757" s="10"/>
      <c r="I5757" s="39"/>
      <c r="J5757" s="103"/>
      <c r="K5757" s="39"/>
      <c r="L5757" s="78"/>
      <c r="M5757" s="19"/>
      <c r="N5757" s="10"/>
    </row>
    <row r="5758" spans="7:14" x14ac:dyDescent="0.75">
      <c r="G5758" s="10"/>
      <c r="H5758" s="10"/>
      <c r="I5758" s="39"/>
      <c r="J5758" s="103"/>
      <c r="K5758" s="39"/>
      <c r="L5758" s="78"/>
      <c r="M5758" s="19"/>
      <c r="N5758" s="10"/>
    </row>
    <row r="5759" spans="7:14" x14ac:dyDescent="0.75">
      <c r="G5759" s="10"/>
      <c r="H5759" s="10"/>
      <c r="I5759" s="39"/>
      <c r="J5759" s="103"/>
      <c r="K5759" s="39"/>
      <c r="L5759" s="78"/>
      <c r="M5759" s="19"/>
      <c r="N5759" s="10"/>
    </row>
    <row r="5760" spans="7:14" x14ac:dyDescent="0.75">
      <c r="G5760" s="10"/>
      <c r="H5760" s="10"/>
      <c r="I5760" s="39"/>
      <c r="J5760" s="103"/>
      <c r="K5760" s="39"/>
      <c r="L5760" s="78"/>
      <c r="M5760" s="19"/>
      <c r="N5760" s="10"/>
    </row>
    <row r="5761" spans="7:14" x14ac:dyDescent="0.75">
      <c r="G5761" s="10"/>
      <c r="H5761" s="10"/>
      <c r="I5761" s="39"/>
      <c r="J5761" s="103"/>
      <c r="K5761" s="39"/>
      <c r="L5761" s="78"/>
      <c r="M5761" s="19"/>
      <c r="N5761" s="10"/>
    </row>
    <row r="5762" spans="7:14" x14ac:dyDescent="0.75">
      <c r="G5762" s="10"/>
      <c r="H5762" s="10"/>
      <c r="I5762" s="39"/>
      <c r="J5762" s="103"/>
      <c r="K5762" s="39"/>
      <c r="L5762" s="78"/>
      <c r="M5762" s="19"/>
      <c r="N5762" s="10"/>
    </row>
    <row r="5763" spans="7:14" x14ac:dyDescent="0.75">
      <c r="G5763" s="10"/>
      <c r="H5763" s="10"/>
      <c r="I5763" s="39"/>
      <c r="J5763" s="103"/>
      <c r="K5763" s="39"/>
      <c r="L5763" s="78"/>
      <c r="M5763" s="19"/>
      <c r="N5763" s="10"/>
    </row>
    <row r="5764" spans="7:14" x14ac:dyDescent="0.75">
      <c r="G5764" s="10"/>
      <c r="H5764" s="10"/>
      <c r="I5764" s="39"/>
      <c r="J5764" s="103"/>
      <c r="K5764" s="39"/>
      <c r="L5764" s="78"/>
      <c r="M5764" s="19"/>
      <c r="N5764" s="10"/>
    </row>
    <row r="5765" spans="7:14" x14ac:dyDescent="0.75">
      <c r="G5765" s="10"/>
      <c r="H5765" s="10"/>
      <c r="I5765" s="39"/>
      <c r="J5765" s="103"/>
      <c r="K5765" s="39"/>
      <c r="L5765" s="78"/>
      <c r="M5765" s="19"/>
      <c r="N5765" s="10"/>
    </row>
    <row r="5766" spans="7:14" x14ac:dyDescent="0.75">
      <c r="G5766" s="10"/>
      <c r="H5766" s="10"/>
      <c r="I5766" s="39"/>
      <c r="J5766" s="103"/>
      <c r="K5766" s="39"/>
      <c r="L5766" s="78"/>
      <c r="M5766" s="19"/>
      <c r="N5766" s="10"/>
    </row>
    <row r="5767" spans="7:14" x14ac:dyDescent="0.75">
      <c r="G5767" s="10"/>
      <c r="H5767" s="10"/>
      <c r="I5767" s="39"/>
      <c r="J5767" s="103"/>
      <c r="K5767" s="39"/>
      <c r="L5767" s="78"/>
      <c r="M5767" s="19"/>
      <c r="N5767" s="10"/>
    </row>
    <row r="5768" spans="7:14" x14ac:dyDescent="0.75">
      <c r="G5768" s="10"/>
      <c r="H5768" s="10"/>
      <c r="I5768" s="39"/>
      <c r="J5768" s="103"/>
      <c r="K5768" s="39"/>
      <c r="L5768" s="78"/>
      <c r="M5768" s="19"/>
      <c r="N5768" s="10"/>
    </row>
    <row r="5769" spans="7:14" x14ac:dyDescent="0.75">
      <c r="G5769" s="10"/>
      <c r="H5769" s="10"/>
      <c r="I5769" s="39"/>
      <c r="J5769" s="103"/>
      <c r="K5769" s="39"/>
      <c r="L5769" s="78"/>
      <c r="M5769" s="19"/>
      <c r="N5769" s="10"/>
    </row>
    <row r="5770" spans="7:14" x14ac:dyDescent="0.75">
      <c r="G5770" s="10"/>
      <c r="H5770" s="10"/>
      <c r="I5770" s="39"/>
      <c r="J5770" s="103"/>
      <c r="K5770" s="39"/>
      <c r="L5770" s="78"/>
      <c r="M5770" s="19"/>
      <c r="N5770" s="10"/>
    </row>
    <row r="5771" spans="7:14" x14ac:dyDescent="0.75">
      <c r="G5771" s="10"/>
      <c r="H5771" s="10"/>
      <c r="I5771" s="39"/>
      <c r="J5771" s="103"/>
      <c r="K5771" s="39"/>
      <c r="L5771" s="78"/>
      <c r="M5771" s="19"/>
      <c r="N5771" s="10"/>
    </row>
    <row r="5772" spans="7:14" x14ac:dyDescent="0.75">
      <c r="G5772" s="10"/>
      <c r="H5772" s="10"/>
      <c r="I5772" s="39"/>
      <c r="J5772" s="103"/>
      <c r="K5772" s="39"/>
      <c r="L5772" s="78"/>
      <c r="M5772" s="19"/>
      <c r="N5772" s="10"/>
    </row>
    <row r="5773" spans="7:14" x14ac:dyDescent="0.75">
      <c r="G5773" s="10"/>
      <c r="H5773" s="10"/>
      <c r="I5773" s="39"/>
      <c r="J5773" s="103"/>
      <c r="K5773" s="39"/>
      <c r="L5773" s="78"/>
      <c r="M5773" s="19"/>
      <c r="N5773" s="10"/>
    </row>
    <row r="5774" spans="7:14" x14ac:dyDescent="0.75">
      <c r="G5774" s="10"/>
      <c r="H5774" s="10"/>
      <c r="I5774" s="39"/>
      <c r="J5774" s="103"/>
      <c r="K5774" s="39"/>
      <c r="L5774" s="78"/>
      <c r="M5774" s="19"/>
      <c r="N5774" s="10"/>
    </row>
    <row r="5775" spans="7:14" x14ac:dyDescent="0.75">
      <c r="G5775" s="10"/>
      <c r="H5775" s="10"/>
      <c r="I5775" s="39"/>
      <c r="J5775" s="103"/>
      <c r="K5775" s="39"/>
      <c r="L5775" s="78"/>
      <c r="M5775" s="19"/>
      <c r="N5775" s="10"/>
    </row>
    <row r="5776" spans="7:14" x14ac:dyDescent="0.75">
      <c r="G5776" s="10"/>
      <c r="H5776" s="10"/>
      <c r="I5776" s="39"/>
      <c r="J5776" s="103"/>
      <c r="K5776" s="39"/>
      <c r="L5776" s="78"/>
      <c r="M5776" s="19"/>
      <c r="N5776" s="10"/>
    </row>
    <row r="5777" spans="7:14" x14ac:dyDescent="0.75">
      <c r="G5777" s="10"/>
      <c r="H5777" s="10"/>
      <c r="I5777" s="39"/>
      <c r="J5777" s="103"/>
      <c r="K5777" s="39"/>
      <c r="L5777" s="78"/>
      <c r="M5777" s="19"/>
      <c r="N5777" s="10"/>
    </row>
    <row r="5778" spans="7:14" x14ac:dyDescent="0.75">
      <c r="G5778" s="10"/>
      <c r="H5778" s="10"/>
      <c r="I5778" s="39"/>
      <c r="J5778" s="103"/>
      <c r="K5778" s="39"/>
      <c r="L5778" s="78"/>
      <c r="M5778" s="19"/>
      <c r="N5778" s="10"/>
    </row>
    <row r="5779" spans="7:14" x14ac:dyDescent="0.75">
      <c r="G5779" s="10"/>
      <c r="H5779" s="10"/>
      <c r="I5779" s="39"/>
      <c r="J5779" s="103"/>
      <c r="K5779" s="39"/>
      <c r="L5779" s="78"/>
      <c r="M5779" s="19"/>
      <c r="N5779" s="10"/>
    </row>
    <row r="5780" spans="7:14" x14ac:dyDescent="0.75">
      <c r="G5780" s="10"/>
      <c r="H5780" s="10"/>
      <c r="I5780" s="39"/>
      <c r="J5780" s="103"/>
      <c r="K5780" s="39"/>
      <c r="L5780" s="78"/>
      <c r="M5780" s="19"/>
      <c r="N5780" s="10"/>
    </row>
    <row r="5781" spans="7:14" x14ac:dyDescent="0.75">
      <c r="G5781" s="10"/>
      <c r="H5781" s="10"/>
      <c r="I5781" s="39"/>
      <c r="J5781" s="103"/>
      <c r="K5781" s="39"/>
      <c r="L5781" s="10"/>
      <c r="M5781" s="19"/>
      <c r="N5781" s="10"/>
    </row>
    <row r="5782" spans="7:14" x14ac:dyDescent="0.75">
      <c r="G5782" s="10"/>
      <c r="H5782" s="10"/>
      <c r="I5782" s="39"/>
      <c r="J5782" s="103"/>
      <c r="K5782" s="39"/>
      <c r="L5782" s="78"/>
      <c r="M5782" s="19"/>
      <c r="N5782" s="10"/>
    </row>
    <row r="5783" spans="7:14" x14ac:dyDescent="0.75">
      <c r="G5783" s="10"/>
      <c r="H5783" s="10"/>
      <c r="I5783" s="39"/>
      <c r="J5783" s="103"/>
      <c r="K5783" s="39"/>
      <c r="L5783" s="78"/>
      <c r="M5783" s="19"/>
      <c r="N5783" s="10"/>
    </row>
    <row r="5784" spans="7:14" x14ac:dyDescent="0.75">
      <c r="G5784" s="10"/>
      <c r="H5784" s="10"/>
      <c r="I5784" s="39"/>
      <c r="J5784" s="103"/>
      <c r="K5784" s="39"/>
      <c r="L5784" s="78"/>
      <c r="M5784" s="19"/>
      <c r="N5784" s="10"/>
    </row>
    <row r="5785" spans="7:14" x14ac:dyDescent="0.75">
      <c r="G5785" s="10"/>
      <c r="H5785" s="10"/>
      <c r="I5785" s="39"/>
      <c r="J5785" s="103"/>
      <c r="K5785" s="39"/>
      <c r="L5785" s="10"/>
      <c r="M5785" s="19"/>
      <c r="N5785" s="10"/>
    </row>
    <row r="5786" spans="7:14" x14ac:dyDescent="0.75">
      <c r="G5786" s="10"/>
      <c r="H5786" s="10"/>
      <c r="I5786" s="39"/>
      <c r="J5786" s="103"/>
      <c r="K5786" s="39"/>
      <c r="L5786" s="78"/>
      <c r="M5786" s="19"/>
      <c r="N5786" s="10"/>
    </row>
    <row r="5787" spans="7:14" x14ac:dyDescent="0.75">
      <c r="G5787" s="10"/>
      <c r="H5787" s="10"/>
      <c r="I5787" s="39"/>
      <c r="J5787" s="103"/>
      <c r="K5787" s="39"/>
      <c r="L5787" s="78"/>
      <c r="M5787" s="19"/>
      <c r="N5787" s="10"/>
    </row>
    <row r="5788" spans="7:14" x14ac:dyDescent="0.75">
      <c r="G5788" s="10"/>
      <c r="H5788" s="10"/>
      <c r="I5788" s="39"/>
      <c r="J5788" s="103"/>
      <c r="K5788" s="39"/>
      <c r="L5788" s="78"/>
      <c r="M5788" s="19"/>
      <c r="N5788" s="10"/>
    </row>
    <row r="5789" spans="7:14" x14ac:dyDescent="0.75">
      <c r="G5789" s="10"/>
      <c r="H5789" s="10"/>
      <c r="I5789" s="39"/>
      <c r="J5789" s="103"/>
      <c r="K5789" s="39"/>
      <c r="L5789" s="78"/>
      <c r="M5789" s="19"/>
      <c r="N5789" s="10"/>
    </row>
    <row r="5790" spans="7:14" x14ac:dyDescent="0.75">
      <c r="G5790" s="10"/>
      <c r="H5790" s="10"/>
      <c r="I5790" s="39"/>
      <c r="J5790" s="103"/>
      <c r="K5790" s="39"/>
      <c r="L5790" s="78"/>
      <c r="M5790" s="19"/>
      <c r="N5790" s="10"/>
    </row>
    <row r="5791" spans="7:14" x14ac:dyDescent="0.75">
      <c r="G5791" s="10"/>
      <c r="H5791" s="10"/>
      <c r="I5791" s="39"/>
      <c r="J5791" s="103"/>
      <c r="K5791" s="39"/>
      <c r="L5791" s="78"/>
      <c r="M5791" s="19"/>
      <c r="N5791" s="10"/>
    </row>
    <row r="5792" spans="7:14" x14ac:dyDescent="0.75">
      <c r="G5792" s="10"/>
      <c r="H5792" s="10"/>
      <c r="I5792" s="39"/>
      <c r="J5792" s="103"/>
      <c r="K5792" s="39"/>
      <c r="L5792" s="78"/>
      <c r="M5792" s="19"/>
      <c r="N5792" s="10"/>
    </row>
    <row r="5793" spans="7:14" x14ac:dyDescent="0.75">
      <c r="G5793" s="10"/>
      <c r="H5793" s="10"/>
      <c r="I5793" s="39"/>
      <c r="J5793" s="103"/>
      <c r="K5793" s="39"/>
      <c r="L5793" s="78"/>
      <c r="M5793" s="19"/>
      <c r="N5793" s="10"/>
    </row>
    <row r="5794" spans="7:14" x14ac:dyDescent="0.75">
      <c r="G5794" s="10"/>
      <c r="H5794" s="10"/>
      <c r="I5794" s="39"/>
      <c r="J5794" s="103"/>
      <c r="K5794" s="39"/>
      <c r="L5794" s="78"/>
      <c r="M5794" s="19"/>
      <c r="N5794" s="10"/>
    </row>
    <row r="5795" spans="7:14" x14ac:dyDescent="0.75">
      <c r="G5795" s="10"/>
      <c r="H5795" s="10"/>
      <c r="I5795" s="39"/>
      <c r="J5795" s="103"/>
      <c r="K5795" s="39"/>
      <c r="L5795" s="78"/>
      <c r="M5795" s="19"/>
      <c r="N5795" s="10"/>
    </row>
    <row r="5796" spans="7:14" x14ac:dyDescent="0.75">
      <c r="G5796" s="10"/>
      <c r="H5796" s="10"/>
      <c r="I5796" s="39"/>
      <c r="J5796" s="103"/>
      <c r="K5796" s="39"/>
      <c r="L5796" s="78"/>
      <c r="M5796" s="19"/>
      <c r="N5796" s="10"/>
    </row>
    <row r="5797" spans="7:14" x14ac:dyDescent="0.75">
      <c r="G5797" s="10"/>
      <c r="H5797" s="10"/>
      <c r="I5797" s="39"/>
      <c r="J5797" s="103"/>
      <c r="K5797" s="39"/>
      <c r="L5797" s="78"/>
      <c r="M5797" s="19"/>
      <c r="N5797" s="10"/>
    </row>
    <row r="5798" spans="7:14" x14ac:dyDescent="0.75">
      <c r="G5798" s="10"/>
      <c r="H5798" s="10"/>
      <c r="I5798" s="39"/>
      <c r="J5798" s="103"/>
      <c r="K5798" s="39"/>
      <c r="L5798" s="78"/>
      <c r="M5798" s="19"/>
      <c r="N5798" s="10"/>
    </row>
    <row r="5799" spans="7:14" x14ac:dyDescent="0.75">
      <c r="G5799" s="10"/>
      <c r="H5799" s="10"/>
      <c r="I5799" s="39"/>
      <c r="J5799" s="103"/>
      <c r="K5799" s="39"/>
      <c r="L5799" s="78"/>
      <c r="M5799" s="19"/>
      <c r="N5799" s="10"/>
    </row>
    <row r="5800" spans="7:14" x14ac:dyDescent="0.75">
      <c r="G5800" s="10"/>
      <c r="H5800" s="10"/>
      <c r="I5800" s="39"/>
      <c r="J5800" s="103"/>
      <c r="K5800" s="39"/>
      <c r="L5800" s="78"/>
      <c r="M5800" s="19"/>
      <c r="N5800" s="10"/>
    </row>
    <row r="5801" spans="7:14" x14ac:dyDescent="0.75">
      <c r="G5801" s="10"/>
      <c r="H5801" s="10"/>
      <c r="I5801" s="39"/>
      <c r="J5801" s="103"/>
      <c r="K5801" s="39"/>
      <c r="L5801" s="78"/>
      <c r="M5801" s="19"/>
      <c r="N5801" s="10"/>
    </row>
    <row r="5802" spans="7:14" x14ac:dyDescent="0.75">
      <c r="G5802" s="10"/>
      <c r="H5802" s="10"/>
      <c r="I5802" s="39"/>
      <c r="J5802" s="103"/>
      <c r="K5802" s="39"/>
      <c r="L5802" s="78"/>
      <c r="M5802" s="19"/>
      <c r="N5802" s="10"/>
    </row>
    <row r="5803" spans="7:14" x14ac:dyDescent="0.75">
      <c r="G5803" s="10"/>
      <c r="H5803" s="10"/>
      <c r="I5803" s="39"/>
      <c r="J5803" s="103"/>
      <c r="K5803" s="39"/>
      <c r="L5803" s="78"/>
      <c r="M5803" s="19"/>
      <c r="N5803" s="10"/>
    </row>
    <row r="5804" spans="7:14" x14ac:dyDescent="0.75">
      <c r="G5804" s="10"/>
      <c r="H5804" s="10"/>
      <c r="I5804" s="39"/>
      <c r="J5804" s="103"/>
      <c r="K5804" s="39"/>
      <c r="L5804" s="78"/>
      <c r="M5804" s="19"/>
      <c r="N5804" s="10"/>
    </row>
    <row r="5805" spans="7:14" x14ac:dyDescent="0.75">
      <c r="G5805" s="10"/>
      <c r="H5805" s="10"/>
      <c r="I5805" s="39"/>
      <c r="J5805" s="103"/>
      <c r="K5805" s="39"/>
      <c r="L5805" s="78"/>
      <c r="M5805" s="19"/>
      <c r="N5805" s="10"/>
    </row>
    <row r="5806" spans="7:14" x14ac:dyDescent="0.75">
      <c r="G5806" s="10"/>
      <c r="H5806" s="10"/>
      <c r="I5806" s="39"/>
      <c r="J5806" s="103"/>
      <c r="K5806" s="39"/>
      <c r="L5806" s="78"/>
      <c r="M5806" s="19"/>
      <c r="N5806" s="10"/>
    </row>
    <row r="5807" spans="7:14" x14ac:dyDescent="0.75">
      <c r="G5807" s="10"/>
      <c r="H5807" s="10"/>
      <c r="I5807" s="39"/>
      <c r="J5807" s="103"/>
      <c r="K5807" s="39"/>
      <c r="L5807" s="78"/>
      <c r="M5807" s="19"/>
      <c r="N5807" s="10"/>
    </row>
    <row r="5808" spans="7:14" x14ac:dyDescent="0.75">
      <c r="G5808" s="10"/>
      <c r="H5808" s="10"/>
      <c r="I5808" s="39"/>
      <c r="J5808" s="103"/>
      <c r="K5808" s="39"/>
      <c r="L5808" s="78"/>
      <c r="M5808" s="19"/>
      <c r="N5808" s="10"/>
    </row>
    <row r="5809" spans="7:14" x14ac:dyDescent="0.75">
      <c r="G5809" s="10"/>
      <c r="H5809" s="10"/>
      <c r="I5809" s="39"/>
      <c r="J5809" s="103"/>
      <c r="K5809" s="39"/>
      <c r="L5809" s="78"/>
      <c r="M5809" s="19"/>
      <c r="N5809" s="10"/>
    </row>
    <row r="5810" spans="7:14" x14ac:dyDescent="0.75">
      <c r="G5810" s="10"/>
      <c r="H5810" s="10"/>
      <c r="I5810" s="39"/>
      <c r="J5810" s="103"/>
      <c r="K5810" s="39"/>
      <c r="L5810" s="78"/>
      <c r="M5810" s="19"/>
      <c r="N5810" s="10"/>
    </row>
    <row r="5811" spans="7:14" x14ac:dyDescent="0.75">
      <c r="G5811" s="10"/>
      <c r="H5811" s="10"/>
      <c r="I5811" s="39"/>
      <c r="J5811" s="103"/>
      <c r="K5811" s="39"/>
      <c r="L5811" s="78"/>
      <c r="M5811" s="19"/>
      <c r="N5811" s="10"/>
    </row>
    <row r="5812" spans="7:14" x14ac:dyDescent="0.75">
      <c r="G5812" s="10"/>
      <c r="H5812" s="10"/>
      <c r="I5812" s="39"/>
      <c r="J5812" s="103"/>
      <c r="K5812" s="39"/>
      <c r="L5812" s="78"/>
      <c r="M5812" s="19"/>
      <c r="N5812" s="10"/>
    </row>
    <row r="5813" spans="7:14" x14ac:dyDescent="0.75">
      <c r="G5813" s="10"/>
      <c r="H5813" s="10"/>
      <c r="I5813" s="39"/>
      <c r="J5813" s="103"/>
      <c r="K5813" s="39"/>
      <c r="L5813" s="10"/>
      <c r="M5813" s="19"/>
      <c r="N5813" s="10"/>
    </row>
    <row r="5814" spans="7:14" x14ac:dyDescent="0.75">
      <c r="G5814" s="10"/>
      <c r="H5814" s="10"/>
      <c r="I5814" s="39"/>
      <c r="J5814" s="103"/>
      <c r="K5814" s="39"/>
      <c r="L5814" s="78"/>
      <c r="M5814" s="19"/>
      <c r="N5814" s="10"/>
    </row>
    <row r="5815" spans="7:14" x14ac:dyDescent="0.75">
      <c r="G5815" s="10"/>
      <c r="H5815" s="10"/>
      <c r="I5815" s="39"/>
      <c r="J5815" s="103"/>
      <c r="K5815" s="39"/>
      <c r="L5815" s="78"/>
      <c r="M5815" s="19"/>
      <c r="N5815" s="10"/>
    </row>
    <row r="5816" spans="7:14" x14ac:dyDescent="0.75">
      <c r="G5816" s="10"/>
      <c r="H5816" s="10"/>
      <c r="I5816" s="39"/>
      <c r="J5816" s="103"/>
      <c r="K5816" s="39"/>
      <c r="L5816" s="78"/>
      <c r="M5816" s="19"/>
      <c r="N5816" s="10"/>
    </row>
    <row r="5817" spans="7:14" x14ac:dyDescent="0.75">
      <c r="G5817" s="10"/>
      <c r="H5817" s="10"/>
      <c r="I5817" s="39"/>
      <c r="J5817" s="103"/>
      <c r="K5817" s="39"/>
      <c r="L5817" s="10"/>
      <c r="M5817" s="19"/>
      <c r="N5817" s="10"/>
    </row>
    <row r="5818" spans="7:14" x14ac:dyDescent="0.75">
      <c r="G5818" s="10"/>
      <c r="H5818" s="10"/>
      <c r="I5818" s="39"/>
      <c r="J5818" s="103"/>
      <c r="K5818" s="39"/>
      <c r="L5818" s="10"/>
      <c r="M5818" s="19"/>
      <c r="N5818" s="10"/>
    </row>
    <row r="5819" spans="7:14" x14ac:dyDescent="0.75">
      <c r="G5819" s="10"/>
      <c r="H5819" s="10"/>
      <c r="I5819" s="39"/>
      <c r="J5819" s="103"/>
      <c r="K5819" s="39"/>
      <c r="L5819" s="10"/>
      <c r="M5819" s="19"/>
      <c r="N5819" s="10"/>
    </row>
    <row r="5820" spans="7:14" x14ac:dyDescent="0.75">
      <c r="G5820" s="10"/>
      <c r="H5820" s="10"/>
      <c r="I5820" s="39"/>
      <c r="J5820" s="103"/>
      <c r="K5820" s="39"/>
      <c r="L5820" s="78"/>
      <c r="M5820" s="19"/>
      <c r="N5820" s="10"/>
    </row>
    <row r="5821" spans="7:14" x14ac:dyDescent="0.75">
      <c r="G5821" s="10"/>
      <c r="H5821" s="10"/>
      <c r="I5821" s="39"/>
      <c r="J5821" s="103"/>
      <c r="K5821" s="39"/>
      <c r="L5821" s="78"/>
      <c r="M5821" s="19"/>
      <c r="N5821" s="10"/>
    </row>
    <row r="5822" spans="7:14" x14ac:dyDescent="0.75">
      <c r="G5822" s="10"/>
      <c r="H5822" s="10"/>
      <c r="I5822" s="39"/>
      <c r="J5822" s="103"/>
      <c r="K5822" s="39"/>
      <c r="L5822" s="78"/>
      <c r="M5822" s="19"/>
      <c r="N5822" s="10"/>
    </row>
    <row r="5823" spans="7:14" x14ac:dyDescent="0.75">
      <c r="G5823" s="10"/>
      <c r="H5823" s="10"/>
      <c r="I5823" s="39"/>
      <c r="J5823" s="103"/>
      <c r="K5823" s="39"/>
      <c r="L5823" s="78"/>
      <c r="M5823" s="19"/>
      <c r="N5823" s="10"/>
    </row>
    <row r="5824" spans="7:14" x14ac:dyDescent="0.75">
      <c r="G5824" s="10"/>
      <c r="H5824" s="10"/>
      <c r="I5824" s="39"/>
      <c r="J5824" s="103"/>
      <c r="K5824" s="39"/>
      <c r="L5824" s="10"/>
      <c r="M5824" s="19"/>
      <c r="N5824" s="10"/>
    </row>
    <row r="5825" spans="7:14" x14ac:dyDescent="0.75">
      <c r="G5825" s="10"/>
      <c r="H5825" s="10"/>
      <c r="I5825" s="39"/>
      <c r="J5825" s="103"/>
      <c r="K5825" s="39"/>
      <c r="L5825" s="10"/>
      <c r="M5825" s="19"/>
      <c r="N5825" s="10"/>
    </row>
    <row r="5826" spans="7:14" x14ac:dyDescent="0.75">
      <c r="G5826" s="10"/>
      <c r="H5826" s="10"/>
      <c r="I5826" s="39"/>
      <c r="J5826" s="103"/>
      <c r="K5826" s="39"/>
      <c r="L5826" s="10"/>
      <c r="M5826" s="19"/>
      <c r="N5826" s="10"/>
    </row>
    <row r="5827" spans="7:14" x14ac:dyDescent="0.75">
      <c r="G5827" s="10"/>
      <c r="H5827" s="10"/>
      <c r="I5827" s="39"/>
      <c r="J5827" s="103"/>
      <c r="K5827" s="39"/>
      <c r="L5827" s="78"/>
      <c r="M5827" s="19"/>
      <c r="N5827" s="10"/>
    </row>
    <row r="5828" spans="7:14" x14ac:dyDescent="0.75">
      <c r="G5828" s="10"/>
      <c r="H5828" s="10"/>
      <c r="I5828" s="39"/>
      <c r="J5828" s="103"/>
      <c r="K5828" s="39"/>
      <c r="L5828" s="78"/>
      <c r="M5828" s="19"/>
      <c r="N5828" s="10"/>
    </row>
    <row r="5829" spans="7:14" x14ac:dyDescent="0.75">
      <c r="G5829" s="10"/>
      <c r="H5829" s="10"/>
      <c r="I5829" s="39"/>
      <c r="J5829" s="103"/>
      <c r="K5829" s="39"/>
      <c r="L5829" s="78"/>
      <c r="M5829" s="19"/>
      <c r="N5829" s="10"/>
    </row>
    <row r="5830" spans="7:14" x14ac:dyDescent="0.75">
      <c r="G5830" s="10"/>
      <c r="H5830" s="10"/>
      <c r="I5830" s="39"/>
      <c r="J5830" s="103"/>
      <c r="K5830" s="39"/>
      <c r="L5830" s="78"/>
      <c r="M5830" s="19"/>
      <c r="N5830" s="10"/>
    </row>
    <row r="5831" spans="7:14" x14ac:dyDescent="0.75">
      <c r="G5831" s="10"/>
      <c r="H5831" s="10"/>
      <c r="I5831" s="39"/>
      <c r="J5831" s="103"/>
      <c r="K5831" s="39"/>
      <c r="L5831" s="78"/>
      <c r="M5831" s="19"/>
      <c r="N5831" s="10"/>
    </row>
    <row r="5832" spans="7:14" x14ac:dyDescent="0.75">
      <c r="G5832" s="10"/>
      <c r="H5832" s="10"/>
      <c r="I5832" s="39"/>
      <c r="J5832" s="103"/>
      <c r="K5832" s="39"/>
      <c r="L5832" s="78"/>
      <c r="M5832" s="19"/>
      <c r="N5832" s="10"/>
    </row>
    <row r="5833" spans="7:14" x14ac:dyDescent="0.75">
      <c r="G5833" s="10"/>
      <c r="H5833" s="10"/>
      <c r="I5833" s="39"/>
      <c r="J5833" s="103"/>
      <c r="K5833" s="39"/>
      <c r="L5833" s="78"/>
      <c r="M5833" s="19"/>
      <c r="N5833" s="10"/>
    </row>
    <row r="5834" spans="7:14" x14ac:dyDescent="0.75">
      <c r="G5834" s="10"/>
      <c r="H5834" s="10"/>
      <c r="I5834" s="39"/>
      <c r="J5834" s="103"/>
      <c r="K5834" s="39"/>
      <c r="L5834" s="78"/>
      <c r="M5834" s="19"/>
      <c r="N5834" s="10"/>
    </row>
    <row r="5835" spans="7:14" x14ac:dyDescent="0.75">
      <c r="G5835" s="10"/>
      <c r="H5835" s="10"/>
      <c r="I5835" s="39"/>
      <c r="J5835" s="103"/>
      <c r="K5835" s="39"/>
      <c r="L5835" s="10"/>
      <c r="M5835" s="19"/>
      <c r="N5835" s="10"/>
    </row>
    <row r="5836" spans="7:14" x14ac:dyDescent="0.75">
      <c r="G5836" s="10"/>
      <c r="H5836" s="10"/>
      <c r="I5836" s="39"/>
      <c r="J5836" s="103"/>
      <c r="K5836" s="39"/>
      <c r="L5836" s="78"/>
      <c r="M5836" s="19"/>
      <c r="N5836" s="10"/>
    </row>
    <row r="5837" spans="7:14" x14ac:dyDescent="0.75">
      <c r="G5837" s="10"/>
      <c r="H5837" s="10"/>
      <c r="I5837" s="39"/>
      <c r="J5837" s="103"/>
      <c r="K5837" s="39"/>
      <c r="L5837" s="78"/>
      <c r="M5837" s="19"/>
      <c r="N5837" s="10"/>
    </row>
    <row r="5838" spans="7:14" x14ac:dyDescent="0.75">
      <c r="G5838" s="10"/>
      <c r="H5838" s="10"/>
      <c r="I5838" s="39"/>
      <c r="J5838" s="103"/>
      <c r="K5838" s="39"/>
      <c r="L5838" s="78"/>
      <c r="M5838" s="19"/>
      <c r="N5838" s="10"/>
    </row>
    <row r="5839" spans="7:14" x14ac:dyDescent="0.75">
      <c r="G5839" s="10"/>
      <c r="H5839" s="10"/>
      <c r="I5839" s="39"/>
      <c r="J5839" s="103"/>
      <c r="K5839" s="39"/>
      <c r="L5839" s="78"/>
      <c r="M5839" s="19"/>
      <c r="N5839" s="10"/>
    </row>
    <row r="5840" spans="7:14" x14ac:dyDescent="0.75">
      <c r="G5840" s="10"/>
      <c r="H5840" s="10"/>
      <c r="I5840" s="39"/>
      <c r="J5840" s="103"/>
      <c r="K5840" s="39"/>
      <c r="L5840" s="78"/>
      <c r="M5840" s="19"/>
      <c r="N5840" s="10"/>
    </row>
    <row r="5841" spans="7:14" x14ac:dyDescent="0.75">
      <c r="G5841" s="10"/>
      <c r="H5841" s="10"/>
      <c r="I5841" s="39"/>
      <c r="J5841" s="103"/>
      <c r="K5841" s="39"/>
      <c r="L5841" s="78"/>
      <c r="M5841" s="19"/>
      <c r="N5841" s="10"/>
    </row>
    <row r="5842" spans="7:14" x14ac:dyDescent="0.75">
      <c r="G5842" s="10"/>
      <c r="H5842" s="10"/>
      <c r="I5842" s="39"/>
      <c r="J5842" s="103"/>
      <c r="K5842" s="39"/>
      <c r="L5842" s="78"/>
      <c r="M5842" s="19"/>
      <c r="N5842" s="10"/>
    </row>
    <row r="5843" spans="7:14" x14ac:dyDescent="0.75">
      <c r="G5843" s="10"/>
      <c r="H5843" s="10"/>
      <c r="I5843" s="39"/>
      <c r="J5843" s="103"/>
      <c r="K5843" s="39"/>
      <c r="L5843" s="10"/>
      <c r="M5843" s="19"/>
      <c r="N5843" s="10"/>
    </row>
    <row r="5844" spans="7:14" x14ac:dyDescent="0.75">
      <c r="G5844" s="10"/>
      <c r="H5844" s="10"/>
      <c r="I5844" s="39"/>
      <c r="J5844" s="103"/>
      <c r="K5844" s="39"/>
      <c r="L5844" s="78"/>
      <c r="M5844" s="19"/>
      <c r="N5844" s="10"/>
    </row>
    <row r="5845" spans="7:14" x14ac:dyDescent="0.75">
      <c r="G5845" s="10"/>
      <c r="H5845" s="10"/>
      <c r="I5845" s="39"/>
      <c r="J5845" s="103"/>
      <c r="K5845" s="39"/>
      <c r="L5845" s="78"/>
      <c r="M5845" s="19"/>
      <c r="N5845" s="10"/>
    </row>
    <row r="5846" spans="7:14" x14ac:dyDescent="0.75">
      <c r="G5846" s="10"/>
      <c r="H5846" s="10"/>
      <c r="I5846" s="39"/>
      <c r="J5846" s="103"/>
      <c r="K5846" s="39"/>
      <c r="L5846" s="78"/>
      <c r="M5846" s="19"/>
      <c r="N5846" s="10"/>
    </row>
    <row r="5847" spans="7:14" x14ac:dyDescent="0.75">
      <c r="G5847" s="10"/>
      <c r="H5847" s="10"/>
      <c r="I5847" s="39"/>
      <c r="J5847" s="103"/>
      <c r="K5847" s="39"/>
      <c r="L5847" s="78"/>
      <c r="M5847" s="19"/>
      <c r="N5847" s="10"/>
    </row>
    <row r="5848" spans="7:14" x14ac:dyDescent="0.75">
      <c r="G5848" s="10"/>
      <c r="H5848" s="10"/>
      <c r="I5848" s="39"/>
      <c r="J5848" s="103"/>
      <c r="K5848" s="39"/>
      <c r="L5848" s="78"/>
      <c r="M5848" s="19"/>
      <c r="N5848" s="10"/>
    </row>
    <row r="5849" spans="7:14" x14ac:dyDescent="0.75">
      <c r="G5849" s="10"/>
      <c r="H5849" s="10"/>
      <c r="I5849" s="39"/>
      <c r="J5849" s="103"/>
      <c r="K5849" s="39"/>
      <c r="L5849" s="78"/>
      <c r="M5849" s="19"/>
      <c r="N5849" s="10"/>
    </row>
    <row r="5850" spans="7:14" x14ac:dyDescent="0.75">
      <c r="G5850" s="10"/>
      <c r="H5850" s="10"/>
      <c r="I5850" s="39"/>
      <c r="J5850" s="103"/>
      <c r="K5850" s="39"/>
      <c r="L5850" s="78"/>
      <c r="M5850" s="19"/>
      <c r="N5850" s="10"/>
    </row>
    <row r="5851" spans="7:14" x14ac:dyDescent="0.75">
      <c r="G5851" s="10"/>
      <c r="H5851" s="10"/>
      <c r="I5851" s="39"/>
      <c r="J5851" s="103"/>
      <c r="K5851" s="39"/>
      <c r="L5851" s="78"/>
      <c r="M5851" s="19"/>
      <c r="N5851" s="10"/>
    </row>
    <row r="5852" spans="7:14" x14ac:dyDescent="0.75">
      <c r="G5852" s="10"/>
      <c r="H5852" s="10"/>
      <c r="I5852" s="39"/>
      <c r="J5852" s="103"/>
      <c r="K5852" s="39"/>
      <c r="L5852" s="78"/>
      <c r="M5852" s="19"/>
      <c r="N5852" s="10"/>
    </row>
    <row r="5853" spans="7:14" x14ac:dyDescent="0.75">
      <c r="G5853" s="10"/>
      <c r="H5853" s="10"/>
      <c r="I5853" s="39"/>
      <c r="J5853" s="103"/>
      <c r="K5853" s="39"/>
      <c r="L5853" s="78"/>
      <c r="M5853" s="19"/>
      <c r="N5853" s="10"/>
    </row>
    <row r="5854" spans="7:14" x14ac:dyDescent="0.75">
      <c r="G5854" s="10"/>
      <c r="H5854" s="10"/>
      <c r="I5854" s="39"/>
      <c r="J5854" s="103"/>
      <c r="K5854" s="39"/>
      <c r="L5854" s="78"/>
      <c r="M5854" s="19"/>
      <c r="N5854" s="10"/>
    </row>
    <row r="5855" spans="7:14" x14ac:dyDescent="0.75">
      <c r="G5855" s="10"/>
      <c r="H5855" s="10"/>
      <c r="I5855" s="39"/>
      <c r="J5855" s="103"/>
      <c r="K5855" s="39"/>
      <c r="L5855" s="78"/>
      <c r="M5855" s="19"/>
      <c r="N5855" s="10"/>
    </row>
    <row r="5856" spans="7:14" x14ac:dyDescent="0.75">
      <c r="G5856" s="10"/>
      <c r="H5856" s="10"/>
      <c r="I5856" s="39"/>
      <c r="J5856" s="103"/>
      <c r="K5856" s="39"/>
      <c r="L5856" s="78"/>
      <c r="M5856" s="19"/>
      <c r="N5856" s="10"/>
    </row>
    <row r="5857" spans="7:14" x14ac:dyDescent="0.75">
      <c r="G5857" s="10"/>
      <c r="H5857" s="10"/>
      <c r="I5857" s="39"/>
      <c r="J5857" s="103"/>
      <c r="K5857" s="39"/>
      <c r="L5857" s="10"/>
      <c r="M5857" s="19"/>
      <c r="N5857" s="10"/>
    </row>
    <row r="5858" spans="7:14" x14ac:dyDescent="0.75">
      <c r="G5858" s="10"/>
      <c r="H5858" s="10"/>
      <c r="I5858" s="39"/>
      <c r="J5858" s="103"/>
      <c r="K5858" s="39"/>
      <c r="L5858" s="10"/>
      <c r="M5858" s="19"/>
      <c r="N5858" s="10"/>
    </row>
    <row r="5859" spans="7:14" x14ac:dyDescent="0.75">
      <c r="G5859" s="10"/>
      <c r="H5859" s="10"/>
      <c r="I5859" s="39"/>
      <c r="J5859" s="103"/>
      <c r="K5859" s="39"/>
      <c r="L5859" s="78"/>
      <c r="M5859" s="19"/>
      <c r="N5859" s="10"/>
    </row>
    <row r="5860" spans="7:14" x14ac:dyDescent="0.75">
      <c r="G5860" s="10"/>
      <c r="H5860" s="10"/>
      <c r="I5860" s="39"/>
      <c r="J5860" s="103"/>
      <c r="K5860" s="39"/>
      <c r="L5860" s="78"/>
      <c r="M5860" s="19"/>
      <c r="N5860" s="10"/>
    </row>
    <row r="5861" spans="7:14" x14ac:dyDescent="0.75">
      <c r="G5861" s="10"/>
      <c r="H5861" s="10"/>
      <c r="I5861" s="39"/>
      <c r="J5861" s="103"/>
      <c r="K5861" s="39"/>
      <c r="L5861" s="78"/>
      <c r="M5861" s="19"/>
      <c r="N5861" s="10"/>
    </row>
    <row r="5862" spans="7:14" x14ac:dyDescent="0.75">
      <c r="G5862" s="10"/>
      <c r="H5862" s="10"/>
      <c r="I5862" s="39"/>
      <c r="J5862" s="103"/>
      <c r="K5862" s="39"/>
      <c r="L5862" s="78"/>
      <c r="M5862" s="19"/>
      <c r="N5862" s="10"/>
    </row>
    <row r="5863" spans="7:14" x14ac:dyDescent="0.75">
      <c r="G5863" s="10"/>
      <c r="H5863" s="10"/>
      <c r="I5863" s="39"/>
      <c r="J5863" s="103"/>
      <c r="K5863" s="39"/>
      <c r="L5863" s="78"/>
      <c r="M5863" s="19"/>
      <c r="N5863" s="10"/>
    </row>
    <row r="5864" spans="7:14" x14ac:dyDescent="0.75">
      <c r="G5864" s="10"/>
      <c r="H5864" s="10"/>
      <c r="I5864" s="39"/>
      <c r="J5864" s="103"/>
      <c r="K5864" s="39"/>
      <c r="L5864" s="78"/>
      <c r="M5864" s="19"/>
      <c r="N5864" s="10"/>
    </row>
    <row r="5865" spans="7:14" x14ac:dyDescent="0.75">
      <c r="G5865" s="10"/>
      <c r="H5865" s="10"/>
      <c r="I5865" s="39"/>
      <c r="J5865" s="103"/>
      <c r="K5865" s="39"/>
      <c r="L5865" s="78"/>
      <c r="M5865" s="19"/>
      <c r="N5865" s="10"/>
    </row>
    <row r="5866" spans="7:14" x14ac:dyDescent="0.75">
      <c r="G5866" s="10"/>
      <c r="H5866" s="10"/>
      <c r="I5866" s="39"/>
      <c r="J5866" s="103"/>
      <c r="K5866" s="39"/>
      <c r="L5866" s="78"/>
      <c r="M5866" s="19"/>
      <c r="N5866" s="10"/>
    </row>
    <row r="5867" spans="7:14" x14ac:dyDescent="0.75">
      <c r="G5867" s="10"/>
      <c r="H5867" s="10"/>
      <c r="I5867" s="39"/>
      <c r="J5867" s="103"/>
      <c r="K5867" s="39"/>
      <c r="L5867" s="78"/>
      <c r="M5867" s="19"/>
      <c r="N5867" s="10"/>
    </row>
    <row r="5868" spans="7:14" x14ac:dyDescent="0.75">
      <c r="G5868" s="10"/>
      <c r="H5868" s="10"/>
      <c r="I5868" s="39"/>
      <c r="J5868" s="103"/>
      <c r="K5868" s="39"/>
      <c r="L5868" s="78"/>
      <c r="M5868" s="19"/>
      <c r="N5868" s="10"/>
    </row>
    <row r="5869" spans="7:14" x14ac:dyDescent="0.75">
      <c r="G5869" s="10"/>
      <c r="H5869" s="10"/>
      <c r="I5869" s="39"/>
      <c r="J5869" s="103"/>
      <c r="K5869" s="39"/>
      <c r="L5869" s="78"/>
      <c r="M5869" s="19"/>
      <c r="N5869" s="10"/>
    </row>
    <row r="5870" spans="7:14" x14ac:dyDescent="0.75">
      <c r="G5870" s="10"/>
      <c r="H5870" s="10"/>
      <c r="I5870" s="39"/>
      <c r="J5870" s="103"/>
      <c r="K5870" s="39"/>
      <c r="L5870" s="10"/>
      <c r="M5870" s="19"/>
      <c r="N5870" s="10"/>
    </row>
    <row r="5871" spans="7:14" x14ac:dyDescent="0.75">
      <c r="G5871" s="10"/>
      <c r="H5871" s="10"/>
      <c r="I5871" s="39"/>
      <c r="J5871" s="103"/>
      <c r="K5871" s="39"/>
      <c r="L5871" s="78"/>
      <c r="M5871" s="19"/>
      <c r="N5871" s="10"/>
    </row>
    <row r="5872" spans="7:14" x14ac:dyDescent="0.75">
      <c r="G5872" s="10"/>
      <c r="H5872" s="10"/>
      <c r="I5872" s="39"/>
      <c r="J5872" s="103"/>
      <c r="K5872" s="39"/>
      <c r="L5872" s="78"/>
      <c r="M5872" s="19"/>
      <c r="N5872" s="10"/>
    </row>
    <row r="5873" spans="7:14" x14ac:dyDescent="0.75">
      <c r="G5873" s="10"/>
      <c r="H5873" s="10"/>
      <c r="I5873" s="39"/>
      <c r="J5873" s="103"/>
      <c r="K5873" s="39"/>
      <c r="L5873" s="78"/>
      <c r="M5873" s="19"/>
      <c r="N5873" s="10"/>
    </row>
    <row r="5874" spans="7:14" x14ac:dyDescent="0.75">
      <c r="G5874" s="10"/>
      <c r="H5874" s="10"/>
      <c r="I5874" s="39"/>
      <c r="J5874" s="103"/>
      <c r="K5874" s="39"/>
      <c r="L5874" s="78"/>
      <c r="M5874" s="19"/>
      <c r="N5874" s="10"/>
    </row>
    <row r="5875" spans="7:14" x14ac:dyDescent="0.75">
      <c r="G5875" s="10"/>
      <c r="H5875" s="10"/>
      <c r="I5875" s="39"/>
      <c r="J5875" s="103"/>
      <c r="K5875" s="39"/>
      <c r="L5875" s="78"/>
      <c r="M5875" s="19"/>
      <c r="N5875" s="10"/>
    </row>
    <row r="5876" spans="7:14" x14ac:dyDescent="0.75">
      <c r="G5876" s="10"/>
      <c r="H5876" s="10"/>
      <c r="I5876" s="39"/>
      <c r="J5876" s="103"/>
      <c r="K5876" s="39"/>
      <c r="L5876" s="10"/>
      <c r="M5876" s="19"/>
      <c r="N5876" s="10"/>
    </row>
    <row r="5877" spans="7:14" x14ac:dyDescent="0.75">
      <c r="G5877" s="10"/>
      <c r="H5877" s="10"/>
      <c r="I5877" s="39"/>
      <c r="J5877" s="103"/>
      <c r="K5877" s="39"/>
      <c r="L5877" s="78"/>
      <c r="M5877" s="19"/>
      <c r="N5877" s="10"/>
    </row>
    <row r="5878" spans="7:14" x14ac:dyDescent="0.75">
      <c r="G5878" s="10"/>
      <c r="H5878" s="10"/>
      <c r="I5878" s="39"/>
      <c r="J5878" s="103"/>
      <c r="K5878" s="39"/>
      <c r="L5878" s="78"/>
      <c r="M5878" s="19"/>
      <c r="N5878" s="10"/>
    </row>
    <row r="5879" spans="7:14" x14ac:dyDescent="0.75">
      <c r="G5879" s="10"/>
      <c r="H5879" s="10"/>
      <c r="I5879" s="39"/>
      <c r="J5879" s="103"/>
      <c r="K5879" s="39"/>
      <c r="L5879" s="78"/>
      <c r="M5879" s="19"/>
      <c r="N5879" s="10"/>
    </row>
    <row r="5880" spans="7:14" x14ac:dyDescent="0.75">
      <c r="G5880" s="10"/>
      <c r="H5880" s="10"/>
      <c r="I5880" s="39"/>
      <c r="J5880" s="103"/>
      <c r="K5880" s="39"/>
      <c r="L5880" s="10"/>
      <c r="M5880" s="19"/>
      <c r="N5880" s="10"/>
    </row>
    <row r="5881" spans="7:14" x14ac:dyDescent="0.75">
      <c r="G5881" s="10"/>
      <c r="H5881" s="10"/>
      <c r="I5881" s="39"/>
      <c r="J5881" s="103"/>
      <c r="K5881" s="39"/>
      <c r="L5881" s="10"/>
      <c r="M5881" s="19"/>
      <c r="N5881" s="10"/>
    </row>
    <row r="5882" spans="7:14" x14ac:dyDescent="0.75">
      <c r="G5882" s="10"/>
      <c r="H5882" s="10"/>
      <c r="I5882" s="39"/>
      <c r="J5882" s="103"/>
      <c r="K5882" s="39"/>
      <c r="L5882" s="10"/>
      <c r="M5882" s="19"/>
      <c r="N5882" s="10"/>
    </row>
    <row r="5883" spans="7:14" x14ac:dyDescent="0.75">
      <c r="G5883" s="10"/>
      <c r="H5883" s="10"/>
      <c r="I5883" s="39"/>
      <c r="J5883" s="103"/>
      <c r="K5883" s="39"/>
      <c r="L5883" s="78"/>
      <c r="M5883" s="19"/>
      <c r="N5883" s="10"/>
    </row>
    <row r="5884" spans="7:14" x14ac:dyDescent="0.75">
      <c r="G5884" s="10"/>
      <c r="H5884" s="10"/>
      <c r="I5884" s="39"/>
      <c r="J5884" s="103"/>
      <c r="K5884" s="39"/>
      <c r="L5884" s="78"/>
      <c r="M5884" s="19"/>
      <c r="N5884" s="10"/>
    </row>
    <row r="5885" spans="7:14" x14ac:dyDescent="0.75">
      <c r="G5885" s="10"/>
      <c r="H5885" s="10"/>
      <c r="I5885" s="39"/>
      <c r="J5885" s="103"/>
      <c r="K5885" s="39"/>
      <c r="L5885" s="78"/>
      <c r="M5885" s="19"/>
      <c r="N5885" s="10"/>
    </row>
    <row r="5886" spans="7:14" x14ac:dyDescent="0.75">
      <c r="G5886" s="10"/>
      <c r="H5886" s="10"/>
      <c r="I5886" s="39"/>
      <c r="J5886" s="103"/>
      <c r="K5886" s="39"/>
      <c r="L5886" s="78"/>
      <c r="M5886" s="19"/>
      <c r="N5886" s="10"/>
    </row>
    <row r="5887" spans="7:14" x14ac:dyDescent="0.75">
      <c r="G5887" s="10"/>
      <c r="H5887" s="10"/>
      <c r="I5887" s="39"/>
      <c r="J5887" s="103"/>
      <c r="K5887" s="39"/>
      <c r="L5887" s="78"/>
      <c r="M5887" s="19"/>
      <c r="N5887" s="10"/>
    </row>
    <row r="5888" spans="7:14" x14ac:dyDescent="0.75">
      <c r="G5888" s="10"/>
      <c r="H5888" s="10"/>
      <c r="I5888" s="39"/>
      <c r="J5888" s="103"/>
      <c r="K5888" s="39"/>
      <c r="L5888" s="78"/>
      <c r="M5888" s="19"/>
      <c r="N5888" s="10"/>
    </row>
    <row r="5889" spans="7:14" x14ac:dyDescent="0.75">
      <c r="G5889" s="10"/>
      <c r="H5889" s="10"/>
      <c r="I5889" s="39"/>
      <c r="J5889" s="103"/>
      <c r="K5889" s="39"/>
      <c r="L5889" s="78"/>
      <c r="M5889" s="19"/>
      <c r="N5889" s="10"/>
    </row>
    <row r="5890" spans="7:14" x14ac:dyDescent="0.75">
      <c r="G5890" s="10"/>
      <c r="H5890" s="10"/>
      <c r="I5890" s="39"/>
      <c r="J5890" s="103"/>
      <c r="K5890" s="39"/>
      <c r="L5890" s="78"/>
      <c r="M5890" s="19"/>
      <c r="N5890" s="10"/>
    </row>
    <row r="5891" spans="7:14" x14ac:dyDescent="0.75">
      <c r="G5891" s="10"/>
      <c r="H5891" s="10"/>
      <c r="I5891" s="39"/>
      <c r="J5891" s="103"/>
      <c r="K5891" s="39"/>
      <c r="L5891" s="78"/>
      <c r="M5891" s="19"/>
      <c r="N5891" s="10"/>
    </row>
    <row r="5892" spans="7:14" x14ac:dyDescent="0.75">
      <c r="G5892" s="10"/>
      <c r="H5892" s="10"/>
      <c r="I5892" s="39"/>
      <c r="J5892" s="103"/>
      <c r="K5892" s="39"/>
      <c r="L5892" s="78"/>
      <c r="M5892" s="19"/>
      <c r="N5892" s="10"/>
    </row>
    <row r="5893" spans="7:14" x14ac:dyDescent="0.75">
      <c r="G5893" s="10"/>
      <c r="H5893" s="10"/>
      <c r="I5893" s="39"/>
      <c r="J5893" s="103"/>
      <c r="K5893" s="39"/>
      <c r="L5893" s="78"/>
      <c r="M5893" s="19"/>
      <c r="N5893" s="10"/>
    </row>
    <row r="5894" spans="7:14" x14ac:dyDescent="0.75">
      <c r="G5894" s="10"/>
      <c r="H5894" s="10"/>
      <c r="I5894" s="39"/>
      <c r="J5894" s="103"/>
      <c r="K5894" s="39"/>
      <c r="L5894" s="78"/>
      <c r="M5894" s="19"/>
      <c r="N5894" s="10"/>
    </row>
    <row r="5895" spans="7:14" x14ac:dyDescent="0.75">
      <c r="G5895" s="10"/>
      <c r="H5895" s="10"/>
      <c r="I5895" s="39"/>
      <c r="J5895" s="103"/>
      <c r="K5895" s="39"/>
      <c r="L5895" s="78"/>
      <c r="M5895" s="19"/>
      <c r="N5895" s="10"/>
    </row>
    <row r="5896" spans="7:14" x14ac:dyDescent="0.75">
      <c r="G5896" s="10"/>
      <c r="H5896" s="10"/>
      <c r="I5896" s="39"/>
      <c r="J5896" s="103"/>
      <c r="K5896" s="39"/>
      <c r="L5896" s="78"/>
      <c r="M5896" s="19"/>
      <c r="N5896" s="10"/>
    </row>
    <row r="5897" spans="7:14" x14ac:dyDescent="0.75">
      <c r="G5897" s="10"/>
      <c r="H5897" s="10"/>
      <c r="I5897" s="39"/>
      <c r="J5897" s="103"/>
      <c r="K5897" s="39"/>
      <c r="L5897" s="78"/>
      <c r="M5897" s="19"/>
      <c r="N5897" s="10"/>
    </row>
    <row r="5898" spans="7:14" x14ac:dyDescent="0.75">
      <c r="G5898" s="10"/>
      <c r="H5898" s="10"/>
      <c r="I5898" s="39"/>
      <c r="J5898" s="103"/>
      <c r="K5898" s="39"/>
      <c r="L5898" s="78"/>
      <c r="M5898" s="19"/>
      <c r="N5898" s="10"/>
    </row>
    <row r="5899" spans="7:14" x14ac:dyDescent="0.75">
      <c r="G5899" s="10"/>
      <c r="H5899" s="10"/>
      <c r="I5899" s="39"/>
      <c r="J5899" s="103"/>
      <c r="K5899" s="39"/>
      <c r="L5899" s="78"/>
      <c r="M5899" s="19"/>
      <c r="N5899" s="10"/>
    </row>
    <row r="5900" spans="7:14" x14ac:dyDescent="0.75">
      <c r="G5900" s="10"/>
      <c r="H5900" s="10"/>
      <c r="I5900" s="39"/>
      <c r="J5900" s="103"/>
      <c r="K5900" s="39"/>
      <c r="L5900" s="78"/>
      <c r="M5900" s="19"/>
      <c r="N5900" s="10"/>
    </row>
    <row r="5901" spans="7:14" x14ac:dyDescent="0.75">
      <c r="G5901" s="10"/>
      <c r="H5901" s="10"/>
      <c r="I5901" s="39"/>
      <c r="J5901" s="103"/>
      <c r="K5901" s="39"/>
      <c r="L5901" s="78"/>
      <c r="M5901" s="19"/>
      <c r="N5901" s="10"/>
    </row>
    <row r="5902" spans="7:14" x14ac:dyDescent="0.75">
      <c r="G5902" s="10"/>
      <c r="H5902" s="10"/>
      <c r="I5902" s="39"/>
      <c r="J5902" s="103"/>
      <c r="K5902" s="39"/>
      <c r="L5902" s="78"/>
      <c r="M5902" s="19"/>
      <c r="N5902" s="10"/>
    </row>
    <row r="5903" spans="7:14" x14ac:dyDescent="0.75">
      <c r="G5903" s="10"/>
      <c r="H5903" s="10"/>
      <c r="I5903" s="39"/>
      <c r="J5903" s="103"/>
      <c r="K5903" s="39"/>
      <c r="L5903" s="78"/>
      <c r="M5903" s="19"/>
      <c r="N5903" s="10"/>
    </row>
    <row r="5904" spans="7:14" x14ac:dyDescent="0.75">
      <c r="G5904" s="10"/>
      <c r="H5904" s="10"/>
      <c r="I5904" s="39"/>
      <c r="J5904" s="103"/>
      <c r="K5904" s="39"/>
      <c r="L5904" s="78"/>
      <c r="M5904" s="19"/>
      <c r="N5904" s="10"/>
    </row>
    <row r="5905" spans="7:14" x14ac:dyDescent="0.75">
      <c r="G5905" s="10"/>
      <c r="H5905" s="10"/>
      <c r="I5905" s="39"/>
      <c r="J5905" s="103"/>
      <c r="K5905" s="39"/>
      <c r="L5905" s="78"/>
      <c r="M5905" s="19"/>
      <c r="N5905" s="10"/>
    </row>
    <row r="5906" spans="7:14" x14ac:dyDescent="0.75">
      <c r="G5906" s="10"/>
      <c r="H5906" s="10"/>
      <c r="I5906" s="39"/>
      <c r="J5906" s="103"/>
      <c r="K5906" s="39"/>
      <c r="L5906" s="78"/>
      <c r="M5906" s="19"/>
      <c r="N5906" s="10"/>
    </row>
    <row r="5907" spans="7:14" x14ac:dyDescent="0.75">
      <c r="G5907" s="10"/>
      <c r="H5907" s="10"/>
      <c r="I5907" s="39"/>
      <c r="J5907" s="103"/>
      <c r="K5907" s="39"/>
      <c r="L5907" s="78"/>
      <c r="M5907" s="19"/>
      <c r="N5907" s="10"/>
    </row>
    <row r="5908" spans="7:14" x14ac:dyDescent="0.75">
      <c r="G5908" s="10"/>
      <c r="H5908" s="10"/>
      <c r="I5908" s="39"/>
      <c r="J5908" s="103"/>
      <c r="K5908" s="39"/>
      <c r="L5908" s="78"/>
      <c r="M5908" s="19"/>
      <c r="N5908" s="10"/>
    </row>
    <row r="5909" spans="7:14" x14ac:dyDescent="0.75">
      <c r="G5909" s="10"/>
      <c r="H5909" s="10"/>
      <c r="I5909" s="39"/>
      <c r="J5909" s="103"/>
      <c r="K5909" s="39"/>
      <c r="L5909" s="78"/>
      <c r="M5909" s="19"/>
      <c r="N5909" s="10"/>
    </row>
    <row r="5910" spans="7:14" x14ac:dyDescent="0.75">
      <c r="G5910" s="10"/>
      <c r="H5910" s="10"/>
      <c r="I5910" s="39"/>
      <c r="J5910" s="103"/>
      <c r="K5910" s="39"/>
      <c r="L5910" s="78"/>
      <c r="M5910" s="19"/>
      <c r="N5910" s="10"/>
    </row>
    <row r="5911" spans="7:14" x14ac:dyDescent="0.75">
      <c r="G5911" s="10"/>
      <c r="H5911" s="10"/>
      <c r="I5911" s="39"/>
      <c r="J5911" s="103"/>
      <c r="K5911" s="39"/>
      <c r="L5911" s="78"/>
      <c r="M5911" s="19"/>
      <c r="N5911" s="10"/>
    </row>
    <row r="5912" spans="7:14" x14ac:dyDescent="0.75">
      <c r="G5912" s="10"/>
      <c r="H5912" s="10"/>
      <c r="I5912" s="39"/>
      <c r="J5912" s="103"/>
      <c r="K5912" s="39"/>
      <c r="L5912" s="78"/>
      <c r="M5912" s="19"/>
      <c r="N5912" s="10"/>
    </row>
    <row r="5913" spans="7:14" x14ac:dyDescent="0.75">
      <c r="G5913" s="10"/>
      <c r="H5913" s="10"/>
      <c r="I5913" s="39"/>
      <c r="J5913" s="103"/>
      <c r="K5913" s="39"/>
      <c r="L5913" s="78"/>
      <c r="M5913" s="19"/>
      <c r="N5913" s="10"/>
    </row>
    <row r="5914" spans="7:14" x14ac:dyDescent="0.75">
      <c r="G5914" s="10"/>
      <c r="H5914" s="10"/>
      <c r="I5914" s="39"/>
      <c r="J5914" s="103"/>
      <c r="K5914" s="39"/>
      <c r="L5914" s="78"/>
      <c r="M5914" s="19"/>
      <c r="N5914" s="10"/>
    </row>
    <row r="5915" spans="7:14" x14ac:dyDescent="0.75">
      <c r="G5915" s="10"/>
      <c r="H5915" s="10"/>
      <c r="I5915" s="39"/>
      <c r="J5915" s="103"/>
      <c r="K5915" s="39"/>
      <c r="L5915" s="10"/>
      <c r="M5915" s="19"/>
      <c r="N5915" s="10"/>
    </row>
    <row r="5916" spans="7:14" x14ac:dyDescent="0.75">
      <c r="G5916" s="10"/>
      <c r="H5916" s="10"/>
      <c r="I5916" s="39"/>
      <c r="J5916" s="103"/>
      <c r="K5916" s="39"/>
      <c r="L5916" s="10"/>
      <c r="M5916" s="19"/>
      <c r="N5916" s="10"/>
    </row>
    <row r="5917" spans="7:14" x14ac:dyDescent="0.75">
      <c r="G5917" s="10"/>
      <c r="H5917" s="10"/>
      <c r="I5917" s="39"/>
      <c r="J5917" s="103"/>
      <c r="K5917" s="39"/>
      <c r="L5917" s="10"/>
      <c r="M5917" s="19"/>
      <c r="N5917" s="10"/>
    </row>
    <row r="5918" spans="7:14" x14ac:dyDescent="0.75">
      <c r="G5918" s="10"/>
      <c r="H5918" s="10"/>
      <c r="I5918" s="39"/>
      <c r="J5918" s="103"/>
      <c r="K5918" s="39"/>
      <c r="L5918" s="78"/>
      <c r="M5918" s="19"/>
      <c r="N5918" s="10"/>
    </row>
    <row r="5919" spans="7:14" x14ac:dyDescent="0.75">
      <c r="G5919" s="10"/>
      <c r="H5919" s="10"/>
      <c r="I5919" s="39"/>
      <c r="J5919" s="103"/>
      <c r="K5919" s="39"/>
      <c r="L5919" s="78"/>
      <c r="M5919" s="19"/>
      <c r="N5919" s="10"/>
    </row>
    <row r="5920" spans="7:14" x14ac:dyDescent="0.75">
      <c r="G5920" s="10"/>
      <c r="H5920" s="10"/>
      <c r="I5920" s="39"/>
      <c r="J5920" s="103"/>
      <c r="K5920" s="39"/>
      <c r="L5920" s="78"/>
      <c r="M5920" s="19"/>
      <c r="N5920" s="10"/>
    </row>
    <row r="5921" spans="7:14" x14ac:dyDescent="0.75">
      <c r="G5921" s="10"/>
      <c r="H5921" s="10"/>
      <c r="I5921" s="39"/>
      <c r="J5921" s="103"/>
      <c r="K5921" s="39"/>
      <c r="L5921" s="78"/>
      <c r="M5921" s="19"/>
      <c r="N5921" s="10"/>
    </row>
    <row r="5922" spans="7:14" x14ac:dyDescent="0.75">
      <c r="G5922" s="10"/>
      <c r="H5922" s="10"/>
      <c r="I5922" s="39"/>
      <c r="J5922" s="103"/>
      <c r="K5922" s="39"/>
      <c r="L5922" s="10"/>
      <c r="M5922" s="19"/>
      <c r="N5922" s="10"/>
    </row>
    <row r="5923" spans="7:14" x14ac:dyDescent="0.75">
      <c r="G5923" s="10"/>
      <c r="H5923" s="10"/>
      <c r="I5923" s="39"/>
      <c r="J5923" s="103"/>
      <c r="K5923" s="39"/>
      <c r="L5923" s="10"/>
      <c r="M5923" s="19"/>
      <c r="N5923" s="10"/>
    </row>
    <row r="5924" spans="7:14" x14ac:dyDescent="0.75">
      <c r="G5924" s="10"/>
      <c r="H5924" s="10"/>
      <c r="I5924" s="39"/>
      <c r="J5924" s="103"/>
      <c r="K5924" s="39"/>
      <c r="L5924" s="10"/>
      <c r="M5924" s="19"/>
      <c r="N5924" s="10"/>
    </row>
    <row r="5925" spans="7:14" x14ac:dyDescent="0.75">
      <c r="G5925" s="10"/>
      <c r="H5925" s="10"/>
      <c r="I5925" s="39"/>
      <c r="J5925" s="103"/>
      <c r="K5925" s="39"/>
      <c r="L5925" s="78"/>
      <c r="M5925" s="19"/>
      <c r="N5925" s="10"/>
    </row>
    <row r="5926" spans="7:14" x14ac:dyDescent="0.75">
      <c r="G5926" s="10"/>
      <c r="H5926" s="10"/>
      <c r="I5926" s="39"/>
      <c r="J5926" s="103"/>
      <c r="K5926" s="39"/>
      <c r="L5926" s="78"/>
      <c r="M5926" s="19"/>
      <c r="N5926" s="10"/>
    </row>
    <row r="5927" spans="7:14" x14ac:dyDescent="0.75">
      <c r="G5927" s="10"/>
      <c r="H5927" s="10"/>
      <c r="I5927" s="39"/>
      <c r="J5927" s="103"/>
      <c r="K5927" s="39"/>
      <c r="L5927" s="78"/>
      <c r="M5927" s="19"/>
      <c r="N5927" s="10"/>
    </row>
    <row r="5928" spans="7:14" x14ac:dyDescent="0.75">
      <c r="G5928" s="10"/>
      <c r="H5928" s="10"/>
      <c r="I5928" s="39"/>
      <c r="J5928" s="103"/>
      <c r="K5928" s="39"/>
      <c r="L5928" s="10"/>
      <c r="M5928" s="19"/>
      <c r="N5928" s="10"/>
    </row>
    <row r="5929" spans="7:14" x14ac:dyDescent="0.75">
      <c r="G5929" s="10"/>
      <c r="H5929" s="10"/>
      <c r="I5929" s="39"/>
      <c r="J5929" s="103"/>
      <c r="K5929" s="39"/>
      <c r="L5929" s="78"/>
      <c r="M5929" s="19"/>
      <c r="N5929" s="10"/>
    </row>
    <row r="5930" spans="7:14" x14ac:dyDescent="0.75">
      <c r="G5930" s="10"/>
      <c r="H5930" s="10"/>
      <c r="I5930" s="39"/>
      <c r="J5930" s="103"/>
      <c r="K5930" s="39"/>
      <c r="L5930" s="78"/>
      <c r="M5930" s="19"/>
      <c r="N5930" s="10"/>
    </row>
    <row r="5931" spans="7:14" x14ac:dyDescent="0.75">
      <c r="G5931" s="10"/>
      <c r="H5931" s="10"/>
      <c r="I5931" s="39"/>
      <c r="J5931" s="103"/>
      <c r="K5931" s="39"/>
      <c r="L5931" s="78"/>
      <c r="M5931" s="19"/>
      <c r="N5931" s="10"/>
    </row>
    <row r="5932" spans="7:14" x14ac:dyDescent="0.75">
      <c r="G5932" s="10"/>
      <c r="H5932" s="10"/>
      <c r="I5932" s="39"/>
      <c r="J5932" s="103"/>
      <c r="K5932" s="39"/>
      <c r="L5932" s="78"/>
      <c r="M5932" s="19"/>
      <c r="N5932" s="10"/>
    </row>
    <row r="5933" spans="7:14" x14ac:dyDescent="0.75">
      <c r="G5933" s="10"/>
      <c r="H5933" s="10"/>
      <c r="I5933" s="39"/>
      <c r="J5933" s="103"/>
      <c r="K5933" s="39"/>
      <c r="L5933" s="78"/>
      <c r="M5933" s="19"/>
      <c r="N5933" s="10"/>
    </row>
    <row r="5934" spans="7:14" x14ac:dyDescent="0.75">
      <c r="G5934" s="10"/>
      <c r="H5934" s="10"/>
      <c r="I5934" s="39"/>
      <c r="J5934" s="103"/>
      <c r="K5934" s="39"/>
      <c r="L5934" s="78"/>
      <c r="M5934" s="19"/>
      <c r="N5934" s="10"/>
    </row>
    <row r="5935" spans="7:14" x14ac:dyDescent="0.75">
      <c r="G5935" s="10"/>
      <c r="H5935" s="10"/>
      <c r="I5935" s="39"/>
      <c r="J5935" s="103"/>
      <c r="K5935" s="39"/>
      <c r="L5935" s="78"/>
      <c r="M5935" s="19"/>
      <c r="N5935" s="10"/>
    </row>
    <row r="5936" spans="7:14" x14ac:dyDescent="0.75">
      <c r="G5936" s="10"/>
      <c r="H5936" s="10"/>
      <c r="I5936" s="39"/>
      <c r="J5936" s="103"/>
      <c r="K5936" s="39"/>
      <c r="L5936" s="78"/>
      <c r="M5936" s="19"/>
      <c r="N5936" s="10"/>
    </row>
    <row r="5937" spans="7:14" x14ac:dyDescent="0.75">
      <c r="G5937" s="10"/>
      <c r="H5937" s="10"/>
      <c r="I5937" s="39"/>
      <c r="J5937" s="103"/>
      <c r="K5937" s="39"/>
      <c r="L5937" s="78"/>
      <c r="M5937" s="19"/>
      <c r="N5937" s="10"/>
    </row>
    <row r="5938" spans="7:14" x14ac:dyDescent="0.75">
      <c r="G5938" s="10"/>
      <c r="H5938" s="10"/>
      <c r="I5938" s="39"/>
      <c r="J5938" s="103"/>
      <c r="K5938" s="39"/>
      <c r="L5938" s="78"/>
      <c r="M5938" s="19"/>
      <c r="N5938" s="10"/>
    </row>
    <row r="5939" spans="7:14" x14ac:dyDescent="0.75">
      <c r="G5939" s="10"/>
      <c r="H5939" s="10"/>
      <c r="I5939" s="39"/>
      <c r="J5939" s="103"/>
      <c r="K5939" s="39"/>
      <c r="L5939" s="78"/>
      <c r="M5939" s="19"/>
      <c r="N5939" s="10"/>
    </row>
    <row r="5940" spans="7:14" x14ac:dyDescent="0.75">
      <c r="G5940" s="10"/>
      <c r="H5940" s="10"/>
      <c r="I5940" s="39"/>
      <c r="J5940" s="103"/>
      <c r="K5940" s="39"/>
      <c r="L5940" s="78"/>
      <c r="M5940" s="19"/>
      <c r="N5940" s="10"/>
    </row>
    <row r="5941" spans="7:14" x14ac:dyDescent="0.75">
      <c r="G5941" s="10"/>
      <c r="H5941" s="10"/>
      <c r="I5941" s="39"/>
      <c r="J5941" s="103"/>
      <c r="K5941" s="39"/>
      <c r="L5941" s="78"/>
      <c r="M5941" s="19"/>
      <c r="N5941" s="10"/>
    </row>
    <row r="5942" spans="7:14" x14ac:dyDescent="0.75">
      <c r="G5942" s="10"/>
      <c r="H5942" s="10"/>
      <c r="I5942" s="39"/>
      <c r="J5942" s="103"/>
      <c r="K5942" s="39"/>
      <c r="L5942" s="78"/>
      <c r="M5942" s="19"/>
      <c r="N5942" s="10"/>
    </row>
    <row r="5943" spans="7:14" x14ac:dyDescent="0.75">
      <c r="G5943" s="10"/>
      <c r="H5943" s="10"/>
      <c r="I5943" s="39"/>
      <c r="J5943" s="103"/>
      <c r="K5943" s="39"/>
      <c r="L5943" s="78"/>
      <c r="M5943" s="19"/>
      <c r="N5943" s="10"/>
    </row>
    <row r="5944" spans="7:14" x14ac:dyDescent="0.75">
      <c r="G5944" s="10"/>
      <c r="H5944" s="10"/>
      <c r="I5944" s="39"/>
      <c r="J5944" s="103"/>
      <c r="K5944" s="39"/>
      <c r="L5944" s="78"/>
      <c r="M5944" s="19"/>
      <c r="N5944" s="10"/>
    </row>
    <row r="5945" spans="7:14" x14ac:dyDescent="0.75">
      <c r="G5945" s="10"/>
      <c r="H5945" s="10"/>
      <c r="I5945" s="39"/>
      <c r="J5945" s="103"/>
      <c r="K5945" s="39"/>
      <c r="L5945" s="78"/>
      <c r="M5945" s="19"/>
      <c r="N5945" s="10"/>
    </row>
    <row r="5946" spans="7:14" x14ac:dyDescent="0.75">
      <c r="G5946" s="10"/>
      <c r="H5946" s="10"/>
      <c r="I5946" s="39"/>
      <c r="J5946" s="103"/>
      <c r="K5946" s="39"/>
      <c r="L5946" s="78"/>
      <c r="M5946" s="19"/>
      <c r="N5946" s="10"/>
    </row>
    <row r="5947" spans="7:14" x14ac:dyDescent="0.75">
      <c r="G5947" s="10"/>
      <c r="H5947" s="10"/>
      <c r="I5947" s="39"/>
      <c r="J5947" s="103"/>
      <c r="K5947" s="39"/>
      <c r="L5947" s="78"/>
      <c r="M5947" s="19"/>
      <c r="N5947" s="10"/>
    </row>
    <row r="5948" spans="7:14" x14ac:dyDescent="0.75">
      <c r="G5948" s="10"/>
      <c r="H5948" s="10"/>
      <c r="I5948" s="39"/>
      <c r="J5948" s="103"/>
      <c r="K5948" s="39"/>
      <c r="L5948" s="78"/>
      <c r="M5948" s="19"/>
      <c r="N5948" s="10"/>
    </row>
    <row r="5949" spans="7:14" x14ac:dyDescent="0.75">
      <c r="G5949" s="10"/>
      <c r="H5949" s="10"/>
      <c r="I5949" s="39"/>
      <c r="J5949" s="103"/>
      <c r="K5949" s="39"/>
      <c r="L5949" s="78"/>
      <c r="M5949" s="19"/>
      <c r="N5949" s="10"/>
    </row>
    <row r="5950" spans="7:14" x14ac:dyDescent="0.75">
      <c r="G5950" s="10"/>
      <c r="H5950" s="10"/>
      <c r="I5950" s="39"/>
      <c r="J5950" s="103"/>
      <c r="K5950" s="39"/>
      <c r="L5950" s="78"/>
      <c r="M5950" s="19"/>
      <c r="N5950" s="10"/>
    </row>
    <row r="5951" spans="7:14" x14ac:dyDescent="0.75">
      <c r="G5951" s="10"/>
      <c r="H5951" s="10"/>
      <c r="I5951" s="39"/>
      <c r="J5951" s="103"/>
      <c r="K5951" s="39"/>
      <c r="L5951" s="78"/>
      <c r="M5951" s="19"/>
      <c r="N5951" s="10"/>
    </row>
    <row r="5952" spans="7:14" x14ac:dyDescent="0.75">
      <c r="G5952" s="10"/>
      <c r="H5952" s="10"/>
      <c r="I5952" s="39"/>
      <c r="J5952" s="103"/>
      <c r="K5952" s="39"/>
      <c r="L5952" s="78"/>
      <c r="M5952" s="19"/>
      <c r="N5952" s="10"/>
    </row>
    <row r="5953" spans="7:14" x14ac:dyDescent="0.75">
      <c r="G5953" s="10"/>
      <c r="H5953" s="10"/>
      <c r="I5953" s="39"/>
      <c r="J5953" s="103"/>
      <c r="K5953" s="39"/>
      <c r="L5953" s="78"/>
      <c r="M5953" s="19"/>
      <c r="N5953" s="10"/>
    </row>
    <row r="5954" spans="7:14" x14ac:dyDescent="0.75">
      <c r="G5954" s="10"/>
      <c r="H5954" s="10"/>
      <c r="I5954" s="39"/>
      <c r="J5954" s="103"/>
      <c r="K5954" s="39"/>
      <c r="L5954" s="78"/>
      <c r="M5954" s="19"/>
      <c r="N5954" s="10"/>
    </row>
    <row r="5955" spans="7:14" x14ac:dyDescent="0.75">
      <c r="G5955" s="10"/>
      <c r="H5955" s="10"/>
      <c r="I5955" s="39"/>
      <c r="J5955" s="103"/>
      <c r="K5955" s="39"/>
      <c r="L5955" s="78"/>
      <c r="M5955" s="19"/>
      <c r="N5955" s="10"/>
    </row>
    <row r="5956" spans="7:14" x14ac:dyDescent="0.75">
      <c r="G5956" s="10"/>
      <c r="H5956" s="10"/>
      <c r="I5956" s="39"/>
      <c r="J5956" s="103"/>
      <c r="K5956" s="39"/>
      <c r="L5956" s="78"/>
      <c r="M5956" s="19"/>
      <c r="N5956" s="10"/>
    </row>
    <row r="5957" spans="7:14" x14ac:dyDescent="0.75">
      <c r="G5957" s="10"/>
      <c r="H5957" s="10"/>
      <c r="I5957" s="39"/>
      <c r="J5957" s="103"/>
      <c r="K5957" s="39"/>
      <c r="L5957" s="78"/>
      <c r="M5957" s="19"/>
      <c r="N5957" s="10"/>
    </row>
    <row r="5958" spans="7:14" x14ac:dyDescent="0.75">
      <c r="G5958" s="10"/>
      <c r="H5958" s="10"/>
      <c r="I5958" s="39"/>
      <c r="J5958" s="103"/>
      <c r="K5958" s="39"/>
      <c r="L5958" s="78"/>
      <c r="M5958" s="19"/>
      <c r="N5958" s="10"/>
    </row>
    <row r="5959" spans="7:14" x14ac:dyDescent="0.75">
      <c r="G5959" s="10"/>
      <c r="H5959" s="10"/>
      <c r="I5959" s="39"/>
      <c r="J5959" s="103"/>
      <c r="K5959" s="39"/>
      <c r="L5959" s="78"/>
      <c r="M5959" s="19"/>
      <c r="N5959" s="10"/>
    </row>
    <row r="5960" spans="7:14" x14ac:dyDescent="0.75">
      <c r="G5960" s="10"/>
      <c r="H5960" s="10"/>
      <c r="I5960" s="39"/>
      <c r="J5960" s="103"/>
      <c r="K5960" s="39"/>
      <c r="L5960" s="78"/>
      <c r="M5960" s="19"/>
      <c r="N5960" s="10"/>
    </row>
    <row r="5961" spans="7:14" x14ac:dyDescent="0.75">
      <c r="G5961" s="10"/>
      <c r="H5961" s="10"/>
      <c r="I5961" s="39"/>
      <c r="J5961" s="103"/>
      <c r="K5961" s="39"/>
      <c r="L5961" s="78"/>
      <c r="M5961" s="19"/>
      <c r="N5961" s="10"/>
    </row>
    <row r="5962" spans="7:14" x14ac:dyDescent="0.75">
      <c r="G5962" s="10"/>
      <c r="H5962" s="10"/>
      <c r="I5962" s="39"/>
      <c r="J5962" s="103"/>
      <c r="K5962" s="39"/>
      <c r="L5962" s="78"/>
      <c r="M5962" s="19"/>
      <c r="N5962" s="10"/>
    </row>
    <row r="5963" spans="7:14" x14ac:dyDescent="0.75">
      <c r="G5963" s="10"/>
      <c r="H5963" s="10"/>
      <c r="I5963" s="39"/>
      <c r="J5963" s="103"/>
      <c r="K5963" s="39"/>
      <c r="L5963" s="78"/>
      <c r="M5963" s="19"/>
      <c r="N5963" s="10"/>
    </row>
    <row r="5964" spans="7:14" x14ac:dyDescent="0.75">
      <c r="G5964" s="10"/>
      <c r="H5964" s="10"/>
      <c r="I5964" s="39"/>
      <c r="J5964" s="103"/>
      <c r="K5964" s="39"/>
      <c r="L5964" s="10"/>
      <c r="M5964" s="19"/>
      <c r="N5964" s="10"/>
    </row>
    <row r="5965" spans="7:14" x14ac:dyDescent="0.75">
      <c r="G5965" s="10"/>
      <c r="H5965" s="10"/>
      <c r="I5965" s="39"/>
      <c r="J5965" s="103"/>
      <c r="K5965" s="39"/>
      <c r="L5965" s="10"/>
      <c r="M5965" s="19"/>
      <c r="N5965" s="10"/>
    </row>
    <row r="5966" spans="7:14" x14ac:dyDescent="0.75">
      <c r="G5966" s="10"/>
      <c r="H5966" s="10"/>
      <c r="I5966" s="39"/>
      <c r="J5966" s="103"/>
      <c r="K5966" s="39"/>
      <c r="L5966" s="10"/>
      <c r="M5966" s="19"/>
      <c r="N5966" s="10"/>
    </row>
    <row r="5967" spans="7:14" x14ac:dyDescent="0.75">
      <c r="G5967" s="10"/>
      <c r="H5967" s="10"/>
      <c r="I5967" s="39"/>
      <c r="J5967" s="103"/>
      <c r="K5967" s="39"/>
      <c r="L5967" s="78"/>
      <c r="M5967" s="19"/>
      <c r="N5967" s="10"/>
    </row>
    <row r="5968" spans="7:14" x14ac:dyDescent="0.75">
      <c r="G5968" s="10"/>
      <c r="H5968" s="10"/>
      <c r="I5968" s="39"/>
      <c r="J5968" s="103"/>
      <c r="K5968" s="39"/>
      <c r="L5968" s="78"/>
      <c r="M5968" s="19"/>
      <c r="N5968" s="10"/>
    </row>
    <row r="5969" spans="7:14" x14ac:dyDescent="0.75">
      <c r="G5969" s="10"/>
      <c r="H5969" s="10"/>
      <c r="I5969" s="39"/>
      <c r="J5969" s="103"/>
      <c r="K5969" s="39"/>
      <c r="L5969" s="78"/>
      <c r="M5969" s="19"/>
      <c r="N5969" s="10"/>
    </row>
    <row r="5970" spans="7:14" x14ac:dyDescent="0.75">
      <c r="G5970" s="10"/>
      <c r="H5970" s="10"/>
      <c r="I5970" s="39"/>
      <c r="J5970" s="103"/>
      <c r="K5970" s="39"/>
      <c r="L5970" s="78"/>
      <c r="M5970" s="19"/>
      <c r="N5970" s="10"/>
    </row>
    <row r="5971" spans="7:14" x14ac:dyDescent="0.75">
      <c r="G5971" s="10"/>
      <c r="H5971" s="10"/>
      <c r="I5971" s="39"/>
      <c r="J5971" s="103"/>
      <c r="K5971" s="39"/>
      <c r="L5971" s="78"/>
      <c r="M5971" s="19"/>
      <c r="N5971" s="10"/>
    </row>
    <row r="5972" spans="7:14" x14ac:dyDescent="0.75">
      <c r="G5972" s="10"/>
      <c r="H5972" s="10"/>
      <c r="I5972" s="39"/>
      <c r="J5972" s="103"/>
      <c r="K5972" s="39"/>
      <c r="L5972" s="78"/>
      <c r="M5972" s="19"/>
      <c r="N5972" s="10"/>
    </row>
    <row r="5973" spans="7:14" x14ac:dyDescent="0.75">
      <c r="G5973" s="10"/>
      <c r="H5973" s="10"/>
      <c r="I5973" s="39"/>
      <c r="J5973" s="103"/>
      <c r="K5973" s="39"/>
      <c r="L5973" s="78"/>
      <c r="M5973" s="19"/>
      <c r="N5973" s="10"/>
    </row>
    <row r="5974" spans="7:14" x14ac:dyDescent="0.75">
      <c r="G5974" s="10"/>
      <c r="H5974" s="10"/>
      <c r="I5974" s="39"/>
      <c r="J5974" s="103"/>
      <c r="K5974" s="39"/>
      <c r="L5974" s="78"/>
      <c r="M5974" s="19"/>
      <c r="N5974" s="10"/>
    </row>
    <row r="5975" spans="7:14" x14ac:dyDescent="0.75">
      <c r="G5975" s="10"/>
      <c r="H5975" s="10"/>
      <c r="I5975" s="39"/>
      <c r="J5975" s="103"/>
      <c r="K5975" s="39"/>
      <c r="L5975" s="10"/>
      <c r="M5975" s="19"/>
      <c r="N5975" s="10"/>
    </row>
    <row r="5976" spans="7:14" x14ac:dyDescent="0.75">
      <c r="G5976" s="10"/>
      <c r="H5976" s="10"/>
      <c r="I5976" s="39"/>
      <c r="J5976" s="103"/>
      <c r="K5976" s="39"/>
      <c r="L5976" s="78"/>
      <c r="M5976" s="19"/>
      <c r="N5976" s="10"/>
    </row>
    <row r="5977" spans="7:14" x14ac:dyDescent="0.75">
      <c r="G5977" s="10"/>
      <c r="H5977" s="10"/>
      <c r="I5977" s="39"/>
      <c r="J5977" s="103"/>
      <c r="K5977" s="39"/>
      <c r="L5977" s="78"/>
      <c r="M5977" s="19"/>
      <c r="N5977" s="10"/>
    </row>
    <row r="5978" spans="7:14" x14ac:dyDescent="0.75">
      <c r="G5978" s="10"/>
      <c r="H5978" s="10"/>
      <c r="I5978" s="39"/>
      <c r="J5978" s="103"/>
      <c r="K5978" s="39"/>
      <c r="L5978" s="78"/>
      <c r="M5978" s="19"/>
      <c r="N5978" s="10"/>
    </row>
    <row r="5979" spans="7:14" x14ac:dyDescent="0.75">
      <c r="G5979" s="10"/>
      <c r="H5979" s="10"/>
      <c r="I5979" s="39"/>
      <c r="J5979" s="103"/>
      <c r="K5979" s="39"/>
      <c r="L5979" s="78"/>
      <c r="M5979" s="19"/>
      <c r="N5979" s="10"/>
    </row>
    <row r="5980" spans="7:14" x14ac:dyDescent="0.75">
      <c r="G5980" s="10"/>
      <c r="H5980" s="10"/>
      <c r="I5980" s="39"/>
      <c r="J5980" s="103"/>
      <c r="K5980" s="39"/>
      <c r="L5980" s="78"/>
      <c r="M5980" s="19"/>
      <c r="N5980" s="10"/>
    </row>
    <row r="5981" spans="7:14" x14ac:dyDescent="0.75">
      <c r="G5981" s="10"/>
      <c r="H5981" s="10"/>
      <c r="I5981" s="39"/>
      <c r="J5981" s="103"/>
      <c r="K5981" s="39"/>
      <c r="L5981" s="78"/>
      <c r="M5981" s="19"/>
      <c r="N5981" s="10"/>
    </row>
    <row r="5982" spans="7:14" x14ac:dyDescent="0.75">
      <c r="G5982" s="10"/>
      <c r="H5982" s="10"/>
      <c r="I5982" s="39"/>
      <c r="J5982" s="103"/>
      <c r="K5982" s="39"/>
      <c r="L5982" s="78"/>
      <c r="M5982" s="19"/>
      <c r="N5982" s="10"/>
    </row>
    <row r="5983" spans="7:14" x14ac:dyDescent="0.75">
      <c r="G5983" s="10"/>
      <c r="H5983" s="10"/>
      <c r="I5983" s="39"/>
      <c r="J5983" s="103"/>
      <c r="K5983" s="39"/>
      <c r="L5983" s="10"/>
      <c r="M5983" s="19"/>
      <c r="N5983" s="10"/>
    </row>
    <row r="5984" spans="7:14" x14ac:dyDescent="0.75">
      <c r="G5984" s="10"/>
      <c r="H5984" s="10"/>
      <c r="I5984" s="39"/>
      <c r="J5984" s="103"/>
      <c r="K5984" s="39"/>
      <c r="L5984" s="78"/>
      <c r="M5984" s="19"/>
      <c r="N5984" s="10"/>
    </row>
    <row r="5985" spans="7:14" x14ac:dyDescent="0.75">
      <c r="G5985" s="10"/>
      <c r="H5985" s="10"/>
      <c r="I5985" s="39"/>
      <c r="J5985" s="103"/>
      <c r="K5985" s="39"/>
      <c r="L5985" s="78"/>
      <c r="M5985" s="19"/>
      <c r="N5985" s="10"/>
    </row>
    <row r="5986" spans="7:14" x14ac:dyDescent="0.75">
      <c r="G5986" s="10"/>
      <c r="H5986" s="10"/>
      <c r="I5986" s="39"/>
      <c r="J5986" s="103"/>
      <c r="K5986" s="39"/>
      <c r="L5986" s="78"/>
      <c r="M5986" s="19"/>
      <c r="N5986" s="10"/>
    </row>
    <row r="5987" spans="7:14" x14ac:dyDescent="0.75">
      <c r="G5987" s="10"/>
      <c r="H5987" s="10"/>
      <c r="I5987" s="39"/>
      <c r="J5987" s="103"/>
      <c r="K5987" s="39"/>
      <c r="L5987" s="78"/>
      <c r="M5987" s="19"/>
      <c r="N5987" s="10"/>
    </row>
    <row r="5988" spans="7:14" x14ac:dyDescent="0.75">
      <c r="G5988" s="10"/>
      <c r="H5988" s="10"/>
      <c r="I5988" s="39"/>
      <c r="J5988" s="103"/>
      <c r="K5988" s="39"/>
      <c r="L5988" s="78"/>
      <c r="M5988" s="19"/>
      <c r="N5988" s="10"/>
    </row>
    <row r="5989" spans="7:14" x14ac:dyDescent="0.75">
      <c r="G5989" s="10"/>
      <c r="H5989" s="10"/>
      <c r="I5989" s="39"/>
      <c r="J5989" s="103"/>
      <c r="K5989" s="39"/>
      <c r="L5989" s="78"/>
      <c r="M5989" s="19"/>
      <c r="N5989" s="10"/>
    </row>
    <row r="5990" spans="7:14" x14ac:dyDescent="0.75">
      <c r="G5990" s="10"/>
      <c r="H5990" s="10"/>
      <c r="I5990" s="39"/>
      <c r="J5990" s="103"/>
      <c r="K5990" s="39"/>
      <c r="L5990" s="78"/>
      <c r="M5990" s="19"/>
      <c r="N5990" s="10"/>
    </row>
    <row r="5991" spans="7:14" x14ac:dyDescent="0.75">
      <c r="G5991" s="10"/>
      <c r="H5991" s="10"/>
      <c r="I5991" s="39"/>
      <c r="J5991" s="103"/>
      <c r="K5991" s="39"/>
      <c r="L5991" s="78"/>
      <c r="M5991" s="19"/>
      <c r="N5991" s="10"/>
    </row>
    <row r="5992" spans="7:14" x14ac:dyDescent="0.75">
      <c r="G5992" s="10"/>
      <c r="H5992" s="10"/>
      <c r="I5992" s="39"/>
      <c r="J5992" s="103"/>
      <c r="K5992" s="39"/>
      <c r="L5992" s="78"/>
      <c r="M5992" s="19"/>
      <c r="N5992" s="10"/>
    </row>
    <row r="5993" spans="7:14" x14ac:dyDescent="0.75">
      <c r="G5993" s="10"/>
      <c r="H5993" s="10"/>
      <c r="I5993" s="39"/>
      <c r="J5993" s="103"/>
      <c r="K5993" s="39"/>
      <c r="L5993" s="78"/>
      <c r="M5993" s="19"/>
      <c r="N5993" s="10"/>
    </row>
    <row r="5994" spans="7:14" x14ac:dyDescent="0.75">
      <c r="G5994" s="10"/>
      <c r="H5994" s="10"/>
      <c r="I5994" s="39"/>
      <c r="J5994" s="103"/>
      <c r="K5994" s="39"/>
      <c r="L5994" s="78"/>
      <c r="M5994" s="19"/>
      <c r="N5994" s="10"/>
    </row>
    <row r="5995" spans="7:14" x14ac:dyDescent="0.75">
      <c r="G5995" s="10"/>
      <c r="H5995" s="10"/>
      <c r="I5995" s="39"/>
      <c r="J5995" s="103"/>
      <c r="K5995" s="39"/>
      <c r="L5995" s="78"/>
      <c r="M5995" s="19"/>
      <c r="N5995" s="10"/>
    </row>
    <row r="5996" spans="7:14" x14ac:dyDescent="0.75">
      <c r="G5996" s="10"/>
      <c r="H5996" s="10"/>
      <c r="I5996" s="39"/>
      <c r="J5996" s="103"/>
      <c r="K5996" s="39"/>
      <c r="L5996" s="78"/>
      <c r="M5996" s="19"/>
      <c r="N5996" s="10"/>
    </row>
    <row r="5997" spans="7:14" x14ac:dyDescent="0.75">
      <c r="G5997" s="10"/>
      <c r="H5997" s="10"/>
      <c r="I5997" s="39"/>
      <c r="J5997" s="103"/>
      <c r="K5997" s="39"/>
      <c r="L5997" s="78"/>
      <c r="M5997" s="19"/>
      <c r="N5997" s="10"/>
    </row>
    <row r="5998" spans="7:14" x14ac:dyDescent="0.75">
      <c r="G5998" s="10"/>
      <c r="H5998" s="10"/>
      <c r="I5998" s="39"/>
      <c r="J5998" s="103"/>
      <c r="K5998" s="39"/>
      <c r="L5998" s="10"/>
      <c r="M5998" s="19"/>
      <c r="N5998" s="10"/>
    </row>
    <row r="5999" spans="7:14" x14ac:dyDescent="0.75">
      <c r="G5999" s="10"/>
      <c r="H5999" s="10"/>
      <c r="I5999" s="39"/>
      <c r="J5999" s="103"/>
      <c r="K5999" s="39"/>
      <c r="L5999" s="78"/>
      <c r="M5999" s="19"/>
      <c r="N5999" s="10"/>
    </row>
    <row r="6000" spans="7:14" x14ac:dyDescent="0.75">
      <c r="G6000" s="10"/>
      <c r="H6000" s="10"/>
      <c r="I6000" s="39"/>
      <c r="J6000" s="103"/>
      <c r="K6000" s="39"/>
      <c r="L6000" s="78"/>
      <c r="M6000" s="19"/>
      <c r="N6000" s="10"/>
    </row>
    <row r="6001" spans="7:14" x14ac:dyDescent="0.75">
      <c r="G6001" s="10"/>
      <c r="H6001" s="10"/>
      <c r="I6001" s="39"/>
      <c r="J6001" s="103"/>
      <c r="K6001" s="39"/>
      <c r="L6001" s="78"/>
      <c r="M6001" s="19"/>
      <c r="N6001" s="10"/>
    </row>
    <row r="6002" spans="7:14" x14ac:dyDescent="0.75">
      <c r="G6002" s="10"/>
      <c r="H6002" s="10"/>
      <c r="I6002" s="39"/>
      <c r="J6002" s="103"/>
      <c r="K6002" s="39"/>
      <c r="L6002" s="78"/>
      <c r="M6002" s="19"/>
      <c r="N6002" s="10"/>
    </row>
    <row r="6003" spans="7:14" x14ac:dyDescent="0.75">
      <c r="G6003" s="10"/>
      <c r="H6003" s="10"/>
      <c r="I6003" s="39"/>
      <c r="J6003" s="103"/>
      <c r="K6003" s="39"/>
      <c r="L6003" s="78"/>
      <c r="M6003" s="19"/>
      <c r="N6003" s="10"/>
    </row>
    <row r="6004" spans="7:14" x14ac:dyDescent="0.75">
      <c r="G6004" s="10"/>
      <c r="H6004" s="10"/>
      <c r="I6004" s="39"/>
      <c r="J6004" s="103"/>
      <c r="K6004" s="39"/>
      <c r="L6004" s="10"/>
      <c r="M6004" s="19"/>
      <c r="N6004" s="10"/>
    </row>
    <row r="6005" spans="7:14" x14ac:dyDescent="0.75">
      <c r="G6005" s="10"/>
      <c r="H6005" s="10"/>
      <c r="I6005" s="39"/>
      <c r="J6005" s="103"/>
      <c r="K6005" s="39"/>
      <c r="L6005" s="78"/>
      <c r="M6005" s="19"/>
      <c r="N6005" s="10"/>
    </row>
    <row r="6006" spans="7:14" x14ac:dyDescent="0.75">
      <c r="G6006" s="10"/>
      <c r="H6006" s="10"/>
      <c r="I6006" s="39"/>
      <c r="J6006" s="103"/>
      <c r="K6006" s="39"/>
      <c r="L6006" s="78"/>
      <c r="M6006" s="19"/>
      <c r="N6006" s="10"/>
    </row>
    <row r="6007" spans="7:14" x14ac:dyDescent="0.75">
      <c r="G6007" s="10"/>
      <c r="H6007" s="10"/>
      <c r="I6007" s="39"/>
      <c r="J6007" s="103"/>
      <c r="K6007" s="39"/>
      <c r="L6007" s="78"/>
      <c r="M6007" s="19"/>
      <c r="N6007" s="10"/>
    </row>
    <row r="6008" spans="7:14" x14ac:dyDescent="0.75">
      <c r="G6008" s="10"/>
      <c r="H6008" s="10"/>
      <c r="I6008" s="39"/>
      <c r="J6008" s="103"/>
      <c r="K6008" s="39"/>
      <c r="L6008" s="78"/>
      <c r="M6008" s="19"/>
      <c r="N6008" s="10"/>
    </row>
    <row r="6009" spans="7:14" x14ac:dyDescent="0.75">
      <c r="G6009" s="10"/>
      <c r="H6009" s="10"/>
      <c r="I6009" s="39"/>
      <c r="J6009" s="103"/>
      <c r="K6009" s="39"/>
      <c r="L6009" s="78"/>
      <c r="M6009" s="19"/>
      <c r="N6009" s="10"/>
    </row>
    <row r="6010" spans="7:14" x14ac:dyDescent="0.75">
      <c r="G6010" s="10"/>
      <c r="H6010" s="10"/>
      <c r="I6010" s="39"/>
      <c r="J6010" s="103"/>
      <c r="K6010" s="39"/>
      <c r="L6010" s="78"/>
      <c r="M6010" s="19"/>
      <c r="N6010" s="10"/>
    </row>
    <row r="6011" spans="7:14" x14ac:dyDescent="0.75">
      <c r="G6011" s="10"/>
      <c r="H6011" s="10"/>
      <c r="I6011" s="39"/>
      <c r="J6011" s="103"/>
      <c r="K6011" s="39"/>
      <c r="L6011" s="78"/>
      <c r="M6011" s="19"/>
      <c r="N6011" s="10"/>
    </row>
    <row r="6012" spans="7:14" x14ac:dyDescent="0.75">
      <c r="G6012" s="10"/>
      <c r="H6012" s="10"/>
      <c r="I6012" s="39"/>
      <c r="J6012" s="103"/>
      <c r="K6012" s="39"/>
      <c r="L6012" s="10"/>
      <c r="M6012" s="19"/>
      <c r="N6012" s="10"/>
    </row>
    <row r="6013" spans="7:14" x14ac:dyDescent="0.75">
      <c r="G6013" s="10"/>
      <c r="H6013" s="10"/>
      <c r="I6013" s="39"/>
      <c r="J6013" s="103"/>
      <c r="K6013" s="39"/>
      <c r="L6013" s="78"/>
      <c r="M6013" s="19"/>
      <c r="N6013" s="10"/>
    </row>
    <row r="6014" spans="7:14" x14ac:dyDescent="0.75">
      <c r="G6014" s="10"/>
      <c r="H6014" s="10"/>
      <c r="I6014" s="39"/>
      <c r="J6014" s="103"/>
      <c r="K6014" s="39"/>
      <c r="L6014" s="78"/>
      <c r="M6014" s="19"/>
      <c r="N6014" s="10"/>
    </row>
    <row r="6015" spans="7:14" x14ac:dyDescent="0.75">
      <c r="G6015" s="10"/>
      <c r="H6015" s="10"/>
      <c r="I6015" s="39"/>
      <c r="J6015" s="103"/>
      <c r="K6015" s="39"/>
      <c r="L6015" s="78"/>
      <c r="M6015" s="19"/>
      <c r="N6015" s="10"/>
    </row>
    <row r="6016" spans="7:14" x14ac:dyDescent="0.75">
      <c r="G6016" s="10"/>
      <c r="H6016" s="10"/>
      <c r="I6016" s="39"/>
      <c r="J6016" s="103"/>
      <c r="K6016" s="39"/>
      <c r="L6016" s="78"/>
      <c r="M6016" s="19"/>
      <c r="N6016" s="10"/>
    </row>
    <row r="6017" spans="7:14" x14ac:dyDescent="0.75">
      <c r="G6017" s="10"/>
      <c r="H6017" s="10"/>
      <c r="I6017" s="39"/>
      <c r="J6017" s="103"/>
      <c r="K6017" s="39"/>
      <c r="L6017" s="78"/>
      <c r="M6017" s="19"/>
      <c r="N6017" s="10"/>
    </row>
    <row r="6018" spans="7:14" x14ac:dyDescent="0.75">
      <c r="G6018" s="10"/>
      <c r="H6018" s="10"/>
      <c r="I6018" s="39"/>
      <c r="J6018" s="103"/>
      <c r="K6018" s="39"/>
      <c r="L6018" s="78"/>
      <c r="M6018" s="19"/>
      <c r="N6018" s="10"/>
    </row>
    <row r="6019" spans="7:14" x14ac:dyDescent="0.75">
      <c r="G6019" s="10"/>
      <c r="H6019" s="10"/>
      <c r="I6019" s="39"/>
      <c r="J6019" s="103"/>
      <c r="K6019" s="39"/>
      <c r="L6019" s="78"/>
      <c r="M6019" s="19"/>
      <c r="N6019" s="10"/>
    </row>
    <row r="6020" spans="7:14" x14ac:dyDescent="0.75">
      <c r="G6020" s="10"/>
      <c r="H6020" s="10"/>
      <c r="I6020" s="39"/>
      <c r="J6020" s="103"/>
      <c r="K6020" s="39"/>
      <c r="L6020" s="78"/>
      <c r="M6020" s="19"/>
      <c r="N6020" s="10"/>
    </row>
    <row r="6021" spans="7:14" x14ac:dyDescent="0.75">
      <c r="G6021" s="10"/>
      <c r="H6021" s="10"/>
      <c r="I6021" s="39"/>
      <c r="J6021" s="103"/>
      <c r="K6021" s="39"/>
      <c r="L6021" s="78"/>
      <c r="M6021" s="19"/>
      <c r="N6021" s="10"/>
    </row>
    <row r="6022" spans="7:14" x14ac:dyDescent="0.75">
      <c r="G6022" s="10"/>
      <c r="H6022" s="10"/>
      <c r="I6022" s="39"/>
      <c r="J6022" s="103"/>
      <c r="K6022" s="39"/>
      <c r="L6022" s="78"/>
      <c r="M6022" s="19"/>
      <c r="N6022" s="10"/>
    </row>
    <row r="6023" spans="7:14" x14ac:dyDescent="0.75">
      <c r="G6023" s="10"/>
      <c r="H6023" s="10"/>
      <c r="I6023" s="39"/>
      <c r="J6023" s="103"/>
      <c r="K6023" s="39"/>
      <c r="L6023" s="78"/>
      <c r="M6023" s="19"/>
      <c r="N6023" s="10"/>
    </row>
    <row r="6024" spans="7:14" x14ac:dyDescent="0.75">
      <c r="G6024" s="10"/>
      <c r="H6024" s="10"/>
      <c r="I6024" s="39"/>
      <c r="J6024" s="103"/>
      <c r="K6024" s="39"/>
      <c r="L6024" s="78"/>
      <c r="M6024" s="19"/>
      <c r="N6024" s="10"/>
    </row>
    <row r="6025" spans="7:14" x14ac:dyDescent="0.75">
      <c r="G6025" s="10"/>
      <c r="H6025" s="10"/>
      <c r="I6025" s="39"/>
      <c r="J6025" s="103"/>
      <c r="K6025" s="39"/>
      <c r="L6025" s="78"/>
      <c r="M6025" s="19"/>
      <c r="N6025" s="10"/>
    </row>
    <row r="6026" spans="7:14" x14ac:dyDescent="0.75">
      <c r="G6026" s="10"/>
      <c r="H6026" s="10"/>
      <c r="I6026" s="39"/>
      <c r="J6026" s="103"/>
      <c r="K6026" s="39"/>
      <c r="L6026" s="78"/>
      <c r="M6026" s="19"/>
      <c r="N6026" s="10"/>
    </row>
    <row r="6027" spans="7:14" x14ac:dyDescent="0.75">
      <c r="G6027" s="10"/>
      <c r="H6027" s="10"/>
      <c r="I6027" s="39"/>
      <c r="J6027" s="103"/>
      <c r="K6027" s="39"/>
      <c r="L6027" s="78"/>
      <c r="M6027" s="19"/>
      <c r="N6027" s="10"/>
    </row>
    <row r="6028" spans="7:14" x14ac:dyDescent="0.75">
      <c r="G6028" s="10"/>
      <c r="H6028" s="10"/>
      <c r="I6028" s="39"/>
      <c r="J6028" s="103"/>
      <c r="K6028" s="39"/>
      <c r="L6028" s="78"/>
      <c r="M6028" s="19"/>
      <c r="N6028" s="10"/>
    </row>
    <row r="6029" spans="7:14" x14ac:dyDescent="0.75">
      <c r="G6029" s="10"/>
      <c r="H6029" s="10"/>
      <c r="I6029" s="39"/>
      <c r="J6029" s="103"/>
      <c r="K6029" s="39"/>
      <c r="L6029" s="78"/>
      <c r="M6029" s="19"/>
      <c r="N6029" s="10"/>
    </row>
    <row r="6030" spans="7:14" x14ac:dyDescent="0.75">
      <c r="G6030" s="10"/>
      <c r="H6030" s="10"/>
      <c r="I6030" s="39"/>
      <c r="J6030" s="103"/>
      <c r="K6030" s="39"/>
      <c r="L6030" s="78"/>
      <c r="M6030" s="19"/>
      <c r="N6030" s="10"/>
    </row>
    <row r="6031" spans="7:14" x14ac:dyDescent="0.75">
      <c r="G6031" s="10"/>
      <c r="H6031" s="10"/>
      <c r="I6031" s="39"/>
      <c r="J6031" s="103"/>
      <c r="K6031" s="39"/>
      <c r="L6031" s="10"/>
      <c r="M6031" s="19"/>
      <c r="N6031" s="10"/>
    </row>
    <row r="6032" spans="7:14" x14ac:dyDescent="0.75">
      <c r="G6032" s="10"/>
      <c r="H6032" s="10"/>
      <c r="I6032" s="39"/>
      <c r="J6032" s="103"/>
      <c r="K6032" s="39"/>
      <c r="L6032" s="78"/>
      <c r="M6032" s="19"/>
      <c r="N6032" s="10"/>
    </row>
    <row r="6033" spans="7:14" x14ac:dyDescent="0.75">
      <c r="G6033" s="10"/>
      <c r="H6033" s="10"/>
      <c r="I6033" s="39"/>
      <c r="J6033" s="103"/>
      <c r="K6033" s="39"/>
      <c r="L6033" s="78"/>
      <c r="M6033" s="19"/>
      <c r="N6033" s="10"/>
    </row>
    <row r="6034" spans="7:14" x14ac:dyDescent="0.75">
      <c r="G6034" s="10"/>
      <c r="H6034" s="10"/>
      <c r="I6034" s="39"/>
      <c r="J6034" s="103"/>
      <c r="K6034" s="39"/>
      <c r="L6034" s="78"/>
      <c r="M6034" s="19"/>
      <c r="N6034" s="10"/>
    </row>
    <row r="6035" spans="7:14" x14ac:dyDescent="0.75">
      <c r="G6035" s="10"/>
      <c r="H6035" s="10"/>
      <c r="I6035" s="39"/>
      <c r="J6035" s="103"/>
      <c r="K6035" s="39"/>
      <c r="L6035" s="78"/>
      <c r="M6035" s="19"/>
      <c r="N6035" s="10"/>
    </row>
    <row r="6036" spans="7:14" x14ac:dyDescent="0.75">
      <c r="G6036" s="10"/>
      <c r="H6036" s="10"/>
      <c r="I6036" s="39"/>
      <c r="J6036" s="103"/>
      <c r="K6036" s="39"/>
      <c r="L6036" s="78"/>
      <c r="M6036" s="19"/>
      <c r="N6036" s="10"/>
    </row>
    <row r="6037" spans="7:14" x14ac:dyDescent="0.75">
      <c r="G6037" s="10"/>
      <c r="H6037" s="10"/>
      <c r="I6037" s="39"/>
      <c r="J6037" s="103"/>
      <c r="K6037" s="39"/>
      <c r="L6037" s="78"/>
      <c r="M6037" s="19"/>
      <c r="N6037" s="10"/>
    </row>
    <row r="6038" spans="7:14" x14ac:dyDescent="0.75">
      <c r="G6038" s="10"/>
      <c r="H6038" s="10"/>
      <c r="I6038" s="39"/>
      <c r="J6038" s="103"/>
      <c r="K6038" s="39"/>
      <c r="L6038" s="78"/>
      <c r="M6038" s="19"/>
      <c r="N6038" s="10"/>
    </row>
    <row r="6039" spans="7:14" x14ac:dyDescent="0.75">
      <c r="G6039" s="10"/>
      <c r="H6039" s="10"/>
      <c r="I6039" s="39"/>
      <c r="J6039" s="103"/>
      <c r="K6039" s="39"/>
      <c r="L6039" s="78"/>
      <c r="M6039" s="19"/>
      <c r="N6039" s="10"/>
    </row>
    <row r="6040" spans="7:14" x14ac:dyDescent="0.75">
      <c r="G6040" s="10"/>
      <c r="H6040" s="10"/>
      <c r="I6040" s="39"/>
      <c r="J6040" s="103"/>
      <c r="K6040" s="39"/>
      <c r="L6040" s="10"/>
      <c r="M6040" s="19"/>
      <c r="N6040" s="10"/>
    </row>
    <row r="6041" spans="7:14" x14ac:dyDescent="0.75">
      <c r="G6041" s="10"/>
      <c r="H6041" s="10"/>
      <c r="I6041" s="39"/>
      <c r="J6041" s="103"/>
      <c r="K6041" s="39"/>
      <c r="L6041" s="78"/>
      <c r="M6041" s="19"/>
      <c r="N6041" s="10"/>
    </row>
    <row r="6042" spans="7:14" x14ac:dyDescent="0.75">
      <c r="G6042" s="10"/>
      <c r="H6042" s="10"/>
      <c r="I6042" s="39"/>
      <c r="J6042" s="103"/>
      <c r="K6042" s="39"/>
      <c r="L6042" s="78"/>
      <c r="M6042" s="19"/>
      <c r="N6042" s="10"/>
    </row>
    <row r="6043" spans="7:14" x14ac:dyDescent="0.75">
      <c r="G6043" s="10"/>
      <c r="H6043" s="10"/>
      <c r="I6043" s="39"/>
      <c r="J6043" s="103"/>
      <c r="K6043" s="39"/>
      <c r="L6043" s="78"/>
      <c r="M6043" s="19"/>
      <c r="N6043" s="10"/>
    </row>
    <row r="6044" spans="7:14" x14ac:dyDescent="0.75">
      <c r="G6044" s="10"/>
      <c r="H6044" s="10"/>
      <c r="I6044" s="39"/>
      <c r="J6044" s="103"/>
      <c r="K6044" s="39"/>
      <c r="L6044" s="78"/>
      <c r="M6044" s="19"/>
      <c r="N6044" s="10"/>
    </row>
    <row r="6045" spans="7:14" x14ac:dyDescent="0.75">
      <c r="G6045" s="10"/>
      <c r="H6045" s="10"/>
      <c r="I6045" s="39"/>
      <c r="J6045" s="103"/>
      <c r="K6045" s="39"/>
      <c r="L6045" s="78"/>
      <c r="M6045" s="19"/>
      <c r="N6045" s="10"/>
    </row>
    <row r="6046" spans="7:14" x14ac:dyDescent="0.75">
      <c r="G6046" s="10"/>
      <c r="H6046" s="10"/>
      <c r="I6046" s="39"/>
      <c r="J6046" s="103"/>
      <c r="K6046" s="39"/>
      <c r="L6046" s="78"/>
      <c r="M6046" s="19"/>
      <c r="N6046" s="10"/>
    </row>
    <row r="6047" spans="7:14" x14ac:dyDescent="0.75">
      <c r="G6047" s="10"/>
      <c r="H6047" s="10"/>
      <c r="I6047" s="39"/>
      <c r="J6047" s="103"/>
      <c r="K6047" s="39"/>
      <c r="L6047" s="10"/>
      <c r="M6047" s="19"/>
      <c r="N6047" s="10"/>
    </row>
    <row r="6048" spans="7:14" x14ac:dyDescent="0.75">
      <c r="G6048" s="10"/>
      <c r="H6048" s="10"/>
      <c r="I6048" s="39"/>
      <c r="J6048" s="103"/>
      <c r="K6048" s="39"/>
      <c r="L6048" s="78"/>
      <c r="M6048" s="19"/>
      <c r="N6048" s="10"/>
    </row>
    <row r="6049" spans="7:14" x14ac:dyDescent="0.75">
      <c r="G6049" s="10"/>
      <c r="H6049" s="10"/>
      <c r="I6049" s="39"/>
      <c r="J6049" s="103"/>
      <c r="K6049" s="39"/>
      <c r="L6049" s="78"/>
      <c r="M6049" s="19"/>
      <c r="N6049" s="10"/>
    </row>
    <row r="6050" spans="7:14" x14ac:dyDescent="0.75">
      <c r="G6050" s="10"/>
      <c r="H6050" s="10"/>
      <c r="I6050" s="39"/>
      <c r="J6050" s="103"/>
      <c r="K6050" s="39"/>
      <c r="L6050" s="78"/>
      <c r="M6050" s="19"/>
      <c r="N6050" s="10"/>
    </row>
    <row r="6051" spans="7:14" x14ac:dyDescent="0.75">
      <c r="G6051" s="10"/>
      <c r="H6051" s="10"/>
      <c r="I6051" s="39"/>
      <c r="J6051" s="103"/>
      <c r="K6051" s="39"/>
      <c r="L6051" s="78"/>
      <c r="M6051" s="19"/>
      <c r="N6051" s="10"/>
    </row>
    <row r="6052" spans="7:14" x14ac:dyDescent="0.75">
      <c r="G6052" s="10"/>
      <c r="H6052" s="10"/>
      <c r="I6052" s="39"/>
      <c r="J6052" s="103"/>
      <c r="K6052" s="39"/>
      <c r="L6052" s="78"/>
      <c r="M6052" s="19"/>
      <c r="N6052" s="10"/>
    </row>
    <row r="6053" spans="7:14" x14ac:dyDescent="0.75">
      <c r="G6053" s="10"/>
      <c r="H6053" s="10"/>
      <c r="I6053" s="39"/>
      <c r="J6053" s="103"/>
      <c r="K6053" s="39"/>
      <c r="L6053" s="78"/>
      <c r="M6053" s="19"/>
      <c r="N6053" s="10"/>
    </row>
    <row r="6054" spans="7:14" x14ac:dyDescent="0.75">
      <c r="G6054" s="10"/>
      <c r="H6054" s="10"/>
      <c r="I6054" s="39"/>
      <c r="J6054" s="103"/>
      <c r="K6054" s="39"/>
      <c r="L6054" s="78"/>
      <c r="M6054" s="19"/>
      <c r="N6054" s="10"/>
    </row>
    <row r="6055" spans="7:14" x14ac:dyDescent="0.75">
      <c r="G6055" s="10"/>
      <c r="H6055" s="10"/>
      <c r="I6055" s="39"/>
      <c r="J6055" s="103"/>
      <c r="K6055" s="39"/>
      <c r="L6055" s="78"/>
      <c r="M6055" s="19"/>
      <c r="N6055" s="10"/>
    </row>
    <row r="6056" spans="7:14" x14ac:dyDescent="0.75">
      <c r="G6056" s="10"/>
      <c r="H6056" s="10"/>
      <c r="I6056" s="39"/>
      <c r="J6056" s="103"/>
      <c r="K6056" s="39"/>
      <c r="L6056" s="78"/>
      <c r="M6056" s="19"/>
      <c r="N6056" s="10"/>
    </row>
    <row r="6057" spans="7:14" x14ac:dyDescent="0.75">
      <c r="G6057" s="10"/>
      <c r="H6057" s="10"/>
      <c r="I6057" s="39"/>
      <c r="J6057" s="103"/>
      <c r="K6057" s="39"/>
      <c r="L6057" s="78"/>
      <c r="M6057" s="19"/>
      <c r="N6057" s="10"/>
    </row>
    <row r="6058" spans="7:14" x14ac:dyDescent="0.75">
      <c r="G6058" s="10"/>
      <c r="H6058" s="10"/>
      <c r="I6058" s="39"/>
      <c r="J6058" s="103"/>
      <c r="K6058" s="39"/>
      <c r="L6058" s="78"/>
      <c r="M6058" s="19"/>
      <c r="N6058" s="10"/>
    </row>
    <row r="6059" spans="7:14" x14ac:dyDescent="0.75">
      <c r="G6059" s="10"/>
      <c r="H6059" s="10"/>
      <c r="I6059" s="39"/>
      <c r="J6059" s="103"/>
      <c r="K6059" s="39"/>
      <c r="L6059" s="78"/>
      <c r="M6059" s="19"/>
      <c r="N6059" s="10"/>
    </row>
    <row r="6060" spans="7:14" x14ac:dyDescent="0.75">
      <c r="G6060" s="10"/>
      <c r="H6060" s="10"/>
      <c r="I6060" s="39"/>
      <c r="J6060" s="103"/>
      <c r="K6060" s="39"/>
      <c r="L6060" s="78"/>
      <c r="M6060" s="19"/>
      <c r="N6060" s="10"/>
    </row>
    <row r="6061" spans="7:14" x14ac:dyDescent="0.75">
      <c r="G6061" s="10"/>
      <c r="H6061" s="10"/>
      <c r="I6061" s="39"/>
      <c r="J6061" s="103"/>
      <c r="K6061" s="39"/>
      <c r="L6061" s="78"/>
      <c r="M6061" s="19"/>
      <c r="N6061" s="10"/>
    </row>
    <row r="6062" spans="7:14" x14ac:dyDescent="0.75">
      <c r="G6062" s="10"/>
      <c r="H6062" s="10"/>
      <c r="I6062" s="39"/>
      <c r="J6062" s="103"/>
      <c r="K6062" s="39"/>
      <c r="L6062" s="78"/>
      <c r="M6062" s="19"/>
      <c r="N6062" s="10"/>
    </row>
    <row r="6063" spans="7:14" x14ac:dyDescent="0.75">
      <c r="G6063" s="10"/>
      <c r="H6063" s="10"/>
      <c r="I6063" s="39"/>
      <c r="J6063" s="103"/>
      <c r="K6063" s="39"/>
      <c r="L6063" s="78"/>
      <c r="M6063" s="19"/>
      <c r="N6063" s="10"/>
    </row>
    <row r="6064" spans="7:14" x14ac:dyDescent="0.75">
      <c r="G6064" s="10"/>
      <c r="H6064" s="10"/>
      <c r="I6064" s="39"/>
      <c r="J6064" s="103"/>
      <c r="K6064" s="39"/>
      <c r="L6064" s="78"/>
      <c r="M6064" s="19"/>
      <c r="N6064" s="10"/>
    </row>
    <row r="6065" spans="7:14" x14ac:dyDescent="0.75">
      <c r="G6065" s="10"/>
      <c r="H6065" s="10"/>
      <c r="I6065" s="39"/>
      <c r="J6065" s="103"/>
      <c r="K6065" s="39"/>
      <c r="L6065" s="78"/>
      <c r="M6065" s="19"/>
      <c r="N6065" s="10"/>
    </row>
    <row r="6066" spans="7:14" x14ac:dyDescent="0.75">
      <c r="G6066" s="10"/>
      <c r="H6066" s="10"/>
      <c r="I6066" s="39"/>
      <c r="J6066" s="103"/>
      <c r="K6066" s="39"/>
      <c r="L6066" s="78"/>
      <c r="M6066" s="19"/>
      <c r="N6066" s="10"/>
    </row>
    <row r="6067" spans="7:14" x14ac:dyDescent="0.75">
      <c r="G6067" s="10"/>
      <c r="H6067" s="10"/>
      <c r="I6067" s="39"/>
      <c r="J6067" s="103"/>
      <c r="K6067" s="39"/>
      <c r="L6067" s="78"/>
      <c r="M6067" s="19"/>
      <c r="N6067" s="10"/>
    </row>
    <row r="6068" spans="7:14" x14ac:dyDescent="0.75">
      <c r="G6068" s="10"/>
      <c r="H6068" s="10"/>
      <c r="I6068" s="39"/>
      <c r="J6068" s="103"/>
      <c r="K6068" s="39"/>
      <c r="L6068" s="10"/>
      <c r="M6068" s="19"/>
      <c r="N6068" s="10"/>
    </row>
    <row r="6069" spans="7:14" x14ac:dyDescent="0.75">
      <c r="G6069" s="10"/>
      <c r="H6069" s="10"/>
      <c r="I6069" s="39"/>
      <c r="J6069" s="103"/>
      <c r="K6069" s="39"/>
      <c r="L6069" s="78"/>
      <c r="M6069" s="19"/>
      <c r="N6069" s="10"/>
    </row>
    <row r="6070" spans="7:14" x14ac:dyDescent="0.75">
      <c r="G6070" s="10"/>
      <c r="H6070" s="10"/>
      <c r="I6070" s="39"/>
      <c r="J6070" s="103"/>
      <c r="K6070" s="39"/>
      <c r="L6070" s="78"/>
      <c r="M6070" s="19"/>
      <c r="N6070" s="10"/>
    </row>
    <row r="6071" spans="7:14" x14ac:dyDescent="0.75">
      <c r="G6071" s="10"/>
      <c r="H6071" s="10"/>
      <c r="I6071" s="39"/>
      <c r="J6071" s="103"/>
      <c r="K6071" s="39"/>
      <c r="L6071" s="78"/>
      <c r="M6071" s="19"/>
      <c r="N6071" s="10"/>
    </row>
    <row r="6072" spans="7:14" x14ac:dyDescent="0.75">
      <c r="G6072" s="10"/>
      <c r="H6072" s="10"/>
      <c r="I6072" s="39"/>
      <c r="J6072" s="103"/>
      <c r="K6072" s="39"/>
      <c r="L6072" s="78"/>
      <c r="M6072" s="19"/>
      <c r="N6072" s="10"/>
    </row>
    <row r="6073" spans="7:14" x14ac:dyDescent="0.75">
      <c r="G6073" s="10"/>
      <c r="H6073" s="10"/>
      <c r="I6073" s="39"/>
      <c r="J6073" s="103"/>
      <c r="K6073" s="39"/>
      <c r="L6073" s="78"/>
      <c r="M6073" s="19"/>
      <c r="N6073" s="10"/>
    </row>
    <row r="6074" spans="7:14" x14ac:dyDescent="0.75">
      <c r="G6074" s="10"/>
      <c r="H6074" s="10"/>
      <c r="I6074" s="39"/>
      <c r="J6074" s="103"/>
      <c r="K6074" s="39"/>
      <c r="L6074" s="78"/>
      <c r="M6074" s="19"/>
      <c r="N6074" s="10"/>
    </row>
    <row r="6075" spans="7:14" x14ac:dyDescent="0.75">
      <c r="G6075" s="10"/>
      <c r="H6075" s="10"/>
      <c r="I6075" s="39"/>
      <c r="J6075" s="103"/>
      <c r="K6075" s="39"/>
      <c r="L6075" s="78"/>
      <c r="M6075" s="19"/>
      <c r="N6075" s="10"/>
    </row>
    <row r="6076" spans="7:14" x14ac:dyDescent="0.75">
      <c r="G6076" s="10"/>
      <c r="H6076" s="10"/>
      <c r="I6076" s="39"/>
      <c r="J6076" s="103"/>
      <c r="K6076" s="39"/>
      <c r="L6076" s="78"/>
      <c r="M6076" s="19"/>
      <c r="N6076" s="10"/>
    </row>
    <row r="6077" spans="7:14" x14ac:dyDescent="0.75">
      <c r="G6077" s="10"/>
      <c r="H6077" s="10"/>
      <c r="I6077" s="39"/>
      <c r="J6077" s="103"/>
      <c r="K6077" s="39"/>
      <c r="L6077" s="78"/>
      <c r="M6077" s="19"/>
      <c r="N6077" s="10"/>
    </row>
    <row r="6078" spans="7:14" x14ac:dyDescent="0.75">
      <c r="G6078" s="10"/>
      <c r="H6078" s="10"/>
      <c r="I6078" s="39"/>
      <c r="J6078" s="103"/>
      <c r="K6078" s="39"/>
      <c r="L6078" s="78"/>
      <c r="M6078" s="19"/>
      <c r="N6078" s="10"/>
    </row>
    <row r="6079" spans="7:14" x14ac:dyDescent="0.75">
      <c r="G6079" s="10"/>
      <c r="H6079" s="10"/>
      <c r="I6079" s="39"/>
      <c r="J6079" s="103"/>
      <c r="K6079" s="39"/>
      <c r="L6079" s="78"/>
      <c r="M6079" s="19"/>
      <c r="N6079" s="10"/>
    </row>
    <row r="6080" spans="7:14" x14ac:dyDescent="0.75">
      <c r="G6080" s="10"/>
      <c r="H6080" s="10"/>
      <c r="I6080" s="39"/>
      <c r="J6080" s="103"/>
      <c r="K6080" s="39"/>
      <c r="L6080" s="78"/>
      <c r="M6080" s="19"/>
      <c r="N6080" s="10"/>
    </row>
    <row r="6081" spans="7:14" x14ac:dyDescent="0.75">
      <c r="G6081" s="10"/>
      <c r="H6081" s="10"/>
      <c r="I6081" s="39"/>
      <c r="J6081" s="103"/>
      <c r="K6081" s="39"/>
      <c r="L6081" s="78"/>
      <c r="M6081" s="19"/>
      <c r="N6081" s="10"/>
    </row>
    <row r="6082" spans="7:14" x14ac:dyDescent="0.75">
      <c r="G6082" s="10"/>
      <c r="H6082" s="10"/>
      <c r="I6082" s="39"/>
      <c r="J6082" s="103"/>
      <c r="K6082" s="39"/>
      <c r="L6082" s="78"/>
      <c r="M6082" s="19"/>
      <c r="N6082" s="10"/>
    </row>
    <row r="6083" spans="7:14" x14ac:dyDescent="0.75">
      <c r="G6083" s="10"/>
      <c r="H6083" s="10"/>
      <c r="I6083" s="39"/>
      <c r="J6083" s="103"/>
      <c r="K6083" s="39"/>
      <c r="L6083" s="78"/>
      <c r="M6083" s="19"/>
      <c r="N6083" s="10"/>
    </row>
    <row r="6084" spans="7:14" x14ac:dyDescent="0.75">
      <c r="G6084" s="10"/>
      <c r="H6084" s="10"/>
      <c r="I6084" s="39"/>
      <c r="J6084" s="103"/>
      <c r="K6084" s="39"/>
      <c r="L6084" s="78"/>
      <c r="M6084" s="19"/>
      <c r="N6084" s="10"/>
    </row>
    <row r="6085" spans="7:14" x14ac:dyDescent="0.75">
      <c r="G6085" s="10"/>
      <c r="H6085" s="10"/>
      <c r="I6085" s="39"/>
      <c r="J6085" s="103"/>
      <c r="K6085" s="39"/>
      <c r="L6085" s="78"/>
      <c r="M6085" s="19"/>
      <c r="N6085" s="10"/>
    </row>
    <row r="6086" spans="7:14" x14ac:dyDescent="0.75">
      <c r="G6086" s="10"/>
      <c r="H6086" s="10"/>
      <c r="I6086" s="39"/>
      <c r="J6086" s="103"/>
      <c r="K6086" s="39"/>
      <c r="L6086" s="78"/>
      <c r="M6086" s="19"/>
      <c r="N6086" s="10"/>
    </row>
    <row r="6087" spans="7:14" x14ac:dyDescent="0.75">
      <c r="G6087" s="10"/>
      <c r="H6087" s="10"/>
      <c r="I6087" s="39"/>
      <c r="J6087" s="103"/>
      <c r="K6087" s="39"/>
      <c r="L6087" s="78"/>
      <c r="M6087" s="19"/>
      <c r="N6087" s="10"/>
    </row>
    <row r="6088" spans="7:14" x14ac:dyDescent="0.75">
      <c r="G6088" s="10"/>
      <c r="H6088" s="10"/>
      <c r="I6088" s="39"/>
      <c r="J6088" s="103"/>
      <c r="K6088" s="39"/>
      <c r="L6088" s="78"/>
      <c r="M6088" s="19"/>
      <c r="N6088" s="10"/>
    </row>
    <row r="6089" spans="7:14" x14ac:dyDescent="0.75">
      <c r="G6089" s="10"/>
      <c r="H6089" s="10"/>
      <c r="I6089" s="39"/>
      <c r="J6089" s="103"/>
      <c r="K6089" s="39"/>
      <c r="L6089" s="78"/>
      <c r="M6089" s="19"/>
      <c r="N6089" s="10"/>
    </row>
    <row r="6090" spans="7:14" x14ac:dyDescent="0.75">
      <c r="G6090" s="10"/>
      <c r="H6090" s="10"/>
      <c r="I6090" s="39"/>
      <c r="J6090" s="103"/>
      <c r="K6090" s="39"/>
      <c r="L6090" s="78"/>
      <c r="M6090" s="19"/>
      <c r="N6090" s="10"/>
    </row>
    <row r="6091" spans="7:14" x14ac:dyDescent="0.75">
      <c r="G6091" s="10"/>
      <c r="H6091" s="10"/>
      <c r="I6091" s="39"/>
      <c r="J6091" s="103"/>
      <c r="K6091" s="39"/>
      <c r="L6091" s="78"/>
      <c r="M6091" s="19"/>
      <c r="N6091" s="10"/>
    </row>
    <row r="6092" spans="7:14" x14ac:dyDescent="0.75">
      <c r="G6092" s="10"/>
      <c r="H6092" s="10"/>
      <c r="I6092" s="39"/>
      <c r="J6092" s="103"/>
      <c r="K6092" s="39"/>
      <c r="L6092" s="78"/>
      <c r="M6092" s="19"/>
      <c r="N6092" s="10"/>
    </row>
    <row r="6093" spans="7:14" x14ac:dyDescent="0.75">
      <c r="G6093" s="10"/>
      <c r="H6093" s="10"/>
      <c r="I6093" s="39"/>
      <c r="J6093" s="103"/>
      <c r="K6093" s="39"/>
      <c r="L6093" s="78"/>
      <c r="M6093" s="19"/>
      <c r="N6093" s="10"/>
    </row>
    <row r="6094" spans="7:14" x14ac:dyDescent="0.75">
      <c r="G6094" s="10"/>
      <c r="H6094" s="10"/>
      <c r="I6094" s="39"/>
      <c r="J6094" s="103"/>
      <c r="K6094" s="39"/>
      <c r="L6094" s="78"/>
      <c r="M6094" s="19"/>
      <c r="N6094" s="10"/>
    </row>
    <row r="6095" spans="7:14" x14ac:dyDescent="0.75">
      <c r="G6095" s="10"/>
      <c r="H6095" s="10"/>
      <c r="I6095" s="39"/>
      <c r="J6095" s="103"/>
      <c r="K6095" s="39"/>
      <c r="L6095" s="78"/>
      <c r="M6095" s="19"/>
      <c r="N6095" s="10"/>
    </row>
    <row r="6096" spans="7:14" x14ac:dyDescent="0.75">
      <c r="G6096" s="10"/>
      <c r="H6096" s="10"/>
      <c r="I6096" s="39"/>
      <c r="J6096" s="103"/>
      <c r="K6096" s="39"/>
      <c r="L6096" s="78"/>
      <c r="M6096" s="19"/>
      <c r="N6096" s="10"/>
    </row>
    <row r="6097" spans="7:14" x14ac:dyDescent="0.75">
      <c r="G6097" s="10"/>
      <c r="H6097" s="10"/>
      <c r="I6097" s="39"/>
      <c r="J6097" s="103"/>
      <c r="K6097" s="39"/>
      <c r="L6097" s="78"/>
      <c r="M6097" s="19"/>
      <c r="N6097" s="10"/>
    </row>
    <row r="6098" spans="7:14" x14ac:dyDescent="0.75">
      <c r="G6098" s="10"/>
      <c r="H6098" s="10"/>
      <c r="I6098" s="39"/>
      <c r="J6098" s="103"/>
      <c r="K6098" s="39"/>
      <c r="L6098" s="78"/>
      <c r="M6098" s="19"/>
      <c r="N6098" s="10"/>
    </row>
    <row r="6099" spans="7:14" x14ac:dyDescent="0.75">
      <c r="G6099" s="10"/>
      <c r="H6099" s="10"/>
      <c r="I6099" s="39"/>
      <c r="J6099" s="103"/>
      <c r="K6099" s="39"/>
      <c r="L6099" s="78"/>
      <c r="M6099" s="19"/>
      <c r="N6099" s="10"/>
    </row>
    <row r="6100" spans="7:14" x14ac:dyDescent="0.75">
      <c r="G6100" s="10"/>
      <c r="H6100" s="10"/>
      <c r="I6100" s="39"/>
      <c r="J6100" s="103"/>
      <c r="K6100" s="39"/>
      <c r="L6100" s="78"/>
      <c r="M6100" s="19"/>
      <c r="N6100" s="10"/>
    </row>
    <row r="6101" spans="7:14" x14ac:dyDescent="0.75">
      <c r="G6101" s="10"/>
      <c r="H6101" s="10"/>
      <c r="I6101" s="39"/>
      <c r="J6101" s="103"/>
      <c r="K6101" s="39"/>
      <c r="L6101" s="78"/>
      <c r="M6101" s="19"/>
      <c r="N6101" s="10"/>
    </row>
    <row r="6102" spans="7:14" x14ac:dyDescent="0.75">
      <c r="G6102" s="10"/>
      <c r="H6102" s="10"/>
      <c r="I6102" s="39"/>
      <c r="J6102" s="103"/>
      <c r="K6102" s="39"/>
      <c r="L6102" s="78"/>
      <c r="M6102" s="19"/>
      <c r="N6102" s="10"/>
    </row>
    <row r="6103" spans="7:14" x14ac:dyDescent="0.75">
      <c r="G6103" s="10"/>
      <c r="H6103" s="10"/>
      <c r="I6103" s="39"/>
      <c r="J6103" s="103"/>
      <c r="K6103" s="39"/>
      <c r="L6103" s="78"/>
      <c r="M6103" s="19"/>
      <c r="N6103" s="10"/>
    </row>
    <row r="6104" spans="7:14" x14ac:dyDescent="0.75">
      <c r="G6104" s="10"/>
      <c r="H6104" s="10"/>
      <c r="I6104" s="39"/>
      <c r="J6104" s="103"/>
      <c r="K6104" s="39"/>
      <c r="L6104" s="78"/>
      <c r="M6104" s="19"/>
      <c r="N6104" s="10"/>
    </row>
    <row r="6105" spans="7:14" x14ac:dyDescent="0.75">
      <c r="G6105" s="10"/>
      <c r="H6105" s="10"/>
      <c r="I6105" s="39"/>
      <c r="J6105" s="103"/>
      <c r="K6105" s="39"/>
      <c r="L6105" s="78"/>
      <c r="M6105" s="19"/>
      <c r="N6105" s="10"/>
    </row>
    <row r="6106" spans="7:14" x14ac:dyDescent="0.75">
      <c r="G6106" s="10"/>
      <c r="H6106" s="10"/>
      <c r="I6106" s="39"/>
      <c r="J6106" s="103"/>
      <c r="K6106" s="39"/>
      <c r="L6106" s="78"/>
      <c r="M6106" s="19"/>
      <c r="N6106" s="10"/>
    </row>
    <row r="6107" spans="7:14" x14ac:dyDescent="0.75">
      <c r="G6107" s="10"/>
      <c r="H6107" s="10"/>
      <c r="I6107" s="39"/>
      <c r="J6107" s="103"/>
      <c r="K6107" s="39"/>
      <c r="L6107" s="10"/>
      <c r="M6107" s="19"/>
      <c r="N6107" s="10"/>
    </row>
    <row r="6108" spans="7:14" x14ac:dyDescent="0.75">
      <c r="G6108" s="10"/>
      <c r="H6108" s="10"/>
      <c r="I6108" s="39"/>
      <c r="J6108" s="103"/>
      <c r="K6108" s="39"/>
      <c r="L6108" s="78"/>
      <c r="M6108" s="19"/>
      <c r="N6108" s="10"/>
    </row>
    <row r="6109" spans="7:14" x14ac:dyDescent="0.75">
      <c r="G6109" s="10"/>
      <c r="H6109" s="10"/>
      <c r="I6109" s="39"/>
      <c r="J6109" s="103"/>
      <c r="K6109" s="39"/>
      <c r="L6109" s="78"/>
      <c r="M6109" s="19"/>
      <c r="N6109" s="10"/>
    </row>
    <row r="6110" spans="7:14" x14ac:dyDescent="0.75">
      <c r="G6110" s="10"/>
      <c r="H6110" s="10"/>
      <c r="I6110" s="39"/>
      <c r="J6110" s="103"/>
      <c r="K6110" s="39"/>
      <c r="L6110" s="78"/>
      <c r="M6110" s="19"/>
      <c r="N6110" s="10"/>
    </row>
    <row r="6111" spans="7:14" x14ac:dyDescent="0.75">
      <c r="G6111" s="10"/>
      <c r="H6111" s="10"/>
      <c r="I6111" s="39"/>
      <c r="J6111" s="103"/>
      <c r="K6111" s="39"/>
      <c r="L6111" s="78"/>
      <c r="M6111" s="19"/>
      <c r="N6111" s="10"/>
    </row>
    <row r="6112" spans="7:14" x14ac:dyDescent="0.75">
      <c r="G6112" s="10"/>
      <c r="H6112" s="10"/>
      <c r="I6112" s="39"/>
      <c r="J6112" s="103"/>
      <c r="K6112" s="39"/>
      <c r="L6112" s="78"/>
      <c r="M6112" s="19"/>
      <c r="N6112" s="10"/>
    </row>
    <row r="6113" spans="7:14" x14ac:dyDescent="0.75">
      <c r="G6113" s="10"/>
      <c r="H6113" s="10"/>
      <c r="I6113" s="39"/>
      <c r="J6113" s="103"/>
      <c r="K6113" s="39"/>
      <c r="L6113" s="78"/>
      <c r="M6113" s="19"/>
      <c r="N6113" s="10"/>
    </row>
    <row r="6114" spans="7:14" x14ac:dyDescent="0.75">
      <c r="G6114" s="10"/>
      <c r="H6114" s="10"/>
      <c r="I6114" s="39"/>
      <c r="J6114" s="103"/>
      <c r="K6114" s="39"/>
      <c r="L6114" s="78"/>
      <c r="M6114" s="19"/>
      <c r="N6114" s="10"/>
    </row>
    <row r="6115" spans="7:14" x14ac:dyDescent="0.75">
      <c r="G6115" s="10"/>
      <c r="H6115" s="10"/>
      <c r="I6115" s="39"/>
      <c r="J6115" s="103"/>
      <c r="K6115" s="39"/>
      <c r="L6115" s="78"/>
      <c r="M6115" s="19"/>
      <c r="N6115" s="10"/>
    </row>
    <row r="6116" spans="7:14" x14ac:dyDescent="0.75">
      <c r="G6116" s="10"/>
      <c r="H6116" s="10"/>
      <c r="I6116" s="39"/>
      <c r="J6116" s="103"/>
      <c r="K6116" s="39"/>
      <c r="L6116" s="78"/>
      <c r="M6116" s="19"/>
      <c r="N6116" s="10"/>
    </row>
    <row r="6117" spans="7:14" x14ac:dyDescent="0.75">
      <c r="G6117" s="10"/>
      <c r="H6117" s="10"/>
      <c r="I6117" s="39"/>
      <c r="J6117" s="103"/>
      <c r="K6117" s="39"/>
      <c r="L6117" s="78"/>
      <c r="M6117" s="19"/>
      <c r="N6117" s="10"/>
    </row>
    <row r="6118" spans="7:14" x14ac:dyDescent="0.75">
      <c r="G6118" s="10"/>
      <c r="H6118" s="10"/>
      <c r="I6118" s="39"/>
      <c r="J6118" s="103"/>
      <c r="K6118" s="39"/>
      <c r="L6118" s="78"/>
      <c r="M6118" s="19"/>
      <c r="N6118" s="10"/>
    </row>
    <row r="6119" spans="7:14" x14ac:dyDescent="0.75">
      <c r="G6119" s="10"/>
      <c r="H6119" s="10"/>
      <c r="I6119" s="39"/>
      <c r="J6119" s="103"/>
      <c r="K6119" s="39"/>
      <c r="L6119" s="78"/>
      <c r="M6119" s="19"/>
      <c r="N6119" s="10"/>
    </row>
    <row r="6120" spans="7:14" x14ac:dyDescent="0.75">
      <c r="G6120" s="10"/>
      <c r="H6120" s="10"/>
      <c r="I6120" s="39"/>
      <c r="J6120" s="103"/>
      <c r="K6120" s="39"/>
      <c r="L6120" s="78"/>
      <c r="M6120" s="19"/>
      <c r="N6120" s="10"/>
    </row>
    <row r="6121" spans="7:14" x14ac:dyDescent="0.75">
      <c r="G6121" s="10"/>
      <c r="H6121" s="10"/>
      <c r="I6121" s="39"/>
      <c r="J6121" s="103"/>
      <c r="K6121" s="39"/>
      <c r="L6121" s="78"/>
      <c r="M6121" s="19"/>
      <c r="N6121" s="10"/>
    </row>
    <row r="6122" spans="7:14" x14ac:dyDescent="0.75">
      <c r="G6122" s="10"/>
      <c r="H6122" s="10"/>
      <c r="I6122" s="39"/>
      <c r="J6122" s="103"/>
      <c r="K6122" s="39"/>
      <c r="L6122" s="78"/>
      <c r="M6122" s="19"/>
      <c r="N6122" s="10"/>
    </row>
    <row r="6123" spans="7:14" x14ac:dyDescent="0.75">
      <c r="G6123" s="10"/>
      <c r="H6123" s="10"/>
      <c r="I6123" s="39"/>
      <c r="J6123" s="103"/>
      <c r="K6123" s="39"/>
      <c r="L6123" s="78"/>
      <c r="M6123" s="19"/>
      <c r="N6123" s="10"/>
    </row>
    <row r="6124" spans="7:14" x14ac:dyDescent="0.75">
      <c r="G6124" s="10"/>
      <c r="H6124" s="10"/>
      <c r="I6124" s="39"/>
      <c r="J6124" s="103"/>
      <c r="K6124" s="39"/>
      <c r="L6124" s="78"/>
      <c r="M6124" s="19"/>
      <c r="N6124" s="10"/>
    </row>
    <row r="6125" spans="7:14" x14ac:dyDescent="0.75">
      <c r="G6125" s="10"/>
      <c r="H6125" s="10"/>
      <c r="I6125" s="39"/>
      <c r="J6125" s="103"/>
      <c r="K6125" s="39"/>
      <c r="L6125" s="78"/>
      <c r="M6125" s="19"/>
      <c r="N6125" s="10"/>
    </row>
    <row r="6126" spans="7:14" x14ac:dyDescent="0.75">
      <c r="G6126" s="10"/>
      <c r="H6126" s="10"/>
      <c r="I6126" s="39"/>
      <c r="J6126" s="103"/>
      <c r="K6126" s="39"/>
      <c r="L6126" s="78"/>
      <c r="M6126" s="19"/>
      <c r="N6126" s="10"/>
    </row>
    <row r="6127" spans="7:14" x14ac:dyDescent="0.75">
      <c r="G6127" s="10"/>
      <c r="H6127" s="10"/>
      <c r="I6127" s="39"/>
      <c r="J6127" s="103"/>
      <c r="K6127" s="39"/>
      <c r="L6127" s="78"/>
      <c r="M6127" s="19"/>
      <c r="N6127" s="10"/>
    </row>
    <row r="6128" spans="7:14" x14ac:dyDescent="0.75">
      <c r="G6128" s="10"/>
      <c r="H6128" s="10"/>
      <c r="I6128" s="39"/>
      <c r="J6128" s="103"/>
      <c r="K6128" s="39"/>
      <c r="L6128" s="10"/>
      <c r="M6128" s="19"/>
      <c r="N6128" s="10"/>
    </row>
    <row r="6129" spans="7:14" x14ac:dyDescent="0.75">
      <c r="G6129" s="10"/>
      <c r="H6129" s="10"/>
      <c r="I6129" s="39"/>
      <c r="J6129" s="103"/>
      <c r="K6129" s="39"/>
      <c r="L6129" s="78"/>
      <c r="M6129" s="19"/>
      <c r="N6129" s="10"/>
    </row>
    <row r="6130" spans="7:14" x14ac:dyDescent="0.75">
      <c r="G6130" s="10"/>
      <c r="H6130" s="10"/>
      <c r="I6130" s="39"/>
      <c r="J6130" s="103"/>
      <c r="K6130" s="39"/>
      <c r="L6130" s="78"/>
      <c r="M6130" s="19"/>
      <c r="N6130" s="10"/>
    </row>
    <row r="6131" spans="7:14" x14ac:dyDescent="0.75">
      <c r="G6131" s="10"/>
      <c r="H6131" s="10"/>
      <c r="I6131" s="39"/>
      <c r="J6131" s="103"/>
      <c r="K6131" s="39"/>
      <c r="L6131" s="78"/>
      <c r="M6131" s="19"/>
      <c r="N6131" s="10"/>
    </row>
    <row r="6132" spans="7:14" x14ac:dyDescent="0.75">
      <c r="G6132" s="10"/>
      <c r="H6132" s="10"/>
      <c r="I6132" s="39"/>
      <c r="J6132" s="103"/>
      <c r="K6132" s="39"/>
      <c r="L6132" s="78"/>
      <c r="M6132" s="19"/>
      <c r="N6132" s="10"/>
    </row>
    <row r="6133" spans="7:14" x14ac:dyDescent="0.75">
      <c r="G6133" s="10"/>
      <c r="H6133" s="10"/>
      <c r="I6133" s="39"/>
      <c r="J6133" s="103"/>
      <c r="K6133" s="39"/>
      <c r="L6133" s="78"/>
      <c r="M6133" s="19"/>
      <c r="N6133" s="10"/>
    </row>
    <row r="6134" spans="7:14" x14ac:dyDescent="0.75">
      <c r="G6134" s="10"/>
      <c r="H6134" s="10"/>
      <c r="I6134" s="39"/>
      <c r="J6134" s="103"/>
      <c r="K6134" s="39"/>
      <c r="L6134" s="78"/>
      <c r="M6134" s="19"/>
      <c r="N6134" s="10"/>
    </row>
    <row r="6135" spans="7:14" x14ac:dyDescent="0.75">
      <c r="G6135" s="10"/>
      <c r="H6135" s="10"/>
      <c r="I6135" s="39"/>
      <c r="J6135" s="103"/>
      <c r="K6135" s="39"/>
      <c r="L6135" s="78"/>
      <c r="M6135" s="19"/>
      <c r="N6135" s="10"/>
    </row>
    <row r="6136" spans="7:14" x14ac:dyDescent="0.75">
      <c r="G6136" s="10"/>
      <c r="H6136" s="10"/>
      <c r="I6136" s="39"/>
      <c r="J6136" s="103"/>
      <c r="K6136" s="39"/>
      <c r="L6136" s="78"/>
      <c r="M6136" s="19"/>
      <c r="N6136" s="10"/>
    </row>
    <row r="6137" spans="7:14" x14ac:dyDescent="0.75">
      <c r="G6137" s="10"/>
      <c r="H6137" s="10"/>
      <c r="I6137" s="39"/>
      <c r="J6137" s="103"/>
      <c r="K6137" s="39"/>
      <c r="L6137" s="78"/>
      <c r="M6137" s="19"/>
      <c r="N6137" s="10"/>
    </row>
    <row r="6138" spans="7:14" x14ac:dyDescent="0.75">
      <c r="G6138" s="10"/>
      <c r="H6138" s="10"/>
      <c r="I6138" s="39"/>
      <c r="J6138" s="103"/>
      <c r="K6138" s="39"/>
      <c r="L6138" s="78"/>
      <c r="M6138" s="19"/>
      <c r="N6138" s="10"/>
    </row>
    <row r="6139" spans="7:14" x14ac:dyDescent="0.75">
      <c r="G6139" s="10"/>
      <c r="H6139" s="10"/>
      <c r="I6139" s="39"/>
      <c r="J6139" s="103"/>
      <c r="K6139" s="39"/>
      <c r="L6139" s="78"/>
      <c r="M6139" s="19"/>
      <c r="N6139" s="10"/>
    </row>
    <row r="6140" spans="7:14" x14ac:dyDescent="0.75">
      <c r="G6140" s="10"/>
      <c r="H6140" s="10"/>
      <c r="I6140" s="39"/>
      <c r="J6140" s="103"/>
      <c r="K6140" s="39"/>
      <c r="L6140" s="78"/>
      <c r="M6140" s="19"/>
      <c r="N6140" s="10"/>
    </row>
    <row r="6141" spans="7:14" x14ac:dyDescent="0.75">
      <c r="G6141" s="10"/>
      <c r="H6141" s="10"/>
      <c r="I6141" s="39"/>
      <c r="J6141" s="103"/>
      <c r="K6141" s="39"/>
      <c r="L6141" s="78"/>
      <c r="M6141" s="19"/>
      <c r="N6141" s="10"/>
    </row>
    <row r="6142" spans="7:14" x14ac:dyDescent="0.75">
      <c r="G6142" s="10"/>
      <c r="H6142" s="10"/>
      <c r="I6142" s="39"/>
      <c r="J6142" s="103"/>
      <c r="K6142" s="39"/>
      <c r="L6142" s="78"/>
      <c r="M6142" s="19"/>
      <c r="N6142" s="10"/>
    </row>
    <row r="6143" spans="7:14" x14ac:dyDescent="0.75">
      <c r="G6143" s="10"/>
      <c r="H6143" s="10"/>
      <c r="I6143" s="39"/>
      <c r="J6143" s="103"/>
      <c r="K6143" s="39"/>
      <c r="L6143" s="78"/>
      <c r="M6143" s="19"/>
      <c r="N6143" s="10"/>
    </row>
    <row r="6144" spans="7:14" x14ac:dyDescent="0.75">
      <c r="G6144" s="10"/>
      <c r="H6144" s="10"/>
      <c r="I6144" s="39"/>
      <c r="J6144" s="103"/>
      <c r="K6144" s="39"/>
      <c r="L6144" s="78"/>
      <c r="M6144" s="19"/>
      <c r="N6144" s="10"/>
    </row>
    <row r="6145" spans="7:14" x14ac:dyDescent="0.75">
      <c r="G6145" s="10"/>
      <c r="H6145" s="10"/>
      <c r="I6145" s="39"/>
      <c r="J6145" s="103"/>
      <c r="K6145" s="39"/>
      <c r="L6145" s="78"/>
      <c r="M6145" s="19"/>
      <c r="N6145" s="10"/>
    </row>
    <row r="6146" spans="7:14" x14ac:dyDescent="0.75">
      <c r="G6146" s="10"/>
      <c r="H6146" s="10"/>
      <c r="I6146" s="39"/>
      <c r="J6146" s="103"/>
      <c r="K6146" s="39"/>
      <c r="L6146" s="78"/>
      <c r="M6146" s="19"/>
      <c r="N6146" s="10"/>
    </row>
    <row r="6147" spans="7:14" x14ac:dyDescent="0.75">
      <c r="G6147" s="10"/>
      <c r="H6147" s="10"/>
      <c r="I6147" s="39"/>
      <c r="J6147" s="103"/>
      <c r="K6147" s="39"/>
      <c r="L6147" s="78"/>
      <c r="M6147" s="19"/>
      <c r="N6147" s="10"/>
    </row>
    <row r="6148" spans="7:14" x14ac:dyDescent="0.75">
      <c r="G6148" s="10"/>
      <c r="H6148" s="10"/>
      <c r="I6148" s="39"/>
      <c r="J6148" s="103"/>
      <c r="K6148" s="39"/>
      <c r="L6148" s="78"/>
      <c r="M6148" s="19"/>
      <c r="N6148" s="10"/>
    </row>
    <row r="6149" spans="7:14" x14ac:dyDescent="0.75">
      <c r="G6149" s="10"/>
      <c r="H6149" s="10"/>
      <c r="I6149" s="39"/>
      <c r="J6149" s="103"/>
      <c r="K6149" s="39"/>
      <c r="L6149" s="10"/>
      <c r="M6149" s="19"/>
      <c r="N6149" s="10"/>
    </row>
    <row r="6150" spans="7:14" x14ac:dyDescent="0.75">
      <c r="G6150" s="10"/>
      <c r="H6150" s="10"/>
      <c r="I6150" s="39"/>
      <c r="J6150" s="103"/>
      <c r="K6150" s="39"/>
      <c r="L6150" s="78"/>
      <c r="M6150" s="19"/>
      <c r="N6150" s="10"/>
    </row>
    <row r="6151" spans="7:14" x14ac:dyDescent="0.75">
      <c r="G6151" s="10"/>
      <c r="H6151" s="10"/>
      <c r="I6151" s="39"/>
      <c r="J6151" s="103"/>
      <c r="K6151" s="39"/>
      <c r="L6151" s="78"/>
      <c r="M6151" s="19"/>
      <c r="N6151" s="10"/>
    </row>
    <row r="6152" spans="7:14" x14ac:dyDescent="0.75">
      <c r="G6152" s="10"/>
      <c r="H6152" s="10"/>
      <c r="I6152" s="39"/>
      <c r="J6152" s="103"/>
      <c r="K6152" s="39"/>
      <c r="L6152" s="78"/>
      <c r="M6152" s="19"/>
      <c r="N6152" s="10"/>
    </row>
    <row r="6153" spans="7:14" x14ac:dyDescent="0.75">
      <c r="G6153" s="10"/>
      <c r="H6153" s="10"/>
      <c r="I6153" s="39"/>
      <c r="J6153" s="103"/>
      <c r="K6153" s="39"/>
      <c r="L6153" s="78"/>
      <c r="M6153" s="19"/>
      <c r="N6153" s="10"/>
    </row>
    <row r="6154" spans="7:14" x14ac:dyDescent="0.75">
      <c r="G6154" s="10"/>
      <c r="H6154" s="10"/>
      <c r="I6154" s="39"/>
      <c r="J6154" s="103"/>
      <c r="K6154" s="39"/>
      <c r="L6154" s="78"/>
      <c r="M6154" s="19"/>
      <c r="N6154" s="10"/>
    </row>
    <row r="6155" spans="7:14" x14ac:dyDescent="0.75">
      <c r="G6155" s="10"/>
      <c r="H6155" s="10"/>
      <c r="I6155" s="39"/>
      <c r="J6155" s="103"/>
      <c r="K6155" s="39"/>
      <c r="L6155" s="78"/>
      <c r="M6155" s="19"/>
      <c r="N6155" s="10"/>
    </row>
    <row r="6156" spans="7:14" x14ac:dyDescent="0.75">
      <c r="G6156" s="10"/>
      <c r="H6156" s="10"/>
      <c r="I6156" s="39"/>
      <c r="J6156" s="103"/>
      <c r="K6156" s="39"/>
      <c r="L6156" s="78"/>
      <c r="M6156" s="19"/>
      <c r="N6156" s="10"/>
    </row>
    <row r="6157" spans="7:14" x14ac:dyDescent="0.75">
      <c r="G6157" s="10"/>
      <c r="H6157" s="10"/>
      <c r="I6157" s="39"/>
      <c r="J6157" s="103"/>
      <c r="K6157" s="39"/>
      <c r="L6157" s="78"/>
      <c r="M6157" s="19"/>
      <c r="N6157" s="10"/>
    </row>
    <row r="6158" spans="7:14" x14ac:dyDescent="0.75">
      <c r="G6158" s="10"/>
      <c r="H6158" s="10"/>
      <c r="I6158" s="39"/>
      <c r="J6158" s="103"/>
      <c r="K6158" s="39"/>
      <c r="L6158" s="78"/>
      <c r="M6158" s="19"/>
      <c r="N6158" s="10"/>
    </row>
    <row r="6159" spans="7:14" x14ac:dyDescent="0.75">
      <c r="G6159" s="10"/>
      <c r="H6159" s="10"/>
      <c r="I6159" s="39"/>
      <c r="J6159" s="103"/>
      <c r="K6159" s="39"/>
      <c r="L6159" s="78"/>
      <c r="M6159" s="19"/>
      <c r="N6159" s="10"/>
    </row>
    <row r="6160" spans="7:14" x14ac:dyDescent="0.75">
      <c r="G6160" s="10"/>
      <c r="H6160" s="10"/>
      <c r="I6160" s="39"/>
      <c r="J6160" s="103"/>
      <c r="K6160" s="39"/>
      <c r="L6160" s="10"/>
      <c r="M6160" s="19"/>
      <c r="N6160" s="10"/>
    </row>
    <row r="6161" spans="7:14" x14ac:dyDescent="0.75">
      <c r="G6161" s="10"/>
      <c r="H6161" s="10"/>
      <c r="I6161" s="39"/>
      <c r="J6161" s="103"/>
      <c r="K6161" s="39"/>
      <c r="L6161" s="10"/>
      <c r="M6161" s="19"/>
      <c r="N6161" s="10"/>
    </row>
    <row r="6162" spans="7:14" x14ac:dyDescent="0.75">
      <c r="G6162" s="10"/>
      <c r="H6162" s="10"/>
      <c r="I6162" s="39"/>
      <c r="J6162" s="103"/>
      <c r="K6162" s="39"/>
      <c r="L6162" s="10"/>
      <c r="M6162" s="19"/>
      <c r="N6162" s="10"/>
    </row>
    <row r="6163" spans="7:14" x14ac:dyDescent="0.75">
      <c r="G6163" s="10"/>
      <c r="H6163" s="10"/>
      <c r="I6163" s="39"/>
      <c r="J6163" s="103"/>
      <c r="K6163" s="39"/>
      <c r="L6163" s="78"/>
      <c r="M6163" s="19"/>
      <c r="N6163" s="10"/>
    </row>
    <row r="6164" spans="7:14" x14ac:dyDescent="0.75">
      <c r="G6164" s="10"/>
      <c r="H6164" s="10"/>
      <c r="I6164" s="39"/>
      <c r="J6164" s="103"/>
      <c r="K6164" s="39"/>
      <c r="L6164" s="78"/>
      <c r="M6164" s="19"/>
      <c r="N6164" s="10"/>
    </row>
    <row r="6165" spans="7:14" x14ac:dyDescent="0.75">
      <c r="G6165" s="10"/>
      <c r="H6165" s="10"/>
      <c r="I6165" s="39"/>
      <c r="J6165" s="103"/>
      <c r="K6165" s="39"/>
      <c r="L6165" s="78"/>
      <c r="M6165" s="19"/>
      <c r="N6165" s="10"/>
    </row>
    <row r="6166" spans="7:14" x14ac:dyDescent="0.75">
      <c r="G6166" s="10"/>
      <c r="H6166" s="10"/>
      <c r="I6166" s="39"/>
      <c r="J6166" s="103"/>
      <c r="K6166" s="39"/>
      <c r="L6166" s="78"/>
      <c r="M6166" s="19"/>
      <c r="N6166" s="10"/>
    </row>
    <row r="6167" spans="7:14" x14ac:dyDescent="0.75">
      <c r="G6167" s="10"/>
      <c r="H6167" s="10"/>
      <c r="I6167" s="39"/>
      <c r="J6167" s="103"/>
      <c r="K6167" s="39"/>
      <c r="L6167" s="78"/>
      <c r="M6167" s="19"/>
      <c r="N6167" s="10"/>
    </row>
    <row r="6168" spans="7:14" x14ac:dyDescent="0.75">
      <c r="G6168" s="10"/>
      <c r="H6168" s="10"/>
      <c r="I6168" s="39"/>
      <c r="J6168" s="103"/>
      <c r="K6168" s="39"/>
      <c r="L6168" s="78"/>
      <c r="M6168" s="19"/>
      <c r="N6168" s="10"/>
    </row>
    <row r="6169" spans="7:14" x14ac:dyDescent="0.75">
      <c r="G6169" s="10"/>
      <c r="H6169" s="10"/>
      <c r="I6169" s="39"/>
      <c r="J6169" s="103"/>
      <c r="K6169" s="39"/>
      <c r="L6169" s="78"/>
      <c r="M6169" s="19"/>
      <c r="N6169" s="10"/>
    </row>
    <row r="6170" spans="7:14" x14ac:dyDescent="0.75">
      <c r="G6170" s="10"/>
      <c r="H6170" s="10"/>
      <c r="I6170" s="39"/>
      <c r="J6170" s="103"/>
      <c r="K6170" s="39"/>
      <c r="L6170" s="78"/>
      <c r="M6170" s="19"/>
      <c r="N6170" s="10"/>
    </row>
    <row r="6171" spans="7:14" x14ac:dyDescent="0.75">
      <c r="G6171" s="10"/>
      <c r="H6171" s="10"/>
      <c r="I6171" s="39"/>
      <c r="J6171" s="103"/>
      <c r="K6171" s="39"/>
      <c r="L6171" s="78"/>
      <c r="M6171" s="19"/>
      <c r="N6171" s="10"/>
    </row>
    <row r="6172" spans="7:14" x14ac:dyDescent="0.75">
      <c r="G6172" s="10"/>
      <c r="H6172" s="10"/>
      <c r="I6172" s="39"/>
      <c r="J6172" s="103"/>
      <c r="K6172" s="39"/>
      <c r="L6172" s="78"/>
      <c r="M6172" s="19"/>
      <c r="N6172" s="10"/>
    </row>
    <row r="6173" spans="7:14" x14ac:dyDescent="0.75">
      <c r="G6173" s="10"/>
      <c r="H6173" s="10"/>
      <c r="I6173" s="39"/>
      <c r="J6173" s="103"/>
      <c r="K6173" s="39"/>
      <c r="L6173" s="78"/>
      <c r="M6173" s="19"/>
      <c r="N6173" s="10"/>
    </row>
    <row r="6174" spans="7:14" x14ac:dyDescent="0.75">
      <c r="G6174" s="10"/>
      <c r="H6174" s="10"/>
      <c r="I6174" s="39"/>
      <c r="J6174" s="103"/>
      <c r="K6174" s="39"/>
      <c r="L6174" s="78"/>
      <c r="M6174" s="19"/>
      <c r="N6174" s="10"/>
    </row>
    <row r="6175" spans="7:14" x14ac:dyDescent="0.75">
      <c r="G6175" s="10"/>
      <c r="H6175" s="10"/>
      <c r="I6175" s="39"/>
      <c r="J6175" s="103"/>
      <c r="K6175" s="39"/>
      <c r="L6175" s="78"/>
      <c r="M6175" s="19"/>
      <c r="N6175" s="10"/>
    </row>
    <row r="6176" spans="7:14" x14ac:dyDescent="0.75">
      <c r="G6176" s="10"/>
      <c r="H6176" s="10"/>
      <c r="I6176" s="39"/>
      <c r="J6176" s="103"/>
      <c r="K6176" s="39"/>
      <c r="L6176" s="78"/>
      <c r="M6176" s="19"/>
      <c r="N6176" s="10"/>
    </row>
    <row r="6177" spans="7:14" x14ac:dyDescent="0.75">
      <c r="G6177" s="10"/>
      <c r="H6177" s="10"/>
      <c r="I6177" s="39"/>
      <c r="J6177" s="103"/>
      <c r="K6177" s="39"/>
      <c r="L6177" s="78"/>
      <c r="M6177" s="19"/>
      <c r="N6177" s="10"/>
    </row>
    <row r="6178" spans="7:14" x14ac:dyDescent="0.75">
      <c r="G6178" s="10"/>
      <c r="H6178" s="10"/>
      <c r="I6178" s="39"/>
      <c r="J6178" s="103"/>
      <c r="K6178" s="39"/>
      <c r="L6178" s="78"/>
      <c r="M6178" s="19"/>
      <c r="N6178" s="10"/>
    </row>
    <row r="6179" spans="7:14" x14ac:dyDescent="0.75">
      <c r="G6179" s="10"/>
      <c r="H6179" s="10"/>
      <c r="I6179" s="39"/>
      <c r="J6179" s="103"/>
      <c r="K6179" s="39"/>
      <c r="L6179" s="78"/>
      <c r="M6179" s="19"/>
      <c r="N6179" s="10"/>
    </row>
    <row r="6180" spans="7:14" x14ac:dyDescent="0.75">
      <c r="G6180" s="10"/>
      <c r="H6180" s="10"/>
      <c r="I6180" s="39"/>
      <c r="J6180" s="103"/>
      <c r="K6180" s="39"/>
      <c r="L6180" s="78"/>
      <c r="M6180" s="19"/>
      <c r="N6180" s="10"/>
    </row>
    <row r="6181" spans="7:14" x14ac:dyDescent="0.75">
      <c r="G6181" s="10"/>
      <c r="H6181" s="10"/>
      <c r="I6181" s="39"/>
      <c r="J6181" s="103"/>
      <c r="K6181" s="39"/>
      <c r="L6181" s="78"/>
      <c r="M6181" s="19"/>
      <c r="N6181" s="10"/>
    </row>
    <row r="6182" spans="7:14" x14ac:dyDescent="0.75">
      <c r="G6182" s="10"/>
      <c r="H6182" s="10"/>
      <c r="I6182" s="39"/>
      <c r="J6182" s="103"/>
      <c r="K6182" s="39"/>
      <c r="L6182" s="78"/>
      <c r="M6182" s="19"/>
      <c r="N6182" s="10"/>
    </row>
    <row r="6183" spans="7:14" x14ac:dyDescent="0.75">
      <c r="G6183" s="10"/>
      <c r="H6183" s="10"/>
      <c r="I6183" s="39"/>
      <c r="J6183" s="103"/>
      <c r="K6183" s="39"/>
      <c r="L6183" s="78"/>
      <c r="M6183" s="19"/>
      <c r="N6183" s="10"/>
    </row>
    <row r="6184" spans="7:14" x14ac:dyDescent="0.75">
      <c r="G6184" s="10"/>
      <c r="H6184" s="10"/>
      <c r="I6184" s="39"/>
      <c r="J6184" s="103"/>
      <c r="K6184" s="39"/>
      <c r="L6184" s="78"/>
      <c r="M6184" s="19"/>
      <c r="N6184" s="10"/>
    </row>
    <row r="6185" spans="7:14" x14ac:dyDescent="0.75">
      <c r="G6185" s="10"/>
      <c r="H6185" s="10"/>
      <c r="I6185" s="39"/>
      <c r="J6185" s="103"/>
      <c r="K6185" s="39"/>
      <c r="L6185" s="78"/>
      <c r="M6185" s="19"/>
      <c r="N6185" s="10"/>
    </row>
    <row r="6186" spans="7:14" x14ac:dyDescent="0.75">
      <c r="G6186" s="10"/>
      <c r="H6186" s="10"/>
      <c r="I6186" s="39"/>
      <c r="J6186" s="103"/>
      <c r="K6186" s="39"/>
      <c r="L6186" s="78"/>
      <c r="M6186" s="19"/>
      <c r="N6186" s="10"/>
    </row>
    <row r="6187" spans="7:14" x14ac:dyDescent="0.75">
      <c r="G6187" s="10"/>
      <c r="H6187" s="10"/>
      <c r="I6187" s="39"/>
      <c r="J6187" s="103"/>
      <c r="K6187" s="39"/>
      <c r="L6187" s="10"/>
      <c r="M6187" s="19"/>
      <c r="N6187" s="10"/>
    </row>
    <row r="6188" spans="7:14" x14ac:dyDescent="0.75">
      <c r="G6188" s="10"/>
      <c r="H6188" s="10"/>
      <c r="I6188" s="39"/>
      <c r="J6188" s="103"/>
      <c r="K6188" s="39"/>
      <c r="L6188" s="78"/>
      <c r="M6188" s="19"/>
      <c r="N6188" s="10"/>
    </row>
    <row r="6189" spans="7:14" x14ac:dyDescent="0.75">
      <c r="G6189" s="10"/>
      <c r="H6189" s="10"/>
      <c r="I6189" s="39"/>
      <c r="J6189" s="103"/>
      <c r="K6189" s="39"/>
      <c r="L6189" s="78"/>
      <c r="M6189" s="19"/>
      <c r="N6189" s="10"/>
    </row>
    <row r="6190" spans="7:14" x14ac:dyDescent="0.75">
      <c r="G6190" s="10"/>
      <c r="H6190" s="10"/>
      <c r="I6190" s="39"/>
      <c r="J6190" s="103"/>
      <c r="K6190" s="39"/>
      <c r="L6190" s="78"/>
      <c r="M6190" s="19"/>
      <c r="N6190" s="10"/>
    </row>
    <row r="6191" spans="7:14" x14ac:dyDescent="0.75">
      <c r="G6191" s="10"/>
      <c r="H6191" s="10"/>
      <c r="I6191" s="39"/>
      <c r="J6191" s="103"/>
      <c r="K6191" s="39"/>
      <c r="L6191" s="78"/>
      <c r="M6191" s="19"/>
      <c r="N6191" s="10"/>
    </row>
    <row r="6192" spans="7:14" x14ac:dyDescent="0.75">
      <c r="G6192" s="10"/>
      <c r="H6192" s="10"/>
      <c r="I6192" s="39"/>
      <c r="J6192" s="103"/>
      <c r="K6192" s="39"/>
      <c r="L6192" s="78"/>
      <c r="M6192" s="19"/>
      <c r="N6192" s="10"/>
    </row>
    <row r="6193" spans="7:14" x14ac:dyDescent="0.75">
      <c r="G6193" s="10"/>
      <c r="H6193" s="10"/>
      <c r="I6193" s="39"/>
      <c r="J6193" s="103"/>
      <c r="K6193" s="39"/>
      <c r="L6193" s="78"/>
      <c r="M6193" s="19"/>
      <c r="N6193" s="10"/>
    </row>
    <row r="6194" spans="7:14" x14ac:dyDescent="0.75">
      <c r="G6194" s="10"/>
      <c r="H6194" s="10"/>
      <c r="I6194" s="39"/>
      <c r="J6194" s="103"/>
      <c r="K6194" s="39"/>
      <c r="L6194" s="78"/>
      <c r="M6194" s="19"/>
      <c r="N6194" s="10"/>
    </row>
    <row r="6195" spans="7:14" x14ac:dyDescent="0.75">
      <c r="G6195" s="10"/>
      <c r="H6195" s="10"/>
      <c r="I6195" s="39"/>
      <c r="J6195" s="103"/>
      <c r="K6195" s="39"/>
      <c r="L6195" s="78"/>
      <c r="M6195" s="19"/>
      <c r="N6195" s="10"/>
    </row>
    <row r="6196" spans="7:14" x14ac:dyDescent="0.75">
      <c r="G6196" s="10"/>
      <c r="H6196" s="10"/>
      <c r="I6196" s="39"/>
      <c r="J6196" s="103"/>
      <c r="K6196" s="39"/>
      <c r="L6196" s="78"/>
      <c r="M6196" s="19"/>
      <c r="N6196" s="10"/>
    </row>
    <row r="6197" spans="7:14" x14ac:dyDescent="0.75">
      <c r="G6197" s="10"/>
      <c r="H6197" s="10"/>
      <c r="I6197" s="39"/>
      <c r="J6197" s="103"/>
      <c r="K6197" s="39"/>
      <c r="L6197" s="78"/>
      <c r="M6197" s="19"/>
      <c r="N6197" s="10"/>
    </row>
    <row r="6198" spans="7:14" x14ac:dyDescent="0.75">
      <c r="G6198" s="10"/>
      <c r="H6198" s="10"/>
      <c r="I6198" s="39"/>
      <c r="J6198" s="103"/>
      <c r="K6198" s="39"/>
      <c r="L6198" s="78"/>
      <c r="M6198" s="19"/>
      <c r="N6198" s="10"/>
    </row>
    <row r="6199" spans="7:14" x14ac:dyDescent="0.75">
      <c r="G6199" s="10"/>
      <c r="H6199" s="10"/>
      <c r="I6199" s="39"/>
      <c r="J6199" s="103"/>
      <c r="K6199" s="39"/>
      <c r="L6199" s="78"/>
      <c r="M6199" s="19"/>
      <c r="N6199" s="10"/>
    </row>
    <row r="6200" spans="7:14" x14ac:dyDescent="0.75">
      <c r="G6200" s="10"/>
      <c r="H6200" s="10"/>
      <c r="I6200" s="39"/>
      <c r="J6200" s="103"/>
      <c r="K6200" s="39"/>
      <c r="L6200" s="78"/>
      <c r="M6200" s="19"/>
      <c r="N6200" s="10"/>
    </row>
    <row r="6201" spans="7:14" x14ac:dyDescent="0.75">
      <c r="G6201" s="10"/>
      <c r="H6201" s="10"/>
      <c r="I6201" s="39"/>
      <c r="J6201" s="103"/>
      <c r="K6201" s="39"/>
      <c r="L6201" s="78"/>
      <c r="M6201" s="19"/>
      <c r="N6201" s="10"/>
    </row>
    <row r="6202" spans="7:14" x14ac:dyDescent="0.75">
      <c r="G6202" s="10"/>
      <c r="H6202" s="10"/>
      <c r="I6202" s="39"/>
      <c r="J6202" s="103"/>
      <c r="K6202" s="39"/>
      <c r="L6202" s="10"/>
      <c r="M6202" s="19"/>
      <c r="N6202" s="10"/>
    </row>
    <row r="6203" spans="7:14" x14ac:dyDescent="0.75">
      <c r="G6203" s="10"/>
      <c r="H6203" s="10"/>
      <c r="I6203" s="39"/>
      <c r="J6203" s="103"/>
      <c r="K6203" s="39"/>
      <c r="L6203" s="10"/>
      <c r="M6203" s="19"/>
      <c r="N6203" s="10"/>
    </row>
    <row r="6204" spans="7:14" x14ac:dyDescent="0.75">
      <c r="G6204" s="10"/>
      <c r="H6204" s="10"/>
      <c r="I6204" s="39"/>
      <c r="J6204" s="103"/>
      <c r="K6204" s="39"/>
      <c r="L6204" s="10"/>
      <c r="M6204" s="19"/>
      <c r="N6204" s="10"/>
    </row>
    <row r="6205" spans="7:14" x14ac:dyDescent="0.75">
      <c r="G6205" s="10"/>
      <c r="H6205" s="10"/>
      <c r="I6205" s="39"/>
      <c r="J6205" s="103"/>
      <c r="K6205" s="39"/>
      <c r="L6205" s="78"/>
      <c r="M6205" s="19"/>
      <c r="N6205" s="10"/>
    </row>
    <row r="6206" spans="7:14" x14ac:dyDescent="0.75">
      <c r="G6206" s="10"/>
      <c r="H6206" s="10"/>
      <c r="I6206" s="39"/>
      <c r="J6206" s="103"/>
      <c r="K6206" s="39"/>
      <c r="L6206" s="78"/>
      <c r="M6206" s="19"/>
      <c r="N6206" s="10"/>
    </row>
    <row r="6207" spans="7:14" x14ac:dyDescent="0.75">
      <c r="G6207" s="10"/>
      <c r="H6207" s="10"/>
      <c r="I6207" s="39"/>
      <c r="J6207" s="103"/>
      <c r="K6207" s="39"/>
      <c r="L6207" s="78"/>
      <c r="M6207" s="19"/>
      <c r="N6207" s="10"/>
    </row>
    <row r="6208" spans="7:14" x14ac:dyDescent="0.75">
      <c r="G6208" s="10"/>
      <c r="H6208" s="10"/>
      <c r="I6208" s="39"/>
      <c r="J6208" s="103"/>
      <c r="K6208" s="39"/>
      <c r="L6208" s="10"/>
      <c r="M6208" s="19"/>
      <c r="N6208" s="10"/>
    </row>
    <row r="6209" spans="7:14" x14ac:dyDescent="0.75">
      <c r="G6209" s="10"/>
      <c r="H6209" s="10"/>
      <c r="I6209" s="39"/>
      <c r="J6209" s="103"/>
      <c r="K6209" s="39"/>
      <c r="L6209" s="78"/>
      <c r="M6209" s="19"/>
      <c r="N6209" s="10"/>
    </row>
    <row r="6210" spans="7:14" x14ac:dyDescent="0.75">
      <c r="G6210" s="10"/>
      <c r="H6210" s="10"/>
      <c r="I6210" s="39"/>
      <c r="J6210" s="103"/>
      <c r="K6210" s="39"/>
      <c r="L6210" s="78"/>
      <c r="M6210" s="19"/>
      <c r="N6210" s="10"/>
    </row>
    <row r="6211" spans="7:14" x14ac:dyDescent="0.75">
      <c r="G6211" s="10"/>
      <c r="H6211" s="10"/>
      <c r="I6211" s="39"/>
      <c r="J6211" s="103"/>
      <c r="K6211" s="39"/>
      <c r="L6211" s="78"/>
      <c r="M6211" s="19"/>
      <c r="N6211" s="10"/>
    </row>
    <row r="6212" spans="7:14" x14ac:dyDescent="0.75">
      <c r="G6212" s="10"/>
      <c r="H6212" s="10"/>
      <c r="I6212" s="39"/>
      <c r="J6212" s="103"/>
      <c r="K6212" s="39"/>
      <c r="L6212" s="78"/>
      <c r="M6212" s="19"/>
      <c r="N6212" s="10"/>
    </row>
    <row r="6213" spans="7:14" x14ac:dyDescent="0.75">
      <c r="G6213" s="10"/>
      <c r="H6213" s="10"/>
      <c r="I6213" s="39"/>
      <c r="J6213" s="103"/>
      <c r="K6213" s="39"/>
      <c r="L6213" s="78"/>
      <c r="M6213" s="19"/>
      <c r="N6213" s="10"/>
    </row>
    <row r="6214" spans="7:14" x14ac:dyDescent="0.75">
      <c r="G6214" s="10"/>
      <c r="H6214" s="10"/>
      <c r="I6214" s="39"/>
      <c r="J6214" s="103"/>
      <c r="K6214" s="39"/>
      <c r="L6214" s="78"/>
      <c r="M6214" s="19"/>
      <c r="N6214" s="10"/>
    </row>
    <row r="6215" spans="7:14" x14ac:dyDescent="0.75">
      <c r="G6215" s="10"/>
      <c r="H6215" s="10"/>
      <c r="I6215" s="39"/>
      <c r="J6215" s="103"/>
      <c r="K6215" s="39"/>
      <c r="L6215" s="78"/>
      <c r="M6215" s="19"/>
      <c r="N6215" s="10"/>
    </row>
    <row r="6216" spans="7:14" x14ac:dyDescent="0.75">
      <c r="G6216" s="10"/>
      <c r="H6216" s="10"/>
      <c r="I6216" s="39"/>
      <c r="J6216" s="103"/>
      <c r="K6216" s="39"/>
      <c r="L6216" s="78"/>
      <c r="M6216" s="19"/>
      <c r="N6216" s="10"/>
    </row>
    <row r="6217" spans="7:14" x14ac:dyDescent="0.75">
      <c r="G6217" s="10"/>
      <c r="H6217" s="10"/>
      <c r="I6217" s="39"/>
      <c r="J6217" s="103"/>
      <c r="K6217" s="39"/>
      <c r="L6217" s="78"/>
      <c r="M6217" s="19"/>
      <c r="N6217" s="10"/>
    </row>
    <row r="6218" spans="7:14" x14ac:dyDescent="0.75">
      <c r="G6218" s="10"/>
      <c r="H6218" s="10"/>
      <c r="I6218" s="39"/>
      <c r="J6218" s="103"/>
      <c r="K6218" s="39"/>
      <c r="L6218" s="78"/>
      <c r="M6218" s="19"/>
      <c r="N6218" s="10"/>
    </row>
    <row r="6219" spans="7:14" x14ac:dyDescent="0.75">
      <c r="G6219" s="10"/>
      <c r="H6219" s="10"/>
      <c r="I6219" s="39"/>
      <c r="J6219" s="103"/>
      <c r="K6219" s="39"/>
      <c r="L6219" s="78"/>
      <c r="M6219" s="19"/>
      <c r="N6219" s="10"/>
    </row>
    <row r="6220" spans="7:14" x14ac:dyDescent="0.75">
      <c r="G6220" s="10"/>
      <c r="H6220" s="10"/>
      <c r="I6220" s="39"/>
      <c r="J6220" s="103"/>
      <c r="K6220" s="39"/>
      <c r="L6220" s="78"/>
      <c r="M6220" s="19"/>
      <c r="N6220" s="10"/>
    </row>
    <row r="6221" spans="7:14" x14ac:dyDescent="0.75">
      <c r="G6221" s="10"/>
      <c r="H6221" s="10"/>
      <c r="I6221" s="39"/>
      <c r="J6221" s="103"/>
      <c r="K6221" s="39"/>
      <c r="L6221" s="78"/>
      <c r="M6221" s="19"/>
      <c r="N6221" s="10"/>
    </row>
    <row r="6222" spans="7:14" x14ac:dyDescent="0.75">
      <c r="G6222" s="10"/>
      <c r="H6222" s="10"/>
      <c r="I6222" s="39"/>
      <c r="J6222" s="103"/>
      <c r="K6222" s="39"/>
      <c r="L6222" s="78"/>
      <c r="M6222" s="19"/>
      <c r="N6222" s="10"/>
    </row>
    <row r="6223" spans="7:14" x14ac:dyDescent="0.75">
      <c r="G6223" s="10"/>
      <c r="H6223" s="10"/>
      <c r="I6223" s="39"/>
      <c r="J6223" s="103"/>
      <c r="K6223" s="39"/>
      <c r="L6223" s="78"/>
      <c r="M6223" s="19"/>
      <c r="N6223" s="10"/>
    </row>
    <row r="6224" spans="7:14" x14ac:dyDescent="0.75">
      <c r="G6224" s="10"/>
      <c r="H6224" s="10"/>
      <c r="I6224" s="39"/>
      <c r="J6224" s="103"/>
      <c r="K6224" s="39"/>
      <c r="L6224" s="78"/>
      <c r="M6224" s="19"/>
      <c r="N6224" s="10"/>
    </row>
    <row r="6225" spans="7:14" x14ac:dyDescent="0.75">
      <c r="G6225" s="10"/>
      <c r="H6225" s="10"/>
      <c r="I6225" s="39"/>
      <c r="J6225" s="103"/>
      <c r="K6225" s="39"/>
      <c r="L6225" s="78"/>
      <c r="M6225" s="19"/>
      <c r="N6225" s="10"/>
    </row>
    <row r="6226" spans="7:14" x14ac:dyDescent="0.75">
      <c r="G6226" s="10"/>
      <c r="H6226" s="10"/>
      <c r="I6226" s="39"/>
      <c r="J6226" s="103"/>
      <c r="K6226" s="39"/>
      <c r="L6226" s="78"/>
      <c r="M6226" s="19"/>
      <c r="N6226" s="10"/>
    </row>
    <row r="6227" spans="7:14" x14ac:dyDescent="0.75">
      <c r="G6227" s="10"/>
      <c r="H6227" s="10"/>
      <c r="I6227" s="39"/>
      <c r="J6227" s="103"/>
      <c r="K6227" s="39"/>
      <c r="L6227" s="78"/>
      <c r="M6227" s="19"/>
      <c r="N6227" s="10"/>
    </row>
    <row r="6228" spans="7:14" x14ac:dyDescent="0.75">
      <c r="G6228" s="10"/>
      <c r="H6228" s="10"/>
      <c r="I6228" s="39"/>
      <c r="J6228" s="103"/>
      <c r="K6228" s="39"/>
      <c r="L6228" s="10"/>
      <c r="M6228" s="19"/>
      <c r="N6228" s="10"/>
    </row>
    <row r="6229" spans="7:14" x14ac:dyDescent="0.75">
      <c r="G6229" s="10"/>
      <c r="H6229" s="10"/>
      <c r="I6229" s="39"/>
      <c r="J6229" s="103"/>
      <c r="K6229" s="39"/>
      <c r="L6229" s="78"/>
      <c r="M6229" s="19"/>
      <c r="N6229" s="10"/>
    </row>
    <row r="6230" spans="7:14" x14ac:dyDescent="0.75">
      <c r="G6230" s="10"/>
      <c r="H6230" s="10"/>
      <c r="I6230" s="39"/>
      <c r="J6230" s="103"/>
      <c r="K6230" s="39"/>
      <c r="L6230" s="10"/>
      <c r="M6230" s="19"/>
      <c r="N6230" s="10"/>
    </row>
    <row r="6231" spans="7:14" x14ac:dyDescent="0.75">
      <c r="G6231" s="10"/>
      <c r="H6231" s="10"/>
      <c r="I6231" s="39"/>
      <c r="J6231" s="103"/>
      <c r="K6231" s="39"/>
      <c r="L6231" s="10"/>
      <c r="M6231" s="19"/>
      <c r="N6231" s="10"/>
    </row>
    <row r="6232" spans="7:14" x14ac:dyDescent="0.75">
      <c r="G6232" s="10"/>
      <c r="H6232" s="10"/>
      <c r="I6232" s="39"/>
      <c r="J6232" s="103"/>
      <c r="K6232" s="39"/>
      <c r="L6232" s="10"/>
      <c r="M6232" s="19"/>
      <c r="N6232" s="10"/>
    </row>
    <row r="6233" spans="7:14" x14ac:dyDescent="0.75">
      <c r="G6233" s="10"/>
      <c r="H6233" s="10"/>
      <c r="I6233" s="39"/>
      <c r="J6233" s="103"/>
      <c r="K6233" s="39"/>
      <c r="L6233" s="78"/>
      <c r="M6233" s="19"/>
      <c r="N6233" s="10"/>
    </row>
    <row r="6234" spans="7:14" x14ac:dyDescent="0.75">
      <c r="G6234" s="10"/>
      <c r="H6234" s="10"/>
      <c r="I6234" s="39"/>
      <c r="J6234" s="103"/>
      <c r="K6234" s="39"/>
      <c r="L6234" s="78"/>
      <c r="M6234" s="19"/>
      <c r="N6234" s="10"/>
    </row>
    <row r="6235" spans="7:14" x14ac:dyDescent="0.75">
      <c r="G6235" s="10"/>
      <c r="H6235" s="10"/>
      <c r="I6235" s="39"/>
      <c r="J6235" s="103"/>
      <c r="K6235" s="39"/>
      <c r="L6235" s="78"/>
      <c r="M6235" s="19"/>
      <c r="N6235" s="10"/>
    </row>
    <row r="6236" spans="7:14" x14ac:dyDescent="0.75">
      <c r="G6236" s="10"/>
      <c r="H6236" s="10"/>
      <c r="I6236" s="39"/>
      <c r="J6236" s="103"/>
      <c r="K6236" s="39"/>
      <c r="L6236" s="10"/>
      <c r="M6236" s="19"/>
      <c r="N6236" s="10"/>
    </row>
    <row r="6237" spans="7:14" x14ac:dyDescent="0.75">
      <c r="G6237" s="10"/>
      <c r="H6237" s="10"/>
      <c r="I6237" s="39"/>
      <c r="J6237" s="103"/>
      <c r="K6237" s="39"/>
      <c r="L6237" s="78"/>
      <c r="M6237" s="19"/>
      <c r="N6237" s="10"/>
    </row>
    <row r="6238" spans="7:14" x14ac:dyDescent="0.75">
      <c r="G6238" s="10"/>
      <c r="H6238" s="10"/>
      <c r="I6238" s="39"/>
      <c r="J6238" s="103"/>
      <c r="K6238" s="39"/>
      <c r="L6238" s="78"/>
      <c r="M6238" s="19"/>
      <c r="N6238" s="10"/>
    </row>
    <row r="6239" spans="7:14" x14ac:dyDescent="0.75">
      <c r="G6239" s="10"/>
      <c r="H6239" s="10"/>
      <c r="I6239" s="39"/>
      <c r="J6239" s="103"/>
      <c r="K6239" s="39"/>
      <c r="L6239" s="78"/>
      <c r="M6239" s="19"/>
      <c r="N6239" s="10"/>
    </row>
    <row r="6240" spans="7:14" x14ac:dyDescent="0.75">
      <c r="G6240" s="10"/>
      <c r="H6240" s="10"/>
      <c r="I6240" s="39"/>
      <c r="J6240" s="103"/>
      <c r="K6240" s="39"/>
      <c r="L6240" s="78"/>
      <c r="M6240" s="19"/>
      <c r="N6240" s="10"/>
    </row>
    <row r="6241" spans="7:14" x14ac:dyDescent="0.75">
      <c r="G6241" s="10"/>
      <c r="H6241" s="10"/>
      <c r="I6241" s="39"/>
      <c r="J6241" s="103"/>
      <c r="K6241" s="39"/>
      <c r="L6241" s="78"/>
      <c r="M6241" s="19"/>
      <c r="N6241" s="10"/>
    </row>
    <row r="6242" spans="7:14" x14ac:dyDescent="0.75">
      <c r="G6242" s="10"/>
      <c r="H6242" s="10"/>
      <c r="I6242" s="39"/>
      <c r="J6242" s="103"/>
      <c r="K6242" s="39"/>
      <c r="L6242" s="78"/>
      <c r="M6242" s="19"/>
      <c r="N6242" s="10"/>
    </row>
    <row r="6243" spans="7:14" x14ac:dyDescent="0.75">
      <c r="G6243" s="10"/>
      <c r="H6243" s="10"/>
      <c r="I6243" s="39"/>
      <c r="J6243" s="103"/>
      <c r="K6243" s="39"/>
      <c r="L6243" s="78"/>
      <c r="M6243" s="19"/>
      <c r="N6243" s="10"/>
    </row>
    <row r="6244" spans="7:14" x14ac:dyDescent="0.75">
      <c r="G6244" s="10"/>
      <c r="H6244" s="10"/>
      <c r="I6244" s="39"/>
      <c r="J6244" s="103"/>
      <c r="K6244" s="39"/>
      <c r="L6244" s="78"/>
      <c r="M6244" s="19"/>
      <c r="N6244" s="10"/>
    </row>
    <row r="6245" spans="7:14" x14ac:dyDescent="0.75">
      <c r="G6245" s="10"/>
      <c r="H6245" s="10"/>
      <c r="I6245" s="39"/>
      <c r="J6245" s="103"/>
      <c r="K6245" s="39"/>
      <c r="L6245" s="78"/>
      <c r="M6245" s="19"/>
      <c r="N6245" s="10"/>
    </row>
    <row r="6246" spans="7:14" x14ac:dyDescent="0.75">
      <c r="G6246" s="10"/>
      <c r="H6246" s="10"/>
      <c r="I6246" s="39"/>
      <c r="J6246" s="103"/>
      <c r="K6246" s="39"/>
      <c r="L6246" s="78"/>
      <c r="M6246" s="19"/>
      <c r="N6246" s="10"/>
    </row>
    <row r="6247" spans="7:14" x14ac:dyDescent="0.75">
      <c r="G6247" s="10"/>
      <c r="H6247" s="10"/>
      <c r="I6247" s="39"/>
      <c r="J6247" s="103"/>
      <c r="K6247" s="39"/>
      <c r="L6247" s="78"/>
      <c r="M6247" s="19"/>
      <c r="N6247" s="10"/>
    </row>
    <row r="6248" spans="7:14" x14ac:dyDescent="0.75">
      <c r="G6248" s="10"/>
      <c r="H6248" s="10"/>
      <c r="I6248" s="39"/>
      <c r="J6248" s="103"/>
      <c r="K6248" s="39"/>
      <c r="L6248" s="78"/>
      <c r="M6248" s="19"/>
      <c r="N6248" s="10"/>
    </row>
    <row r="6249" spans="7:14" x14ac:dyDescent="0.75">
      <c r="G6249" s="10"/>
      <c r="H6249" s="10"/>
      <c r="I6249" s="39"/>
      <c r="J6249" s="103"/>
      <c r="K6249" s="39"/>
      <c r="L6249" s="78"/>
      <c r="M6249" s="19"/>
      <c r="N6249" s="10"/>
    </row>
    <row r="6250" spans="7:14" x14ac:dyDescent="0.75">
      <c r="G6250" s="10"/>
      <c r="H6250" s="10"/>
      <c r="I6250" s="39"/>
      <c r="J6250" s="103"/>
      <c r="K6250" s="39"/>
      <c r="L6250" s="10"/>
      <c r="M6250" s="19"/>
      <c r="N6250" s="10"/>
    </row>
    <row r="6251" spans="7:14" x14ac:dyDescent="0.75">
      <c r="G6251" s="10"/>
      <c r="H6251" s="10"/>
      <c r="I6251" s="39"/>
      <c r="J6251" s="103"/>
      <c r="K6251" s="39"/>
      <c r="L6251" s="10"/>
      <c r="M6251" s="19"/>
      <c r="N6251" s="10"/>
    </row>
    <row r="6252" spans="7:14" x14ac:dyDescent="0.75">
      <c r="G6252" s="10"/>
      <c r="H6252" s="10"/>
      <c r="I6252" s="39"/>
      <c r="J6252" s="103"/>
      <c r="K6252" s="39"/>
      <c r="L6252" s="10"/>
      <c r="M6252" s="19"/>
      <c r="N6252" s="10"/>
    </row>
    <row r="6253" spans="7:14" x14ac:dyDescent="0.75">
      <c r="G6253" s="10"/>
      <c r="H6253" s="10"/>
      <c r="I6253" s="39"/>
      <c r="J6253" s="103"/>
      <c r="K6253" s="39"/>
      <c r="L6253" s="10"/>
      <c r="M6253" s="19"/>
      <c r="N6253" s="10"/>
    </row>
    <row r="6254" spans="7:14" x14ac:dyDescent="0.75">
      <c r="G6254" s="10"/>
      <c r="H6254" s="10"/>
      <c r="I6254" s="39"/>
      <c r="J6254" s="103"/>
      <c r="K6254" s="39"/>
      <c r="L6254" s="78"/>
      <c r="M6254" s="19"/>
      <c r="N6254" s="10"/>
    </row>
    <row r="6255" spans="7:14" x14ac:dyDescent="0.75">
      <c r="G6255" s="10"/>
      <c r="H6255" s="10"/>
      <c r="I6255" s="39"/>
      <c r="J6255" s="103"/>
      <c r="K6255" s="39"/>
      <c r="L6255" s="78"/>
      <c r="M6255" s="19"/>
      <c r="N6255" s="10"/>
    </row>
    <row r="6256" spans="7:14" x14ac:dyDescent="0.75">
      <c r="G6256" s="10"/>
      <c r="H6256" s="10"/>
      <c r="I6256" s="39"/>
      <c r="J6256" s="103"/>
      <c r="K6256" s="39"/>
      <c r="L6256" s="78"/>
      <c r="M6256" s="19"/>
      <c r="N6256" s="10"/>
    </row>
    <row r="6257" spans="7:14" x14ac:dyDescent="0.75">
      <c r="G6257" s="10"/>
      <c r="H6257" s="10"/>
      <c r="I6257" s="39"/>
      <c r="J6257" s="103"/>
      <c r="K6257" s="39"/>
      <c r="L6257" s="78"/>
      <c r="M6257" s="19"/>
      <c r="N6257" s="10"/>
    </row>
    <row r="6258" spans="7:14" x14ac:dyDescent="0.75">
      <c r="G6258" s="10"/>
      <c r="H6258" s="10"/>
      <c r="I6258" s="39"/>
      <c r="J6258" s="103"/>
      <c r="K6258" s="39"/>
      <c r="L6258" s="78"/>
      <c r="M6258" s="19"/>
      <c r="N6258" s="10"/>
    </row>
    <row r="6259" spans="7:14" x14ac:dyDescent="0.75">
      <c r="G6259" s="10"/>
      <c r="H6259" s="10"/>
      <c r="I6259" s="39"/>
      <c r="J6259" s="103"/>
      <c r="K6259" s="39"/>
      <c r="L6259" s="78"/>
      <c r="M6259" s="19"/>
      <c r="N6259" s="10"/>
    </row>
    <row r="6260" spans="7:14" x14ac:dyDescent="0.75">
      <c r="G6260" s="10"/>
      <c r="H6260" s="10"/>
      <c r="I6260" s="39"/>
      <c r="J6260" s="103"/>
      <c r="K6260" s="39"/>
      <c r="L6260" s="78"/>
      <c r="M6260" s="19"/>
      <c r="N6260" s="10"/>
    </row>
    <row r="6261" spans="7:14" x14ac:dyDescent="0.75">
      <c r="G6261" s="10"/>
      <c r="H6261" s="10"/>
      <c r="I6261" s="39"/>
      <c r="J6261" s="103"/>
      <c r="K6261" s="39"/>
      <c r="L6261" s="78"/>
      <c r="M6261" s="19"/>
      <c r="N6261" s="10"/>
    </row>
    <row r="6262" spans="7:14" x14ac:dyDescent="0.75">
      <c r="G6262" s="10"/>
      <c r="H6262" s="10"/>
      <c r="I6262" s="39"/>
      <c r="J6262" s="103"/>
      <c r="K6262" s="39"/>
      <c r="L6262" s="78"/>
      <c r="M6262" s="19"/>
      <c r="N6262" s="10"/>
    </row>
    <row r="6263" spans="7:14" x14ac:dyDescent="0.75">
      <c r="G6263" s="10"/>
      <c r="H6263" s="10"/>
      <c r="I6263" s="39"/>
      <c r="J6263" s="103"/>
      <c r="K6263" s="39"/>
      <c r="L6263" s="78"/>
      <c r="M6263" s="19"/>
      <c r="N6263" s="10"/>
    </row>
    <row r="6264" spans="7:14" x14ac:dyDescent="0.75">
      <c r="G6264" s="10"/>
      <c r="H6264" s="10"/>
      <c r="I6264" s="39"/>
      <c r="J6264" s="103"/>
      <c r="K6264" s="39"/>
      <c r="L6264" s="78"/>
      <c r="M6264" s="19"/>
      <c r="N6264" s="10"/>
    </row>
    <row r="6265" spans="7:14" x14ac:dyDescent="0.75">
      <c r="G6265" s="10"/>
      <c r="H6265" s="10"/>
      <c r="I6265" s="39"/>
      <c r="J6265" s="103"/>
      <c r="K6265" s="39"/>
      <c r="L6265" s="78"/>
      <c r="M6265" s="19"/>
      <c r="N6265" s="10"/>
    </row>
    <row r="6266" spans="7:14" x14ac:dyDescent="0.75">
      <c r="G6266" s="10"/>
      <c r="H6266" s="10"/>
      <c r="I6266" s="39"/>
      <c r="J6266" s="103"/>
      <c r="K6266" s="39"/>
      <c r="L6266" s="78"/>
      <c r="M6266" s="19"/>
      <c r="N6266" s="10"/>
    </row>
    <row r="6267" spans="7:14" x14ac:dyDescent="0.75">
      <c r="G6267" s="10"/>
      <c r="H6267" s="10"/>
      <c r="I6267" s="39"/>
      <c r="J6267" s="103"/>
      <c r="K6267" s="39"/>
      <c r="L6267" s="78"/>
      <c r="M6267" s="19"/>
      <c r="N6267" s="10"/>
    </row>
    <row r="6268" spans="7:14" x14ac:dyDescent="0.75">
      <c r="G6268" s="10"/>
      <c r="H6268" s="10"/>
      <c r="I6268" s="39"/>
      <c r="J6268" s="103"/>
      <c r="K6268" s="39"/>
      <c r="L6268" s="78"/>
      <c r="M6268" s="19"/>
      <c r="N6268" s="10"/>
    </row>
    <row r="6269" spans="7:14" x14ac:dyDescent="0.75">
      <c r="G6269" s="10"/>
      <c r="H6269" s="10"/>
      <c r="I6269" s="39"/>
      <c r="J6269" s="103"/>
      <c r="K6269" s="39"/>
      <c r="L6269" s="78"/>
      <c r="M6269" s="19"/>
      <c r="N6269" s="10"/>
    </row>
    <row r="6270" spans="7:14" x14ac:dyDescent="0.75">
      <c r="G6270" s="10"/>
      <c r="H6270" s="10"/>
      <c r="I6270" s="39"/>
      <c r="J6270" s="103"/>
      <c r="K6270" s="39"/>
      <c r="L6270" s="10"/>
      <c r="M6270" s="19"/>
      <c r="N6270" s="10"/>
    </row>
    <row r="6271" spans="7:14" x14ac:dyDescent="0.75">
      <c r="G6271" s="10"/>
      <c r="H6271" s="10"/>
      <c r="I6271" s="39"/>
      <c r="J6271" s="103"/>
      <c r="K6271" s="39"/>
      <c r="L6271" s="78"/>
      <c r="M6271" s="19"/>
      <c r="N6271" s="10"/>
    </row>
    <row r="6272" spans="7:14" x14ac:dyDescent="0.75">
      <c r="G6272" s="10"/>
      <c r="H6272" s="10"/>
      <c r="I6272" s="39"/>
      <c r="J6272" s="103"/>
      <c r="K6272" s="39"/>
      <c r="L6272" s="78"/>
      <c r="M6272" s="19"/>
      <c r="N6272" s="10"/>
    </row>
    <row r="6273" spans="7:14" x14ac:dyDescent="0.75">
      <c r="G6273" s="10"/>
      <c r="H6273" s="10"/>
      <c r="I6273" s="39"/>
      <c r="J6273" s="103"/>
      <c r="K6273" s="39"/>
      <c r="L6273" s="78"/>
      <c r="M6273" s="19"/>
      <c r="N6273" s="10"/>
    </row>
    <row r="6274" spans="7:14" x14ac:dyDescent="0.75">
      <c r="G6274" s="10"/>
      <c r="H6274" s="10"/>
      <c r="I6274" s="39"/>
      <c r="J6274" s="103"/>
      <c r="K6274" s="39"/>
      <c r="L6274" s="78"/>
      <c r="M6274" s="19"/>
      <c r="N6274" s="10"/>
    </row>
    <row r="6275" spans="7:14" x14ac:dyDescent="0.75">
      <c r="G6275" s="10"/>
      <c r="H6275" s="10"/>
      <c r="I6275" s="39"/>
      <c r="J6275" s="103"/>
      <c r="K6275" s="39"/>
      <c r="L6275" s="78"/>
      <c r="M6275" s="19"/>
      <c r="N6275" s="10"/>
    </row>
    <row r="6276" spans="7:14" x14ac:dyDescent="0.75">
      <c r="G6276" s="10"/>
      <c r="H6276" s="10"/>
      <c r="I6276" s="39"/>
      <c r="J6276" s="103"/>
      <c r="K6276" s="39"/>
      <c r="L6276" s="78"/>
      <c r="M6276" s="19"/>
      <c r="N6276" s="10"/>
    </row>
    <row r="6277" spans="7:14" x14ac:dyDescent="0.75">
      <c r="G6277" s="10"/>
      <c r="H6277" s="10"/>
      <c r="I6277" s="39"/>
      <c r="J6277" s="103"/>
      <c r="K6277" s="39"/>
      <c r="L6277" s="78"/>
      <c r="M6277" s="19"/>
      <c r="N6277" s="10"/>
    </row>
    <row r="6278" spans="7:14" x14ac:dyDescent="0.75">
      <c r="G6278" s="10"/>
      <c r="H6278" s="10"/>
      <c r="I6278" s="39"/>
      <c r="J6278" s="103"/>
      <c r="K6278" s="39"/>
      <c r="L6278" s="78"/>
      <c r="M6278" s="19"/>
      <c r="N6278" s="10"/>
    </row>
    <row r="6279" spans="7:14" x14ac:dyDescent="0.75">
      <c r="G6279" s="10"/>
      <c r="H6279" s="10"/>
      <c r="I6279" s="39"/>
      <c r="J6279" s="103"/>
      <c r="K6279" s="39"/>
      <c r="L6279" s="78"/>
      <c r="M6279" s="19"/>
      <c r="N6279" s="10"/>
    </row>
    <row r="6280" spans="7:14" x14ac:dyDescent="0.75">
      <c r="G6280" s="10"/>
      <c r="H6280" s="10"/>
      <c r="I6280" s="39"/>
      <c r="J6280" s="103"/>
      <c r="K6280" s="39"/>
      <c r="L6280" s="78"/>
      <c r="M6280" s="19"/>
      <c r="N6280" s="10"/>
    </row>
    <row r="6281" spans="7:14" x14ac:dyDescent="0.75">
      <c r="G6281" s="10"/>
      <c r="H6281" s="10"/>
      <c r="I6281" s="39"/>
      <c r="J6281" s="103"/>
      <c r="K6281" s="39"/>
      <c r="L6281" s="78"/>
      <c r="M6281" s="19"/>
      <c r="N6281" s="10"/>
    </row>
    <row r="6282" spans="7:14" x14ac:dyDescent="0.75">
      <c r="G6282" s="10"/>
      <c r="H6282" s="10"/>
      <c r="I6282" s="39"/>
      <c r="J6282" s="103"/>
      <c r="K6282" s="39"/>
      <c r="L6282" s="78"/>
      <c r="M6282" s="19"/>
      <c r="N6282" s="10"/>
    </row>
    <row r="6283" spans="7:14" x14ac:dyDescent="0.75">
      <c r="G6283" s="10"/>
      <c r="H6283" s="10"/>
      <c r="I6283" s="39"/>
      <c r="J6283" s="103"/>
      <c r="K6283" s="39"/>
      <c r="L6283" s="78"/>
      <c r="M6283" s="19"/>
      <c r="N6283" s="10"/>
    </row>
    <row r="6284" spans="7:14" x14ac:dyDescent="0.75">
      <c r="G6284" s="10"/>
      <c r="H6284" s="10"/>
      <c r="I6284" s="39"/>
      <c r="J6284" s="103"/>
      <c r="K6284" s="39"/>
      <c r="L6284" s="78"/>
      <c r="M6284" s="19"/>
      <c r="N6284" s="10"/>
    </row>
    <row r="6285" spans="7:14" x14ac:dyDescent="0.75">
      <c r="G6285" s="10"/>
      <c r="H6285" s="10"/>
      <c r="I6285" s="39"/>
      <c r="J6285" s="103"/>
      <c r="K6285" s="39"/>
      <c r="L6285" s="78"/>
      <c r="M6285" s="19"/>
      <c r="N6285" s="10"/>
    </row>
    <row r="6286" spans="7:14" x14ac:dyDescent="0.75">
      <c r="G6286" s="10"/>
      <c r="H6286" s="10"/>
      <c r="I6286" s="39"/>
      <c r="J6286" s="103"/>
      <c r="K6286" s="39"/>
      <c r="L6286" s="78"/>
      <c r="M6286" s="19"/>
      <c r="N6286" s="10"/>
    </row>
    <row r="6287" spans="7:14" x14ac:dyDescent="0.75">
      <c r="G6287" s="10"/>
      <c r="H6287" s="10"/>
      <c r="I6287" s="39"/>
      <c r="J6287" s="103"/>
      <c r="K6287" s="39"/>
      <c r="L6287" s="78"/>
      <c r="M6287" s="19"/>
      <c r="N6287" s="10"/>
    </row>
    <row r="6288" spans="7:14" x14ac:dyDescent="0.75">
      <c r="G6288" s="10"/>
      <c r="H6288" s="10"/>
      <c r="I6288" s="39"/>
      <c r="J6288" s="103"/>
      <c r="K6288" s="39"/>
      <c r="L6288" s="78"/>
      <c r="M6288" s="19"/>
      <c r="N6288" s="10"/>
    </row>
    <row r="6289" spans="7:14" x14ac:dyDescent="0.75">
      <c r="G6289" s="10"/>
      <c r="H6289" s="10"/>
      <c r="I6289" s="39"/>
      <c r="J6289" s="103"/>
      <c r="K6289" s="39"/>
      <c r="L6289" s="78"/>
      <c r="M6289" s="19"/>
      <c r="N6289" s="10"/>
    </row>
    <row r="6290" spans="7:14" x14ac:dyDescent="0.75">
      <c r="G6290" s="10"/>
      <c r="H6290" s="10"/>
      <c r="I6290" s="39"/>
      <c r="J6290" s="103"/>
      <c r="K6290" s="39"/>
      <c r="L6290" s="78"/>
      <c r="M6290" s="19"/>
      <c r="N6290" s="10"/>
    </row>
    <row r="6291" spans="7:14" x14ac:dyDescent="0.75">
      <c r="G6291" s="10"/>
      <c r="H6291" s="10"/>
      <c r="I6291" s="39"/>
      <c r="J6291" s="103"/>
      <c r="K6291" s="39"/>
      <c r="L6291" s="78"/>
      <c r="M6291" s="19"/>
      <c r="N6291" s="10"/>
    </row>
    <row r="6292" spans="7:14" x14ac:dyDescent="0.75">
      <c r="G6292" s="10"/>
      <c r="H6292" s="10"/>
      <c r="I6292" s="39"/>
      <c r="J6292" s="103"/>
      <c r="K6292" s="39"/>
      <c r="L6292" s="78"/>
      <c r="M6292" s="19"/>
      <c r="N6292" s="10"/>
    </row>
    <row r="6293" spans="7:14" x14ac:dyDescent="0.75">
      <c r="G6293" s="10"/>
      <c r="H6293" s="10"/>
      <c r="I6293" s="39"/>
      <c r="J6293" s="103"/>
      <c r="K6293" s="39"/>
      <c r="L6293" s="78"/>
      <c r="M6293" s="19"/>
      <c r="N6293" s="10"/>
    </row>
    <row r="6294" spans="7:14" x14ac:dyDescent="0.75">
      <c r="G6294" s="10"/>
      <c r="H6294" s="10"/>
      <c r="I6294" s="39"/>
      <c r="J6294" s="103"/>
      <c r="K6294" s="39"/>
      <c r="L6294" s="78"/>
      <c r="M6294" s="19"/>
      <c r="N6294" s="10"/>
    </row>
    <row r="6295" spans="7:14" x14ac:dyDescent="0.75">
      <c r="G6295" s="10"/>
      <c r="H6295" s="10"/>
      <c r="I6295" s="39"/>
      <c r="J6295" s="103"/>
      <c r="K6295" s="39"/>
      <c r="L6295" s="78"/>
      <c r="M6295" s="19"/>
      <c r="N6295" s="10"/>
    </row>
    <row r="6296" spans="7:14" x14ac:dyDescent="0.75">
      <c r="G6296" s="10"/>
      <c r="H6296" s="10"/>
      <c r="I6296" s="39"/>
      <c r="J6296" s="103"/>
      <c r="K6296" s="39"/>
      <c r="L6296" s="78"/>
      <c r="M6296" s="19"/>
      <c r="N6296" s="10"/>
    </row>
    <row r="6297" spans="7:14" x14ac:dyDescent="0.75">
      <c r="G6297" s="10"/>
      <c r="H6297" s="10"/>
      <c r="I6297" s="39"/>
      <c r="J6297" s="103"/>
      <c r="K6297" s="39"/>
      <c r="L6297" s="78"/>
      <c r="M6297" s="19"/>
      <c r="N6297" s="10"/>
    </row>
    <row r="6298" spans="7:14" x14ac:dyDescent="0.75">
      <c r="G6298" s="10"/>
      <c r="H6298" s="10"/>
      <c r="I6298" s="39"/>
      <c r="J6298" s="103"/>
      <c r="K6298" s="39"/>
      <c r="L6298" s="78"/>
      <c r="M6298" s="19"/>
      <c r="N6298" s="10"/>
    </row>
    <row r="6299" spans="7:14" x14ac:dyDescent="0.75">
      <c r="G6299" s="10"/>
      <c r="H6299" s="10"/>
      <c r="I6299" s="39"/>
      <c r="J6299" s="103"/>
      <c r="K6299" s="39"/>
      <c r="L6299" s="78"/>
      <c r="M6299" s="19"/>
      <c r="N6299" s="10"/>
    </row>
    <row r="6300" spans="7:14" x14ac:dyDescent="0.75">
      <c r="G6300" s="10"/>
      <c r="H6300" s="10"/>
      <c r="I6300" s="39"/>
      <c r="J6300" s="103"/>
      <c r="K6300" s="39"/>
      <c r="L6300" s="78"/>
      <c r="M6300" s="19"/>
      <c r="N6300" s="10"/>
    </row>
    <row r="6301" spans="7:14" x14ac:dyDescent="0.75">
      <c r="G6301" s="10"/>
      <c r="H6301" s="10"/>
      <c r="I6301" s="39"/>
      <c r="J6301" s="103"/>
      <c r="K6301" s="39"/>
      <c r="L6301" s="78"/>
      <c r="M6301" s="19"/>
      <c r="N6301" s="10"/>
    </row>
    <row r="6302" spans="7:14" x14ac:dyDescent="0.75">
      <c r="G6302" s="10"/>
      <c r="H6302" s="10"/>
      <c r="I6302" s="39"/>
      <c r="J6302" s="103"/>
      <c r="K6302" s="39"/>
      <c r="L6302" s="78"/>
      <c r="M6302" s="19"/>
      <c r="N6302" s="10"/>
    </row>
    <row r="6303" spans="7:14" x14ac:dyDescent="0.75">
      <c r="G6303" s="10"/>
      <c r="H6303" s="10"/>
      <c r="I6303" s="39"/>
      <c r="J6303" s="103"/>
      <c r="K6303" s="39"/>
      <c r="L6303" s="78"/>
      <c r="M6303" s="19"/>
      <c r="N6303" s="10"/>
    </row>
    <row r="6304" spans="7:14" x14ac:dyDescent="0.75">
      <c r="G6304" s="10"/>
      <c r="H6304" s="10"/>
      <c r="I6304" s="39"/>
      <c r="J6304" s="103"/>
      <c r="K6304" s="39"/>
      <c r="L6304" s="10"/>
      <c r="M6304" s="19"/>
      <c r="N6304" s="10"/>
    </row>
    <row r="6305" spans="7:14" x14ac:dyDescent="0.75">
      <c r="G6305" s="10"/>
      <c r="H6305" s="10"/>
      <c r="I6305" s="39"/>
      <c r="J6305" s="103"/>
      <c r="K6305" s="39"/>
      <c r="L6305" s="78"/>
      <c r="M6305" s="19"/>
      <c r="N6305" s="10"/>
    </row>
    <row r="6306" spans="7:14" x14ac:dyDescent="0.75">
      <c r="G6306" s="10"/>
      <c r="H6306" s="10"/>
      <c r="I6306" s="39"/>
      <c r="J6306" s="103"/>
      <c r="K6306" s="39"/>
      <c r="L6306" s="78"/>
      <c r="M6306" s="19"/>
      <c r="N6306" s="10"/>
    </row>
    <row r="6307" spans="7:14" x14ac:dyDescent="0.75">
      <c r="G6307" s="10"/>
      <c r="H6307" s="10"/>
      <c r="I6307" s="39"/>
      <c r="J6307" s="103"/>
      <c r="K6307" s="39"/>
      <c r="L6307" s="78"/>
      <c r="M6307" s="19"/>
      <c r="N6307" s="10"/>
    </row>
    <row r="6308" spans="7:14" x14ac:dyDescent="0.75">
      <c r="G6308" s="10"/>
      <c r="H6308" s="10"/>
      <c r="I6308" s="39"/>
      <c r="J6308" s="103"/>
      <c r="K6308" s="39"/>
      <c r="L6308" s="78"/>
      <c r="M6308" s="19"/>
      <c r="N6308" s="10"/>
    </row>
    <row r="6309" spans="7:14" x14ac:dyDescent="0.75">
      <c r="G6309" s="10"/>
      <c r="H6309" s="10"/>
      <c r="I6309" s="39"/>
      <c r="J6309" s="103"/>
      <c r="K6309" s="39"/>
      <c r="L6309" s="78"/>
      <c r="M6309" s="19"/>
      <c r="N6309" s="10"/>
    </row>
    <row r="6310" spans="7:14" x14ac:dyDescent="0.75">
      <c r="G6310" s="10"/>
      <c r="H6310" s="10"/>
      <c r="I6310" s="39"/>
      <c r="J6310" s="103"/>
      <c r="K6310" s="39"/>
      <c r="L6310" s="78"/>
      <c r="M6310" s="19"/>
      <c r="N6310" s="10"/>
    </row>
    <row r="6311" spans="7:14" x14ac:dyDescent="0.75">
      <c r="G6311" s="10"/>
      <c r="H6311" s="10"/>
      <c r="I6311" s="39"/>
      <c r="J6311" s="103"/>
      <c r="K6311" s="39"/>
      <c r="L6311" s="78"/>
      <c r="M6311" s="19"/>
      <c r="N6311" s="10"/>
    </row>
    <row r="6312" spans="7:14" x14ac:dyDescent="0.75">
      <c r="G6312" s="10"/>
      <c r="H6312" s="10"/>
      <c r="I6312" s="39"/>
      <c r="J6312" s="103"/>
      <c r="K6312" s="39"/>
      <c r="L6312" s="78"/>
      <c r="M6312" s="19"/>
      <c r="N6312" s="10"/>
    </row>
    <row r="6313" spans="7:14" x14ac:dyDescent="0.75">
      <c r="G6313" s="10"/>
      <c r="H6313" s="10"/>
      <c r="I6313" s="39"/>
      <c r="J6313" s="103"/>
      <c r="K6313" s="39"/>
      <c r="L6313" s="78"/>
      <c r="M6313" s="19"/>
      <c r="N6313" s="10"/>
    </row>
    <row r="6314" spans="7:14" x14ac:dyDescent="0.75">
      <c r="G6314" s="10"/>
      <c r="H6314" s="10"/>
      <c r="I6314" s="39"/>
      <c r="J6314" s="103"/>
      <c r="K6314" s="39"/>
      <c r="L6314" s="78"/>
      <c r="M6314" s="19"/>
      <c r="N6314" s="10"/>
    </row>
    <row r="6315" spans="7:14" x14ac:dyDescent="0.75">
      <c r="G6315" s="10"/>
      <c r="H6315" s="10"/>
      <c r="I6315" s="39"/>
      <c r="J6315" s="103"/>
      <c r="K6315" s="39"/>
      <c r="L6315" s="78"/>
      <c r="M6315" s="19"/>
      <c r="N6315" s="10"/>
    </row>
    <row r="6316" spans="7:14" x14ac:dyDescent="0.75">
      <c r="G6316" s="10"/>
      <c r="H6316" s="10"/>
      <c r="I6316" s="39"/>
      <c r="J6316" s="103"/>
      <c r="K6316" s="39"/>
      <c r="L6316" s="78"/>
      <c r="M6316" s="19"/>
      <c r="N6316" s="10"/>
    </row>
    <row r="6317" spans="7:14" x14ac:dyDescent="0.75">
      <c r="G6317" s="10"/>
      <c r="H6317" s="10"/>
      <c r="I6317" s="39"/>
      <c r="J6317" s="103"/>
      <c r="K6317" s="39"/>
      <c r="L6317" s="78"/>
      <c r="M6317" s="19"/>
      <c r="N6317" s="10"/>
    </row>
    <row r="6318" spans="7:14" x14ac:dyDescent="0.75">
      <c r="G6318" s="10"/>
      <c r="H6318" s="10"/>
      <c r="I6318" s="39"/>
      <c r="J6318" s="103"/>
      <c r="K6318" s="39"/>
      <c r="L6318" s="78"/>
      <c r="M6318" s="19"/>
      <c r="N6318" s="10"/>
    </row>
    <row r="6319" spans="7:14" x14ac:dyDescent="0.75">
      <c r="G6319" s="10"/>
      <c r="H6319" s="10"/>
      <c r="I6319" s="39"/>
      <c r="J6319" s="103"/>
      <c r="K6319" s="39"/>
      <c r="L6319" s="78"/>
      <c r="M6319" s="19"/>
      <c r="N6319" s="10"/>
    </row>
    <row r="6320" spans="7:14" x14ac:dyDescent="0.75">
      <c r="G6320" s="10"/>
      <c r="H6320" s="10"/>
      <c r="I6320" s="39"/>
      <c r="J6320" s="103"/>
      <c r="K6320" s="39"/>
      <c r="L6320" s="78"/>
      <c r="M6320" s="19"/>
      <c r="N6320" s="10"/>
    </row>
    <row r="6321" spans="7:14" x14ac:dyDescent="0.75">
      <c r="G6321" s="10"/>
      <c r="H6321" s="10"/>
      <c r="I6321" s="39"/>
      <c r="J6321" s="103"/>
      <c r="K6321" s="39"/>
      <c r="L6321" s="78"/>
      <c r="M6321" s="19"/>
      <c r="N6321" s="10"/>
    </row>
    <row r="6322" spans="7:14" x14ac:dyDescent="0.75">
      <c r="G6322" s="10"/>
      <c r="H6322" s="10"/>
      <c r="I6322" s="39"/>
      <c r="J6322" s="103"/>
      <c r="K6322" s="39"/>
      <c r="L6322" s="78"/>
      <c r="M6322" s="19"/>
      <c r="N6322" s="10"/>
    </row>
    <row r="6323" spans="7:14" x14ac:dyDescent="0.75">
      <c r="G6323" s="10"/>
      <c r="H6323" s="10"/>
      <c r="I6323" s="39"/>
      <c r="J6323" s="103"/>
      <c r="K6323" s="39"/>
      <c r="L6323" s="78"/>
      <c r="M6323" s="19"/>
      <c r="N6323" s="10"/>
    </row>
    <row r="6324" spans="7:14" x14ac:dyDescent="0.75">
      <c r="G6324" s="10"/>
      <c r="H6324" s="10"/>
      <c r="I6324" s="39"/>
      <c r="J6324" s="103"/>
      <c r="K6324" s="39"/>
      <c r="L6324" s="78"/>
      <c r="M6324" s="19"/>
      <c r="N6324" s="10"/>
    </row>
    <row r="6325" spans="7:14" x14ac:dyDescent="0.75">
      <c r="G6325" s="10"/>
      <c r="H6325" s="10"/>
      <c r="I6325" s="39"/>
      <c r="J6325" s="103"/>
      <c r="K6325" s="39"/>
      <c r="L6325" s="78"/>
      <c r="M6325" s="19"/>
      <c r="N6325" s="10"/>
    </row>
    <row r="6326" spans="7:14" x14ac:dyDescent="0.75">
      <c r="G6326" s="10"/>
      <c r="H6326" s="10"/>
      <c r="I6326" s="39"/>
      <c r="J6326" s="103"/>
      <c r="K6326" s="39"/>
      <c r="L6326" s="78"/>
      <c r="M6326" s="19"/>
      <c r="N6326" s="10"/>
    </row>
    <row r="6327" spans="7:14" x14ac:dyDescent="0.75">
      <c r="G6327" s="10"/>
      <c r="H6327" s="10"/>
      <c r="I6327" s="39"/>
      <c r="J6327" s="103"/>
      <c r="K6327" s="39"/>
      <c r="L6327" s="78"/>
      <c r="M6327" s="19"/>
      <c r="N6327" s="10"/>
    </row>
    <row r="6328" spans="7:14" x14ac:dyDescent="0.75">
      <c r="G6328" s="10"/>
      <c r="H6328" s="10"/>
      <c r="I6328" s="39"/>
      <c r="J6328" s="103"/>
      <c r="K6328" s="39"/>
      <c r="L6328" s="78"/>
      <c r="M6328" s="19"/>
      <c r="N6328" s="10"/>
    </row>
    <row r="6329" spans="7:14" x14ac:dyDescent="0.75">
      <c r="G6329" s="10"/>
      <c r="H6329" s="10"/>
      <c r="I6329" s="39"/>
      <c r="J6329" s="103"/>
      <c r="K6329" s="39"/>
      <c r="L6329" s="78"/>
      <c r="M6329" s="19"/>
      <c r="N6329" s="10"/>
    </row>
    <row r="6330" spans="7:14" x14ac:dyDescent="0.75">
      <c r="G6330" s="10"/>
      <c r="H6330" s="10"/>
      <c r="I6330" s="39"/>
      <c r="J6330" s="103"/>
      <c r="K6330" s="39"/>
      <c r="L6330" s="78"/>
      <c r="M6330" s="19"/>
      <c r="N6330" s="10"/>
    </row>
    <row r="6331" spans="7:14" x14ac:dyDescent="0.75">
      <c r="G6331" s="10"/>
      <c r="H6331" s="10"/>
      <c r="I6331" s="39"/>
      <c r="J6331" s="103"/>
      <c r="K6331" s="39"/>
      <c r="L6331" s="10"/>
      <c r="M6331" s="19"/>
      <c r="N6331" s="10"/>
    </row>
    <row r="6332" spans="7:14" x14ac:dyDescent="0.75">
      <c r="G6332" s="10"/>
      <c r="H6332" s="10"/>
      <c r="I6332" s="39"/>
      <c r="J6332" s="103"/>
      <c r="K6332" s="39"/>
      <c r="L6332" s="78"/>
      <c r="M6332" s="19"/>
      <c r="N6332" s="10"/>
    </row>
    <row r="6333" spans="7:14" x14ac:dyDescent="0.75">
      <c r="G6333" s="10"/>
      <c r="H6333" s="10"/>
      <c r="I6333" s="39"/>
      <c r="J6333" s="103"/>
      <c r="K6333" s="39"/>
      <c r="L6333" s="78"/>
      <c r="M6333" s="19"/>
      <c r="N6333" s="10"/>
    </row>
    <row r="6334" spans="7:14" x14ac:dyDescent="0.75">
      <c r="G6334" s="10"/>
      <c r="H6334" s="10"/>
      <c r="I6334" s="39"/>
      <c r="J6334" s="103"/>
      <c r="K6334" s="39"/>
      <c r="L6334" s="10"/>
      <c r="M6334" s="19"/>
      <c r="N6334" s="10"/>
    </row>
    <row r="6335" spans="7:14" x14ac:dyDescent="0.75">
      <c r="G6335" s="10"/>
      <c r="H6335" s="10"/>
      <c r="I6335" s="39"/>
      <c r="J6335" s="103"/>
      <c r="K6335" s="39"/>
      <c r="L6335" s="78"/>
      <c r="M6335" s="19"/>
      <c r="N6335" s="10"/>
    </row>
    <row r="6336" spans="7:14" x14ac:dyDescent="0.75">
      <c r="G6336" s="10"/>
      <c r="H6336" s="10"/>
      <c r="I6336" s="39"/>
      <c r="J6336" s="103"/>
      <c r="K6336" s="39"/>
      <c r="L6336" s="78"/>
      <c r="M6336" s="19"/>
      <c r="N6336" s="10"/>
    </row>
    <row r="6337" spans="7:14" x14ac:dyDescent="0.75">
      <c r="G6337" s="10"/>
      <c r="H6337" s="10"/>
      <c r="I6337" s="39"/>
      <c r="J6337" s="103"/>
      <c r="K6337" s="39"/>
      <c r="L6337" s="78"/>
      <c r="M6337" s="19"/>
      <c r="N6337" s="10"/>
    </row>
    <row r="6338" spans="7:14" x14ac:dyDescent="0.75">
      <c r="G6338" s="10"/>
      <c r="H6338" s="10"/>
      <c r="I6338" s="39"/>
      <c r="J6338" s="103"/>
      <c r="K6338" s="39"/>
      <c r="L6338" s="78"/>
      <c r="M6338" s="19"/>
      <c r="N6338" s="10"/>
    </row>
    <row r="6339" spans="7:14" x14ac:dyDescent="0.75">
      <c r="G6339" s="10"/>
      <c r="H6339" s="10"/>
      <c r="I6339" s="39"/>
      <c r="J6339" s="103"/>
      <c r="K6339" s="39"/>
      <c r="L6339" s="78"/>
      <c r="M6339" s="19"/>
      <c r="N6339" s="10"/>
    </row>
    <row r="6340" spans="7:14" x14ac:dyDescent="0.75">
      <c r="G6340" s="10"/>
      <c r="H6340" s="10"/>
      <c r="I6340" s="39"/>
      <c r="J6340" s="103"/>
      <c r="K6340" s="39"/>
      <c r="L6340" s="78"/>
      <c r="M6340" s="19"/>
      <c r="N6340" s="10"/>
    </row>
    <row r="6341" spans="7:14" x14ac:dyDescent="0.75">
      <c r="G6341" s="10"/>
      <c r="H6341" s="10"/>
      <c r="I6341" s="39"/>
      <c r="J6341" s="103"/>
      <c r="K6341" s="39"/>
      <c r="L6341" s="78"/>
      <c r="M6341" s="19"/>
      <c r="N6341" s="10"/>
    </row>
    <row r="6342" spans="7:14" x14ac:dyDescent="0.75">
      <c r="G6342" s="10"/>
      <c r="H6342" s="10"/>
      <c r="I6342" s="39"/>
      <c r="J6342" s="103"/>
      <c r="K6342" s="39"/>
      <c r="L6342" s="78"/>
      <c r="M6342" s="19"/>
      <c r="N6342" s="10"/>
    </row>
    <row r="6343" spans="7:14" x14ac:dyDescent="0.75">
      <c r="G6343" s="10"/>
      <c r="H6343" s="10"/>
      <c r="I6343" s="39"/>
      <c r="J6343" s="103"/>
      <c r="K6343" s="39"/>
      <c r="L6343" s="78"/>
      <c r="M6343" s="19"/>
      <c r="N6343" s="10"/>
    </row>
    <row r="6344" spans="7:14" x14ac:dyDescent="0.75">
      <c r="G6344" s="10"/>
      <c r="H6344" s="10"/>
      <c r="I6344" s="39"/>
      <c r="J6344" s="103"/>
      <c r="K6344" s="39"/>
      <c r="L6344" s="78"/>
      <c r="M6344" s="19"/>
      <c r="N6344" s="10"/>
    </row>
    <row r="6345" spans="7:14" x14ac:dyDescent="0.75">
      <c r="G6345" s="10"/>
      <c r="H6345" s="10"/>
      <c r="I6345" s="39"/>
      <c r="J6345" s="103"/>
      <c r="K6345" s="39"/>
      <c r="L6345" s="78"/>
      <c r="M6345" s="19"/>
      <c r="N6345" s="10"/>
    </row>
    <row r="6346" spans="7:14" x14ac:dyDescent="0.75">
      <c r="G6346" s="10"/>
      <c r="H6346" s="10"/>
      <c r="I6346" s="39"/>
      <c r="J6346" s="103"/>
      <c r="K6346" s="39"/>
      <c r="L6346" s="78"/>
      <c r="M6346" s="19"/>
      <c r="N6346" s="10"/>
    </row>
    <row r="6347" spans="7:14" x14ac:dyDescent="0.75">
      <c r="G6347" s="10"/>
      <c r="H6347" s="10"/>
      <c r="I6347" s="39"/>
      <c r="J6347" s="103"/>
      <c r="K6347" s="39"/>
      <c r="L6347" s="10"/>
      <c r="M6347" s="19"/>
      <c r="N6347" s="10"/>
    </row>
    <row r="6348" spans="7:14" x14ac:dyDescent="0.75">
      <c r="G6348" s="10"/>
      <c r="H6348" s="10"/>
      <c r="I6348" s="39"/>
      <c r="J6348" s="103"/>
      <c r="K6348" s="39"/>
      <c r="L6348" s="78"/>
      <c r="M6348" s="19"/>
      <c r="N6348" s="10"/>
    </row>
    <row r="6349" spans="7:14" x14ac:dyDescent="0.75">
      <c r="G6349" s="10"/>
      <c r="H6349" s="10"/>
      <c r="I6349" s="39"/>
      <c r="J6349" s="103"/>
      <c r="K6349" s="39"/>
      <c r="L6349" s="78"/>
      <c r="M6349" s="19"/>
      <c r="N6349" s="10"/>
    </row>
    <row r="6350" spans="7:14" x14ac:dyDescent="0.75">
      <c r="G6350" s="10"/>
      <c r="H6350" s="10"/>
      <c r="I6350" s="39"/>
      <c r="J6350" s="103"/>
      <c r="K6350" s="39"/>
      <c r="L6350" s="78"/>
      <c r="M6350" s="19"/>
      <c r="N6350" s="10"/>
    </row>
    <row r="6351" spans="7:14" x14ac:dyDescent="0.75">
      <c r="G6351" s="10"/>
      <c r="H6351" s="10"/>
      <c r="I6351" s="39"/>
      <c r="J6351" s="103"/>
      <c r="K6351" s="39"/>
      <c r="L6351" s="78"/>
      <c r="M6351" s="19"/>
      <c r="N6351" s="10"/>
    </row>
    <row r="6352" spans="7:14" x14ac:dyDescent="0.75">
      <c r="G6352" s="10"/>
      <c r="H6352" s="10"/>
      <c r="I6352" s="39"/>
      <c r="J6352" s="103"/>
      <c r="K6352" s="39"/>
      <c r="L6352" s="78"/>
      <c r="M6352" s="19"/>
      <c r="N6352" s="10"/>
    </row>
    <row r="6353" spans="7:14" x14ac:dyDescent="0.75">
      <c r="G6353" s="10"/>
      <c r="H6353" s="10"/>
      <c r="I6353" s="39"/>
      <c r="J6353" s="103"/>
      <c r="K6353" s="39"/>
      <c r="L6353" s="78"/>
      <c r="M6353" s="19"/>
      <c r="N6353" s="10"/>
    </row>
    <row r="6354" spans="7:14" x14ac:dyDescent="0.75">
      <c r="G6354" s="10"/>
      <c r="H6354" s="10"/>
      <c r="I6354" s="39"/>
      <c r="J6354" s="103"/>
      <c r="K6354" s="39"/>
      <c r="L6354" s="78"/>
      <c r="M6354" s="19"/>
      <c r="N6354" s="10"/>
    </row>
    <row r="6355" spans="7:14" x14ac:dyDescent="0.75">
      <c r="G6355" s="10"/>
      <c r="H6355" s="10"/>
      <c r="I6355" s="39"/>
      <c r="J6355" s="103"/>
      <c r="K6355" s="39"/>
      <c r="L6355" s="78"/>
      <c r="M6355" s="19"/>
      <c r="N6355" s="10"/>
    </row>
    <row r="6356" spans="7:14" x14ac:dyDescent="0.75">
      <c r="G6356" s="10"/>
      <c r="H6356" s="10"/>
      <c r="I6356" s="39"/>
      <c r="J6356" s="103"/>
      <c r="K6356" s="39"/>
      <c r="L6356" s="78"/>
      <c r="M6356" s="19"/>
      <c r="N6356" s="10"/>
    </row>
    <row r="6357" spans="7:14" x14ac:dyDescent="0.75">
      <c r="G6357" s="10"/>
      <c r="H6357" s="10"/>
      <c r="I6357" s="39"/>
      <c r="J6357" s="103"/>
      <c r="K6357" s="39"/>
      <c r="L6357" s="78"/>
      <c r="M6357" s="19"/>
      <c r="N6357" s="10"/>
    </row>
    <row r="6358" spans="7:14" x14ac:dyDescent="0.75">
      <c r="G6358" s="10"/>
      <c r="H6358" s="10"/>
      <c r="I6358" s="39"/>
      <c r="J6358" s="103"/>
      <c r="K6358" s="39"/>
      <c r="L6358" s="78"/>
      <c r="M6358" s="19"/>
      <c r="N6358" s="10"/>
    </row>
    <row r="6359" spans="7:14" x14ac:dyDescent="0.75">
      <c r="G6359" s="10"/>
      <c r="H6359" s="10"/>
      <c r="I6359" s="39"/>
      <c r="J6359" s="103"/>
      <c r="K6359" s="39"/>
      <c r="L6359" s="78"/>
      <c r="M6359" s="19"/>
      <c r="N6359" s="10"/>
    </row>
    <row r="6360" spans="7:14" x14ac:dyDescent="0.75">
      <c r="G6360" s="10"/>
      <c r="H6360" s="10"/>
      <c r="I6360" s="39"/>
      <c r="J6360" s="103"/>
      <c r="K6360" s="39"/>
      <c r="L6360" s="78"/>
      <c r="M6360" s="19"/>
      <c r="N6360" s="10"/>
    </row>
    <row r="6361" spans="7:14" x14ac:dyDescent="0.75">
      <c r="G6361" s="10"/>
      <c r="H6361" s="10"/>
      <c r="I6361" s="39"/>
      <c r="J6361" s="103"/>
      <c r="K6361" s="39"/>
      <c r="L6361" s="78"/>
      <c r="M6361" s="19"/>
      <c r="N6361" s="10"/>
    </row>
    <row r="6362" spans="7:14" x14ac:dyDescent="0.75">
      <c r="G6362" s="10"/>
      <c r="H6362" s="10"/>
      <c r="I6362" s="39"/>
      <c r="J6362" s="103"/>
      <c r="K6362" s="39"/>
      <c r="L6362" s="78"/>
      <c r="M6362" s="19"/>
      <c r="N6362" s="10"/>
    </row>
    <row r="6363" spans="7:14" x14ac:dyDescent="0.75">
      <c r="G6363" s="10"/>
      <c r="H6363" s="10"/>
      <c r="I6363" s="39"/>
      <c r="J6363" s="103"/>
      <c r="K6363" s="39"/>
      <c r="L6363" s="78"/>
      <c r="M6363" s="19"/>
      <c r="N6363" s="10"/>
    </row>
    <row r="6364" spans="7:14" x14ac:dyDescent="0.75">
      <c r="G6364" s="10"/>
      <c r="H6364" s="10"/>
      <c r="I6364" s="39"/>
      <c r="J6364" s="103"/>
      <c r="K6364" s="39"/>
      <c r="L6364" s="78"/>
      <c r="M6364" s="19"/>
      <c r="N6364" s="10"/>
    </row>
    <row r="6365" spans="7:14" x14ac:dyDescent="0.75">
      <c r="G6365" s="10"/>
      <c r="H6365" s="10"/>
      <c r="I6365" s="39"/>
      <c r="J6365" s="103"/>
      <c r="K6365" s="39"/>
      <c r="L6365" s="78"/>
      <c r="M6365" s="19"/>
      <c r="N6365" s="10"/>
    </row>
    <row r="6366" spans="7:14" x14ac:dyDescent="0.75">
      <c r="G6366" s="10"/>
      <c r="H6366" s="10"/>
      <c r="I6366" s="39"/>
      <c r="J6366" s="103"/>
      <c r="K6366" s="39"/>
      <c r="L6366" s="78"/>
      <c r="M6366" s="19"/>
      <c r="N6366" s="10"/>
    </row>
    <row r="6367" spans="7:14" x14ac:dyDescent="0.75">
      <c r="G6367" s="10"/>
      <c r="H6367" s="10"/>
      <c r="I6367" s="39"/>
      <c r="J6367" s="103"/>
      <c r="K6367" s="39"/>
      <c r="L6367" s="78"/>
      <c r="M6367" s="19"/>
      <c r="N6367" s="10"/>
    </row>
    <row r="6368" spans="7:14" x14ac:dyDescent="0.75">
      <c r="G6368" s="10"/>
      <c r="H6368" s="10"/>
      <c r="I6368" s="39"/>
      <c r="J6368" s="103"/>
      <c r="K6368" s="39"/>
      <c r="L6368" s="78"/>
      <c r="M6368" s="19"/>
      <c r="N6368" s="10"/>
    </row>
    <row r="6369" spans="7:14" x14ac:dyDescent="0.75">
      <c r="G6369" s="10"/>
      <c r="H6369" s="10"/>
      <c r="I6369" s="39"/>
      <c r="J6369" s="103"/>
      <c r="K6369" s="39"/>
      <c r="L6369" s="78"/>
      <c r="M6369" s="19"/>
      <c r="N6369" s="10"/>
    </row>
    <row r="6370" spans="7:14" x14ac:dyDescent="0.75">
      <c r="G6370" s="10"/>
      <c r="H6370" s="10"/>
      <c r="I6370" s="39"/>
      <c r="J6370" s="103"/>
      <c r="K6370" s="39"/>
      <c r="L6370" s="78"/>
      <c r="M6370" s="19"/>
      <c r="N6370" s="10"/>
    </row>
    <row r="6371" spans="7:14" x14ac:dyDescent="0.75">
      <c r="G6371" s="10"/>
      <c r="H6371" s="10"/>
      <c r="I6371" s="39"/>
      <c r="J6371" s="103"/>
      <c r="K6371" s="39"/>
      <c r="L6371" s="78"/>
      <c r="M6371" s="19"/>
      <c r="N6371" s="10"/>
    </row>
    <row r="6372" spans="7:14" x14ac:dyDescent="0.75">
      <c r="G6372" s="10"/>
      <c r="H6372" s="10"/>
      <c r="I6372" s="39"/>
      <c r="J6372" s="103"/>
      <c r="K6372" s="39"/>
      <c r="L6372" s="78"/>
      <c r="M6372" s="19"/>
      <c r="N6372" s="10"/>
    </row>
    <row r="6373" spans="7:14" x14ac:dyDescent="0.75">
      <c r="G6373" s="10"/>
      <c r="H6373" s="10"/>
      <c r="I6373" s="39"/>
      <c r="J6373" s="103"/>
      <c r="K6373" s="39"/>
      <c r="L6373" s="78"/>
      <c r="M6373" s="19"/>
      <c r="N6373" s="10"/>
    </row>
    <row r="6374" spans="7:14" x14ac:dyDescent="0.75">
      <c r="G6374" s="10"/>
      <c r="H6374" s="10"/>
      <c r="I6374" s="39"/>
      <c r="J6374" s="103"/>
      <c r="K6374" s="39"/>
      <c r="L6374" s="78"/>
      <c r="M6374" s="19"/>
      <c r="N6374" s="10"/>
    </row>
    <row r="6375" spans="7:14" x14ac:dyDescent="0.75">
      <c r="G6375" s="10"/>
      <c r="H6375" s="10"/>
      <c r="I6375" s="39"/>
      <c r="J6375" s="103"/>
      <c r="K6375" s="39"/>
      <c r="L6375" s="78"/>
      <c r="M6375" s="19"/>
      <c r="N6375" s="10"/>
    </row>
    <row r="6376" spans="7:14" x14ac:dyDescent="0.75">
      <c r="G6376" s="10"/>
      <c r="H6376" s="10"/>
      <c r="I6376" s="39"/>
      <c r="J6376" s="103"/>
      <c r="K6376" s="39"/>
      <c r="L6376" s="78"/>
      <c r="M6376" s="19"/>
      <c r="N6376" s="10"/>
    </row>
    <row r="6377" spans="7:14" x14ac:dyDescent="0.75">
      <c r="G6377" s="10"/>
      <c r="H6377" s="10"/>
      <c r="I6377" s="39"/>
      <c r="J6377" s="103"/>
      <c r="K6377" s="39"/>
      <c r="L6377" s="78"/>
      <c r="M6377" s="19"/>
      <c r="N6377" s="10"/>
    </row>
    <row r="6378" spans="7:14" x14ac:dyDescent="0.75">
      <c r="G6378" s="10"/>
      <c r="H6378" s="10"/>
      <c r="I6378" s="39"/>
      <c r="J6378" s="103"/>
      <c r="K6378" s="39"/>
      <c r="L6378" s="78"/>
      <c r="M6378" s="19"/>
      <c r="N6378" s="10"/>
    </row>
    <row r="6379" spans="7:14" x14ac:dyDescent="0.75">
      <c r="G6379" s="10"/>
      <c r="H6379" s="10"/>
      <c r="I6379" s="39"/>
      <c r="J6379" s="103"/>
      <c r="K6379" s="39"/>
      <c r="L6379" s="78"/>
      <c r="M6379" s="19"/>
      <c r="N6379" s="10"/>
    </row>
    <row r="6380" spans="7:14" x14ac:dyDescent="0.75">
      <c r="G6380" s="10"/>
      <c r="H6380" s="10"/>
      <c r="I6380" s="39"/>
      <c r="J6380" s="103"/>
      <c r="K6380" s="39"/>
      <c r="L6380" s="78"/>
      <c r="M6380" s="19"/>
      <c r="N6380" s="10"/>
    </row>
    <row r="6381" spans="7:14" x14ac:dyDescent="0.75">
      <c r="G6381" s="10"/>
      <c r="H6381" s="10"/>
      <c r="I6381" s="39"/>
      <c r="J6381" s="103"/>
      <c r="K6381" s="39"/>
      <c r="L6381" s="78"/>
      <c r="M6381" s="19"/>
      <c r="N6381" s="10"/>
    </row>
    <row r="6382" spans="7:14" x14ac:dyDescent="0.75">
      <c r="G6382" s="10"/>
      <c r="H6382" s="10"/>
      <c r="I6382" s="39"/>
      <c r="J6382" s="103"/>
      <c r="K6382" s="39"/>
      <c r="L6382" s="78"/>
      <c r="M6382" s="19"/>
      <c r="N6382" s="10"/>
    </row>
    <row r="6383" spans="7:14" x14ac:dyDescent="0.75">
      <c r="G6383" s="10"/>
      <c r="H6383" s="10"/>
      <c r="I6383" s="39"/>
      <c r="J6383" s="103"/>
      <c r="K6383" s="39"/>
      <c r="L6383" s="78"/>
      <c r="M6383" s="19"/>
      <c r="N6383" s="10"/>
    </row>
    <row r="6384" spans="7:14" x14ac:dyDescent="0.75">
      <c r="G6384" s="10"/>
      <c r="H6384" s="10"/>
      <c r="I6384" s="39"/>
      <c r="J6384" s="103"/>
      <c r="K6384" s="39"/>
      <c r="L6384" s="78"/>
      <c r="M6384" s="19"/>
      <c r="N6384" s="10"/>
    </row>
    <row r="6385" spans="7:14" x14ac:dyDescent="0.75">
      <c r="G6385" s="10"/>
      <c r="H6385" s="10"/>
      <c r="I6385" s="39"/>
      <c r="J6385" s="103"/>
      <c r="K6385" s="39"/>
      <c r="L6385" s="78"/>
      <c r="M6385" s="19"/>
      <c r="N6385" s="10"/>
    </row>
    <row r="6386" spans="7:14" x14ac:dyDescent="0.75">
      <c r="G6386" s="10"/>
      <c r="H6386" s="10"/>
      <c r="I6386" s="39"/>
      <c r="J6386" s="103"/>
      <c r="K6386" s="39"/>
      <c r="L6386" s="78"/>
      <c r="M6386" s="19"/>
      <c r="N6386" s="10"/>
    </row>
    <row r="6387" spans="7:14" x14ac:dyDescent="0.75">
      <c r="G6387" s="10"/>
      <c r="H6387" s="10"/>
      <c r="I6387" s="39"/>
      <c r="J6387" s="103"/>
      <c r="K6387" s="39"/>
      <c r="L6387" s="78"/>
      <c r="M6387" s="19"/>
      <c r="N6387" s="10"/>
    </row>
    <row r="6388" spans="7:14" x14ac:dyDescent="0.75">
      <c r="G6388" s="10"/>
      <c r="H6388" s="10"/>
      <c r="I6388" s="39"/>
      <c r="J6388" s="103"/>
      <c r="K6388" s="39"/>
      <c r="L6388" s="78"/>
      <c r="M6388" s="19"/>
      <c r="N6388" s="10"/>
    </row>
    <row r="6389" spans="7:14" x14ac:dyDescent="0.75">
      <c r="G6389" s="10"/>
      <c r="H6389" s="10"/>
      <c r="I6389" s="39"/>
      <c r="J6389" s="103"/>
      <c r="K6389" s="39"/>
      <c r="L6389" s="78"/>
      <c r="M6389" s="19"/>
      <c r="N6389" s="10"/>
    </row>
    <row r="6390" spans="7:14" x14ac:dyDescent="0.75">
      <c r="G6390" s="10"/>
      <c r="H6390" s="10"/>
      <c r="I6390" s="39"/>
      <c r="J6390" s="103"/>
      <c r="K6390" s="39"/>
      <c r="L6390" s="78"/>
      <c r="M6390" s="19"/>
      <c r="N6390" s="10"/>
    </row>
    <row r="6391" spans="7:14" x14ac:dyDescent="0.75">
      <c r="G6391" s="10"/>
      <c r="H6391" s="10"/>
      <c r="I6391" s="39"/>
      <c r="J6391" s="103"/>
      <c r="K6391" s="39"/>
      <c r="L6391" s="78"/>
      <c r="M6391" s="19"/>
      <c r="N6391" s="10"/>
    </row>
    <row r="6392" spans="7:14" x14ac:dyDescent="0.75">
      <c r="G6392" s="10"/>
      <c r="H6392" s="10"/>
      <c r="I6392" s="39"/>
      <c r="J6392" s="103"/>
      <c r="K6392" s="39"/>
      <c r="L6392" s="78"/>
      <c r="M6392" s="19"/>
      <c r="N6392" s="10"/>
    </row>
    <row r="6393" spans="7:14" x14ac:dyDescent="0.75">
      <c r="G6393" s="10"/>
      <c r="H6393" s="10"/>
      <c r="I6393" s="39"/>
      <c r="J6393" s="103"/>
      <c r="K6393" s="39"/>
      <c r="L6393" s="78"/>
      <c r="M6393" s="19"/>
      <c r="N6393" s="10"/>
    </row>
    <row r="6394" spans="7:14" x14ac:dyDescent="0.75">
      <c r="G6394" s="10"/>
      <c r="H6394" s="10"/>
      <c r="I6394" s="39"/>
      <c r="J6394" s="103"/>
      <c r="K6394" s="39"/>
      <c r="L6394" s="78"/>
      <c r="M6394" s="19"/>
      <c r="N6394" s="10"/>
    </row>
    <row r="6395" spans="7:14" x14ac:dyDescent="0.75">
      <c r="G6395" s="10"/>
      <c r="H6395" s="10"/>
      <c r="I6395" s="39"/>
      <c r="J6395" s="103"/>
      <c r="K6395" s="39"/>
      <c r="L6395" s="78"/>
      <c r="M6395" s="19"/>
      <c r="N6395" s="10"/>
    </row>
    <row r="6396" spans="7:14" x14ac:dyDescent="0.75">
      <c r="G6396" s="10"/>
      <c r="H6396" s="10"/>
      <c r="I6396" s="39"/>
      <c r="J6396" s="103"/>
      <c r="K6396" s="39"/>
      <c r="L6396" s="10"/>
      <c r="M6396" s="19"/>
      <c r="N6396" s="10"/>
    </row>
    <row r="6397" spans="7:14" x14ac:dyDescent="0.75">
      <c r="G6397" s="10"/>
      <c r="H6397" s="10"/>
      <c r="I6397" s="39"/>
      <c r="J6397" s="103"/>
      <c r="K6397" s="39"/>
      <c r="L6397" s="78"/>
      <c r="M6397" s="19"/>
      <c r="N6397" s="10"/>
    </row>
    <row r="6398" spans="7:14" x14ac:dyDescent="0.75">
      <c r="G6398" s="10"/>
      <c r="H6398" s="10"/>
      <c r="I6398" s="39"/>
      <c r="J6398" s="103"/>
      <c r="K6398" s="39"/>
      <c r="L6398" s="78"/>
      <c r="M6398" s="19"/>
      <c r="N6398" s="10"/>
    </row>
    <row r="6399" spans="7:14" x14ac:dyDescent="0.75">
      <c r="G6399" s="10"/>
      <c r="H6399" s="10"/>
      <c r="I6399" s="39"/>
      <c r="J6399" s="103"/>
      <c r="K6399" s="39"/>
      <c r="L6399" s="78"/>
      <c r="M6399" s="19"/>
      <c r="N6399" s="10"/>
    </row>
    <row r="6400" spans="7:14" x14ac:dyDescent="0.75">
      <c r="G6400" s="10"/>
      <c r="H6400" s="10"/>
      <c r="I6400" s="39"/>
      <c r="J6400" s="103"/>
      <c r="K6400" s="39"/>
      <c r="L6400" s="78"/>
      <c r="M6400" s="19"/>
      <c r="N6400" s="10"/>
    </row>
    <row r="6401" spans="7:14" x14ac:dyDescent="0.75">
      <c r="G6401" s="10"/>
      <c r="H6401" s="10"/>
      <c r="I6401" s="39"/>
      <c r="J6401" s="103"/>
      <c r="K6401" s="39"/>
      <c r="L6401" s="10"/>
      <c r="M6401" s="19"/>
      <c r="N6401" s="10"/>
    </row>
    <row r="6402" spans="7:14" x14ac:dyDescent="0.75">
      <c r="G6402" s="10"/>
      <c r="H6402" s="10"/>
      <c r="I6402" s="39"/>
      <c r="J6402" s="103"/>
      <c r="K6402" s="39"/>
      <c r="L6402" s="78"/>
      <c r="M6402" s="19"/>
      <c r="N6402" s="10"/>
    </row>
    <row r="6403" spans="7:14" x14ac:dyDescent="0.75">
      <c r="G6403" s="10"/>
      <c r="H6403" s="10"/>
      <c r="I6403" s="39"/>
      <c r="J6403" s="103"/>
      <c r="K6403" s="39"/>
      <c r="L6403" s="78"/>
      <c r="M6403" s="19"/>
      <c r="N6403" s="10"/>
    </row>
    <row r="6404" spans="7:14" x14ac:dyDescent="0.75">
      <c r="G6404" s="10"/>
      <c r="H6404" s="10"/>
      <c r="I6404" s="39"/>
      <c r="J6404" s="103"/>
      <c r="K6404" s="39"/>
      <c r="L6404" s="78"/>
      <c r="M6404" s="19"/>
      <c r="N6404" s="10"/>
    </row>
    <row r="6405" spans="7:14" x14ac:dyDescent="0.75">
      <c r="G6405" s="10"/>
      <c r="H6405" s="10"/>
      <c r="I6405" s="39"/>
      <c r="J6405" s="103"/>
      <c r="K6405" s="39"/>
      <c r="L6405" s="78"/>
      <c r="M6405" s="19"/>
      <c r="N6405" s="10"/>
    </row>
    <row r="6406" spans="7:14" x14ac:dyDescent="0.75">
      <c r="G6406" s="10"/>
      <c r="H6406" s="10"/>
      <c r="I6406" s="39"/>
      <c r="J6406" s="103"/>
      <c r="K6406" s="39"/>
      <c r="L6406" s="78"/>
      <c r="M6406" s="19"/>
      <c r="N6406" s="10"/>
    </row>
    <row r="6407" spans="7:14" x14ac:dyDescent="0.75">
      <c r="G6407" s="10"/>
      <c r="H6407" s="10"/>
      <c r="I6407" s="39"/>
      <c r="J6407" s="103"/>
      <c r="K6407" s="39"/>
      <c r="L6407" s="78"/>
      <c r="M6407" s="19"/>
      <c r="N6407" s="10"/>
    </row>
    <row r="6408" spans="7:14" x14ac:dyDescent="0.75">
      <c r="G6408" s="10"/>
      <c r="H6408" s="10"/>
      <c r="I6408" s="39"/>
      <c r="J6408" s="103"/>
      <c r="K6408" s="39"/>
      <c r="L6408" s="78"/>
      <c r="M6408" s="19"/>
      <c r="N6408" s="10"/>
    </row>
    <row r="6409" spans="7:14" x14ac:dyDescent="0.75">
      <c r="G6409" s="10"/>
      <c r="H6409" s="10"/>
      <c r="I6409" s="39"/>
      <c r="J6409" s="103"/>
      <c r="K6409" s="39"/>
      <c r="L6409" s="10"/>
      <c r="M6409" s="19"/>
      <c r="N6409" s="10"/>
    </row>
    <row r="6410" spans="7:14" x14ac:dyDescent="0.75">
      <c r="G6410" s="10"/>
      <c r="H6410" s="10"/>
      <c r="I6410" s="39"/>
      <c r="J6410" s="103"/>
      <c r="K6410" s="39"/>
      <c r="L6410" s="78"/>
      <c r="M6410" s="19"/>
      <c r="N6410" s="10"/>
    </row>
    <row r="6411" spans="7:14" x14ac:dyDescent="0.75">
      <c r="G6411" s="10"/>
      <c r="H6411" s="10"/>
      <c r="I6411" s="39"/>
      <c r="J6411" s="103"/>
      <c r="K6411" s="39"/>
      <c r="L6411" s="10"/>
      <c r="M6411" s="19"/>
      <c r="N6411" s="10"/>
    </row>
    <row r="6412" spans="7:14" x14ac:dyDescent="0.75">
      <c r="G6412" s="10"/>
      <c r="H6412" s="10"/>
      <c r="I6412" s="39"/>
      <c r="J6412" s="103"/>
      <c r="K6412" s="39"/>
      <c r="L6412" s="10"/>
      <c r="M6412" s="19"/>
      <c r="N6412" s="10"/>
    </row>
    <row r="6413" spans="7:14" x14ac:dyDescent="0.75">
      <c r="G6413" s="10"/>
      <c r="H6413" s="10"/>
      <c r="I6413" s="39"/>
      <c r="J6413" s="103"/>
      <c r="K6413" s="39"/>
      <c r="L6413" s="10"/>
      <c r="M6413" s="19"/>
      <c r="N6413" s="10"/>
    </row>
    <row r="6414" spans="7:14" x14ac:dyDescent="0.75">
      <c r="G6414" s="10"/>
      <c r="H6414" s="10"/>
      <c r="I6414" s="39"/>
      <c r="J6414" s="103"/>
      <c r="K6414" s="39"/>
      <c r="L6414" s="10"/>
      <c r="M6414" s="19"/>
      <c r="N6414" s="10"/>
    </row>
    <row r="6415" spans="7:14" x14ac:dyDescent="0.75">
      <c r="G6415" s="10"/>
      <c r="H6415" s="10"/>
      <c r="I6415" s="39"/>
      <c r="J6415" s="103"/>
      <c r="K6415" s="39"/>
      <c r="L6415" s="78"/>
      <c r="M6415" s="19"/>
      <c r="N6415" s="10"/>
    </row>
    <row r="6416" spans="7:14" x14ac:dyDescent="0.75">
      <c r="G6416" s="10"/>
      <c r="H6416" s="10"/>
      <c r="I6416" s="39"/>
      <c r="J6416" s="103"/>
      <c r="K6416" s="39"/>
      <c r="L6416" s="78"/>
      <c r="M6416" s="19"/>
      <c r="N6416" s="10"/>
    </row>
    <row r="6417" spans="7:14" x14ac:dyDescent="0.75">
      <c r="G6417" s="10"/>
      <c r="H6417" s="10"/>
      <c r="I6417" s="39"/>
      <c r="J6417" s="103"/>
      <c r="K6417" s="39"/>
      <c r="L6417" s="78"/>
      <c r="M6417" s="19"/>
      <c r="N6417" s="10"/>
    </row>
    <row r="6418" spans="7:14" x14ac:dyDescent="0.75">
      <c r="G6418" s="10"/>
      <c r="H6418" s="10"/>
      <c r="I6418" s="39"/>
      <c r="J6418" s="103"/>
      <c r="K6418" s="39"/>
      <c r="L6418" s="78"/>
      <c r="M6418" s="19"/>
      <c r="N6418" s="10"/>
    </row>
    <row r="6419" spans="7:14" x14ac:dyDescent="0.75">
      <c r="G6419" s="10"/>
      <c r="H6419" s="10"/>
      <c r="I6419" s="39"/>
      <c r="J6419" s="103"/>
      <c r="K6419" s="39"/>
      <c r="L6419" s="78"/>
      <c r="M6419" s="19"/>
      <c r="N6419" s="10"/>
    </row>
    <row r="6420" spans="7:14" x14ac:dyDescent="0.75">
      <c r="G6420" s="10"/>
      <c r="H6420" s="10"/>
      <c r="I6420" s="39"/>
      <c r="J6420" s="103"/>
      <c r="K6420" s="39"/>
      <c r="L6420" s="78"/>
      <c r="M6420" s="19"/>
      <c r="N6420" s="10"/>
    </row>
    <row r="6421" spans="7:14" x14ac:dyDescent="0.75">
      <c r="G6421" s="10"/>
      <c r="H6421" s="10"/>
      <c r="I6421" s="39"/>
      <c r="J6421" s="103"/>
      <c r="K6421" s="39"/>
      <c r="L6421" s="78"/>
      <c r="M6421" s="19"/>
      <c r="N6421" s="10"/>
    </row>
    <row r="6422" spans="7:14" x14ac:dyDescent="0.75">
      <c r="G6422" s="10"/>
      <c r="H6422" s="10"/>
      <c r="I6422" s="39"/>
      <c r="J6422" s="103"/>
      <c r="K6422" s="39"/>
      <c r="L6422" s="10"/>
      <c r="M6422" s="19"/>
      <c r="N6422" s="10"/>
    </row>
    <row r="6423" spans="7:14" x14ac:dyDescent="0.75">
      <c r="G6423" s="10"/>
      <c r="H6423" s="10"/>
      <c r="I6423" s="39"/>
      <c r="J6423" s="103"/>
      <c r="K6423" s="39"/>
      <c r="L6423" s="78"/>
      <c r="M6423" s="19"/>
      <c r="N6423" s="10"/>
    </row>
    <row r="6424" spans="7:14" x14ac:dyDescent="0.75">
      <c r="G6424" s="10"/>
      <c r="H6424" s="10"/>
      <c r="I6424" s="39"/>
      <c r="J6424" s="103"/>
      <c r="K6424" s="39"/>
      <c r="L6424" s="78"/>
      <c r="M6424" s="19"/>
      <c r="N6424" s="10"/>
    </row>
    <row r="6425" spans="7:14" x14ac:dyDescent="0.75">
      <c r="G6425" s="10"/>
      <c r="H6425" s="10"/>
      <c r="I6425" s="39"/>
      <c r="J6425" s="103"/>
      <c r="K6425" s="39"/>
      <c r="L6425" s="78"/>
      <c r="M6425" s="19"/>
      <c r="N6425" s="10"/>
    </row>
    <row r="6426" spans="7:14" x14ac:dyDescent="0.75">
      <c r="G6426" s="10"/>
      <c r="H6426" s="10"/>
      <c r="I6426" s="39"/>
      <c r="J6426" s="103"/>
      <c r="K6426" s="39"/>
      <c r="L6426" s="78"/>
      <c r="M6426" s="19"/>
      <c r="N6426" s="10"/>
    </row>
    <row r="6427" spans="7:14" x14ac:dyDescent="0.75">
      <c r="G6427" s="10"/>
      <c r="H6427" s="10"/>
      <c r="I6427" s="39"/>
      <c r="J6427" s="103"/>
      <c r="K6427" s="39"/>
      <c r="L6427" s="78"/>
      <c r="M6427" s="19"/>
      <c r="N6427" s="10"/>
    </row>
    <row r="6428" spans="7:14" x14ac:dyDescent="0.75">
      <c r="G6428" s="10"/>
      <c r="H6428" s="10"/>
      <c r="I6428" s="39"/>
      <c r="J6428" s="103"/>
      <c r="K6428" s="39"/>
      <c r="L6428" s="78"/>
      <c r="M6428" s="19"/>
      <c r="N6428" s="10"/>
    </row>
    <row r="6429" spans="7:14" x14ac:dyDescent="0.75">
      <c r="G6429" s="10"/>
      <c r="H6429" s="10"/>
      <c r="I6429" s="39"/>
      <c r="J6429" s="103"/>
      <c r="K6429" s="39"/>
      <c r="L6429" s="78"/>
      <c r="M6429" s="19"/>
      <c r="N6429" s="10"/>
    </row>
    <row r="6430" spans="7:14" x14ac:dyDescent="0.75">
      <c r="G6430" s="10"/>
      <c r="H6430" s="10"/>
      <c r="I6430" s="39"/>
      <c r="J6430" s="103"/>
      <c r="K6430" s="39"/>
      <c r="L6430" s="78"/>
      <c r="M6430" s="19"/>
      <c r="N6430" s="10"/>
    </row>
    <row r="6431" spans="7:14" x14ac:dyDescent="0.75">
      <c r="G6431" s="10"/>
      <c r="H6431" s="10"/>
      <c r="I6431" s="39"/>
      <c r="J6431" s="103"/>
      <c r="K6431" s="39"/>
      <c r="L6431" s="78"/>
      <c r="M6431" s="19"/>
      <c r="N6431" s="10"/>
    </row>
    <row r="6432" spans="7:14" x14ac:dyDescent="0.75">
      <c r="G6432" s="10"/>
      <c r="H6432" s="10"/>
      <c r="I6432" s="39"/>
      <c r="J6432" s="103"/>
      <c r="K6432" s="39"/>
      <c r="L6432" s="78"/>
      <c r="M6432" s="19"/>
      <c r="N6432" s="10"/>
    </row>
    <row r="6433" spans="7:14" x14ac:dyDescent="0.75">
      <c r="G6433" s="10"/>
      <c r="H6433" s="10"/>
      <c r="I6433" s="39"/>
      <c r="J6433" s="103"/>
      <c r="K6433" s="39"/>
      <c r="L6433" s="78"/>
      <c r="M6433" s="19"/>
      <c r="N6433" s="10"/>
    </row>
    <row r="6434" spans="7:14" x14ac:dyDescent="0.75">
      <c r="G6434" s="10"/>
      <c r="H6434" s="10"/>
      <c r="I6434" s="39"/>
      <c r="J6434" s="103"/>
      <c r="K6434" s="39"/>
      <c r="L6434" s="78"/>
      <c r="M6434" s="19"/>
      <c r="N6434" s="10"/>
    </row>
    <row r="6435" spans="7:14" x14ac:dyDescent="0.75">
      <c r="G6435" s="10"/>
      <c r="H6435" s="10"/>
      <c r="I6435" s="39"/>
      <c r="J6435" s="103"/>
      <c r="K6435" s="39"/>
      <c r="L6435" s="78"/>
      <c r="M6435" s="19"/>
      <c r="N6435" s="10"/>
    </row>
    <row r="6436" spans="7:14" x14ac:dyDescent="0.75">
      <c r="G6436" s="10"/>
      <c r="H6436" s="10"/>
      <c r="I6436" s="39"/>
      <c r="J6436" s="103"/>
      <c r="K6436" s="39"/>
      <c r="L6436" s="10"/>
      <c r="M6436" s="19"/>
      <c r="N6436" s="10"/>
    </row>
    <row r="6437" spans="7:14" x14ac:dyDescent="0.75">
      <c r="G6437" s="10"/>
      <c r="H6437" s="10"/>
      <c r="I6437" s="39"/>
      <c r="J6437" s="103"/>
      <c r="K6437" s="39"/>
      <c r="L6437" s="78"/>
      <c r="M6437" s="19"/>
      <c r="N6437" s="10"/>
    </row>
    <row r="6438" spans="7:14" x14ac:dyDescent="0.75">
      <c r="G6438" s="10"/>
      <c r="H6438" s="10"/>
      <c r="I6438" s="39"/>
      <c r="J6438" s="103"/>
      <c r="K6438" s="39"/>
      <c r="L6438" s="78"/>
      <c r="M6438" s="19"/>
      <c r="N6438" s="10"/>
    </row>
    <row r="6439" spans="7:14" x14ac:dyDescent="0.75">
      <c r="G6439" s="10"/>
      <c r="H6439" s="10"/>
      <c r="I6439" s="39"/>
      <c r="J6439" s="103"/>
      <c r="K6439" s="39"/>
      <c r="L6439" s="78"/>
      <c r="M6439" s="19"/>
      <c r="N6439" s="10"/>
    </row>
    <row r="6440" spans="7:14" x14ac:dyDescent="0.75">
      <c r="G6440" s="10"/>
      <c r="H6440" s="10"/>
      <c r="I6440" s="39"/>
      <c r="J6440" s="103"/>
      <c r="K6440" s="39"/>
      <c r="L6440" s="78"/>
      <c r="M6440" s="19"/>
      <c r="N6440" s="10"/>
    </row>
    <row r="6441" spans="7:14" x14ac:dyDescent="0.75">
      <c r="G6441" s="10"/>
      <c r="H6441" s="10"/>
      <c r="I6441" s="39"/>
      <c r="J6441" s="103"/>
      <c r="K6441" s="39"/>
      <c r="L6441" s="78"/>
      <c r="M6441" s="19"/>
      <c r="N6441" s="10"/>
    </row>
    <row r="6442" spans="7:14" x14ac:dyDescent="0.75">
      <c r="G6442" s="10"/>
      <c r="H6442" s="10"/>
      <c r="I6442" s="39"/>
      <c r="J6442" s="103"/>
      <c r="K6442" s="39"/>
      <c r="L6442" s="78"/>
      <c r="M6442" s="19"/>
      <c r="N6442" s="10"/>
    </row>
    <row r="6443" spans="7:14" x14ac:dyDescent="0.75">
      <c r="G6443" s="10"/>
      <c r="H6443" s="10"/>
      <c r="I6443" s="39"/>
      <c r="J6443" s="103"/>
      <c r="K6443" s="39"/>
      <c r="L6443" s="78"/>
      <c r="M6443" s="19"/>
      <c r="N6443" s="10"/>
    </row>
    <row r="6444" spans="7:14" x14ac:dyDescent="0.75">
      <c r="G6444" s="10"/>
      <c r="H6444" s="10"/>
      <c r="I6444" s="39"/>
      <c r="J6444" s="103"/>
      <c r="K6444" s="39"/>
      <c r="L6444" s="78"/>
      <c r="M6444" s="19"/>
      <c r="N6444" s="10"/>
    </row>
    <row r="6445" spans="7:14" x14ac:dyDescent="0.75">
      <c r="G6445" s="10"/>
      <c r="H6445" s="10"/>
      <c r="I6445" s="39"/>
      <c r="J6445" s="103"/>
      <c r="K6445" s="39"/>
      <c r="L6445" s="10"/>
      <c r="M6445" s="19"/>
      <c r="N6445" s="10"/>
    </row>
    <row r="6446" spans="7:14" x14ac:dyDescent="0.75">
      <c r="G6446" s="10"/>
      <c r="H6446" s="10"/>
      <c r="I6446" s="39"/>
      <c r="J6446" s="103"/>
      <c r="K6446" s="39"/>
      <c r="L6446" s="78"/>
      <c r="M6446" s="19"/>
      <c r="N6446" s="10"/>
    </row>
    <row r="6447" spans="7:14" x14ac:dyDescent="0.75">
      <c r="G6447" s="10"/>
      <c r="H6447" s="10"/>
      <c r="I6447" s="39"/>
      <c r="J6447" s="103"/>
      <c r="K6447" s="39"/>
      <c r="L6447" s="78"/>
      <c r="M6447" s="19"/>
      <c r="N6447" s="10"/>
    </row>
    <row r="6448" spans="7:14" x14ac:dyDescent="0.75">
      <c r="G6448" s="10"/>
      <c r="H6448" s="10"/>
      <c r="I6448" s="39"/>
      <c r="J6448" s="103"/>
      <c r="K6448" s="39"/>
      <c r="L6448" s="78"/>
      <c r="M6448" s="19"/>
      <c r="N6448" s="10"/>
    </row>
    <row r="6449" spans="7:14" x14ac:dyDescent="0.75">
      <c r="G6449" s="10"/>
      <c r="H6449" s="10"/>
      <c r="I6449" s="39"/>
      <c r="J6449" s="103"/>
      <c r="K6449" s="39"/>
      <c r="L6449" s="78"/>
      <c r="M6449" s="19"/>
      <c r="N6449" s="10"/>
    </row>
    <row r="6450" spans="7:14" x14ac:dyDescent="0.75">
      <c r="G6450" s="10"/>
      <c r="H6450" s="10"/>
      <c r="I6450" s="39"/>
      <c r="J6450" s="103"/>
      <c r="K6450" s="39"/>
      <c r="L6450" s="78"/>
      <c r="M6450" s="19"/>
      <c r="N6450" s="10"/>
    </row>
    <row r="6451" spans="7:14" x14ac:dyDescent="0.75">
      <c r="G6451" s="10"/>
      <c r="H6451" s="10"/>
      <c r="I6451" s="39"/>
      <c r="J6451" s="103"/>
      <c r="K6451" s="39"/>
      <c r="L6451" s="10"/>
      <c r="M6451" s="19"/>
      <c r="N6451" s="10"/>
    </row>
    <row r="6452" spans="7:14" x14ac:dyDescent="0.75">
      <c r="G6452" s="10"/>
      <c r="H6452" s="10"/>
      <c r="I6452" s="39"/>
      <c r="J6452" s="103"/>
      <c r="K6452" s="39"/>
      <c r="L6452" s="78"/>
      <c r="M6452" s="19"/>
      <c r="N6452" s="10"/>
    </row>
    <row r="6453" spans="7:14" x14ac:dyDescent="0.75">
      <c r="G6453" s="10"/>
      <c r="H6453" s="10"/>
      <c r="I6453" s="39"/>
      <c r="J6453" s="103"/>
      <c r="K6453" s="39"/>
      <c r="L6453" s="78"/>
      <c r="M6453" s="19"/>
      <c r="N6453" s="10"/>
    </row>
    <row r="6454" spans="7:14" x14ac:dyDescent="0.75">
      <c r="G6454" s="10"/>
      <c r="H6454" s="10"/>
      <c r="I6454" s="39"/>
      <c r="J6454" s="103"/>
      <c r="K6454" s="39"/>
      <c r="L6454" s="78"/>
      <c r="M6454" s="19"/>
      <c r="N6454" s="10"/>
    </row>
    <row r="6455" spans="7:14" x14ac:dyDescent="0.75">
      <c r="G6455" s="10"/>
      <c r="H6455" s="10"/>
      <c r="I6455" s="39"/>
      <c r="J6455" s="103"/>
      <c r="K6455" s="39"/>
      <c r="L6455" s="78"/>
      <c r="M6455" s="19"/>
      <c r="N6455" s="10"/>
    </row>
    <row r="6456" spans="7:14" x14ac:dyDescent="0.75">
      <c r="G6456" s="10"/>
      <c r="H6456" s="10"/>
      <c r="I6456" s="39"/>
      <c r="J6456" s="103"/>
      <c r="K6456" s="39"/>
      <c r="L6456" s="78"/>
      <c r="M6456" s="19"/>
      <c r="N6456" s="10"/>
    </row>
    <row r="6457" spans="7:14" x14ac:dyDescent="0.75">
      <c r="G6457" s="10"/>
      <c r="H6457" s="10"/>
      <c r="I6457" s="39"/>
      <c r="J6457" s="103"/>
      <c r="K6457" s="39"/>
      <c r="L6457" s="78"/>
      <c r="M6457" s="19"/>
      <c r="N6457" s="10"/>
    </row>
    <row r="6458" spans="7:14" x14ac:dyDescent="0.75">
      <c r="G6458" s="10"/>
      <c r="H6458" s="10"/>
      <c r="I6458" s="39"/>
      <c r="J6458" s="103"/>
      <c r="K6458" s="39"/>
      <c r="L6458" s="78"/>
      <c r="M6458" s="19"/>
      <c r="N6458" s="10"/>
    </row>
    <row r="6459" spans="7:14" x14ac:dyDescent="0.75">
      <c r="G6459" s="10"/>
      <c r="H6459" s="10"/>
      <c r="I6459" s="39"/>
      <c r="J6459" s="103"/>
      <c r="K6459" s="39"/>
      <c r="L6459" s="10"/>
      <c r="M6459" s="19"/>
      <c r="N6459" s="10"/>
    </row>
    <row r="6460" spans="7:14" x14ac:dyDescent="0.75">
      <c r="G6460" s="10"/>
      <c r="H6460" s="10"/>
      <c r="I6460" s="39"/>
      <c r="J6460" s="103"/>
      <c r="K6460" s="39"/>
      <c r="L6460" s="10"/>
      <c r="M6460" s="19"/>
      <c r="N6460" s="10"/>
    </row>
    <row r="6461" spans="7:14" x14ac:dyDescent="0.75">
      <c r="G6461" s="10"/>
      <c r="H6461" s="10"/>
      <c r="I6461" s="39"/>
      <c r="J6461" s="103"/>
      <c r="K6461" s="39"/>
      <c r="L6461" s="78"/>
      <c r="M6461" s="19"/>
      <c r="N6461" s="10"/>
    </row>
    <row r="6462" spans="7:14" x14ac:dyDescent="0.75">
      <c r="G6462" s="10"/>
      <c r="H6462" s="10"/>
      <c r="I6462" s="39"/>
      <c r="J6462" s="103"/>
      <c r="K6462" s="39"/>
      <c r="L6462" s="78"/>
      <c r="M6462" s="19"/>
      <c r="N6462" s="10"/>
    </row>
    <row r="6463" spans="7:14" x14ac:dyDescent="0.75">
      <c r="G6463" s="10"/>
      <c r="H6463" s="10"/>
      <c r="I6463" s="39"/>
      <c r="J6463" s="103"/>
      <c r="K6463" s="39"/>
      <c r="L6463" s="78"/>
      <c r="M6463" s="19"/>
      <c r="N6463" s="10"/>
    </row>
    <row r="6464" spans="7:14" x14ac:dyDescent="0.75">
      <c r="G6464" s="10"/>
      <c r="H6464" s="10"/>
      <c r="I6464" s="39"/>
      <c r="J6464" s="103"/>
      <c r="K6464" s="39"/>
      <c r="L6464" s="78"/>
      <c r="M6464" s="19"/>
      <c r="N6464" s="10"/>
    </row>
    <row r="6465" spans="7:14" x14ac:dyDescent="0.75">
      <c r="G6465" s="10"/>
      <c r="H6465" s="10"/>
      <c r="I6465" s="39"/>
      <c r="J6465" s="103"/>
      <c r="K6465" s="39"/>
      <c r="L6465" s="78"/>
      <c r="M6465" s="19"/>
      <c r="N6465" s="10"/>
    </row>
    <row r="6466" spans="7:14" x14ac:dyDescent="0.75">
      <c r="G6466" s="10"/>
      <c r="H6466" s="10"/>
      <c r="I6466" s="39"/>
      <c r="J6466" s="103"/>
      <c r="K6466" s="39"/>
      <c r="L6466" s="78"/>
      <c r="M6466" s="19"/>
      <c r="N6466" s="10"/>
    </row>
    <row r="6467" spans="7:14" x14ac:dyDescent="0.75">
      <c r="G6467" s="10"/>
      <c r="H6467" s="10"/>
      <c r="I6467" s="39"/>
      <c r="J6467" s="103"/>
      <c r="K6467" s="39"/>
      <c r="L6467" s="78"/>
      <c r="M6467" s="19"/>
      <c r="N6467" s="10"/>
    </row>
    <row r="6468" spans="7:14" x14ac:dyDescent="0.75">
      <c r="G6468" s="10"/>
      <c r="H6468" s="10"/>
      <c r="I6468" s="39"/>
      <c r="J6468" s="103"/>
      <c r="K6468" s="39"/>
      <c r="L6468" s="78"/>
      <c r="M6468" s="19"/>
      <c r="N6468" s="10"/>
    </row>
    <row r="6469" spans="7:14" x14ac:dyDescent="0.75">
      <c r="G6469" s="10"/>
      <c r="H6469" s="10"/>
      <c r="I6469" s="39"/>
      <c r="J6469" s="103"/>
      <c r="K6469" s="39"/>
      <c r="L6469" s="78"/>
      <c r="M6469" s="19"/>
      <c r="N6469" s="10"/>
    </row>
    <row r="6470" spans="7:14" x14ac:dyDescent="0.75">
      <c r="G6470" s="10"/>
      <c r="H6470" s="10"/>
      <c r="I6470" s="39"/>
      <c r="J6470" s="103"/>
      <c r="K6470" s="39"/>
      <c r="L6470" s="78"/>
      <c r="M6470" s="19"/>
      <c r="N6470" s="10"/>
    </row>
    <row r="6471" spans="7:14" x14ac:dyDescent="0.75">
      <c r="G6471" s="10"/>
      <c r="H6471" s="10"/>
      <c r="I6471" s="39"/>
      <c r="J6471" s="103"/>
      <c r="K6471" s="39"/>
      <c r="L6471" s="78"/>
      <c r="M6471" s="19"/>
      <c r="N6471" s="10"/>
    </row>
    <row r="6472" spans="7:14" x14ac:dyDescent="0.75">
      <c r="G6472" s="10"/>
      <c r="H6472" s="10"/>
      <c r="I6472" s="39"/>
      <c r="J6472" s="103"/>
      <c r="K6472" s="39"/>
      <c r="L6472" s="78"/>
      <c r="M6472" s="19"/>
      <c r="N6472" s="10"/>
    </row>
    <row r="6473" spans="7:14" x14ac:dyDescent="0.75">
      <c r="G6473" s="10"/>
      <c r="H6473" s="10"/>
      <c r="I6473" s="39"/>
      <c r="J6473" s="103"/>
      <c r="K6473" s="39"/>
      <c r="L6473" s="10"/>
      <c r="M6473" s="19"/>
      <c r="N6473" s="10"/>
    </row>
    <row r="6474" spans="7:14" x14ac:dyDescent="0.75">
      <c r="G6474" s="10"/>
      <c r="H6474" s="10"/>
      <c r="I6474" s="39"/>
      <c r="J6474" s="103"/>
      <c r="K6474" s="39"/>
      <c r="L6474" s="78"/>
      <c r="M6474" s="19"/>
      <c r="N6474" s="10"/>
    </row>
    <row r="6475" spans="7:14" x14ac:dyDescent="0.75">
      <c r="G6475" s="10"/>
      <c r="H6475" s="10"/>
      <c r="I6475" s="39"/>
      <c r="J6475" s="103"/>
      <c r="K6475" s="39"/>
      <c r="L6475" s="78"/>
      <c r="M6475" s="19"/>
      <c r="N6475" s="10"/>
    </row>
    <row r="6476" spans="7:14" x14ac:dyDescent="0.75">
      <c r="G6476" s="10"/>
      <c r="H6476" s="10"/>
      <c r="I6476" s="39"/>
      <c r="J6476" s="103"/>
      <c r="K6476" s="39"/>
      <c r="L6476" s="78"/>
      <c r="M6476" s="19"/>
      <c r="N6476" s="10"/>
    </row>
    <row r="6477" spans="7:14" x14ac:dyDescent="0.75">
      <c r="G6477" s="10"/>
      <c r="H6477" s="10"/>
      <c r="I6477" s="39"/>
      <c r="J6477" s="103"/>
      <c r="K6477" s="39"/>
      <c r="L6477" s="78"/>
      <c r="M6477" s="19"/>
      <c r="N6477" s="10"/>
    </row>
    <row r="6478" spans="7:14" x14ac:dyDescent="0.75">
      <c r="G6478" s="10"/>
      <c r="H6478" s="10"/>
      <c r="I6478" s="39"/>
      <c r="J6478" s="103"/>
      <c r="K6478" s="39"/>
      <c r="L6478" s="78"/>
      <c r="M6478" s="19"/>
      <c r="N6478" s="10"/>
    </row>
    <row r="6479" spans="7:14" x14ac:dyDescent="0.75">
      <c r="G6479" s="10"/>
      <c r="H6479" s="10"/>
      <c r="I6479" s="39"/>
      <c r="J6479" s="103"/>
      <c r="K6479" s="39"/>
      <c r="L6479" s="10"/>
      <c r="M6479" s="19"/>
      <c r="N6479" s="10"/>
    </row>
    <row r="6480" spans="7:14" x14ac:dyDescent="0.75">
      <c r="G6480" s="10"/>
      <c r="H6480" s="10"/>
      <c r="I6480" s="39"/>
      <c r="J6480" s="103"/>
      <c r="K6480" s="39"/>
      <c r="L6480" s="78"/>
      <c r="M6480" s="19"/>
      <c r="N6480" s="10"/>
    </row>
    <row r="6481" spans="7:14" x14ac:dyDescent="0.75">
      <c r="G6481" s="10"/>
      <c r="H6481" s="10"/>
      <c r="I6481" s="39"/>
      <c r="J6481" s="103"/>
      <c r="K6481" s="39"/>
      <c r="L6481" s="78"/>
      <c r="M6481" s="19"/>
      <c r="N6481" s="10"/>
    </row>
    <row r="6482" spans="7:14" x14ac:dyDescent="0.75">
      <c r="G6482" s="10"/>
      <c r="H6482" s="10"/>
      <c r="I6482" s="39"/>
      <c r="J6482" s="103"/>
      <c r="K6482" s="39"/>
      <c r="L6482" s="78"/>
      <c r="M6482" s="19"/>
      <c r="N6482" s="10"/>
    </row>
    <row r="6483" spans="7:14" x14ac:dyDescent="0.75">
      <c r="G6483" s="10"/>
      <c r="H6483" s="10"/>
      <c r="I6483" s="39"/>
      <c r="J6483" s="103"/>
      <c r="K6483" s="39"/>
      <c r="L6483" s="78"/>
      <c r="M6483" s="19"/>
      <c r="N6483" s="10"/>
    </row>
    <row r="6484" spans="7:14" x14ac:dyDescent="0.75">
      <c r="G6484" s="10"/>
      <c r="H6484" s="10"/>
      <c r="I6484" s="39"/>
      <c r="J6484" s="103"/>
      <c r="K6484" s="39"/>
      <c r="L6484" s="78"/>
      <c r="M6484" s="19"/>
      <c r="N6484" s="10"/>
    </row>
    <row r="6485" spans="7:14" x14ac:dyDescent="0.75">
      <c r="G6485" s="10"/>
      <c r="H6485" s="10"/>
      <c r="I6485" s="39"/>
      <c r="J6485" s="103"/>
      <c r="K6485" s="39"/>
      <c r="L6485" s="78"/>
      <c r="M6485" s="19"/>
      <c r="N6485" s="10"/>
    </row>
    <row r="6486" spans="7:14" x14ac:dyDescent="0.75">
      <c r="G6486" s="10"/>
      <c r="H6486" s="10"/>
      <c r="I6486" s="39"/>
      <c r="J6486" s="103"/>
      <c r="K6486" s="39"/>
      <c r="L6486" s="78"/>
      <c r="M6486" s="19"/>
      <c r="N6486" s="10"/>
    </row>
    <row r="6487" spans="7:14" x14ac:dyDescent="0.75">
      <c r="G6487" s="10"/>
      <c r="H6487" s="10"/>
      <c r="I6487" s="39"/>
      <c r="J6487" s="103"/>
      <c r="K6487" s="39"/>
      <c r="L6487" s="78"/>
      <c r="M6487" s="19"/>
      <c r="N6487" s="10"/>
    </row>
    <row r="6488" spans="7:14" x14ac:dyDescent="0.75">
      <c r="G6488" s="10"/>
      <c r="H6488" s="10"/>
      <c r="I6488" s="39"/>
      <c r="J6488" s="103"/>
      <c r="K6488" s="39"/>
      <c r="L6488" s="78"/>
      <c r="M6488" s="19"/>
      <c r="N6488" s="10"/>
    </row>
    <row r="6489" spans="7:14" x14ac:dyDescent="0.75">
      <c r="G6489" s="10"/>
      <c r="H6489" s="10"/>
      <c r="I6489" s="39"/>
      <c r="J6489" s="103"/>
      <c r="K6489" s="39"/>
      <c r="L6489" s="78"/>
      <c r="M6489" s="19"/>
      <c r="N6489" s="10"/>
    </row>
    <row r="6490" spans="7:14" x14ac:dyDescent="0.75">
      <c r="G6490" s="10"/>
      <c r="H6490" s="10"/>
      <c r="I6490" s="39"/>
      <c r="J6490" s="103"/>
      <c r="K6490" s="39"/>
      <c r="L6490" s="78"/>
      <c r="M6490" s="19"/>
      <c r="N6490" s="10"/>
    </row>
    <row r="6491" spans="7:14" x14ac:dyDescent="0.75">
      <c r="G6491" s="10"/>
      <c r="H6491" s="10"/>
      <c r="I6491" s="39"/>
      <c r="J6491" s="103"/>
      <c r="K6491" s="39"/>
      <c r="L6491" s="78"/>
      <c r="M6491" s="19"/>
      <c r="N6491" s="10"/>
    </row>
    <row r="6492" spans="7:14" x14ac:dyDescent="0.75">
      <c r="G6492" s="10"/>
      <c r="H6492" s="10"/>
      <c r="I6492" s="39"/>
      <c r="J6492" s="103"/>
      <c r="K6492" s="39"/>
      <c r="L6492" s="78"/>
      <c r="M6492" s="19"/>
      <c r="N6492" s="10"/>
    </row>
    <row r="6493" spans="7:14" x14ac:dyDescent="0.75">
      <c r="G6493" s="10"/>
      <c r="H6493" s="10"/>
      <c r="I6493" s="39"/>
      <c r="J6493" s="103"/>
      <c r="K6493" s="39"/>
      <c r="L6493" s="78"/>
      <c r="M6493" s="19"/>
      <c r="N6493" s="10"/>
    </row>
    <row r="6494" spans="7:14" x14ac:dyDescent="0.75">
      <c r="G6494" s="10"/>
      <c r="H6494" s="10"/>
      <c r="I6494" s="39"/>
      <c r="J6494" s="103"/>
      <c r="K6494" s="39"/>
      <c r="L6494" s="78"/>
      <c r="M6494" s="19"/>
      <c r="N6494" s="10"/>
    </row>
    <row r="6495" spans="7:14" x14ac:dyDescent="0.75">
      <c r="G6495" s="10"/>
      <c r="H6495" s="10"/>
      <c r="I6495" s="39"/>
      <c r="J6495" s="103"/>
      <c r="K6495" s="39"/>
      <c r="L6495" s="78"/>
      <c r="M6495" s="19"/>
      <c r="N6495" s="10"/>
    </row>
    <row r="6496" spans="7:14" x14ac:dyDescent="0.75">
      <c r="G6496" s="10"/>
      <c r="H6496" s="10"/>
      <c r="I6496" s="39"/>
      <c r="J6496" s="103"/>
      <c r="K6496" s="39"/>
      <c r="L6496" s="78"/>
      <c r="M6496" s="19"/>
      <c r="N6496" s="10"/>
    </row>
    <row r="6497" spans="7:14" x14ac:dyDescent="0.75">
      <c r="G6497" s="10"/>
      <c r="H6497" s="10"/>
      <c r="I6497" s="39"/>
      <c r="J6497" s="103"/>
      <c r="K6497" s="39"/>
      <c r="L6497" s="78"/>
      <c r="M6497" s="19"/>
      <c r="N6497" s="10"/>
    </row>
    <row r="6498" spans="7:14" x14ac:dyDescent="0.75">
      <c r="G6498" s="10"/>
      <c r="H6498" s="10"/>
      <c r="I6498" s="39"/>
      <c r="J6498" s="103"/>
      <c r="K6498" s="39"/>
      <c r="L6498" s="78"/>
      <c r="M6498" s="19"/>
      <c r="N6498" s="10"/>
    </row>
    <row r="6499" spans="7:14" x14ac:dyDescent="0.75">
      <c r="G6499" s="10"/>
      <c r="H6499" s="10"/>
      <c r="I6499" s="39"/>
      <c r="J6499" s="103"/>
      <c r="K6499" s="39"/>
      <c r="L6499" s="78"/>
      <c r="M6499" s="19"/>
      <c r="N6499" s="10"/>
    </row>
    <row r="6500" spans="7:14" x14ac:dyDescent="0.75">
      <c r="G6500" s="10"/>
      <c r="H6500" s="10"/>
      <c r="I6500" s="39"/>
      <c r="J6500" s="103"/>
      <c r="K6500" s="39"/>
      <c r="L6500" s="78"/>
      <c r="M6500" s="19"/>
      <c r="N6500" s="10"/>
    </row>
    <row r="6501" spans="7:14" x14ac:dyDescent="0.75">
      <c r="G6501" s="10"/>
      <c r="H6501" s="10"/>
      <c r="I6501" s="39"/>
      <c r="J6501" s="103"/>
      <c r="K6501" s="39"/>
      <c r="L6501" s="78"/>
      <c r="M6501" s="19"/>
      <c r="N6501" s="10"/>
    </row>
    <row r="6502" spans="7:14" x14ac:dyDescent="0.75">
      <c r="G6502" s="10"/>
      <c r="H6502" s="10"/>
      <c r="I6502" s="39"/>
      <c r="J6502" s="103"/>
      <c r="K6502" s="39"/>
      <c r="L6502" s="78"/>
      <c r="M6502" s="19"/>
      <c r="N6502" s="10"/>
    </row>
    <row r="6503" spans="7:14" x14ac:dyDescent="0.75">
      <c r="G6503" s="10"/>
      <c r="H6503" s="10"/>
      <c r="I6503" s="39"/>
      <c r="J6503" s="103"/>
      <c r="K6503" s="39"/>
      <c r="L6503" s="78"/>
      <c r="M6503" s="19"/>
      <c r="N6503" s="10"/>
    </row>
    <row r="6504" spans="7:14" x14ac:dyDescent="0.75">
      <c r="G6504" s="10"/>
      <c r="H6504" s="10"/>
      <c r="I6504" s="39"/>
      <c r="J6504" s="103"/>
      <c r="K6504" s="39"/>
      <c r="L6504" s="78"/>
      <c r="M6504" s="19"/>
      <c r="N6504" s="10"/>
    </row>
    <row r="6505" spans="7:14" x14ac:dyDescent="0.75">
      <c r="G6505" s="10"/>
      <c r="H6505" s="10"/>
      <c r="I6505" s="39"/>
      <c r="J6505" s="103"/>
      <c r="K6505" s="39"/>
      <c r="L6505" s="78"/>
      <c r="M6505" s="19"/>
      <c r="N6505" s="10"/>
    </row>
    <row r="6506" spans="7:14" x14ac:dyDescent="0.75">
      <c r="G6506" s="10"/>
      <c r="H6506" s="10"/>
      <c r="I6506" s="39"/>
      <c r="J6506" s="103"/>
      <c r="K6506" s="39"/>
      <c r="L6506" s="78"/>
      <c r="M6506" s="19"/>
      <c r="N6506" s="10"/>
    </row>
    <row r="6507" spans="7:14" x14ac:dyDescent="0.75">
      <c r="G6507" s="10"/>
      <c r="H6507" s="10"/>
      <c r="I6507" s="39"/>
      <c r="J6507" s="103"/>
      <c r="K6507" s="39"/>
      <c r="L6507" s="78"/>
      <c r="M6507" s="19"/>
      <c r="N6507" s="10"/>
    </row>
    <row r="6508" spans="7:14" x14ac:dyDescent="0.75">
      <c r="G6508" s="10"/>
      <c r="H6508" s="10"/>
      <c r="I6508" s="39"/>
      <c r="J6508" s="103"/>
      <c r="K6508" s="39"/>
      <c r="L6508" s="78"/>
      <c r="M6508" s="19"/>
      <c r="N6508" s="10"/>
    </row>
    <row r="6509" spans="7:14" x14ac:dyDescent="0.75">
      <c r="G6509" s="10"/>
      <c r="H6509" s="10"/>
      <c r="I6509" s="39"/>
      <c r="J6509" s="103"/>
      <c r="K6509" s="39"/>
      <c r="L6509" s="78"/>
      <c r="M6509" s="19"/>
      <c r="N6509" s="10"/>
    </row>
    <row r="6510" spans="7:14" x14ac:dyDescent="0.75">
      <c r="G6510" s="10"/>
      <c r="H6510" s="10"/>
      <c r="I6510" s="39"/>
      <c r="J6510" s="103"/>
      <c r="K6510" s="39"/>
      <c r="L6510" s="78"/>
      <c r="M6510" s="19"/>
      <c r="N6510" s="10"/>
    </row>
    <row r="6511" spans="7:14" x14ac:dyDescent="0.75">
      <c r="G6511" s="10"/>
      <c r="H6511" s="10"/>
      <c r="I6511" s="39"/>
      <c r="J6511" s="103"/>
      <c r="K6511" s="39"/>
      <c r="L6511" s="78"/>
      <c r="M6511" s="19"/>
      <c r="N6511" s="10"/>
    </row>
    <row r="6512" spans="7:14" x14ac:dyDescent="0.75">
      <c r="G6512" s="10"/>
      <c r="H6512" s="10"/>
      <c r="I6512" s="39"/>
      <c r="J6512" s="103"/>
      <c r="K6512" s="39"/>
      <c r="L6512" s="78"/>
      <c r="M6512" s="19"/>
      <c r="N6512" s="10"/>
    </row>
    <row r="6513" spans="7:14" x14ac:dyDescent="0.75">
      <c r="G6513" s="10"/>
      <c r="H6513" s="10"/>
      <c r="I6513" s="39"/>
      <c r="J6513" s="103"/>
      <c r="K6513" s="39"/>
      <c r="L6513" s="78"/>
      <c r="M6513" s="19"/>
      <c r="N6513" s="10"/>
    </row>
    <row r="6514" spans="7:14" x14ac:dyDescent="0.75">
      <c r="G6514" s="10"/>
      <c r="H6514" s="10"/>
      <c r="I6514" s="39"/>
      <c r="J6514" s="103"/>
      <c r="K6514" s="39"/>
      <c r="L6514" s="78"/>
      <c r="M6514" s="19"/>
      <c r="N6514" s="10"/>
    </row>
    <row r="6515" spans="7:14" x14ac:dyDescent="0.75">
      <c r="G6515" s="10"/>
      <c r="H6515" s="10"/>
      <c r="I6515" s="39"/>
      <c r="J6515" s="103"/>
      <c r="K6515" s="39"/>
      <c r="L6515" s="78"/>
      <c r="M6515" s="19"/>
      <c r="N6515" s="10"/>
    </row>
    <row r="6516" spans="7:14" x14ac:dyDescent="0.75">
      <c r="G6516" s="10"/>
      <c r="H6516" s="10"/>
      <c r="I6516" s="39"/>
      <c r="J6516" s="103"/>
      <c r="K6516" s="39"/>
      <c r="L6516" s="78"/>
      <c r="M6516" s="19"/>
      <c r="N6516" s="10"/>
    </row>
    <row r="6517" spans="7:14" x14ac:dyDescent="0.75">
      <c r="G6517" s="10"/>
      <c r="H6517" s="10"/>
      <c r="I6517" s="39"/>
      <c r="J6517" s="103"/>
      <c r="K6517" s="39"/>
      <c r="L6517" s="78"/>
      <c r="M6517" s="19"/>
      <c r="N6517" s="10"/>
    </row>
    <row r="6518" spans="7:14" x14ac:dyDescent="0.75">
      <c r="G6518" s="10"/>
      <c r="H6518" s="10"/>
      <c r="I6518" s="39"/>
      <c r="J6518" s="103"/>
      <c r="K6518" s="39"/>
      <c r="L6518" s="78"/>
      <c r="M6518" s="19"/>
      <c r="N6518" s="10"/>
    </row>
    <row r="6519" spans="7:14" x14ac:dyDescent="0.75">
      <c r="G6519" s="10"/>
      <c r="H6519" s="10"/>
      <c r="I6519" s="39"/>
      <c r="J6519" s="103"/>
      <c r="K6519" s="39"/>
      <c r="L6519" s="78"/>
      <c r="M6519" s="19"/>
      <c r="N6519" s="10"/>
    </row>
    <row r="6520" spans="7:14" x14ac:dyDescent="0.75">
      <c r="G6520" s="10"/>
      <c r="H6520" s="10"/>
      <c r="I6520" s="39"/>
      <c r="J6520" s="103"/>
      <c r="K6520" s="39"/>
      <c r="L6520" s="78"/>
      <c r="M6520" s="19"/>
      <c r="N6520" s="10"/>
    </row>
    <row r="6521" spans="7:14" x14ac:dyDescent="0.75">
      <c r="G6521" s="10"/>
      <c r="H6521" s="10"/>
      <c r="I6521" s="39"/>
      <c r="J6521" s="103"/>
      <c r="K6521" s="39"/>
      <c r="L6521" s="78"/>
      <c r="M6521" s="19"/>
      <c r="N6521" s="10"/>
    </row>
    <row r="6522" spans="7:14" x14ac:dyDescent="0.75">
      <c r="G6522" s="10"/>
      <c r="H6522" s="10"/>
      <c r="I6522" s="39"/>
      <c r="J6522" s="103"/>
      <c r="K6522" s="39"/>
      <c r="L6522" s="78"/>
      <c r="M6522" s="19"/>
      <c r="N6522" s="10"/>
    </row>
    <row r="6523" spans="7:14" x14ac:dyDescent="0.75">
      <c r="G6523" s="10"/>
      <c r="H6523" s="10"/>
      <c r="I6523" s="39"/>
      <c r="J6523" s="103"/>
      <c r="K6523" s="39"/>
      <c r="L6523" s="78"/>
      <c r="M6523" s="19"/>
      <c r="N6523" s="10"/>
    </row>
    <row r="6524" spans="7:14" x14ac:dyDescent="0.75">
      <c r="G6524" s="10"/>
      <c r="H6524" s="10"/>
      <c r="I6524" s="39"/>
      <c r="J6524" s="103"/>
      <c r="K6524" s="39"/>
      <c r="L6524" s="78"/>
      <c r="M6524" s="19"/>
      <c r="N6524" s="10"/>
    </row>
    <row r="6525" spans="7:14" x14ac:dyDescent="0.75">
      <c r="G6525" s="10"/>
      <c r="H6525" s="10"/>
      <c r="I6525" s="39"/>
      <c r="J6525" s="103"/>
      <c r="K6525" s="39"/>
      <c r="L6525" s="78"/>
      <c r="M6525" s="19"/>
      <c r="N6525" s="10"/>
    </row>
    <row r="6526" spans="7:14" x14ac:dyDescent="0.75">
      <c r="G6526" s="10"/>
      <c r="H6526" s="10"/>
      <c r="I6526" s="39"/>
      <c r="J6526" s="103"/>
      <c r="K6526" s="39"/>
      <c r="L6526" s="78"/>
      <c r="M6526" s="19"/>
      <c r="N6526" s="10"/>
    </row>
    <row r="6527" spans="7:14" x14ac:dyDescent="0.75">
      <c r="G6527" s="10"/>
      <c r="H6527" s="10"/>
      <c r="I6527" s="39"/>
      <c r="J6527" s="103"/>
      <c r="K6527" s="39"/>
      <c r="L6527" s="78"/>
      <c r="M6527" s="19"/>
      <c r="N6527" s="10"/>
    </row>
    <row r="6528" spans="7:14" x14ac:dyDescent="0.75">
      <c r="G6528" s="10"/>
      <c r="H6528" s="10"/>
      <c r="I6528" s="39"/>
      <c r="J6528" s="103"/>
      <c r="K6528" s="39"/>
      <c r="L6528" s="78"/>
      <c r="M6528" s="19"/>
      <c r="N6528" s="10"/>
    </row>
    <row r="6529" spans="7:14" x14ac:dyDescent="0.75">
      <c r="G6529" s="10"/>
      <c r="H6529" s="10"/>
      <c r="I6529" s="39"/>
      <c r="J6529" s="103"/>
      <c r="K6529" s="39"/>
      <c r="L6529" s="78"/>
      <c r="M6529" s="19"/>
      <c r="N6529" s="10"/>
    </row>
    <row r="6530" spans="7:14" x14ac:dyDescent="0.75">
      <c r="G6530" s="10"/>
      <c r="H6530" s="10"/>
      <c r="I6530" s="39"/>
      <c r="J6530" s="103"/>
      <c r="K6530" s="39"/>
      <c r="L6530" s="78"/>
      <c r="M6530" s="19"/>
      <c r="N6530" s="10"/>
    </row>
    <row r="6531" spans="7:14" x14ac:dyDescent="0.75">
      <c r="G6531" s="10"/>
      <c r="H6531" s="10"/>
      <c r="I6531" s="39"/>
      <c r="J6531" s="103"/>
      <c r="K6531" s="39"/>
      <c r="L6531" s="78"/>
      <c r="M6531" s="19"/>
      <c r="N6531" s="10"/>
    </row>
    <row r="6532" spans="7:14" x14ac:dyDescent="0.75">
      <c r="G6532" s="10"/>
      <c r="H6532" s="10"/>
      <c r="I6532" s="39"/>
      <c r="J6532" s="103"/>
      <c r="K6532" s="39"/>
      <c r="L6532" s="78"/>
      <c r="M6532" s="19"/>
      <c r="N6532" s="10"/>
    </row>
    <row r="6533" spans="7:14" x14ac:dyDescent="0.75">
      <c r="G6533" s="10"/>
      <c r="H6533" s="10"/>
      <c r="I6533" s="39"/>
      <c r="J6533" s="103"/>
      <c r="K6533" s="39"/>
      <c r="L6533" s="78"/>
      <c r="M6533" s="19"/>
      <c r="N6533" s="10"/>
    </row>
    <row r="6534" spans="7:14" x14ac:dyDescent="0.75">
      <c r="G6534" s="10"/>
      <c r="H6534" s="10"/>
      <c r="I6534" s="39"/>
      <c r="J6534" s="103"/>
      <c r="K6534" s="39"/>
      <c r="L6534" s="78"/>
      <c r="M6534" s="19"/>
      <c r="N6534" s="10"/>
    </row>
    <row r="6535" spans="7:14" x14ac:dyDescent="0.75">
      <c r="G6535" s="10"/>
      <c r="H6535" s="10"/>
      <c r="I6535" s="39"/>
      <c r="J6535" s="103"/>
      <c r="K6535" s="39"/>
      <c r="L6535" s="78"/>
      <c r="M6535" s="19"/>
      <c r="N6535" s="10"/>
    </row>
    <row r="6536" spans="7:14" x14ac:dyDescent="0.75">
      <c r="G6536" s="10"/>
      <c r="H6536" s="10"/>
      <c r="I6536" s="39"/>
      <c r="J6536" s="103"/>
      <c r="K6536" s="39"/>
      <c r="L6536" s="78"/>
      <c r="M6536" s="19"/>
      <c r="N6536" s="10"/>
    </row>
    <row r="6537" spans="7:14" x14ac:dyDescent="0.75">
      <c r="G6537" s="10"/>
      <c r="H6537" s="10"/>
      <c r="I6537" s="39"/>
      <c r="J6537" s="103"/>
      <c r="K6537" s="39"/>
      <c r="L6537" s="78"/>
      <c r="M6537" s="19"/>
      <c r="N6537" s="10"/>
    </row>
    <row r="6538" spans="7:14" x14ac:dyDescent="0.75">
      <c r="G6538" s="10"/>
      <c r="H6538" s="10"/>
      <c r="I6538" s="39"/>
      <c r="J6538" s="103"/>
      <c r="K6538" s="39"/>
      <c r="L6538" s="78"/>
      <c r="M6538" s="19"/>
      <c r="N6538" s="10"/>
    </row>
    <row r="6539" spans="7:14" x14ac:dyDescent="0.75">
      <c r="G6539" s="10"/>
      <c r="H6539" s="10"/>
      <c r="I6539" s="39"/>
      <c r="J6539" s="103"/>
      <c r="K6539" s="39"/>
      <c r="L6539" s="78"/>
      <c r="M6539" s="19"/>
      <c r="N6539" s="10"/>
    </row>
    <row r="6540" spans="7:14" x14ac:dyDescent="0.75">
      <c r="G6540" s="10"/>
      <c r="H6540" s="10"/>
      <c r="I6540" s="39"/>
      <c r="J6540" s="103"/>
      <c r="K6540" s="39"/>
      <c r="L6540" s="78"/>
      <c r="M6540" s="19"/>
      <c r="N6540" s="10"/>
    </row>
    <row r="6541" spans="7:14" x14ac:dyDescent="0.75">
      <c r="G6541" s="10"/>
      <c r="H6541" s="10"/>
      <c r="I6541" s="39"/>
      <c r="J6541" s="103"/>
      <c r="K6541" s="39"/>
      <c r="L6541" s="78"/>
      <c r="M6541" s="19"/>
      <c r="N6541" s="10"/>
    </row>
    <row r="6542" spans="7:14" x14ac:dyDescent="0.75">
      <c r="G6542" s="10"/>
      <c r="H6542" s="10"/>
      <c r="I6542" s="39"/>
      <c r="J6542" s="103"/>
      <c r="K6542" s="39"/>
      <c r="L6542" s="78"/>
      <c r="M6542" s="19"/>
      <c r="N6542" s="10"/>
    </row>
    <row r="6543" spans="7:14" x14ac:dyDescent="0.75">
      <c r="G6543" s="10"/>
      <c r="H6543" s="10"/>
      <c r="I6543" s="39"/>
      <c r="J6543" s="103"/>
      <c r="K6543" s="39"/>
      <c r="L6543" s="78"/>
      <c r="M6543" s="19"/>
      <c r="N6543" s="10"/>
    </row>
    <row r="6544" spans="7:14" x14ac:dyDescent="0.75">
      <c r="G6544" s="10"/>
      <c r="H6544" s="10"/>
      <c r="I6544" s="39"/>
      <c r="J6544" s="103"/>
      <c r="K6544" s="39"/>
      <c r="L6544" s="78"/>
      <c r="M6544" s="19"/>
      <c r="N6544" s="10"/>
    </row>
    <row r="6545" spans="7:14" x14ac:dyDescent="0.75">
      <c r="G6545" s="10"/>
      <c r="H6545" s="10"/>
      <c r="I6545" s="39"/>
      <c r="J6545" s="103"/>
      <c r="K6545" s="39"/>
      <c r="L6545" s="78"/>
      <c r="M6545" s="19"/>
      <c r="N6545" s="10"/>
    </row>
    <row r="6546" spans="7:14" x14ac:dyDescent="0.75">
      <c r="G6546" s="10"/>
      <c r="H6546" s="10"/>
      <c r="I6546" s="39"/>
      <c r="J6546" s="103"/>
      <c r="K6546" s="39"/>
      <c r="L6546" s="78"/>
      <c r="M6546" s="19"/>
      <c r="N6546" s="10"/>
    </row>
    <row r="6547" spans="7:14" x14ac:dyDescent="0.75">
      <c r="G6547" s="10"/>
      <c r="H6547" s="10"/>
      <c r="I6547" s="39"/>
      <c r="J6547" s="103"/>
      <c r="K6547" s="39"/>
      <c r="L6547" s="78"/>
      <c r="M6547" s="19"/>
      <c r="N6547" s="10"/>
    </row>
    <row r="6548" spans="7:14" x14ac:dyDescent="0.75">
      <c r="G6548" s="10"/>
      <c r="H6548" s="10"/>
      <c r="I6548" s="39"/>
      <c r="J6548" s="103"/>
      <c r="K6548" s="39"/>
      <c r="L6548" s="78"/>
      <c r="M6548" s="19"/>
      <c r="N6548" s="10"/>
    </row>
    <row r="6549" spans="7:14" x14ac:dyDescent="0.75">
      <c r="G6549" s="10"/>
      <c r="H6549" s="10"/>
      <c r="I6549" s="39"/>
      <c r="J6549" s="103"/>
      <c r="K6549" s="39"/>
      <c r="L6549" s="78"/>
      <c r="M6549" s="19"/>
      <c r="N6549" s="10"/>
    </row>
    <row r="6550" spans="7:14" x14ac:dyDescent="0.75">
      <c r="G6550" s="10"/>
      <c r="H6550" s="10"/>
      <c r="I6550" s="39"/>
      <c r="J6550" s="103"/>
      <c r="K6550" s="39"/>
      <c r="L6550" s="78"/>
      <c r="M6550" s="19"/>
      <c r="N6550" s="10"/>
    </row>
    <row r="6551" spans="7:14" x14ac:dyDescent="0.75">
      <c r="G6551" s="10"/>
      <c r="H6551" s="10"/>
      <c r="I6551" s="39"/>
      <c r="J6551" s="103"/>
      <c r="K6551" s="39"/>
      <c r="L6551" s="78"/>
      <c r="M6551" s="19"/>
      <c r="N6551" s="10"/>
    </row>
    <row r="6552" spans="7:14" x14ac:dyDescent="0.75">
      <c r="G6552" s="10"/>
      <c r="H6552" s="10"/>
      <c r="I6552" s="39"/>
      <c r="J6552" s="103"/>
      <c r="K6552" s="39"/>
      <c r="L6552" s="78"/>
      <c r="M6552" s="19"/>
      <c r="N6552" s="10"/>
    </row>
    <row r="6553" spans="7:14" x14ac:dyDescent="0.75">
      <c r="G6553" s="10"/>
      <c r="H6553" s="10"/>
      <c r="I6553" s="39"/>
      <c r="J6553" s="103"/>
      <c r="K6553" s="39"/>
      <c r="L6553" s="78"/>
      <c r="M6553" s="19"/>
      <c r="N6553" s="10"/>
    </row>
    <row r="6554" spans="7:14" x14ac:dyDescent="0.75">
      <c r="G6554" s="10"/>
      <c r="H6554" s="10"/>
      <c r="I6554" s="39"/>
      <c r="J6554" s="103"/>
      <c r="K6554" s="39"/>
      <c r="L6554" s="78"/>
      <c r="M6554" s="19"/>
      <c r="N6554" s="10"/>
    </row>
    <row r="6555" spans="7:14" x14ac:dyDescent="0.75">
      <c r="G6555" s="10"/>
      <c r="H6555" s="10"/>
      <c r="I6555" s="39"/>
      <c r="J6555" s="103"/>
      <c r="K6555" s="39"/>
      <c r="L6555" s="78"/>
      <c r="M6555" s="19"/>
      <c r="N6555" s="10"/>
    </row>
    <row r="6556" spans="7:14" x14ac:dyDescent="0.75">
      <c r="G6556" s="10"/>
      <c r="H6556" s="10"/>
      <c r="I6556" s="39"/>
      <c r="J6556" s="103"/>
      <c r="K6556" s="39"/>
      <c r="L6556" s="78"/>
      <c r="M6556" s="19"/>
      <c r="N6556" s="10"/>
    </row>
    <row r="6557" spans="7:14" x14ac:dyDescent="0.75">
      <c r="G6557" s="10"/>
      <c r="H6557" s="10"/>
      <c r="I6557" s="39"/>
      <c r="J6557" s="103"/>
      <c r="K6557" s="39"/>
      <c r="L6557" s="78"/>
      <c r="M6557" s="19"/>
      <c r="N6557" s="10"/>
    </row>
    <row r="6558" spans="7:14" x14ac:dyDescent="0.75">
      <c r="G6558" s="10"/>
      <c r="H6558" s="10"/>
      <c r="I6558" s="39"/>
      <c r="J6558" s="103"/>
      <c r="K6558" s="39"/>
      <c r="L6558" s="78"/>
      <c r="M6558" s="19"/>
      <c r="N6558" s="10"/>
    </row>
    <row r="6559" spans="7:14" x14ac:dyDescent="0.75">
      <c r="G6559" s="10"/>
      <c r="H6559" s="10"/>
      <c r="I6559" s="39"/>
      <c r="J6559" s="103"/>
      <c r="K6559" s="39"/>
      <c r="L6559" s="78"/>
      <c r="M6559" s="19"/>
      <c r="N6559" s="10"/>
    </row>
    <row r="6560" spans="7:14" x14ac:dyDescent="0.75">
      <c r="G6560" s="10"/>
      <c r="H6560" s="10"/>
      <c r="I6560" s="39"/>
      <c r="J6560" s="103"/>
      <c r="K6560" s="39"/>
      <c r="L6560" s="78"/>
      <c r="M6560" s="19"/>
      <c r="N6560" s="10"/>
    </row>
    <row r="6561" spans="7:14" x14ac:dyDescent="0.75">
      <c r="G6561" s="10"/>
      <c r="H6561" s="10"/>
      <c r="I6561" s="39"/>
      <c r="J6561" s="103"/>
      <c r="K6561" s="39"/>
      <c r="L6561" s="78"/>
      <c r="M6561" s="19"/>
      <c r="N6561" s="10"/>
    </row>
    <row r="6562" spans="7:14" x14ac:dyDescent="0.75">
      <c r="G6562" s="10"/>
      <c r="H6562" s="10"/>
      <c r="I6562" s="39"/>
      <c r="J6562" s="103"/>
      <c r="K6562" s="39"/>
      <c r="L6562" s="78"/>
      <c r="M6562" s="19"/>
      <c r="N6562" s="10"/>
    </row>
    <row r="6563" spans="7:14" x14ac:dyDescent="0.75">
      <c r="G6563" s="10"/>
      <c r="H6563" s="10"/>
      <c r="I6563" s="39"/>
      <c r="J6563" s="103"/>
      <c r="K6563" s="39"/>
      <c r="L6563" s="78"/>
      <c r="M6563" s="19"/>
      <c r="N6563" s="10"/>
    </row>
    <row r="6564" spans="7:14" x14ac:dyDescent="0.75">
      <c r="G6564" s="10"/>
      <c r="H6564" s="10"/>
      <c r="I6564" s="39"/>
      <c r="J6564" s="103"/>
      <c r="K6564" s="39"/>
      <c r="L6564" s="78"/>
      <c r="M6564" s="19"/>
      <c r="N6564" s="10"/>
    </row>
    <row r="6565" spans="7:14" x14ac:dyDescent="0.75">
      <c r="G6565" s="10"/>
      <c r="H6565" s="10"/>
      <c r="I6565" s="39"/>
      <c r="J6565" s="103"/>
      <c r="K6565" s="39"/>
      <c r="L6565" s="78"/>
      <c r="M6565" s="19"/>
      <c r="N6565" s="10"/>
    </row>
    <row r="6566" spans="7:14" x14ac:dyDescent="0.75">
      <c r="G6566" s="10"/>
      <c r="H6566" s="10"/>
      <c r="I6566" s="39"/>
      <c r="J6566" s="103"/>
      <c r="K6566" s="39"/>
      <c r="L6566" s="78"/>
      <c r="M6566" s="19"/>
      <c r="N6566" s="10"/>
    </row>
    <row r="6567" spans="7:14" x14ac:dyDescent="0.75">
      <c r="G6567" s="10"/>
      <c r="H6567" s="10"/>
      <c r="I6567" s="39"/>
      <c r="J6567" s="103"/>
      <c r="K6567" s="39"/>
      <c r="L6567" s="78"/>
      <c r="M6567" s="19"/>
      <c r="N6567" s="10"/>
    </row>
    <row r="6568" spans="7:14" x14ac:dyDescent="0.75">
      <c r="G6568" s="10"/>
      <c r="H6568" s="10"/>
      <c r="I6568" s="39"/>
      <c r="J6568" s="103"/>
      <c r="K6568" s="39"/>
      <c r="L6568" s="78"/>
      <c r="M6568" s="19"/>
      <c r="N6568" s="10"/>
    </row>
    <row r="6569" spans="7:14" x14ac:dyDescent="0.75">
      <c r="G6569" s="10"/>
      <c r="H6569" s="10"/>
      <c r="I6569" s="39"/>
      <c r="J6569" s="103"/>
      <c r="K6569" s="39"/>
      <c r="L6569" s="78"/>
      <c r="M6569" s="19"/>
      <c r="N6569" s="10"/>
    </row>
    <row r="6570" spans="7:14" x14ac:dyDescent="0.75">
      <c r="G6570" s="10"/>
      <c r="H6570" s="10"/>
      <c r="I6570" s="39"/>
      <c r="J6570" s="103"/>
      <c r="K6570" s="39"/>
      <c r="L6570" s="78"/>
      <c r="M6570" s="19"/>
      <c r="N6570" s="10"/>
    </row>
    <row r="6571" spans="7:14" x14ac:dyDescent="0.75">
      <c r="G6571" s="10"/>
      <c r="H6571" s="10"/>
      <c r="I6571" s="39"/>
      <c r="J6571" s="103"/>
      <c r="K6571" s="39"/>
      <c r="L6571" s="78"/>
      <c r="M6571" s="19"/>
      <c r="N6571" s="10"/>
    </row>
    <row r="6572" spans="7:14" x14ac:dyDescent="0.75">
      <c r="G6572" s="10"/>
      <c r="H6572" s="10"/>
      <c r="I6572" s="39"/>
      <c r="J6572" s="103"/>
      <c r="K6572" s="39"/>
      <c r="L6572" s="78"/>
      <c r="M6572" s="19"/>
      <c r="N6572" s="10"/>
    </row>
    <row r="6573" spans="7:14" x14ac:dyDescent="0.75">
      <c r="G6573" s="10"/>
      <c r="H6573" s="10"/>
      <c r="I6573" s="39"/>
      <c r="J6573" s="103"/>
      <c r="K6573" s="39"/>
      <c r="L6573" s="78"/>
      <c r="M6573" s="19"/>
      <c r="N6573" s="10"/>
    </row>
    <row r="6574" spans="7:14" x14ac:dyDescent="0.75">
      <c r="G6574" s="10"/>
      <c r="H6574" s="10"/>
      <c r="I6574" s="39"/>
      <c r="J6574" s="103"/>
      <c r="K6574" s="39"/>
      <c r="L6574" s="78"/>
      <c r="M6574" s="19"/>
      <c r="N6574" s="10"/>
    </row>
    <row r="6575" spans="7:14" x14ac:dyDescent="0.75">
      <c r="G6575" s="10"/>
      <c r="H6575" s="10"/>
      <c r="I6575" s="39"/>
      <c r="J6575" s="103"/>
      <c r="K6575" s="39"/>
      <c r="L6575" s="78"/>
      <c r="M6575" s="19"/>
      <c r="N6575" s="10"/>
    </row>
    <row r="6576" spans="7:14" x14ac:dyDescent="0.75">
      <c r="G6576" s="10"/>
      <c r="H6576" s="10"/>
      <c r="I6576" s="39"/>
      <c r="J6576" s="103"/>
      <c r="K6576" s="39"/>
      <c r="L6576" s="78"/>
      <c r="M6576" s="19"/>
      <c r="N6576" s="10"/>
    </row>
    <row r="6577" spans="7:14" x14ac:dyDescent="0.75">
      <c r="G6577" s="10"/>
      <c r="H6577" s="10"/>
      <c r="I6577" s="39"/>
      <c r="J6577" s="103"/>
      <c r="K6577" s="39"/>
      <c r="L6577" s="78"/>
      <c r="M6577" s="19"/>
      <c r="N6577" s="10"/>
    </row>
    <row r="6578" spans="7:14" x14ac:dyDescent="0.75">
      <c r="G6578" s="10"/>
      <c r="H6578" s="10"/>
      <c r="I6578" s="39"/>
      <c r="J6578" s="103"/>
      <c r="K6578" s="39"/>
      <c r="L6578" s="78"/>
      <c r="M6578" s="19"/>
      <c r="N6578" s="10"/>
    </row>
    <row r="6579" spans="7:14" x14ac:dyDescent="0.75">
      <c r="G6579" s="10"/>
      <c r="H6579" s="10"/>
      <c r="I6579" s="39"/>
      <c r="J6579" s="103"/>
      <c r="K6579" s="39"/>
      <c r="L6579" s="78"/>
      <c r="M6579" s="19"/>
      <c r="N6579" s="10"/>
    </row>
    <row r="6580" spans="7:14" x14ac:dyDescent="0.75">
      <c r="G6580" s="10"/>
      <c r="H6580" s="10"/>
      <c r="I6580" s="39"/>
      <c r="J6580" s="103"/>
      <c r="K6580" s="39"/>
      <c r="L6580" s="78"/>
      <c r="M6580" s="19"/>
      <c r="N6580" s="10"/>
    </row>
    <row r="6581" spans="7:14" x14ac:dyDescent="0.75">
      <c r="G6581" s="10"/>
      <c r="H6581" s="10"/>
      <c r="I6581" s="39"/>
      <c r="J6581" s="103"/>
      <c r="K6581" s="39"/>
      <c r="L6581" s="78"/>
      <c r="M6581" s="19"/>
      <c r="N6581" s="10"/>
    </row>
    <row r="6582" spans="7:14" x14ac:dyDescent="0.75">
      <c r="G6582" s="10"/>
      <c r="H6582" s="10"/>
      <c r="I6582" s="39"/>
      <c r="J6582" s="103"/>
      <c r="K6582" s="39"/>
      <c r="L6582" s="78"/>
      <c r="M6582" s="19"/>
      <c r="N6582" s="10"/>
    </row>
    <row r="6583" spans="7:14" x14ac:dyDescent="0.75">
      <c r="G6583" s="10"/>
      <c r="H6583" s="10"/>
      <c r="I6583" s="39"/>
      <c r="J6583" s="103"/>
      <c r="K6583" s="39"/>
      <c r="L6583" s="78"/>
      <c r="M6583" s="19"/>
      <c r="N6583" s="10"/>
    </row>
    <row r="6584" spans="7:14" x14ac:dyDescent="0.75">
      <c r="G6584" s="10"/>
      <c r="H6584" s="10"/>
      <c r="I6584" s="39"/>
      <c r="J6584" s="103"/>
      <c r="K6584" s="39"/>
      <c r="L6584" s="78"/>
      <c r="M6584" s="19"/>
      <c r="N6584" s="10"/>
    </row>
    <row r="6585" spans="7:14" x14ac:dyDescent="0.75">
      <c r="G6585" s="10"/>
      <c r="H6585" s="10"/>
      <c r="I6585" s="39"/>
      <c r="J6585" s="103"/>
      <c r="K6585" s="39"/>
      <c r="L6585" s="78"/>
      <c r="M6585" s="19"/>
      <c r="N6585" s="10"/>
    </row>
    <row r="6586" spans="7:14" x14ac:dyDescent="0.75">
      <c r="G6586" s="10"/>
      <c r="H6586" s="10"/>
      <c r="I6586" s="39"/>
      <c r="J6586" s="103"/>
      <c r="K6586" s="39"/>
      <c r="L6586" s="78"/>
      <c r="M6586" s="19"/>
      <c r="N6586" s="10"/>
    </row>
    <row r="6587" spans="7:14" x14ac:dyDescent="0.75">
      <c r="G6587" s="10"/>
      <c r="H6587" s="10"/>
      <c r="I6587" s="39"/>
      <c r="J6587" s="103"/>
      <c r="K6587" s="39"/>
      <c r="L6587" s="78"/>
      <c r="M6587" s="19"/>
      <c r="N6587" s="10"/>
    </row>
    <row r="6588" spans="7:14" x14ac:dyDescent="0.75">
      <c r="G6588" s="10"/>
      <c r="H6588" s="10"/>
      <c r="I6588" s="39"/>
      <c r="J6588" s="103"/>
      <c r="K6588" s="39"/>
      <c r="L6588" s="78"/>
      <c r="M6588" s="19"/>
      <c r="N6588" s="10"/>
    </row>
    <row r="6589" spans="7:14" x14ac:dyDescent="0.75">
      <c r="G6589" s="10"/>
      <c r="H6589" s="10"/>
      <c r="I6589" s="39"/>
      <c r="J6589" s="103"/>
      <c r="K6589" s="39"/>
      <c r="L6589" s="78"/>
      <c r="M6589" s="19"/>
      <c r="N6589" s="10"/>
    </row>
    <row r="6590" spans="7:14" x14ac:dyDescent="0.75">
      <c r="G6590" s="10"/>
      <c r="H6590" s="10"/>
      <c r="I6590" s="39"/>
      <c r="J6590" s="103"/>
      <c r="K6590" s="39"/>
      <c r="L6590" s="78"/>
      <c r="M6590" s="19"/>
      <c r="N6590" s="10"/>
    </row>
    <row r="6591" spans="7:14" x14ac:dyDescent="0.75">
      <c r="G6591" s="10"/>
      <c r="H6591" s="10"/>
      <c r="I6591" s="39"/>
      <c r="J6591" s="103"/>
      <c r="K6591" s="39"/>
      <c r="L6591" s="78"/>
      <c r="M6591" s="19"/>
      <c r="N6591" s="10"/>
    </row>
    <row r="6592" spans="7:14" x14ac:dyDescent="0.75">
      <c r="G6592" s="10"/>
      <c r="H6592" s="10"/>
      <c r="I6592" s="39"/>
      <c r="J6592" s="103"/>
      <c r="K6592" s="39"/>
      <c r="L6592" s="78"/>
      <c r="M6592" s="19"/>
      <c r="N6592" s="10"/>
    </row>
    <row r="6593" spans="7:14" x14ac:dyDescent="0.75">
      <c r="G6593" s="10"/>
      <c r="H6593" s="10"/>
      <c r="I6593" s="39"/>
      <c r="J6593" s="103"/>
      <c r="K6593" s="39"/>
      <c r="L6593" s="78"/>
      <c r="M6593" s="19"/>
      <c r="N6593" s="10"/>
    </row>
    <row r="6594" spans="7:14" x14ac:dyDescent="0.75">
      <c r="G6594" s="10"/>
      <c r="H6594" s="10"/>
      <c r="I6594" s="39"/>
      <c r="J6594" s="103"/>
      <c r="K6594" s="39"/>
      <c r="L6594" s="78"/>
      <c r="M6594" s="19"/>
      <c r="N6594" s="10"/>
    </row>
    <row r="6595" spans="7:14" x14ac:dyDescent="0.75">
      <c r="G6595" s="10"/>
      <c r="H6595" s="10"/>
      <c r="I6595" s="39"/>
      <c r="J6595" s="103"/>
      <c r="K6595" s="39"/>
      <c r="L6595" s="78"/>
      <c r="M6595" s="19"/>
      <c r="N6595" s="10"/>
    </row>
    <row r="6596" spans="7:14" x14ac:dyDescent="0.75">
      <c r="G6596" s="10"/>
      <c r="H6596" s="10"/>
      <c r="I6596" s="39"/>
      <c r="J6596" s="103"/>
      <c r="K6596" s="39"/>
      <c r="L6596" s="78"/>
      <c r="M6596" s="19"/>
      <c r="N6596" s="10"/>
    </row>
    <row r="6597" spans="7:14" x14ac:dyDescent="0.75">
      <c r="G6597" s="10"/>
      <c r="H6597" s="10"/>
      <c r="I6597" s="39"/>
      <c r="J6597" s="103"/>
      <c r="K6597" s="39"/>
      <c r="L6597" s="78"/>
      <c r="M6597" s="19"/>
      <c r="N6597" s="10"/>
    </row>
    <row r="6598" spans="7:14" x14ac:dyDescent="0.75">
      <c r="G6598" s="10"/>
      <c r="H6598" s="10"/>
      <c r="I6598" s="39"/>
      <c r="J6598" s="103"/>
      <c r="K6598" s="39"/>
      <c r="L6598" s="78"/>
      <c r="M6598" s="19"/>
      <c r="N6598" s="10"/>
    </row>
    <row r="6599" spans="7:14" x14ac:dyDescent="0.75">
      <c r="G6599" s="10"/>
      <c r="H6599" s="10"/>
      <c r="I6599" s="39"/>
      <c r="J6599" s="103"/>
      <c r="K6599" s="39"/>
      <c r="L6599" s="78"/>
      <c r="M6599" s="19"/>
      <c r="N6599" s="10"/>
    </row>
    <row r="6600" spans="7:14" x14ac:dyDescent="0.75">
      <c r="G6600" s="10"/>
      <c r="H6600" s="10"/>
      <c r="I6600" s="39"/>
      <c r="J6600" s="103"/>
      <c r="K6600" s="39"/>
      <c r="L6600" s="78"/>
      <c r="M6600" s="19"/>
      <c r="N6600" s="10"/>
    </row>
    <row r="6601" spans="7:14" x14ac:dyDescent="0.75">
      <c r="G6601" s="10"/>
      <c r="H6601" s="10"/>
      <c r="I6601" s="39"/>
      <c r="J6601" s="103"/>
      <c r="K6601" s="39"/>
      <c r="L6601" s="78"/>
      <c r="M6601" s="19"/>
      <c r="N6601" s="10"/>
    </row>
    <row r="6602" spans="7:14" x14ac:dyDescent="0.75">
      <c r="G6602" s="10"/>
      <c r="H6602" s="10"/>
      <c r="I6602" s="39"/>
      <c r="J6602" s="103"/>
      <c r="K6602" s="39"/>
      <c r="L6602" s="78"/>
      <c r="M6602" s="19"/>
      <c r="N6602" s="10"/>
    </row>
    <row r="6603" spans="7:14" x14ac:dyDescent="0.75">
      <c r="G6603" s="10"/>
      <c r="H6603" s="10"/>
      <c r="I6603" s="39"/>
      <c r="J6603" s="103"/>
      <c r="K6603" s="39"/>
      <c r="L6603" s="78"/>
      <c r="M6603" s="19"/>
      <c r="N6603" s="10"/>
    </row>
    <row r="6604" spans="7:14" x14ac:dyDescent="0.75">
      <c r="G6604" s="10"/>
      <c r="H6604" s="10"/>
      <c r="I6604" s="39"/>
      <c r="J6604" s="103"/>
      <c r="K6604" s="39"/>
      <c r="L6604" s="78"/>
      <c r="M6604" s="19"/>
      <c r="N6604" s="10"/>
    </row>
    <row r="6605" spans="7:14" x14ac:dyDescent="0.75">
      <c r="G6605" s="10"/>
      <c r="H6605" s="10"/>
      <c r="I6605" s="39"/>
      <c r="J6605" s="103"/>
      <c r="K6605" s="39"/>
      <c r="L6605" s="78"/>
      <c r="M6605" s="19"/>
      <c r="N6605" s="10"/>
    </row>
    <row r="6606" spans="7:14" x14ac:dyDescent="0.75">
      <c r="G6606" s="10"/>
      <c r="H6606" s="10"/>
      <c r="I6606" s="39"/>
      <c r="J6606" s="103"/>
      <c r="K6606" s="39"/>
      <c r="L6606" s="78"/>
      <c r="M6606" s="19"/>
      <c r="N6606" s="10"/>
    </row>
    <row r="6607" spans="7:14" x14ac:dyDescent="0.75">
      <c r="G6607" s="10"/>
      <c r="H6607" s="10"/>
      <c r="I6607" s="39"/>
      <c r="J6607" s="103"/>
      <c r="K6607" s="39"/>
      <c r="L6607" s="78"/>
      <c r="M6607" s="19"/>
      <c r="N6607" s="10"/>
    </row>
    <row r="6608" spans="7:14" x14ac:dyDescent="0.75">
      <c r="G6608" s="10"/>
      <c r="H6608" s="10"/>
      <c r="I6608" s="39"/>
      <c r="J6608" s="103"/>
      <c r="K6608" s="39"/>
      <c r="L6608" s="78"/>
      <c r="M6608" s="19"/>
      <c r="N6608" s="10"/>
    </row>
    <row r="6609" spans="7:14" x14ac:dyDescent="0.75">
      <c r="G6609" s="10"/>
      <c r="H6609" s="10"/>
      <c r="I6609" s="39"/>
      <c r="J6609" s="103"/>
      <c r="K6609" s="39"/>
      <c r="L6609" s="78"/>
      <c r="M6609" s="19"/>
      <c r="N6609" s="10"/>
    </row>
    <row r="6610" spans="7:14" x14ac:dyDescent="0.75">
      <c r="G6610" s="10"/>
      <c r="H6610" s="10"/>
      <c r="I6610" s="39"/>
      <c r="J6610" s="103"/>
      <c r="K6610" s="39"/>
      <c r="L6610" s="78"/>
      <c r="M6610" s="19"/>
      <c r="N6610" s="10"/>
    </row>
    <row r="6611" spans="7:14" x14ac:dyDescent="0.75">
      <c r="G6611" s="10"/>
      <c r="H6611" s="10"/>
      <c r="I6611" s="39"/>
      <c r="J6611" s="103"/>
      <c r="K6611" s="39"/>
      <c r="L6611" s="78"/>
      <c r="M6611" s="19"/>
      <c r="N6611" s="10"/>
    </row>
    <row r="6612" spans="7:14" x14ac:dyDescent="0.75">
      <c r="G6612" s="10"/>
      <c r="H6612" s="10"/>
      <c r="I6612" s="39"/>
      <c r="J6612" s="103"/>
      <c r="K6612" s="39"/>
      <c r="L6612" s="78"/>
      <c r="M6612" s="19"/>
      <c r="N6612" s="10"/>
    </row>
    <row r="6613" spans="7:14" x14ac:dyDescent="0.75">
      <c r="G6613" s="10"/>
      <c r="H6613" s="10"/>
      <c r="I6613" s="39"/>
      <c r="J6613" s="103"/>
      <c r="K6613" s="39"/>
      <c r="L6613" s="78"/>
      <c r="M6613" s="19"/>
      <c r="N6613" s="10"/>
    </row>
    <row r="6614" spans="7:14" x14ac:dyDescent="0.75">
      <c r="G6614" s="10"/>
      <c r="H6614" s="10"/>
      <c r="I6614" s="39"/>
      <c r="J6614" s="103"/>
      <c r="K6614" s="39"/>
      <c r="L6614" s="78"/>
      <c r="M6614" s="19"/>
      <c r="N6614" s="10"/>
    </row>
    <row r="6615" spans="7:14" x14ac:dyDescent="0.75">
      <c r="G6615" s="10"/>
      <c r="H6615" s="10"/>
      <c r="I6615" s="39"/>
      <c r="J6615" s="103"/>
      <c r="K6615" s="39"/>
      <c r="L6615" s="78"/>
      <c r="M6615" s="19"/>
      <c r="N6615" s="10"/>
    </row>
    <row r="6616" spans="7:14" x14ac:dyDescent="0.75">
      <c r="G6616" s="10"/>
      <c r="H6616" s="10"/>
      <c r="I6616" s="39"/>
      <c r="J6616" s="103"/>
      <c r="K6616" s="39"/>
      <c r="L6616" s="78"/>
      <c r="M6616" s="19"/>
      <c r="N6616" s="10"/>
    </row>
    <row r="6617" spans="7:14" x14ac:dyDescent="0.75">
      <c r="G6617" s="10"/>
      <c r="H6617" s="10"/>
      <c r="I6617" s="39"/>
      <c r="J6617" s="103"/>
      <c r="K6617" s="39"/>
      <c r="L6617" s="78"/>
      <c r="M6617" s="19"/>
      <c r="N6617" s="10"/>
    </row>
    <row r="6618" spans="7:14" x14ac:dyDescent="0.75">
      <c r="G6618" s="10"/>
      <c r="H6618" s="10"/>
      <c r="I6618" s="39"/>
      <c r="J6618" s="103"/>
      <c r="K6618" s="39"/>
      <c r="L6618" s="78"/>
      <c r="M6618" s="19"/>
      <c r="N6618" s="10"/>
    </row>
    <row r="6619" spans="7:14" x14ac:dyDescent="0.75">
      <c r="G6619" s="10"/>
      <c r="H6619" s="10"/>
      <c r="I6619" s="39"/>
      <c r="J6619" s="103"/>
      <c r="K6619" s="39"/>
      <c r="L6619" s="10"/>
      <c r="M6619" s="19"/>
      <c r="N6619" s="10"/>
    </row>
    <row r="6620" spans="7:14" x14ac:dyDescent="0.75">
      <c r="G6620" s="10"/>
      <c r="H6620" s="10"/>
      <c r="I6620" s="39"/>
      <c r="J6620" s="103"/>
      <c r="K6620" s="39"/>
      <c r="L6620" s="78"/>
      <c r="M6620" s="19"/>
      <c r="N6620" s="10"/>
    </row>
    <row r="6621" spans="7:14" x14ac:dyDescent="0.75">
      <c r="G6621" s="10"/>
      <c r="H6621" s="10"/>
      <c r="I6621" s="39"/>
      <c r="J6621" s="103"/>
      <c r="K6621" s="39"/>
      <c r="L6621" s="78"/>
      <c r="M6621" s="19"/>
      <c r="N6621" s="10"/>
    </row>
    <row r="6622" spans="7:14" x14ac:dyDescent="0.75">
      <c r="G6622" s="10"/>
      <c r="H6622" s="10"/>
      <c r="I6622" s="39"/>
      <c r="J6622" s="103"/>
      <c r="K6622" s="39"/>
      <c r="L6622" s="78"/>
      <c r="M6622" s="19"/>
      <c r="N6622" s="10"/>
    </row>
    <row r="6623" spans="7:14" x14ac:dyDescent="0.75">
      <c r="G6623" s="10"/>
      <c r="H6623" s="10"/>
      <c r="I6623" s="39"/>
      <c r="J6623" s="103"/>
      <c r="K6623" s="39"/>
      <c r="L6623" s="78"/>
      <c r="M6623" s="19"/>
      <c r="N6623" s="10"/>
    </row>
    <row r="6624" spans="7:14" x14ac:dyDescent="0.75">
      <c r="G6624" s="10"/>
      <c r="H6624" s="10"/>
      <c r="I6624" s="39"/>
      <c r="J6624" s="103"/>
      <c r="K6624" s="39"/>
      <c r="L6624" s="78"/>
      <c r="M6624" s="19"/>
      <c r="N6624" s="10"/>
    </row>
    <row r="6625" spans="7:14" x14ac:dyDescent="0.75">
      <c r="G6625" s="10"/>
      <c r="H6625" s="10"/>
      <c r="I6625" s="39"/>
      <c r="J6625" s="103"/>
      <c r="K6625" s="39"/>
      <c r="L6625" s="78"/>
      <c r="M6625" s="19"/>
      <c r="N6625" s="10"/>
    </row>
    <row r="6626" spans="7:14" x14ac:dyDescent="0.75">
      <c r="G6626" s="10"/>
      <c r="H6626" s="10"/>
      <c r="I6626" s="39"/>
      <c r="J6626" s="103"/>
      <c r="K6626" s="39"/>
      <c r="L6626" s="78"/>
      <c r="M6626" s="19"/>
      <c r="N6626" s="10"/>
    </row>
    <row r="6627" spans="7:14" x14ac:dyDescent="0.75">
      <c r="G6627" s="10"/>
      <c r="H6627" s="10"/>
      <c r="I6627" s="39"/>
      <c r="J6627" s="103"/>
      <c r="K6627" s="39"/>
      <c r="L6627" s="78"/>
      <c r="M6627" s="19"/>
      <c r="N6627" s="10"/>
    </row>
    <row r="6628" spans="7:14" x14ac:dyDescent="0.75">
      <c r="G6628" s="10"/>
      <c r="H6628" s="10"/>
      <c r="I6628" s="39"/>
      <c r="J6628" s="103"/>
      <c r="K6628" s="39"/>
      <c r="L6628" s="78"/>
      <c r="M6628" s="19"/>
      <c r="N6628" s="10"/>
    </row>
    <row r="6629" spans="7:14" x14ac:dyDescent="0.75">
      <c r="G6629" s="10"/>
      <c r="H6629" s="10"/>
      <c r="I6629" s="39"/>
      <c r="J6629" s="103"/>
      <c r="K6629" s="39"/>
      <c r="L6629" s="78"/>
      <c r="M6629" s="19"/>
      <c r="N6629" s="10"/>
    </row>
    <row r="6630" spans="7:14" x14ac:dyDescent="0.75">
      <c r="G6630" s="10"/>
      <c r="H6630" s="10"/>
      <c r="I6630" s="39"/>
      <c r="J6630" s="103"/>
      <c r="K6630" s="39"/>
      <c r="L6630" s="78"/>
      <c r="M6630" s="19"/>
      <c r="N6630" s="10"/>
    </row>
    <row r="6631" spans="7:14" x14ac:dyDescent="0.75">
      <c r="G6631" s="10"/>
      <c r="H6631" s="10"/>
      <c r="I6631" s="39"/>
      <c r="J6631" s="103"/>
      <c r="K6631" s="39"/>
      <c r="L6631" s="78"/>
      <c r="M6631" s="19"/>
      <c r="N6631" s="10"/>
    </row>
    <row r="6632" spans="7:14" x14ac:dyDescent="0.75">
      <c r="G6632" s="10"/>
      <c r="H6632" s="10"/>
      <c r="I6632" s="39"/>
      <c r="J6632" s="103"/>
      <c r="K6632" s="39"/>
      <c r="L6632" s="10"/>
      <c r="M6632" s="19"/>
      <c r="N6632" s="10"/>
    </row>
    <row r="6633" spans="7:14" x14ac:dyDescent="0.75">
      <c r="G6633" s="10"/>
      <c r="H6633" s="10"/>
      <c r="I6633" s="39"/>
      <c r="J6633" s="103"/>
      <c r="K6633" s="39"/>
      <c r="L6633" s="10"/>
      <c r="M6633" s="19"/>
      <c r="N6633" s="10"/>
    </row>
    <row r="6634" spans="7:14" x14ac:dyDescent="0.75">
      <c r="G6634" s="10"/>
      <c r="H6634" s="10"/>
      <c r="I6634" s="39"/>
      <c r="J6634" s="103"/>
      <c r="K6634" s="39"/>
      <c r="L6634" s="10"/>
      <c r="M6634" s="19"/>
      <c r="N6634" s="10"/>
    </row>
    <row r="6635" spans="7:14" x14ac:dyDescent="0.75">
      <c r="G6635" s="10"/>
      <c r="H6635" s="10"/>
      <c r="I6635" s="39"/>
      <c r="J6635" s="103"/>
      <c r="K6635" s="39"/>
      <c r="L6635" s="10"/>
      <c r="M6635" s="19"/>
      <c r="N6635" s="10"/>
    </row>
    <row r="6636" spans="7:14" x14ac:dyDescent="0.75">
      <c r="G6636" s="10"/>
      <c r="H6636" s="10"/>
      <c r="I6636" s="39"/>
      <c r="J6636" s="103"/>
      <c r="K6636" s="39"/>
      <c r="L6636" s="10"/>
      <c r="M6636" s="19"/>
      <c r="N6636" s="10"/>
    </row>
    <row r="6637" spans="7:14" x14ac:dyDescent="0.75">
      <c r="G6637" s="10"/>
      <c r="H6637" s="10"/>
      <c r="I6637" s="39"/>
      <c r="J6637" s="103"/>
      <c r="K6637" s="39"/>
      <c r="L6637" s="10"/>
      <c r="M6637" s="19"/>
      <c r="N6637" s="10"/>
    </row>
    <row r="6638" spans="7:14" x14ac:dyDescent="0.75">
      <c r="G6638" s="10"/>
      <c r="H6638" s="10"/>
      <c r="I6638" s="39"/>
      <c r="J6638" s="103"/>
      <c r="K6638" s="39"/>
      <c r="L6638" s="10"/>
      <c r="M6638" s="19"/>
      <c r="N6638" s="10"/>
    </row>
    <row r="6639" spans="7:14" x14ac:dyDescent="0.75">
      <c r="G6639" s="10"/>
      <c r="H6639" s="10"/>
      <c r="I6639" s="39"/>
      <c r="J6639" s="103"/>
      <c r="K6639" s="39"/>
      <c r="L6639" s="10"/>
      <c r="M6639" s="19"/>
      <c r="N6639" s="10"/>
    </row>
    <row r="6640" spans="7:14" x14ac:dyDescent="0.75">
      <c r="G6640" s="10"/>
      <c r="H6640" s="10"/>
      <c r="I6640" s="39"/>
      <c r="J6640" s="103"/>
      <c r="K6640" s="39"/>
      <c r="L6640" s="10"/>
      <c r="M6640" s="19"/>
      <c r="N6640" s="10"/>
    </row>
    <row r="6641" spans="7:14" x14ac:dyDescent="0.75">
      <c r="G6641" s="10"/>
      <c r="H6641" s="10"/>
      <c r="I6641" s="39"/>
      <c r="J6641" s="103"/>
      <c r="K6641" s="39"/>
      <c r="L6641" s="10"/>
      <c r="M6641" s="19"/>
      <c r="N6641" s="10"/>
    </row>
    <row r="6642" spans="7:14" x14ac:dyDescent="0.75">
      <c r="G6642" s="10"/>
      <c r="H6642" s="10"/>
      <c r="I6642" s="39"/>
      <c r="J6642" s="103"/>
      <c r="K6642" s="39"/>
      <c r="L6642" s="10"/>
      <c r="M6642" s="19"/>
      <c r="N6642" s="10"/>
    </row>
    <row r="6643" spans="7:14" x14ac:dyDescent="0.75">
      <c r="G6643" s="10"/>
      <c r="H6643" s="10"/>
      <c r="I6643" s="39"/>
      <c r="J6643" s="103"/>
      <c r="K6643" s="39"/>
      <c r="L6643" s="10"/>
      <c r="M6643" s="19"/>
      <c r="N6643" s="10"/>
    </row>
    <row r="6644" spans="7:14" x14ac:dyDescent="0.75">
      <c r="G6644" s="10"/>
      <c r="H6644" s="10"/>
      <c r="I6644" s="39"/>
      <c r="J6644" s="103"/>
      <c r="K6644" s="39"/>
      <c r="L6644" s="10"/>
      <c r="M6644" s="19"/>
      <c r="N6644" s="10"/>
    </row>
    <row r="6645" spans="7:14" x14ac:dyDescent="0.75">
      <c r="G6645" s="10"/>
      <c r="H6645" s="10"/>
      <c r="I6645" s="39"/>
      <c r="J6645" s="103"/>
      <c r="K6645" s="39"/>
      <c r="L6645" s="10"/>
      <c r="M6645" s="19"/>
      <c r="N6645" s="10"/>
    </row>
    <row r="6646" spans="7:14" x14ac:dyDescent="0.75">
      <c r="G6646" s="10"/>
      <c r="H6646" s="10"/>
      <c r="I6646" s="39"/>
      <c r="J6646" s="103"/>
      <c r="K6646" s="39"/>
      <c r="L6646" s="10"/>
      <c r="M6646" s="19"/>
      <c r="N6646" s="10"/>
    </row>
    <row r="6647" spans="7:14" x14ac:dyDescent="0.75">
      <c r="G6647" s="10"/>
      <c r="H6647" s="10"/>
      <c r="I6647" s="39"/>
      <c r="J6647" s="103"/>
      <c r="K6647" s="39"/>
      <c r="L6647" s="10"/>
      <c r="M6647" s="19"/>
      <c r="N6647" s="10"/>
    </row>
    <row r="6648" spans="7:14" x14ac:dyDescent="0.75">
      <c r="G6648" s="10"/>
      <c r="H6648" s="10"/>
      <c r="I6648" s="39"/>
      <c r="J6648" s="103"/>
      <c r="K6648" s="39"/>
      <c r="L6648" s="10"/>
      <c r="M6648" s="19"/>
      <c r="N6648" s="10"/>
    </row>
    <row r="6649" spans="7:14" x14ac:dyDescent="0.75">
      <c r="G6649" s="10"/>
      <c r="H6649" s="10"/>
      <c r="I6649" s="39"/>
      <c r="J6649" s="103"/>
      <c r="K6649" s="39"/>
      <c r="L6649" s="10"/>
      <c r="M6649" s="19"/>
      <c r="N6649" s="10"/>
    </row>
    <row r="6650" spans="7:14" x14ac:dyDescent="0.75">
      <c r="G6650" s="10"/>
      <c r="H6650" s="10"/>
      <c r="I6650" s="39"/>
      <c r="J6650" s="103"/>
      <c r="K6650" s="39"/>
      <c r="L6650" s="10"/>
      <c r="M6650" s="19"/>
      <c r="N6650" s="10"/>
    </row>
    <row r="6651" spans="7:14" x14ac:dyDescent="0.75">
      <c r="G6651" s="10"/>
      <c r="H6651" s="10"/>
      <c r="I6651" s="39"/>
      <c r="J6651" s="103"/>
      <c r="K6651" s="39"/>
      <c r="L6651" s="10"/>
      <c r="M6651" s="19"/>
      <c r="N6651" s="10"/>
    </row>
    <row r="6652" spans="7:14" x14ac:dyDescent="0.75">
      <c r="G6652" s="10"/>
      <c r="H6652" s="10"/>
      <c r="I6652" s="39"/>
      <c r="J6652" s="103"/>
      <c r="K6652" s="39"/>
      <c r="L6652" s="10"/>
      <c r="M6652" s="19"/>
      <c r="N6652" s="10"/>
    </row>
    <row r="6653" spans="7:14" x14ac:dyDescent="0.75">
      <c r="G6653" s="10"/>
      <c r="H6653" s="10"/>
      <c r="I6653" s="39"/>
      <c r="J6653" s="103"/>
      <c r="K6653" s="39"/>
      <c r="L6653" s="10"/>
      <c r="M6653" s="19"/>
      <c r="N6653" s="10"/>
    </row>
    <row r="6654" spans="7:14" x14ac:dyDescent="0.75">
      <c r="G6654" s="10"/>
      <c r="H6654" s="10"/>
      <c r="I6654" s="39"/>
      <c r="J6654" s="103"/>
      <c r="K6654" s="39"/>
      <c r="L6654" s="10"/>
      <c r="M6654" s="19"/>
      <c r="N6654" s="10"/>
    </row>
    <row r="6655" spans="7:14" x14ac:dyDescent="0.75">
      <c r="G6655" s="10"/>
      <c r="H6655" s="10"/>
      <c r="I6655" s="39"/>
      <c r="J6655" s="103"/>
      <c r="K6655" s="39"/>
      <c r="L6655" s="10"/>
      <c r="M6655" s="19"/>
      <c r="N6655" s="10"/>
    </row>
    <row r="6656" spans="7:14" x14ac:dyDescent="0.75">
      <c r="G6656" s="10"/>
      <c r="H6656" s="10"/>
      <c r="I6656" s="39"/>
      <c r="J6656" s="103"/>
      <c r="K6656" s="39"/>
      <c r="L6656" s="10"/>
      <c r="M6656" s="19"/>
      <c r="N6656" s="10"/>
    </row>
    <row r="6657" spans="7:14" x14ac:dyDescent="0.75">
      <c r="G6657" s="10"/>
      <c r="H6657" s="10"/>
      <c r="I6657" s="39"/>
      <c r="J6657" s="103"/>
      <c r="K6657" s="39"/>
      <c r="L6657" s="10"/>
      <c r="M6657" s="19"/>
      <c r="N6657" s="10"/>
    </row>
    <row r="6658" spans="7:14" x14ac:dyDescent="0.75">
      <c r="G6658" s="10"/>
      <c r="H6658" s="10"/>
      <c r="I6658" s="39"/>
      <c r="J6658" s="103"/>
      <c r="K6658" s="39"/>
      <c r="L6658" s="10"/>
      <c r="M6658" s="19"/>
      <c r="N6658" s="10"/>
    </row>
    <row r="6659" spans="7:14" x14ac:dyDescent="0.75">
      <c r="G6659" s="10"/>
      <c r="H6659" s="10"/>
      <c r="I6659" s="39"/>
      <c r="J6659" s="103"/>
      <c r="K6659" s="39"/>
      <c r="L6659" s="10"/>
      <c r="M6659" s="19"/>
      <c r="N6659" s="10"/>
    </row>
    <row r="6660" spans="7:14" x14ac:dyDescent="0.75">
      <c r="G6660" s="10"/>
      <c r="H6660" s="10"/>
      <c r="I6660" s="39"/>
      <c r="J6660" s="103"/>
      <c r="K6660" s="39"/>
      <c r="L6660" s="10"/>
      <c r="M6660" s="19"/>
      <c r="N6660" s="10"/>
    </row>
    <row r="6661" spans="7:14" x14ac:dyDescent="0.75">
      <c r="G6661" s="10"/>
      <c r="H6661" s="10"/>
      <c r="I6661" s="39"/>
      <c r="J6661" s="103"/>
      <c r="K6661" s="39"/>
      <c r="L6661" s="10"/>
      <c r="M6661" s="19"/>
      <c r="N6661" s="10"/>
    </row>
    <row r="6662" spans="7:14" x14ac:dyDescent="0.75">
      <c r="G6662" s="10"/>
      <c r="H6662" s="10"/>
      <c r="I6662" s="39"/>
      <c r="J6662" s="103"/>
      <c r="K6662" s="39"/>
      <c r="L6662" s="10"/>
      <c r="M6662" s="19"/>
      <c r="N6662" s="10"/>
    </row>
    <row r="6663" spans="7:14" x14ac:dyDescent="0.75">
      <c r="G6663" s="10"/>
      <c r="H6663" s="10"/>
      <c r="I6663" s="39"/>
      <c r="J6663" s="103"/>
      <c r="K6663" s="39"/>
      <c r="L6663" s="10"/>
      <c r="M6663" s="19"/>
      <c r="N6663" s="10"/>
    </row>
    <row r="6664" spans="7:14" x14ac:dyDescent="0.75">
      <c r="G6664" s="10"/>
      <c r="H6664" s="10"/>
      <c r="I6664" s="39"/>
      <c r="J6664" s="103"/>
      <c r="K6664" s="39"/>
      <c r="L6664" s="10"/>
      <c r="M6664" s="19"/>
      <c r="N6664" s="10"/>
    </row>
    <row r="6665" spans="7:14" x14ac:dyDescent="0.75">
      <c r="G6665" s="10"/>
      <c r="H6665" s="10"/>
      <c r="I6665" s="39"/>
      <c r="J6665" s="103"/>
      <c r="K6665" s="39"/>
      <c r="L6665" s="10"/>
      <c r="M6665" s="19"/>
      <c r="N6665" s="10"/>
    </row>
    <row r="6666" spans="7:14" x14ac:dyDescent="0.75">
      <c r="G6666" s="10"/>
      <c r="H6666" s="10"/>
      <c r="I6666" s="39"/>
      <c r="J6666" s="103"/>
      <c r="K6666" s="39"/>
      <c r="L6666" s="10"/>
      <c r="M6666" s="19"/>
      <c r="N6666" s="10"/>
    </row>
    <row r="6667" spans="7:14" x14ac:dyDescent="0.75">
      <c r="G6667" s="10"/>
      <c r="H6667" s="10"/>
      <c r="I6667" s="39"/>
      <c r="J6667" s="103"/>
      <c r="K6667" s="39"/>
      <c r="L6667" s="10"/>
      <c r="M6667" s="19"/>
      <c r="N6667" s="10"/>
    </row>
    <row r="6668" spans="7:14" x14ac:dyDescent="0.75">
      <c r="G6668" s="10"/>
      <c r="H6668" s="10"/>
      <c r="I6668" s="39"/>
      <c r="J6668" s="103"/>
      <c r="K6668" s="39"/>
      <c r="L6668" s="10"/>
      <c r="M6668" s="19"/>
      <c r="N6668" s="10"/>
    </row>
    <row r="6669" spans="7:14" x14ac:dyDescent="0.75">
      <c r="G6669" s="10"/>
      <c r="H6669" s="10"/>
      <c r="I6669" s="39"/>
      <c r="J6669" s="103"/>
      <c r="K6669" s="39"/>
      <c r="L6669" s="10"/>
      <c r="M6669" s="19"/>
      <c r="N6669" s="10"/>
    </row>
    <row r="6670" spans="7:14" x14ac:dyDescent="0.75">
      <c r="G6670" s="10"/>
      <c r="H6670" s="10"/>
      <c r="I6670" s="39"/>
      <c r="J6670" s="103"/>
      <c r="K6670" s="39"/>
      <c r="L6670" s="10"/>
      <c r="M6670" s="19"/>
      <c r="N6670" s="10"/>
    </row>
    <row r="6671" spans="7:14" x14ac:dyDescent="0.75">
      <c r="G6671" s="10"/>
      <c r="H6671" s="10"/>
      <c r="I6671" s="39"/>
      <c r="J6671" s="103"/>
      <c r="K6671" s="39"/>
      <c r="L6671" s="10"/>
      <c r="M6671" s="19"/>
      <c r="N6671" s="10"/>
    </row>
    <row r="6672" spans="7:14" x14ac:dyDescent="0.75">
      <c r="G6672" s="10"/>
      <c r="H6672" s="10"/>
      <c r="I6672" s="39"/>
      <c r="J6672" s="103"/>
      <c r="K6672" s="39"/>
      <c r="L6672" s="10"/>
      <c r="M6672" s="19"/>
      <c r="N6672" s="10"/>
    </row>
    <row r="6673" spans="7:14" x14ac:dyDescent="0.75">
      <c r="G6673" s="10"/>
      <c r="H6673" s="10"/>
      <c r="I6673" s="39"/>
      <c r="J6673" s="103"/>
      <c r="K6673" s="39"/>
      <c r="L6673" s="10"/>
      <c r="M6673" s="19"/>
      <c r="N6673" s="10"/>
    </row>
    <row r="6674" spans="7:14" x14ac:dyDescent="0.75">
      <c r="G6674" s="10"/>
      <c r="H6674" s="10"/>
      <c r="I6674" s="39"/>
      <c r="J6674" s="103"/>
      <c r="K6674" s="39"/>
      <c r="L6674" s="10"/>
      <c r="M6674" s="19"/>
      <c r="N6674" s="10"/>
    </row>
    <row r="6675" spans="7:14" x14ac:dyDescent="0.75">
      <c r="G6675" s="10"/>
      <c r="H6675" s="10"/>
      <c r="I6675" s="39"/>
      <c r="J6675" s="103"/>
      <c r="K6675" s="39"/>
      <c r="L6675" s="10"/>
      <c r="M6675" s="19"/>
      <c r="N6675" s="10"/>
    </row>
    <row r="6676" spans="7:14" x14ac:dyDescent="0.75">
      <c r="G6676" s="10"/>
      <c r="H6676" s="10"/>
      <c r="I6676" s="39"/>
      <c r="J6676" s="103"/>
      <c r="K6676" s="39"/>
      <c r="L6676" s="10"/>
      <c r="M6676" s="19"/>
      <c r="N6676" s="10"/>
    </row>
    <row r="6677" spans="7:14" x14ac:dyDescent="0.75">
      <c r="G6677" s="10"/>
      <c r="H6677" s="10"/>
      <c r="I6677" s="39"/>
      <c r="J6677" s="103"/>
      <c r="K6677" s="39"/>
      <c r="L6677" s="10"/>
      <c r="M6677" s="19"/>
      <c r="N6677" s="10"/>
    </row>
    <row r="6678" spans="7:14" x14ac:dyDescent="0.75">
      <c r="G6678" s="10"/>
      <c r="H6678" s="10"/>
      <c r="I6678" s="39"/>
      <c r="J6678" s="103"/>
      <c r="K6678" s="39"/>
      <c r="L6678" s="10"/>
      <c r="M6678" s="19"/>
      <c r="N6678" s="10"/>
    </row>
    <row r="6679" spans="7:14" x14ac:dyDescent="0.75">
      <c r="G6679" s="10"/>
      <c r="H6679" s="10"/>
      <c r="I6679" s="39"/>
      <c r="J6679" s="103"/>
      <c r="K6679" s="39"/>
      <c r="L6679" s="10"/>
      <c r="M6679" s="19"/>
      <c r="N6679" s="10"/>
    </row>
    <row r="6680" spans="7:14" x14ac:dyDescent="0.75">
      <c r="G6680" s="10"/>
      <c r="H6680" s="10"/>
      <c r="I6680" s="39"/>
      <c r="J6680" s="103"/>
      <c r="K6680" s="39"/>
      <c r="L6680" s="10"/>
      <c r="M6680" s="19"/>
      <c r="N6680" s="10"/>
    </row>
    <row r="6681" spans="7:14" x14ac:dyDescent="0.75">
      <c r="G6681" s="10"/>
      <c r="H6681" s="10"/>
      <c r="I6681" s="39"/>
      <c r="J6681" s="103"/>
      <c r="K6681" s="39"/>
      <c r="L6681" s="10"/>
      <c r="M6681" s="19"/>
      <c r="N6681" s="10"/>
    </row>
    <row r="6682" spans="7:14" x14ac:dyDescent="0.75">
      <c r="G6682" s="10"/>
      <c r="H6682" s="10"/>
      <c r="I6682" s="39"/>
      <c r="J6682" s="103"/>
      <c r="K6682" s="39"/>
      <c r="L6682" s="10"/>
      <c r="M6682" s="19"/>
      <c r="N6682" s="10"/>
    </row>
    <row r="6683" spans="7:14" x14ac:dyDescent="0.75">
      <c r="G6683" s="10"/>
      <c r="H6683" s="10"/>
      <c r="I6683" s="39"/>
      <c r="J6683" s="103"/>
      <c r="K6683" s="39"/>
      <c r="L6683" s="10"/>
      <c r="M6683" s="19"/>
      <c r="N6683" s="10"/>
    </row>
    <row r="6684" spans="7:14" x14ac:dyDescent="0.75">
      <c r="G6684" s="10"/>
      <c r="H6684" s="10"/>
      <c r="I6684" s="39"/>
      <c r="J6684" s="103"/>
      <c r="K6684" s="39"/>
      <c r="L6684" s="10"/>
      <c r="M6684" s="19"/>
      <c r="N6684" s="10"/>
    </row>
    <row r="6685" spans="7:14" x14ac:dyDescent="0.75">
      <c r="G6685" s="10"/>
      <c r="H6685" s="10"/>
      <c r="I6685" s="39"/>
      <c r="J6685" s="103"/>
      <c r="K6685" s="39"/>
      <c r="L6685" s="10"/>
      <c r="M6685" s="19"/>
      <c r="N6685" s="10"/>
    </row>
    <row r="6686" spans="7:14" x14ac:dyDescent="0.75">
      <c r="G6686" s="10"/>
      <c r="H6686" s="10"/>
      <c r="I6686" s="39"/>
      <c r="J6686" s="103"/>
      <c r="K6686" s="39"/>
      <c r="L6686" s="10"/>
      <c r="M6686" s="19"/>
      <c r="N6686" s="10"/>
    </row>
    <row r="6687" spans="7:14" x14ac:dyDescent="0.75">
      <c r="G6687" s="10"/>
      <c r="H6687" s="10"/>
      <c r="I6687" s="39"/>
      <c r="J6687" s="103"/>
      <c r="K6687" s="39"/>
      <c r="L6687" s="10"/>
      <c r="M6687" s="19"/>
      <c r="N6687" s="10"/>
    </row>
    <row r="6688" spans="7:14" x14ac:dyDescent="0.75">
      <c r="G6688" s="10"/>
      <c r="H6688" s="10"/>
      <c r="I6688" s="39"/>
      <c r="J6688" s="103"/>
      <c r="K6688" s="39"/>
      <c r="L6688" s="10"/>
      <c r="M6688" s="19"/>
      <c r="N6688" s="10"/>
    </row>
    <row r="6689" spans="7:14" x14ac:dyDescent="0.75">
      <c r="G6689" s="10"/>
      <c r="H6689" s="10"/>
      <c r="I6689" s="39"/>
      <c r="J6689" s="103"/>
      <c r="K6689" s="39"/>
      <c r="L6689" s="10"/>
      <c r="M6689" s="19"/>
      <c r="N6689" s="10"/>
    </row>
    <row r="6690" spans="7:14" x14ac:dyDescent="0.75">
      <c r="G6690" s="10"/>
      <c r="H6690" s="10"/>
      <c r="I6690" s="39"/>
      <c r="J6690" s="103"/>
      <c r="K6690" s="39"/>
      <c r="L6690" s="10"/>
      <c r="M6690" s="19"/>
      <c r="N6690" s="10"/>
    </row>
    <row r="6691" spans="7:14" x14ac:dyDescent="0.75">
      <c r="G6691" s="10"/>
      <c r="H6691" s="10"/>
      <c r="I6691" s="39"/>
      <c r="J6691" s="103"/>
      <c r="K6691" s="39"/>
      <c r="L6691" s="10"/>
      <c r="M6691" s="19"/>
      <c r="N6691" s="10"/>
    </row>
    <row r="6692" spans="7:14" x14ac:dyDescent="0.75">
      <c r="G6692" s="10"/>
      <c r="H6692" s="10"/>
      <c r="I6692" s="39"/>
      <c r="J6692" s="103"/>
      <c r="K6692" s="39"/>
      <c r="L6692" s="10"/>
      <c r="M6692" s="19"/>
      <c r="N6692" s="10"/>
    </row>
    <row r="6693" spans="7:14" x14ac:dyDescent="0.75">
      <c r="G6693" s="10"/>
      <c r="H6693" s="10"/>
      <c r="I6693" s="39"/>
      <c r="J6693" s="103"/>
      <c r="K6693" s="39"/>
      <c r="L6693" s="10"/>
      <c r="M6693" s="19"/>
      <c r="N6693" s="10"/>
    </row>
    <row r="6694" spans="7:14" x14ac:dyDescent="0.75">
      <c r="G6694" s="10"/>
      <c r="H6694" s="10"/>
      <c r="I6694" s="39"/>
      <c r="J6694" s="103"/>
      <c r="K6694" s="39"/>
      <c r="L6694" s="10"/>
      <c r="M6694" s="19"/>
      <c r="N6694" s="10"/>
    </row>
    <row r="6695" spans="7:14" x14ac:dyDescent="0.75">
      <c r="G6695" s="10"/>
      <c r="H6695" s="10"/>
      <c r="I6695" s="39"/>
      <c r="J6695" s="103"/>
      <c r="K6695" s="39"/>
      <c r="L6695" s="10"/>
      <c r="M6695" s="19"/>
      <c r="N6695" s="10"/>
    </row>
    <row r="6696" spans="7:14" x14ac:dyDescent="0.75">
      <c r="G6696" s="10"/>
      <c r="H6696" s="10"/>
      <c r="I6696" s="39"/>
      <c r="J6696" s="103"/>
      <c r="K6696" s="39"/>
      <c r="L6696" s="10"/>
      <c r="M6696" s="19"/>
      <c r="N6696" s="10"/>
    </row>
    <row r="6697" spans="7:14" x14ac:dyDescent="0.75">
      <c r="G6697" s="10"/>
      <c r="H6697" s="10"/>
      <c r="I6697" s="39"/>
      <c r="J6697" s="103"/>
      <c r="K6697" s="39"/>
      <c r="L6697" s="10"/>
      <c r="M6697" s="19"/>
      <c r="N6697" s="10"/>
    </row>
    <row r="6698" spans="7:14" x14ac:dyDescent="0.75">
      <c r="G6698" s="10"/>
      <c r="H6698" s="10"/>
      <c r="I6698" s="39"/>
      <c r="J6698" s="103"/>
      <c r="K6698" s="39"/>
      <c r="L6698" s="10"/>
      <c r="M6698" s="19"/>
      <c r="N6698" s="10"/>
    </row>
    <row r="6699" spans="7:14" x14ac:dyDescent="0.75">
      <c r="G6699" s="10"/>
      <c r="H6699" s="10"/>
      <c r="I6699" s="39"/>
      <c r="J6699" s="103"/>
      <c r="K6699" s="39"/>
      <c r="L6699" s="10"/>
      <c r="M6699" s="19"/>
      <c r="N6699" s="10"/>
    </row>
    <row r="6700" spans="7:14" x14ac:dyDescent="0.75">
      <c r="G6700" s="10"/>
      <c r="H6700" s="10"/>
      <c r="I6700" s="39"/>
      <c r="J6700" s="103"/>
      <c r="K6700" s="39"/>
      <c r="L6700" s="10"/>
      <c r="M6700" s="19"/>
      <c r="N6700" s="10"/>
    </row>
    <row r="6701" spans="7:14" x14ac:dyDescent="0.75">
      <c r="G6701" s="10"/>
      <c r="H6701" s="10"/>
      <c r="I6701" s="39"/>
      <c r="J6701" s="103"/>
      <c r="K6701" s="39"/>
      <c r="L6701" s="10"/>
      <c r="M6701" s="19"/>
      <c r="N6701" s="10"/>
    </row>
    <row r="6702" spans="7:14" x14ac:dyDescent="0.75">
      <c r="G6702" s="10"/>
      <c r="H6702" s="10"/>
      <c r="I6702" s="39"/>
      <c r="J6702" s="103"/>
      <c r="K6702" s="39"/>
      <c r="L6702" s="10"/>
      <c r="M6702" s="19"/>
      <c r="N6702" s="10"/>
    </row>
    <row r="6703" spans="7:14" x14ac:dyDescent="0.75">
      <c r="G6703" s="10"/>
      <c r="H6703" s="10"/>
      <c r="I6703" s="39"/>
      <c r="J6703" s="103"/>
      <c r="K6703" s="39"/>
      <c r="L6703" s="10"/>
      <c r="M6703" s="19"/>
      <c r="N6703" s="10"/>
    </row>
    <row r="6704" spans="7:14" x14ac:dyDescent="0.75">
      <c r="G6704" s="10"/>
      <c r="H6704" s="10"/>
      <c r="I6704" s="39"/>
      <c r="J6704" s="103"/>
      <c r="K6704" s="39"/>
      <c r="L6704" s="10"/>
      <c r="M6704" s="19"/>
      <c r="N6704" s="10"/>
    </row>
    <row r="6705" spans="7:14" x14ac:dyDescent="0.75">
      <c r="G6705" s="10"/>
      <c r="H6705" s="10"/>
      <c r="I6705" s="39"/>
      <c r="J6705" s="103"/>
      <c r="K6705" s="39"/>
      <c r="L6705" s="10"/>
      <c r="M6705" s="19"/>
      <c r="N6705" s="10"/>
    </row>
    <row r="6706" spans="7:14" x14ac:dyDescent="0.75">
      <c r="G6706" s="10"/>
      <c r="H6706" s="10"/>
      <c r="I6706" s="39"/>
      <c r="J6706" s="103"/>
      <c r="K6706" s="39"/>
      <c r="L6706" s="10"/>
      <c r="M6706" s="19"/>
      <c r="N6706" s="10"/>
    </row>
    <row r="6707" spans="7:14" x14ac:dyDescent="0.75">
      <c r="G6707" s="10"/>
      <c r="H6707" s="10"/>
      <c r="I6707" s="39"/>
      <c r="J6707" s="103"/>
      <c r="K6707" s="39"/>
      <c r="L6707" s="10"/>
      <c r="M6707" s="19"/>
      <c r="N6707" s="10"/>
    </row>
    <row r="6708" spans="7:14" x14ac:dyDescent="0.75">
      <c r="G6708" s="10"/>
      <c r="H6708" s="10"/>
      <c r="I6708" s="39"/>
      <c r="J6708" s="103"/>
      <c r="K6708" s="39"/>
      <c r="L6708" s="10"/>
      <c r="M6708" s="19"/>
      <c r="N6708" s="10"/>
    </row>
    <row r="6709" spans="7:14" x14ac:dyDescent="0.75">
      <c r="G6709" s="10"/>
      <c r="H6709" s="10"/>
      <c r="I6709" s="39"/>
      <c r="J6709" s="103"/>
      <c r="K6709" s="39"/>
      <c r="L6709" s="10"/>
      <c r="M6709" s="19"/>
      <c r="N6709" s="10"/>
    </row>
    <row r="6710" spans="7:14" x14ac:dyDescent="0.75">
      <c r="G6710" s="10"/>
      <c r="H6710" s="10"/>
      <c r="I6710" s="39"/>
      <c r="J6710" s="103"/>
      <c r="K6710" s="39"/>
      <c r="L6710" s="10"/>
      <c r="M6710" s="19"/>
      <c r="N6710" s="10"/>
    </row>
    <row r="6711" spans="7:14" x14ac:dyDescent="0.75">
      <c r="G6711" s="10"/>
      <c r="H6711" s="10"/>
      <c r="I6711" s="39"/>
      <c r="J6711" s="103"/>
      <c r="K6711" s="39"/>
      <c r="L6711" s="10"/>
      <c r="M6711" s="19"/>
      <c r="N6711" s="10"/>
    </row>
    <row r="6712" spans="7:14" x14ac:dyDescent="0.75">
      <c r="G6712" s="10"/>
      <c r="H6712" s="10"/>
      <c r="I6712" s="39"/>
      <c r="J6712" s="103"/>
      <c r="K6712" s="39"/>
      <c r="L6712" s="10"/>
      <c r="M6712" s="19"/>
      <c r="N6712" s="10"/>
    </row>
    <row r="6713" spans="7:14" x14ac:dyDescent="0.75">
      <c r="G6713" s="10"/>
      <c r="H6713" s="10"/>
      <c r="I6713" s="39"/>
      <c r="J6713" s="103"/>
      <c r="K6713" s="39"/>
      <c r="L6713" s="10"/>
      <c r="M6713" s="19"/>
      <c r="N6713" s="10"/>
    </row>
    <row r="6714" spans="7:14" x14ac:dyDescent="0.75">
      <c r="G6714" s="10"/>
      <c r="H6714" s="10"/>
      <c r="I6714" s="39"/>
      <c r="J6714" s="103"/>
      <c r="K6714" s="39"/>
      <c r="L6714" s="10"/>
      <c r="M6714" s="19"/>
      <c r="N6714" s="10"/>
    </row>
    <row r="6715" spans="7:14" x14ac:dyDescent="0.75">
      <c r="G6715" s="10"/>
      <c r="H6715" s="10"/>
      <c r="I6715" s="39"/>
      <c r="J6715" s="103"/>
      <c r="K6715" s="39"/>
      <c r="L6715" s="10"/>
      <c r="M6715" s="19"/>
      <c r="N6715" s="10"/>
    </row>
    <row r="6716" spans="7:14" x14ac:dyDescent="0.75">
      <c r="G6716" s="10"/>
      <c r="H6716" s="10"/>
      <c r="I6716" s="39"/>
      <c r="J6716" s="103"/>
      <c r="K6716" s="39"/>
      <c r="L6716" s="10"/>
      <c r="M6716" s="19"/>
      <c r="N6716" s="10"/>
    </row>
    <row r="6717" spans="7:14" x14ac:dyDescent="0.75">
      <c r="G6717" s="10"/>
      <c r="H6717" s="10"/>
      <c r="I6717" s="39"/>
      <c r="J6717" s="103"/>
      <c r="K6717" s="39"/>
      <c r="L6717" s="10"/>
      <c r="M6717" s="19"/>
      <c r="N6717" s="10"/>
    </row>
    <row r="6718" spans="7:14" x14ac:dyDescent="0.75">
      <c r="G6718" s="10"/>
      <c r="H6718" s="10"/>
      <c r="I6718" s="39"/>
      <c r="J6718" s="103"/>
      <c r="K6718" s="39"/>
      <c r="L6718" s="10"/>
      <c r="M6718" s="19"/>
      <c r="N6718" s="10"/>
    </row>
    <row r="6719" spans="7:14" x14ac:dyDescent="0.75">
      <c r="G6719" s="10"/>
      <c r="H6719" s="10"/>
      <c r="I6719" s="39"/>
      <c r="J6719" s="103"/>
      <c r="K6719" s="39"/>
      <c r="L6719" s="10"/>
      <c r="M6719" s="19"/>
      <c r="N6719" s="10"/>
    </row>
    <row r="6720" spans="7:14" x14ac:dyDescent="0.75">
      <c r="G6720" s="10"/>
      <c r="H6720" s="10"/>
      <c r="I6720" s="39"/>
      <c r="J6720" s="103"/>
      <c r="K6720" s="39"/>
      <c r="L6720" s="10"/>
      <c r="M6720" s="19"/>
      <c r="N6720" s="10"/>
    </row>
    <row r="6721" spans="7:14" x14ac:dyDescent="0.75">
      <c r="G6721" s="10"/>
      <c r="H6721" s="10"/>
      <c r="I6721" s="39"/>
      <c r="J6721" s="103"/>
      <c r="K6721" s="39"/>
      <c r="L6721" s="10"/>
      <c r="M6721" s="19"/>
      <c r="N6721" s="10"/>
    </row>
    <row r="6722" spans="7:14" x14ac:dyDescent="0.75">
      <c r="G6722" s="10"/>
      <c r="H6722" s="10"/>
      <c r="I6722" s="39"/>
      <c r="J6722" s="103"/>
      <c r="K6722" s="39"/>
      <c r="L6722" s="10"/>
      <c r="M6722" s="19"/>
      <c r="N6722" s="10"/>
    </row>
    <row r="6723" spans="7:14" x14ac:dyDescent="0.75">
      <c r="G6723" s="10"/>
      <c r="H6723" s="10"/>
      <c r="I6723" s="39"/>
      <c r="J6723" s="103"/>
      <c r="K6723" s="39"/>
      <c r="L6723" s="10"/>
      <c r="M6723" s="19"/>
      <c r="N6723" s="10"/>
    </row>
    <row r="6724" spans="7:14" x14ac:dyDescent="0.75">
      <c r="G6724" s="10"/>
      <c r="H6724" s="10"/>
      <c r="I6724" s="39"/>
      <c r="J6724" s="103"/>
      <c r="K6724" s="39"/>
      <c r="L6724" s="10"/>
      <c r="M6724" s="19"/>
      <c r="N6724" s="10"/>
    </row>
    <row r="6725" spans="7:14" x14ac:dyDescent="0.75">
      <c r="G6725" s="10"/>
      <c r="H6725" s="10"/>
      <c r="I6725" s="39"/>
      <c r="J6725" s="103"/>
      <c r="K6725" s="39"/>
      <c r="L6725" s="10"/>
      <c r="M6725" s="19"/>
      <c r="N6725" s="10"/>
    </row>
    <row r="6726" spans="7:14" x14ac:dyDescent="0.75">
      <c r="G6726" s="10"/>
      <c r="H6726" s="10"/>
      <c r="I6726" s="39"/>
      <c r="J6726" s="103"/>
      <c r="K6726" s="39"/>
      <c r="L6726" s="10"/>
      <c r="M6726" s="19"/>
      <c r="N6726" s="10"/>
    </row>
    <row r="6727" spans="7:14" x14ac:dyDescent="0.75">
      <c r="G6727" s="10"/>
      <c r="H6727" s="10"/>
      <c r="I6727" s="39"/>
      <c r="J6727" s="103"/>
      <c r="K6727" s="39"/>
      <c r="L6727" s="10"/>
      <c r="M6727" s="19"/>
      <c r="N6727" s="10"/>
    </row>
    <row r="6728" spans="7:14" x14ac:dyDescent="0.75">
      <c r="G6728" s="10"/>
      <c r="H6728" s="10"/>
      <c r="I6728" s="39"/>
      <c r="J6728" s="103"/>
      <c r="K6728" s="39"/>
      <c r="L6728" s="10"/>
      <c r="M6728" s="19"/>
      <c r="N6728" s="10"/>
    </row>
    <row r="6729" spans="7:14" x14ac:dyDescent="0.75">
      <c r="G6729" s="10"/>
      <c r="H6729" s="10"/>
      <c r="I6729" s="39"/>
      <c r="J6729" s="103"/>
      <c r="K6729" s="39"/>
      <c r="L6729" s="10"/>
      <c r="M6729" s="19"/>
      <c r="N6729" s="10"/>
    </row>
    <row r="6730" spans="7:14" x14ac:dyDescent="0.75">
      <c r="G6730" s="10"/>
      <c r="H6730" s="10"/>
      <c r="I6730" s="39"/>
      <c r="J6730" s="103"/>
      <c r="K6730" s="39"/>
      <c r="L6730" s="10"/>
      <c r="M6730" s="19"/>
      <c r="N6730" s="10"/>
    </row>
    <row r="6731" spans="7:14" x14ac:dyDescent="0.75">
      <c r="G6731" s="10"/>
      <c r="H6731" s="10"/>
      <c r="I6731" s="39"/>
      <c r="J6731" s="103"/>
      <c r="K6731" s="39"/>
      <c r="L6731" s="10"/>
      <c r="M6731" s="19"/>
      <c r="N6731" s="10"/>
    </row>
    <row r="6732" spans="7:14" x14ac:dyDescent="0.75">
      <c r="G6732" s="10"/>
      <c r="H6732" s="10"/>
      <c r="I6732" s="39"/>
      <c r="J6732" s="103"/>
      <c r="K6732" s="39"/>
      <c r="L6732" s="10"/>
      <c r="M6732" s="19"/>
      <c r="N6732" s="10"/>
    </row>
    <row r="6733" spans="7:14" x14ac:dyDescent="0.75">
      <c r="G6733" s="10"/>
      <c r="H6733" s="10"/>
      <c r="I6733" s="39"/>
      <c r="J6733" s="103"/>
      <c r="K6733" s="39"/>
      <c r="L6733" s="10"/>
      <c r="M6733" s="19"/>
      <c r="N6733" s="10"/>
    </row>
    <row r="6734" spans="7:14" x14ac:dyDescent="0.75">
      <c r="G6734" s="10"/>
      <c r="H6734" s="10"/>
      <c r="I6734" s="39"/>
      <c r="J6734" s="103"/>
      <c r="K6734" s="39"/>
      <c r="L6734" s="10"/>
      <c r="M6734" s="19"/>
      <c r="N6734" s="10"/>
    </row>
    <row r="6735" spans="7:14" x14ac:dyDescent="0.75">
      <c r="G6735" s="10"/>
      <c r="H6735" s="10"/>
      <c r="I6735" s="39"/>
      <c r="J6735" s="103"/>
      <c r="K6735" s="39"/>
      <c r="L6735" s="10"/>
      <c r="M6735" s="19"/>
      <c r="N6735" s="10"/>
    </row>
    <row r="6736" spans="7:14" x14ac:dyDescent="0.75">
      <c r="G6736" s="10"/>
      <c r="H6736" s="10"/>
      <c r="I6736" s="39"/>
      <c r="J6736" s="103"/>
      <c r="K6736" s="39"/>
      <c r="L6736" s="10"/>
      <c r="M6736" s="19"/>
      <c r="N6736" s="10"/>
    </row>
    <row r="6737" spans="7:14" x14ac:dyDescent="0.75">
      <c r="G6737" s="10"/>
      <c r="H6737" s="10"/>
      <c r="I6737" s="39"/>
      <c r="J6737" s="103"/>
      <c r="K6737" s="39"/>
      <c r="L6737" s="10"/>
      <c r="M6737" s="19"/>
      <c r="N6737" s="10"/>
    </row>
    <row r="6738" spans="7:14" x14ac:dyDescent="0.75">
      <c r="G6738" s="10"/>
      <c r="H6738" s="10"/>
      <c r="I6738" s="39"/>
      <c r="J6738" s="103"/>
      <c r="K6738" s="39"/>
      <c r="L6738" s="10"/>
      <c r="M6738" s="19"/>
      <c r="N6738" s="10"/>
    </row>
    <row r="6739" spans="7:14" x14ac:dyDescent="0.75">
      <c r="G6739" s="10"/>
      <c r="H6739" s="10"/>
      <c r="I6739" s="39"/>
      <c r="J6739" s="103"/>
      <c r="K6739" s="39"/>
      <c r="L6739" s="10"/>
      <c r="M6739" s="19"/>
      <c r="N6739" s="10"/>
    </row>
    <row r="6740" spans="7:14" x14ac:dyDescent="0.75">
      <c r="G6740" s="10"/>
      <c r="H6740" s="10"/>
      <c r="I6740" s="39"/>
      <c r="J6740" s="103"/>
      <c r="K6740" s="39"/>
      <c r="L6740" s="10"/>
      <c r="M6740" s="19"/>
      <c r="N6740" s="10"/>
    </row>
    <row r="6741" spans="7:14" x14ac:dyDescent="0.75">
      <c r="G6741" s="10"/>
      <c r="H6741" s="10"/>
      <c r="I6741" s="39"/>
      <c r="J6741" s="103"/>
      <c r="K6741" s="39"/>
      <c r="L6741" s="10"/>
      <c r="M6741" s="19"/>
      <c r="N6741" s="10"/>
    </row>
    <row r="6742" spans="7:14" x14ac:dyDescent="0.75">
      <c r="G6742" s="10"/>
      <c r="H6742" s="10"/>
      <c r="I6742" s="39"/>
      <c r="J6742" s="103"/>
      <c r="K6742" s="39"/>
      <c r="L6742" s="10"/>
      <c r="M6742" s="19"/>
      <c r="N6742" s="10"/>
    </row>
    <row r="6743" spans="7:14" x14ac:dyDescent="0.75">
      <c r="G6743" s="10"/>
      <c r="H6743" s="10"/>
      <c r="I6743" s="39"/>
      <c r="J6743" s="103"/>
      <c r="K6743" s="39"/>
      <c r="L6743" s="10"/>
      <c r="M6743" s="19"/>
      <c r="N6743" s="10"/>
    </row>
    <row r="6744" spans="7:14" x14ac:dyDescent="0.75">
      <c r="G6744" s="10"/>
      <c r="H6744" s="10"/>
      <c r="I6744" s="39"/>
      <c r="J6744" s="103"/>
      <c r="K6744" s="39"/>
      <c r="L6744" s="10"/>
      <c r="M6744" s="19"/>
      <c r="N6744" s="10"/>
    </row>
    <row r="6745" spans="7:14" x14ac:dyDescent="0.75">
      <c r="G6745" s="10"/>
      <c r="H6745" s="10"/>
      <c r="I6745" s="39"/>
      <c r="J6745" s="103"/>
      <c r="K6745" s="39"/>
      <c r="L6745" s="10"/>
      <c r="M6745" s="19"/>
      <c r="N6745" s="10"/>
    </row>
    <row r="6746" spans="7:14" x14ac:dyDescent="0.75">
      <c r="G6746" s="10"/>
      <c r="H6746" s="10"/>
      <c r="I6746" s="39"/>
      <c r="J6746" s="103"/>
      <c r="K6746" s="39"/>
      <c r="L6746" s="10"/>
      <c r="M6746" s="19"/>
      <c r="N6746" s="10"/>
    </row>
    <row r="6747" spans="7:14" x14ac:dyDescent="0.75">
      <c r="G6747" s="10"/>
      <c r="H6747" s="10"/>
      <c r="I6747" s="39"/>
      <c r="J6747" s="103"/>
      <c r="K6747" s="39"/>
      <c r="L6747" s="10"/>
      <c r="M6747" s="19"/>
      <c r="N6747" s="10"/>
    </row>
    <row r="6748" spans="7:14" x14ac:dyDescent="0.75">
      <c r="G6748" s="10"/>
      <c r="H6748" s="10"/>
      <c r="I6748" s="39"/>
      <c r="J6748" s="103"/>
      <c r="K6748" s="39"/>
      <c r="L6748" s="10"/>
      <c r="M6748" s="19"/>
      <c r="N6748" s="10"/>
    </row>
    <row r="6749" spans="7:14" x14ac:dyDescent="0.75">
      <c r="G6749" s="10"/>
      <c r="H6749" s="10"/>
      <c r="I6749" s="39"/>
      <c r="J6749" s="103"/>
      <c r="K6749" s="39"/>
      <c r="L6749" s="10"/>
      <c r="M6749" s="19"/>
      <c r="N6749" s="10"/>
    </row>
    <row r="6750" spans="7:14" x14ac:dyDescent="0.75">
      <c r="G6750" s="10"/>
      <c r="H6750" s="10"/>
      <c r="I6750" s="39"/>
      <c r="J6750" s="103"/>
      <c r="K6750" s="39"/>
      <c r="L6750" s="10"/>
      <c r="M6750" s="19"/>
      <c r="N6750" s="10"/>
    </row>
    <row r="6751" spans="7:14" x14ac:dyDescent="0.75">
      <c r="G6751" s="10"/>
      <c r="H6751" s="10"/>
      <c r="I6751" s="39"/>
      <c r="J6751" s="103"/>
      <c r="K6751" s="39"/>
      <c r="L6751" s="10"/>
      <c r="M6751" s="19"/>
      <c r="N6751" s="10"/>
    </row>
    <row r="6752" spans="7:14" x14ac:dyDescent="0.75">
      <c r="G6752" s="10"/>
      <c r="H6752" s="10"/>
      <c r="I6752" s="39"/>
      <c r="J6752" s="103"/>
      <c r="K6752" s="39"/>
      <c r="L6752" s="10"/>
      <c r="M6752" s="19"/>
      <c r="N6752" s="10"/>
    </row>
    <row r="6753" spans="7:14" x14ac:dyDescent="0.75">
      <c r="G6753" s="10"/>
      <c r="H6753" s="10"/>
      <c r="I6753" s="39"/>
      <c r="J6753" s="103"/>
      <c r="K6753" s="39"/>
      <c r="L6753" s="10"/>
      <c r="M6753" s="19"/>
      <c r="N6753" s="10"/>
    </row>
    <row r="6754" spans="7:14" x14ac:dyDescent="0.75">
      <c r="G6754" s="10"/>
      <c r="H6754" s="10"/>
      <c r="I6754" s="39"/>
      <c r="J6754" s="103"/>
      <c r="K6754" s="39"/>
      <c r="L6754" s="10"/>
      <c r="M6754" s="19"/>
      <c r="N6754" s="10"/>
    </row>
    <row r="6755" spans="7:14" x14ac:dyDescent="0.75">
      <c r="G6755" s="10"/>
      <c r="H6755" s="10"/>
      <c r="I6755" s="39"/>
      <c r="J6755" s="103"/>
      <c r="K6755" s="39"/>
      <c r="L6755" s="10"/>
      <c r="M6755" s="19"/>
      <c r="N6755" s="10"/>
    </row>
    <row r="6756" spans="7:14" x14ac:dyDescent="0.75">
      <c r="G6756" s="10"/>
      <c r="H6756" s="10"/>
      <c r="I6756" s="39"/>
      <c r="J6756" s="103"/>
      <c r="K6756" s="39"/>
      <c r="L6756" s="10"/>
      <c r="M6756" s="19"/>
      <c r="N6756" s="10"/>
    </row>
    <row r="6757" spans="7:14" x14ac:dyDescent="0.75">
      <c r="G6757" s="10"/>
      <c r="H6757" s="10"/>
      <c r="I6757" s="39"/>
      <c r="J6757" s="103"/>
      <c r="K6757" s="39"/>
      <c r="L6757" s="10"/>
      <c r="M6757" s="19"/>
      <c r="N6757" s="10"/>
    </row>
    <row r="6758" spans="7:14" x14ac:dyDescent="0.75">
      <c r="G6758" s="10"/>
      <c r="H6758" s="10"/>
      <c r="I6758" s="39"/>
      <c r="J6758" s="103"/>
      <c r="K6758" s="39"/>
      <c r="L6758" s="10"/>
      <c r="M6758" s="19"/>
      <c r="N6758" s="10"/>
    </row>
    <row r="6759" spans="7:14" x14ac:dyDescent="0.75">
      <c r="G6759" s="10"/>
      <c r="H6759" s="10"/>
      <c r="I6759" s="39"/>
      <c r="J6759" s="103"/>
      <c r="K6759" s="39"/>
      <c r="L6759" s="10"/>
      <c r="M6759" s="19"/>
      <c r="N6759" s="10"/>
    </row>
    <row r="6760" spans="7:14" x14ac:dyDescent="0.75">
      <c r="G6760" s="10"/>
      <c r="H6760" s="10"/>
      <c r="I6760" s="39"/>
      <c r="J6760" s="103"/>
      <c r="K6760" s="39"/>
      <c r="L6760" s="10"/>
      <c r="M6760" s="19"/>
      <c r="N6760" s="10"/>
    </row>
    <row r="6761" spans="7:14" x14ac:dyDescent="0.75">
      <c r="G6761" s="10"/>
      <c r="H6761" s="10"/>
      <c r="I6761" s="39"/>
      <c r="J6761" s="103"/>
      <c r="K6761" s="39"/>
      <c r="L6761" s="10"/>
      <c r="M6761" s="19"/>
      <c r="N6761" s="10"/>
    </row>
    <row r="6762" spans="7:14" x14ac:dyDescent="0.75">
      <c r="G6762" s="10"/>
      <c r="H6762" s="10"/>
      <c r="I6762" s="39"/>
      <c r="J6762" s="103"/>
      <c r="K6762" s="39"/>
      <c r="L6762" s="10"/>
      <c r="M6762" s="19"/>
      <c r="N6762" s="10"/>
    </row>
    <row r="6763" spans="7:14" x14ac:dyDescent="0.75">
      <c r="G6763" s="10"/>
      <c r="H6763" s="10"/>
      <c r="I6763" s="39"/>
      <c r="J6763" s="103"/>
      <c r="K6763" s="39"/>
      <c r="L6763" s="10"/>
      <c r="M6763" s="19"/>
      <c r="N6763" s="10"/>
    </row>
    <row r="6764" spans="7:14" x14ac:dyDescent="0.75">
      <c r="G6764" s="10"/>
      <c r="H6764" s="10"/>
      <c r="I6764" s="39"/>
      <c r="J6764" s="103"/>
      <c r="K6764" s="39"/>
      <c r="L6764" s="10"/>
      <c r="M6764" s="19"/>
      <c r="N6764" s="10"/>
    </row>
    <row r="6765" spans="7:14" x14ac:dyDescent="0.75">
      <c r="G6765" s="10"/>
      <c r="H6765" s="10"/>
      <c r="I6765" s="39"/>
      <c r="J6765" s="103"/>
      <c r="K6765" s="39"/>
      <c r="L6765" s="10"/>
      <c r="M6765" s="19"/>
      <c r="N6765" s="10"/>
    </row>
    <row r="6766" spans="7:14" x14ac:dyDescent="0.75">
      <c r="G6766" s="10"/>
      <c r="H6766" s="10"/>
      <c r="I6766" s="39"/>
      <c r="J6766" s="103"/>
      <c r="K6766" s="39"/>
      <c r="L6766" s="10"/>
      <c r="M6766" s="19"/>
      <c r="N6766" s="10"/>
    </row>
    <row r="6767" spans="7:14" x14ac:dyDescent="0.75">
      <c r="G6767" s="10"/>
      <c r="H6767" s="10"/>
      <c r="I6767" s="39"/>
      <c r="J6767" s="103"/>
      <c r="K6767" s="39"/>
      <c r="L6767" s="10"/>
      <c r="M6767" s="19"/>
      <c r="N6767" s="10"/>
    </row>
    <row r="6768" spans="7:14" x14ac:dyDescent="0.75">
      <c r="G6768" s="10"/>
      <c r="H6768" s="10"/>
      <c r="I6768" s="39"/>
      <c r="J6768" s="103"/>
      <c r="K6768" s="39"/>
      <c r="L6768" s="10"/>
      <c r="M6768" s="19"/>
      <c r="N6768" s="10"/>
    </row>
    <row r="6769" spans="7:14" x14ac:dyDescent="0.75">
      <c r="G6769" s="10"/>
      <c r="H6769" s="10"/>
      <c r="I6769" s="39"/>
      <c r="J6769" s="103"/>
      <c r="K6769" s="39"/>
      <c r="L6769" s="10"/>
      <c r="M6769" s="19"/>
      <c r="N6769" s="10"/>
    </row>
    <row r="6770" spans="7:14" x14ac:dyDescent="0.75">
      <c r="G6770" s="10"/>
      <c r="H6770" s="10"/>
      <c r="I6770" s="39"/>
      <c r="J6770" s="103"/>
      <c r="K6770" s="39"/>
      <c r="L6770" s="10"/>
      <c r="M6770" s="19"/>
      <c r="N6770" s="10"/>
    </row>
    <row r="6771" spans="7:14" x14ac:dyDescent="0.75">
      <c r="G6771" s="10"/>
      <c r="H6771" s="10"/>
      <c r="I6771" s="39"/>
      <c r="J6771" s="103"/>
      <c r="K6771" s="39"/>
      <c r="L6771" s="10"/>
      <c r="M6771" s="19"/>
      <c r="N6771" s="10"/>
    </row>
    <row r="6772" spans="7:14" x14ac:dyDescent="0.75">
      <c r="G6772" s="10"/>
      <c r="H6772" s="10"/>
      <c r="I6772" s="39"/>
      <c r="J6772" s="103"/>
      <c r="K6772" s="39"/>
      <c r="L6772" s="10"/>
      <c r="M6772" s="19"/>
      <c r="N6772" s="10"/>
    </row>
    <row r="6773" spans="7:14" x14ac:dyDescent="0.75">
      <c r="G6773" s="10"/>
      <c r="H6773" s="10"/>
      <c r="I6773" s="39"/>
      <c r="J6773" s="103"/>
      <c r="K6773" s="39"/>
      <c r="L6773" s="10"/>
      <c r="M6773" s="19"/>
      <c r="N6773" s="10"/>
    </row>
    <row r="6774" spans="7:14" x14ac:dyDescent="0.75">
      <c r="G6774" s="10"/>
      <c r="H6774" s="10"/>
      <c r="I6774" s="39"/>
      <c r="J6774" s="103"/>
      <c r="K6774" s="39"/>
      <c r="L6774" s="10"/>
      <c r="M6774" s="19"/>
      <c r="N6774" s="10"/>
    </row>
    <row r="6775" spans="7:14" x14ac:dyDescent="0.75">
      <c r="G6775" s="10"/>
      <c r="H6775" s="10"/>
      <c r="I6775" s="39"/>
      <c r="J6775" s="103"/>
      <c r="K6775" s="39"/>
      <c r="L6775" s="10"/>
      <c r="M6775" s="19"/>
      <c r="N6775" s="10"/>
    </row>
    <row r="6776" spans="7:14" x14ac:dyDescent="0.75">
      <c r="G6776" s="10"/>
      <c r="H6776" s="10"/>
      <c r="I6776" s="39"/>
      <c r="J6776" s="103"/>
      <c r="K6776" s="39"/>
      <c r="L6776" s="10"/>
      <c r="M6776" s="19"/>
      <c r="N6776" s="10"/>
    </row>
    <row r="6777" spans="7:14" x14ac:dyDescent="0.75">
      <c r="G6777" s="10"/>
      <c r="H6777" s="10"/>
      <c r="I6777" s="39"/>
      <c r="J6777" s="103"/>
      <c r="K6777" s="39"/>
      <c r="L6777" s="10"/>
      <c r="M6777" s="19"/>
      <c r="N6777" s="10"/>
    </row>
    <row r="6778" spans="7:14" x14ac:dyDescent="0.75">
      <c r="G6778" s="10"/>
      <c r="H6778" s="10"/>
      <c r="I6778" s="39"/>
      <c r="J6778" s="103"/>
      <c r="K6778" s="39"/>
      <c r="L6778" s="10"/>
      <c r="M6778" s="19"/>
      <c r="N6778" s="10"/>
    </row>
    <row r="6779" spans="7:14" x14ac:dyDescent="0.75">
      <c r="G6779" s="10"/>
      <c r="H6779" s="10"/>
      <c r="I6779" s="39"/>
      <c r="J6779" s="103"/>
      <c r="K6779" s="39"/>
      <c r="L6779" s="10"/>
      <c r="M6779" s="19"/>
      <c r="N6779" s="10"/>
    </row>
    <row r="6780" spans="7:14" x14ac:dyDescent="0.75">
      <c r="G6780" s="10"/>
      <c r="H6780" s="10"/>
      <c r="I6780" s="39"/>
      <c r="J6780" s="103"/>
      <c r="K6780" s="39"/>
      <c r="L6780" s="10"/>
      <c r="M6780" s="19"/>
      <c r="N6780" s="10"/>
    </row>
    <row r="6781" spans="7:14" x14ac:dyDescent="0.75">
      <c r="G6781" s="10"/>
      <c r="H6781" s="10"/>
      <c r="I6781" s="39"/>
      <c r="J6781" s="103"/>
      <c r="K6781" s="39"/>
      <c r="L6781" s="10"/>
      <c r="M6781" s="19"/>
      <c r="N6781" s="10"/>
    </row>
    <row r="6782" spans="7:14" x14ac:dyDescent="0.75">
      <c r="G6782" s="10"/>
      <c r="H6782" s="10"/>
      <c r="I6782" s="39"/>
      <c r="J6782" s="103"/>
      <c r="K6782" s="39"/>
      <c r="L6782" s="10"/>
      <c r="M6782" s="19"/>
      <c r="N6782" s="10"/>
    </row>
    <row r="6783" spans="7:14" x14ac:dyDescent="0.75">
      <c r="G6783" s="10"/>
      <c r="H6783" s="10"/>
      <c r="I6783" s="39"/>
      <c r="J6783" s="103"/>
      <c r="K6783" s="39"/>
      <c r="L6783" s="10"/>
      <c r="M6783" s="19"/>
      <c r="N6783" s="10"/>
    </row>
    <row r="6784" spans="7:14" x14ac:dyDescent="0.75">
      <c r="G6784" s="10"/>
      <c r="H6784" s="10"/>
      <c r="I6784" s="39"/>
      <c r="J6784" s="103"/>
      <c r="K6784" s="39"/>
      <c r="L6784" s="10"/>
      <c r="M6784" s="19"/>
      <c r="N6784" s="10"/>
    </row>
    <row r="6785" spans="7:14" x14ac:dyDescent="0.75">
      <c r="G6785" s="10"/>
      <c r="H6785" s="10"/>
      <c r="I6785" s="39"/>
      <c r="J6785" s="103"/>
      <c r="K6785" s="39"/>
      <c r="L6785" s="10"/>
      <c r="M6785" s="19"/>
      <c r="N6785" s="10"/>
    </row>
    <row r="6786" spans="7:14" x14ac:dyDescent="0.75">
      <c r="G6786" s="10"/>
      <c r="H6786" s="10"/>
      <c r="I6786" s="39"/>
      <c r="J6786" s="103"/>
      <c r="K6786" s="39"/>
      <c r="L6786" s="10"/>
      <c r="M6786" s="19"/>
      <c r="N6786" s="10"/>
    </row>
    <row r="6787" spans="7:14" x14ac:dyDescent="0.75">
      <c r="G6787" s="10"/>
      <c r="H6787" s="10"/>
      <c r="I6787" s="39"/>
      <c r="J6787" s="103"/>
      <c r="K6787" s="39"/>
      <c r="L6787" s="10"/>
      <c r="M6787" s="19"/>
      <c r="N6787" s="10"/>
    </row>
    <row r="6788" spans="7:14" x14ac:dyDescent="0.75">
      <c r="G6788" s="10"/>
      <c r="H6788" s="10"/>
      <c r="I6788" s="39"/>
      <c r="J6788" s="103"/>
      <c r="K6788" s="39"/>
      <c r="L6788" s="10"/>
      <c r="M6788" s="19"/>
      <c r="N6788" s="10"/>
    </row>
    <row r="6789" spans="7:14" x14ac:dyDescent="0.75">
      <c r="G6789" s="10"/>
      <c r="H6789" s="10"/>
      <c r="I6789" s="39"/>
      <c r="J6789" s="103"/>
      <c r="K6789" s="39"/>
      <c r="L6789" s="10"/>
      <c r="M6789" s="19"/>
      <c r="N6789" s="10"/>
    </row>
    <row r="6790" spans="7:14" x14ac:dyDescent="0.75">
      <c r="G6790" s="10"/>
      <c r="H6790" s="10"/>
      <c r="I6790" s="39"/>
      <c r="J6790" s="103"/>
      <c r="K6790" s="39"/>
      <c r="L6790" s="10"/>
      <c r="M6790" s="19"/>
      <c r="N6790" s="10"/>
    </row>
    <row r="6791" spans="7:14" x14ac:dyDescent="0.75">
      <c r="G6791" s="10"/>
      <c r="H6791" s="10"/>
      <c r="I6791" s="39"/>
      <c r="J6791" s="103"/>
      <c r="K6791" s="39"/>
      <c r="L6791" s="10"/>
      <c r="M6791" s="19"/>
      <c r="N6791" s="10"/>
    </row>
    <row r="6792" spans="7:14" x14ac:dyDescent="0.75">
      <c r="G6792" s="10"/>
      <c r="H6792" s="10"/>
      <c r="I6792" s="39"/>
      <c r="J6792" s="103"/>
      <c r="K6792" s="39"/>
      <c r="L6792" s="10"/>
      <c r="M6792" s="19"/>
      <c r="N6792" s="10"/>
    </row>
    <row r="6793" spans="7:14" x14ac:dyDescent="0.75">
      <c r="G6793" s="10"/>
      <c r="H6793" s="10"/>
      <c r="I6793" s="39"/>
      <c r="J6793" s="103"/>
      <c r="K6793" s="39"/>
      <c r="L6793" s="10"/>
      <c r="M6793" s="19"/>
      <c r="N6793" s="10"/>
    </row>
    <row r="6794" spans="7:14" x14ac:dyDescent="0.75">
      <c r="G6794" s="10"/>
      <c r="H6794" s="10"/>
      <c r="I6794" s="39"/>
      <c r="J6794" s="103"/>
      <c r="K6794" s="39"/>
      <c r="L6794" s="10"/>
      <c r="M6794" s="19"/>
      <c r="N6794" s="10"/>
    </row>
    <row r="6795" spans="7:14" x14ac:dyDescent="0.75">
      <c r="G6795" s="10"/>
      <c r="H6795" s="10"/>
      <c r="I6795" s="39"/>
      <c r="J6795" s="103"/>
      <c r="K6795" s="39"/>
      <c r="L6795" s="10"/>
      <c r="M6795" s="19"/>
      <c r="N6795" s="10"/>
    </row>
    <row r="6796" spans="7:14" x14ac:dyDescent="0.75">
      <c r="G6796" s="10"/>
      <c r="H6796" s="10"/>
      <c r="I6796" s="39"/>
      <c r="J6796" s="103"/>
      <c r="K6796" s="39"/>
      <c r="L6796" s="10"/>
      <c r="M6796" s="19"/>
      <c r="N6796" s="10"/>
    </row>
    <row r="6797" spans="7:14" x14ac:dyDescent="0.75">
      <c r="G6797" s="10"/>
      <c r="H6797" s="10"/>
      <c r="I6797" s="39"/>
      <c r="J6797" s="103"/>
      <c r="K6797" s="39"/>
      <c r="L6797" s="10"/>
      <c r="M6797" s="19"/>
      <c r="N6797" s="10"/>
    </row>
    <row r="6798" spans="7:14" x14ac:dyDescent="0.75">
      <c r="G6798" s="10"/>
      <c r="H6798" s="10"/>
      <c r="I6798" s="39"/>
      <c r="J6798" s="103"/>
      <c r="K6798" s="39"/>
      <c r="L6798" s="10"/>
      <c r="M6798" s="19"/>
      <c r="N6798" s="10"/>
    </row>
    <row r="6799" spans="7:14" x14ac:dyDescent="0.75">
      <c r="G6799" s="10"/>
      <c r="H6799" s="10"/>
      <c r="I6799" s="39"/>
      <c r="J6799" s="103"/>
      <c r="K6799" s="39"/>
      <c r="L6799" s="10"/>
      <c r="M6799" s="19"/>
      <c r="N6799" s="10"/>
    </row>
    <row r="6800" spans="7:14" x14ac:dyDescent="0.75">
      <c r="G6800" s="10"/>
      <c r="H6800" s="10"/>
      <c r="I6800" s="39"/>
      <c r="J6800" s="103"/>
      <c r="K6800" s="39"/>
      <c r="L6800" s="10"/>
      <c r="M6800" s="19"/>
      <c r="N6800" s="10"/>
    </row>
    <row r="6801" spans="7:14" x14ac:dyDescent="0.75">
      <c r="G6801" s="10"/>
      <c r="H6801" s="10"/>
      <c r="I6801" s="39"/>
      <c r="J6801" s="103"/>
      <c r="K6801" s="39"/>
      <c r="L6801" s="10"/>
      <c r="M6801" s="19"/>
      <c r="N6801" s="10"/>
    </row>
    <row r="6802" spans="7:14" x14ac:dyDescent="0.75">
      <c r="G6802" s="10"/>
      <c r="H6802" s="10"/>
      <c r="I6802" s="39"/>
      <c r="J6802" s="103"/>
      <c r="K6802" s="39"/>
      <c r="L6802" s="10"/>
      <c r="M6802" s="19"/>
      <c r="N6802" s="10"/>
    </row>
    <row r="6803" spans="7:14" x14ac:dyDescent="0.75">
      <c r="G6803" s="10"/>
      <c r="H6803" s="10"/>
      <c r="I6803" s="39"/>
      <c r="J6803" s="103"/>
      <c r="K6803" s="39"/>
      <c r="L6803" s="10"/>
      <c r="M6803" s="19"/>
      <c r="N6803" s="10"/>
    </row>
    <row r="6804" spans="7:14" x14ac:dyDescent="0.75">
      <c r="G6804" s="10"/>
      <c r="H6804" s="10"/>
      <c r="I6804" s="39"/>
      <c r="J6804" s="103"/>
      <c r="K6804" s="39"/>
      <c r="L6804" s="10"/>
      <c r="M6804" s="19"/>
      <c r="N6804" s="10"/>
    </row>
    <row r="6805" spans="7:14" x14ac:dyDescent="0.75">
      <c r="G6805" s="10"/>
      <c r="H6805" s="10"/>
      <c r="I6805" s="39"/>
      <c r="J6805" s="103"/>
      <c r="K6805" s="39"/>
      <c r="L6805" s="10"/>
      <c r="M6805" s="19"/>
      <c r="N6805" s="10"/>
    </row>
    <row r="6806" spans="7:14" x14ac:dyDescent="0.75">
      <c r="G6806" s="10"/>
      <c r="H6806" s="10"/>
      <c r="I6806" s="39"/>
      <c r="J6806" s="103"/>
      <c r="K6806" s="39"/>
      <c r="L6806" s="10"/>
      <c r="M6806" s="19"/>
      <c r="N6806" s="10"/>
    </row>
    <row r="6807" spans="7:14" x14ac:dyDescent="0.75">
      <c r="G6807" s="10"/>
      <c r="H6807" s="10"/>
      <c r="I6807" s="39"/>
      <c r="J6807" s="103"/>
      <c r="K6807" s="39"/>
      <c r="L6807" s="10"/>
      <c r="M6807" s="19"/>
      <c r="N6807" s="10"/>
    </row>
    <row r="6808" spans="7:14" x14ac:dyDescent="0.75">
      <c r="G6808" s="10"/>
      <c r="H6808" s="10"/>
      <c r="I6808" s="39"/>
      <c r="J6808" s="103"/>
      <c r="K6808" s="39"/>
      <c r="L6808" s="10"/>
      <c r="M6808" s="19"/>
      <c r="N6808" s="10"/>
    </row>
    <row r="6809" spans="7:14" x14ac:dyDescent="0.75">
      <c r="G6809" s="10"/>
      <c r="H6809" s="10"/>
      <c r="I6809" s="39"/>
      <c r="J6809" s="103"/>
      <c r="K6809" s="39"/>
      <c r="L6809" s="10"/>
      <c r="M6809" s="19"/>
      <c r="N6809" s="10"/>
    </row>
    <row r="6810" spans="7:14" x14ac:dyDescent="0.75">
      <c r="G6810" s="10"/>
      <c r="H6810" s="10"/>
      <c r="I6810" s="39"/>
      <c r="J6810" s="103"/>
      <c r="K6810" s="39"/>
      <c r="L6810" s="10"/>
      <c r="M6810" s="19"/>
      <c r="N6810" s="10"/>
    </row>
    <row r="6811" spans="7:14" x14ac:dyDescent="0.75">
      <c r="G6811" s="10"/>
      <c r="H6811" s="10"/>
      <c r="I6811" s="39"/>
      <c r="J6811" s="103"/>
      <c r="K6811" s="39"/>
      <c r="L6811" s="10"/>
      <c r="M6811" s="19"/>
      <c r="N6811" s="10"/>
    </row>
    <row r="6812" spans="7:14" x14ac:dyDescent="0.75">
      <c r="G6812" s="10"/>
      <c r="H6812" s="10"/>
      <c r="I6812" s="39"/>
      <c r="J6812" s="103"/>
      <c r="K6812" s="39"/>
      <c r="L6812" s="10"/>
      <c r="M6812" s="19"/>
      <c r="N6812" s="10"/>
    </row>
    <row r="6813" spans="7:14" x14ac:dyDescent="0.75">
      <c r="G6813" s="10"/>
      <c r="H6813" s="10"/>
      <c r="I6813" s="39"/>
      <c r="J6813" s="103"/>
      <c r="K6813" s="39"/>
      <c r="L6813" s="10"/>
      <c r="M6813" s="19"/>
      <c r="N6813" s="10"/>
    </row>
    <row r="6814" spans="7:14" x14ac:dyDescent="0.75">
      <c r="G6814" s="10"/>
      <c r="H6814" s="10"/>
      <c r="I6814" s="39"/>
      <c r="J6814" s="103"/>
      <c r="K6814" s="39"/>
      <c r="L6814" s="10"/>
      <c r="M6814" s="19"/>
      <c r="N6814" s="10"/>
    </row>
    <row r="6815" spans="7:14" x14ac:dyDescent="0.75">
      <c r="G6815" s="10"/>
      <c r="H6815" s="10"/>
      <c r="I6815" s="39"/>
      <c r="J6815" s="103"/>
      <c r="K6815" s="39"/>
      <c r="L6815" s="10"/>
      <c r="M6815" s="19"/>
      <c r="N6815" s="10"/>
    </row>
    <row r="6816" spans="7:14" x14ac:dyDescent="0.75">
      <c r="G6816" s="10"/>
      <c r="H6816" s="10"/>
      <c r="I6816" s="39"/>
      <c r="J6816" s="103"/>
      <c r="K6816" s="39"/>
      <c r="L6816" s="10"/>
      <c r="M6816" s="19"/>
      <c r="N6816" s="10"/>
    </row>
    <row r="6817" spans="7:14" x14ac:dyDescent="0.75">
      <c r="G6817" s="10"/>
      <c r="H6817" s="10"/>
      <c r="I6817" s="39"/>
      <c r="J6817" s="103"/>
      <c r="K6817" s="39"/>
      <c r="L6817" s="10"/>
      <c r="M6817" s="19"/>
      <c r="N6817" s="10"/>
    </row>
    <row r="6818" spans="7:14" x14ac:dyDescent="0.75">
      <c r="G6818" s="10"/>
      <c r="H6818" s="10"/>
      <c r="I6818" s="39"/>
      <c r="J6818" s="103"/>
      <c r="K6818" s="39"/>
      <c r="L6818" s="10"/>
      <c r="M6818" s="19"/>
      <c r="N6818" s="10"/>
    </row>
    <row r="6819" spans="7:14" x14ac:dyDescent="0.75">
      <c r="G6819" s="10"/>
      <c r="H6819" s="10"/>
      <c r="I6819" s="39"/>
      <c r="J6819" s="103"/>
      <c r="K6819" s="39"/>
      <c r="L6819" s="10"/>
      <c r="M6819" s="19"/>
      <c r="N6819" s="10"/>
    </row>
    <row r="6820" spans="7:14" x14ac:dyDescent="0.75">
      <c r="G6820" s="10"/>
      <c r="H6820" s="10"/>
      <c r="I6820" s="39"/>
      <c r="J6820" s="103"/>
      <c r="K6820" s="39"/>
      <c r="L6820" s="10"/>
      <c r="M6820" s="19"/>
      <c r="N6820" s="10"/>
    </row>
    <row r="6821" spans="7:14" x14ac:dyDescent="0.75">
      <c r="G6821" s="10"/>
      <c r="H6821" s="10"/>
      <c r="I6821" s="39"/>
      <c r="J6821" s="103"/>
      <c r="K6821" s="39"/>
      <c r="L6821" s="10"/>
      <c r="M6821" s="19"/>
      <c r="N6821" s="10"/>
    </row>
    <row r="6822" spans="7:14" x14ac:dyDescent="0.75">
      <c r="G6822" s="10"/>
      <c r="H6822" s="10"/>
      <c r="I6822" s="39"/>
      <c r="J6822" s="103"/>
      <c r="K6822" s="39"/>
      <c r="L6822" s="10"/>
      <c r="M6822" s="19"/>
      <c r="N6822" s="10"/>
    </row>
    <row r="6823" spans="7:14" x14ac:dyDescent="0.75">
      <c r="G6823" s="10"/>
      <c r="H6823" s="10"/>
      <c r="I6823" s="39"/>
      <c r="J6823" s="103"/>
      <c r="K6823" s="39"/>
      <c r="L6823" s="10"/>
      <c r="M6823" s="19"/>
      <c r="N6823" s="10"/>
    </row>
    <row r="6824" spans="7:14" x14ac:dyDescent="0.75">
      <c r="G6824" s="10"/>
      <c r="H6824" s="10"/>
      <c r="I6824" s="39"/>
      <c r="J6824" s="103"/>
      <c r="K6824" s="39"/>
      <c r="L6824" s="10"/>
      <c r="M6824" s="19"/>
      <c r="N6824" s="10"/>
    </row>
    <row r="6825" spans="7:14" x14ac:dyDescent="0.75">
      <c r="G6825" s="10"/>
      <c r="H6825" s="10"/>
      <c r="I6825" s="39"/>
      <c r="J6825" s="103"/>
      <c r="K6825" s="39"/>
      <c r="L6825" s="10"/>
      <c r="M6825" s="19"/>
      <c r="N6825" s="10"/>
    </row>
    <row r="6826" spans="7:14" x14ac:dyDescent="0.75">
      <c r="G6826" s="10"/>
      <c r="H6826" s="10"/>
      <c r="I6826" s="39"/>
      <c r="J6826" s="103"/>
      <c r="K6826" s="39"/>
      <c r="L6826" s="10"/>
      <c r="M6826" s="19"/>
      <c r="N6826" s="10"/>
    </row>
    <row r="6827" spans="7:14" x14ac:dyDescent="0.75">
      <c r="G6827" s="10"/>
      <c r="H6827" s="10"/>
      <c r="I6827" s="39"/>
      <c r="J6827" s="103"/>
      <c r="K6827" s="39"/>
      <c r="L6827" s="10"/>
      <c r="M6827" s="19"/>
      <c r="N6827" s="10"/>
    </row>
    <row r="6828" spans="7:14" x14ac:dyDescent="0.75">
      <c r="G6828" s="10"/>
      <c r="H6828" s="10"/>
      <c r="I6828" s="39"/>
      <c r="J6828" s="103"/>
      <c r="K6828" s="39"/>
      <c r="L6828" s="10"/>
      <c r="M6828" s="19"/>
      <c r="N6828" s="10"/>
    </row>
    <row r="6829" spans="7:14" x14ac:dyDescent="0.75">
      <c r="G6829" s="10"/>
      <c r="H6829" s="10"/>
      <c r="I6829" s="39"/>
      <c r="J6829" s="103"/>
      <c r="K6829" s="39"/>
      <c r="L6829" s="10"/>
      <c r="M6829" s="19"/>
      <c r="N6829" s="10"/>
    </row>
    <row r="6830" spans="7:14" x14ac:dyDescent="0.75">
      <c r="G6830" s="10"/>
      <c r="H6830" s="10"/>
      <c r="I6830" s="39"/>
      <c r="J6830" s="103"/>
      <c r="K6830" s="39"/>
      <c r="L6830" s="10"/>
      <c r="M6830" s="19"/>
      <c r="N6830" s="10"/>
    </row>
    <row r="6831" spans="7:14" x14ac:dyDescent="0.75">
      <c r="G6831" s="10"/>
      <c r="H6831" s="10"/>
      <c r="I6831" s="39"/>
      <c r="J6831" s="103"/>
      <c r="K6831" s="39"/>
      <c r="L6831" s="10"/>
      <c r="M6831" s="19"/>
      <c r="N6831" s="10"/>
    </row>
    <row r="6832" spans="7:14" x14ac:dyDescent="0.75">
      <c r="G6832" s="10"/>
      <c r="H6832" s="10"/>
      <c r="I6832" s="39"/>
      <c r="J6832" s="103"/>
      <c r="K6832" s="39"/>
      <c r="L6832" s="10"/>
      <c r="M6832" s="19"/>
      <c r="N6832" s="10"/>
    </row>
    <row r="6833" spans="7:14" x14ac:dyDescent="0.75">
      <c r="G6833" s="10"/>
      <c r="H6833" s="10"/>
      <c r="I6833" s="39"/>
      <c r="J6833" s="103"/>
      <c r="K6833" s="39"/>
      <c r="L6833" s="10"/>
      <c r="M6833" s="19"/>
      <c r="N6833" s="10"/>
    </row>
    <row r="6834" spans="7:14" x14ac:dyDescent="0.75">
      <c r="G6834" s="10"/>
      <c r="H6834" s="10"/>
      <c r="I6834" s="39"/>
      <c r="J6834" s="103"/>
      <c r="K6834" s="39"/>
      <c r="L6834" s="10"/>
      <c r="M6834" s="19"/>
      <c r="N6834" s="10"/>
    </row>
    <row r="6835" spans="7:14" x14ac:dyDescent="0.75">
      <c r="G6835" s="10"/>
      <c r="H6835" s="10"/>
      <c r="I6835" s="39"/>
      <c r="J6835" s="103"/>
      <c r="K6835" s="39"/>
      <c r="L6835" s="10"/>
      <c r="M6835" s="19"/>
      <c r="N6835" s="10"/>
    </row>
    <row r="6836" spans="7:14" x14ac:dyDescent="0.75">
      <c r="G6836" s="10"/>
      <c r="H6836" s="10"/>
      <c r="I6836" s="39"/>
      <c r="J6836" s="103"/>
      <c r="K6836" s="39"/>
      <c r="L6836" s="10"/>
      <c r="M6836" s="19"/>
      <c r="N6836" s="10"/>
    </row>
    <row r="6837" spans="7:14" x14ac:dyDescent="0.75">
      <c r="G6837" s="10"/>
      <c r="H6837" s="10"/>
      <c r="I6837" s="39"/>
      <c r="J6837" s="103"/>
      <c r="K6837" s="39"/>
      <c r="L6837" s="10"/>
      <c r="M6837" s="19"/>
      <c r="N6837" s="10"/>
    </row>
    <row r="6838" spans="7:14" x14ac:dyDescent="0.75">
      <c r="G6838" s="10"/>
      <c r="H6838" s="10"/>
      <c r="I6838" s="39"/>
      <c r="J6838" s="103"/>
      <c r="K6838" s="39"/>
      <c r="L6838" s="10"/>
      <c r="M6838" s="19"/>
      <c r="N6838" s="10"/>
    </row>
    <row r="6839" spans="7:14" x14ac:dyDescent="0.75">
      <c r="G6839" s="10"/>
      <c r="H6839" s="10"/>
      <c r="I6839" s="39"/>
      <c r="J6839" s="103"/>
      <c r="K6839" s="39"/>
      <c r="L6839" s="10"/>
      <c r="M6839" s="19"/>
      <c r="N6839" s="10"/>
    </row>
    <row r="6840" spans="7:14" x14ac:dyDescent="0.75">
      <c r="G6840" s="10"/>
      <c r="H6840" s="10"/>
      <c r="I6840" s="39"/>
      <c r="J6840" s="103"/>
      <c r="K6840" s="39"/>
      <c r="L6840" s="10"/>
      <c r="M6840" s="19"/>
      <c r="N6840" s="10"/>
    </row>
    <row r="6841" spans="7:14" x14ac:dyDescent="0.75">
      <c r="G6841" s="10"/>
      <c r="H6841" s="10"/>
      <c r="I6841" s="39"/>
      <c r="J6841" s="103"/>
      <c r="K6841" s="39"/>
      <c r="L6841" s="10"/>
      <c r="M6841" s="19"/>
      <c r="N6841" s="10"/>
    </row>
    <row r="6842" spans="7:14" x14ac:dyDescent="0.75">
      <c r="G6842" s="10"/>
      <c r="H6842" s="10"/>
      <c r="I6842" s="39"/>
      <c r="J6842" s="103"/>
      <c r="K6842" s="39"/>
      <c r="L6842" s="10"/>
      <c r="M6842" s="19"/>
      <c r="N6842" s="10"/>
    </row>
    <row r="6843" spans="7:14" x14ac:dyDescent="0.75">
      <c r="G6843" s="10"/>
      <c r="H6843" s="10"/>
      <c r="I6843" s="39"/>
      <c r="J6843" s="103"/>
      <c r="K6843" s="39"/>
      <c r="L6843" s="10"/>
      <c r="M6843" s="19"/>
      <c r="N6843" s="10"/>
    </row>
    <row r="6844" spans="7:14" x14ac:dyDescent="0.75">
      <c r="G6844" s="10"/>
      <c r="H6844" s="10"/>
      <c r="I6844" s="39"/>
      <c r="J6844" s="103"/>
      <c r="K6844" s="39"/>
      <c r="L6844" s="10"/>
      <c r="M6844" s="19"/>
      <c r="N6844" s="10"/>
    </row>
    <row r="6845" spans="7:14" x14ac:dyDescent="0.75">
      <c r="G6845" s="10"/>
      <c r="H6845" s="10"/>
      <c r="I6845" s="39"/>
      <c r="J6845" s="103"/>
      <c r="K6845" s="39"/>
      <c r="L6845" s="10"/>
      <c r="M6845" s="19"/>
      <c r="N6845" s="10"/>
    </row>
    <row r="6846" spans="7:14" x14ac:dyDescent="0.75">
      <c r="G6846" s="10"/>
      <c r="H6846" s="10"/>
      <c r="I6846" s="39"/>
      <c r="J6846" s="103"/>
      <c r="K6846" s="39"/>
      <c r="L6846" s="10"/>
      <c r="M6846" s="19"/>
      <c r="N6846" s="10"/>
    </row>
    <row r="6847" spans="7:14" x14ac:dyDescent="0.75">
      <c r="G6847" s="10"/>
      <c r="H6847" s="10"/>
      <c r="I6847" s="39"/>
      <c r="J6847" s="103"/>
      <c r="K6847" s="39"/>
      <c r="L6847" s="10"/>
      <c r="M6847" s="19"/>
      <c r="N6847" s="10"/>
    </row>
    <row r="6848" spans="7:14" x14ac:dyDescent="0.75">
      <c r="G6848" s="10"/>
      <c r="H6848" s="10"/>
      <c r="I6848" s="39"/>
      <c r="J6848" s="103"/>
      <c r="K6848" s="39"/>
      <c r="L6848" s="10"/>
      <c r="M6848" s="19"/>
      <c r="N6848" s="10"/>
    </row>
    <row r="6849" spans="7:14" x14ac:dyDescent="0.75">
      <c r="G6849" s="10"/>
      <c r="H6849" s="10"/>
      <c r="I6849" s="39"/>
      <c r="J6849" s="103"/>
      <c r="K6849" s="39"/>
      <c r="L6849" s="10"/>
      <c r="M6849" s="19"/>
      <c r="N6849" s="10"/>
    </row>
    <row r="6850" spans="7:14" x14ac:dyDescent="0.75">
      <c r="G6850" s="10"/>
      <c r="H6850" s="10"/>
      <c r="I6850" s="39"/>
      <c r="J6850" s="103"/>
      <c r="K6850" s="39"/>
      <c r="L6850" s="10"/>
      <c r="M6850" s="19"/>
      <c r="N6850" s="10"/>
    </row>
    <row r="6851" spans="7:14" x14ac:dyDescent="0.75">
      <c r="G6851" s="10"/>
      <c r="H6851" s="10"/>
      <c r="I6851" s="39"/>
      <c r="J6851" s="103"/>
      <c r="K6851" s="39"/>
      <c r="L6851" s="10"/>
      <c r="M6851" s="19"/>
      <c r="N6851" s="10"/>
    </row>
    <row r="6852" spans="7:14" x14ac:dyDescent="0.75">
      <c r="G6852" s="10"/>
      <c r="H6852" s="10"/>
      <c r="I6852" s="39"/>
      <c r="J6852" s="103"/>
      <c r="K6852" s="39"/>
      <c r="L6852" s="10"/>
      <c r="M6852" s="19"/>
      <c r="N6852" s="10"/>
    </row>
    <row r="6853" spans="7:14" x14ac:dyDescent="0.75">
      <c r="G6853" s="10"/>
      <c r="H6853" s="10"/>
      <c r="I6853" s="39"/>
      <c r="J6853" s="103"/>
      <c r="K6853" s="39"/>
      <c r="L6853" s="10"/>
      <c r="M6853" s="19"/>
      <c r="N6853" s="10"/>
    </row>
    <row r="6854" spans="7:14" x14ac:dyDescent="0.75">
      <c r="G6854" s="10"/>
      <c r="H6854" s="10"/>
      <c r="I6854" s="39"/>
      <c r="J6854" s="103"/>
      <c r="K6854" s="39"/>
      <c r="L6854" s="10"/>
      <c r="M6854" s="19"/>
      <c r="N6854" s="10"/>
    </row>
    <row r="6855" spans="7:14" x14ac:dyDescent="0.75">
      <c r="G6855" s="10"/>
      <c r="H6855" s="10"/>
      <c r="I6855" s="39"/>
      <c r="J6855" s="103"/>
      <c r="K6855" s="39"/>
      <c r="L6855" s="10"/>
      <c r="M6855" s="19"/>
      <c r="N6855" s="10"/>
    </row>
    <row r="6856" spans="7:14" x14ac:dyDescent="0.75">
      <c r="G6856" s="10"/>
      <c r="H6856" s="10"/>
      <c r="I6856" s="39"/>
      <c r="J6856" s="103"/>
      <c r="K6856" s="39"/>
      <c r="L6856" s="10"/>
      <c r="M6856" s="19"/>
      <c r="N6856" s="10"/>
    </row>
    <row r="6857" spans="7:14" x14ac:dyDescent="0.75">
      <c r="G6857" s="10"/>
      <c r="H6857" s="10"/>
      <c r="I6857" s="39"/>
      <c r="J6857" s="103"/>
      <c r="K6857" s="39"/>
      <c r="L6857" s="10"/>
      <c r="M6857" s="19"/>
      <c r="N6857" s="10"/>
    </row>
    <row r="6858" spans="7:14" x14ac:dyDescent="0.75">
      <c r="G6858" s="10"/>
      <c r="H6858" s="10"/>
      <c r="I6858" s="39"/>
      <c r="J6858" s="103"/>
      <c r="K6858" s="39"/>
      <c r="L6858" s="10"/>
      <c r="M6858" s="19"/>
      <c r="N6858" s="10"/>
    </row>
    <row r="6859" spans="7:14" x14ac:dyDescent="0.75">
      <c r="G6859" s="10"/>
      <c r="H6859" s="10"/>
      <c r="I6859" s="39"/>
      <c r="J6859" s="103"/>
      <c r="K6859" s="39"/>
      <c r="L6859" s="10"/>
      <c r="M6859" s="19"/>
      <c r="N6859" s="10"/>
    </row>
    <row r="6860" spans="7:14" x14ac:dyDescent="0.75">
      <c r="G6860" s="10"/>
      <c r="H6860" s="10"/>
      <c r="I6860" s="39"/>
      <c r="J6860" s="103"/>
      <c r="K6860" s="39"/>
      <c r="L6860" s="10"/>
      <c r="M6860" s="19"/>
      <c r="N6860" s="10"/>
    </row>
    <row r="6861" spans="7:14" x14ac:dyDescent="0.75">
      <c r="G6861" s="10"/>
      <c r="H6861" s="10"/>
      <c r="I6861" s="39"/>
      <c r="J6861" s="103"/>
      <c r="K6861" s="39"/>
      <c r="L6861" s="10"/>
      <c r="M6861" s="19"/>
      <c r="N6861" s="10"/>
    </row>
    <row r="6862" spans="7:14" x14ac:dyDescent="0.75">
      <c r="G6862" s="10"/>
      <c r="H6862" s="10"/>
      <c r="I6862" s="39"/>
      <c r="J6862" s="103"/>
      <c r="K6862" s="39"/>
      <c r="L6862" s="10"/>
      <c r="M6862" s="19"/>
      <c r="N6862" s="10"/>
    </row>
    <row r="6863" spans="7:14" x14ac:dyDescent="0.75">
      <c r="G6863" s="10"/>
      <c r="H6863" s="10"/>
      <c r="I6863" s="39"/>
      <c r="J6863" s="103"/>
      <c r="K6863" s="39"/>
      <c r="L6863" s="10"/>
      <c r="M6863" s="19"/>
      <c r="N6863" s="10"/>
    </row>
    <row r="6864" spans="7:14" x14ac:dyDescent="0.75">
      <c r="G6864" s="10"/>
      <c r="H6864" s="10"/>
      <c r="I6864" s="39"/>
      <c r="J6864" s="103"/>
      <c r="K6864" s="39"/>
      <c r="L6864" s="10"/>
      <c r="M6864" s="19"/>
      <c r="N6864" s="10"/>
    </row>
    <row r="6865" spans="7:14" x14ac:dyDescent="0.75">
      <c r="G6865" s="10"/>
      <c r="H6865" s="10"/>
      <c r="I6865" s="39"/>
      <c r="J6865" s="103"/>
      <c r="K6865" s="39"/>
      <c r="L6865" s="10"/>
      <c r="M6865" s="19"/>
      <c r="N6865" s="10"/>
    </row>
    <row r="6866" spans="7:14" x14ac:dyDescent="0.75">
      <c r="G6866" s="10"/>
      <c r="H6866" s="10"/>
      <c r="I6866" s="39"/>
      <c r="J6866" s="103"/>
      <c r="K6866" s="39"/>
      <c r="L6866" s="10"/>
      <c r="M6866" s="19"/>
      <c r="N6866" s="10"/>
    </row>
    <row r="6867" spans="7:14" x14ac:dyDescent="0.75">
      <c r="G6867" s="10"/>
      <c r="H6867" s="10"/>
      <c r="I6867" s="39"/>
      <c r="J6867" s="103"/>
      <c r="K6867" s="39"/>
      <c r="L6867" s="10"/>
      <c r="M6867" s="19"/>
      <c r="N6867" s="10"/>
    </row>
    <row r="6868" spans="7:14" x14ac:dyDescent="0.75">
      <c r="G6868" s="10"/>
      <c r="H6868" s="10"/>
      <c r="I6868" s="39"/>
      <c r="J6868" s="103"/>
      <c r="K6868" s="39"/>
      <c r="L6868" s="10"/>
      <c r="M6868" s="19"/>
      <c r="N6868" s="10"/>
    </row>
    <row r="6869" spans="7:14" x14ac:dyDescent="0.75">
      <c r="G6869" s="10"/>
      <c r="H6869" s="10"/>
      <c r="I6869" s="39"/>
      <c r="J6869" s="103"/>
      <c r="K6869" s="39"/>
      <c r="L6869" s="10"/>
      <c r="M6869" s="19"/>
      <c r="N6869" s="10"/>
    </row>
    <row r="6870" spans="7:14" x14ac:dyDescent="0.75">
      <c r="G6870" s="10"/>
      <c r="H6870" s="10"/>
      <c r="I6870" s="39"/>
      <c r="J6870" s="103"/>
      <c r="K6870" s="39"/>
      <c r="L6870" s="10"/>
      <c r="M6870" s="19"/>
      <c r="N6870" s="10"/>
    </row>
    <row r="6871" spans="7:14" x14ac:dyDescent="0.75">
      <c r="G6871" s="10"/>
      <c r="H6871" s="10"/>
      <c r="I6871" s="39"/>
      <c r="J6871" s="103"/>
      <c r="K6871" s="39"/>
      <c r="L6871" s="10"/>
      <c r="M6871" s="19"/>
      <c r="N6871" s="10"/>
    </row>
    <row r="6872" spans="7:14" x14ac:dyDescent="0.75">
      <c r="G6872" s="10"/>
      <c r="H6872" s="10"/>
      <c r="I6872" s="39"/>
      <c r="J6872" s="103"/>
      <c r="K6872" s="39"/>
      <c r="L6872" s="10"/>
      <c r="M6872" s="19"/>
      <c r="N6872" s="10"/>
    </row>
    <row r="6873" spans="7:14" x14ac:dyDescent="0.75">
      <c r="G6873" s="10"/>
      <c r="H6873" s="10"/>
      <c r="I6873" s="39"/>
      <c r="J6873" s="103"/>
      <c r="K6873" s="39"/>
      <c r="L6873" s="10"/>
      <c r="M6873" s="19"/>
      <c r="N6873" s="10"/>
    </row>
    <row r="6874" spans="7:14" x14ac:dyDescent="0.75">
      <c r="G6874" s="10"/>
      <c r="H6874" s="10"/>
      <c r="I6874" s="39"/>
      <c r="J6874" s="103"/>
      <c r="K6874" s="39"/>
      <c r="L6874" s="10"/>
      <c r="M6874" s="19"/>
      <c r="N6874" s="10"/>
    </row>
    <row r="6875" spans="7:14" x14ac:dyDescent="0.75">
      <c r="G6875" s="10"/>
      <c r="H6875" s="10"/>
      <c r="I6875" s="39"/>
      <c r="J6875" s="103"/>
      <c r="K6875" s="39"/>
      <c r="L6875" s="10"/>
      <c r="M6875" s="19"/>
      <c r="N6875" s="10"/>
    </row>
    <row r="6876" spans="7:14" x14ac:dyDescent="0.75">
      <c r="G6876" s="10"/>
      <c r="H6876" s="10"/>
      <c r="I6876" s="39"/>
      <c r="J6876" s="103"/>
      <c r="K6876" s="39"/>
      <c r="L6876" s="10"/>
      <c r="M6876" s="19"/>
      <c r="N6876" s="10"/>
    </row>
    <row r="6877" spans="7:14" x14ac:dyDescent="0.75">
      <c r="G6877" s="10"/>
      <c r="H6877" s="10"/>
      <c r="I6877" s="39"/>
      <c r="J6877" s="103"/>
      <c r="K6877" s="39"/>
      <c r="L6877" s="10"/>
      <c r="M6877" s="19"/>
      <c r="N6877" s="10"/>
    </row>
    <row r="6878" spans="7:14" x14ac:dyDescent="0.75">
      <c r="G6878" s="10"/>
      <c r="H6878" s="10"/>
      <c r="I6878" s="39"/>
      <c r="J6878" s="103"/>
      <c r="K6878" s="39"/>
      <c r="L6878" s="10"/>
      <c r="M6878" s="19"/>
      <c r="N6878" s="10"/>
    </row>
    <row r="6879" spans="7:14" x14ac:dyDescent="0.75">
      <c r="G6879" s="10"/>
      <c r="H6879" s="10"/>
      <c r="I6879" s="39"/>
      <c r="J6879" s="103"/>
      <c r="K6879" s="39"/>
      <c r="L6879" s="10"/>
      <c r="M6879" s="19"/>
      <c r="N6879" s="10"/>
    </row>
    <row r="6880" spans="7:14" x14ac:dyDescent="0.75">
      <c r="G6880" s="10"/>
      <c r="H6880" s="10"/>
      <c r="I6880" s="39"/>
      <c r="J6880" s="103"/>
      <c r="K6880" s="39"/>
      <c r="L6880" s="10"/>
      <c r="M6880" s="19"/>
      <c r="N6880" s="10"/>
    </row>
    <row r="6881" spans="7:14" x14ac:dyDescent="0.75">
      <c r="G6881" s="10"/>
      <c r="H6881" s="10"/>
      <c r="I6881" s="39"/>
      <c r="J6881" s="103"/>
      <c r="K6881" s="39"/>
      <c r="L6881" s="10"/>
      <c r="M6881" s="19"/>
      <c r="N6881" s="10"/>
    </row>
    <row r="6882" spans="7:14" x14ac:dyDescent="0.75">
      <c r="G6882" s="10"/>
      <c r="H6882" s="10"/>
      <c r="I6882" s="39"/>
      <c r="J6882" s="103"/>
      <c r="K6882" s="39"/>
      <c r="L6882" s="10"/>
      <c r="M6882" s="19"/>
      <c r="N6882" s="10"/>
    </row>
    <row r="6883" spans="7:14" x14ac:dyDescent="0.75">
      <c r="G6883" s="10"/>
      <c r="H6883" s="10"/>
      <c r="I6883" s="39"/>
      <c r="J6883" s="103"/>
      <c r="K6883" s="39"/>
      <c r="L6883" s="10"/>
      <c r="M6883" s="19"/>
      <c r="N6883" s="10"/>
    </row>
    <row r="6884" spans="7:14" x14ac:dyDescent="0.75">
      <c r="G6884" s="10"/>
      <c r="H6884" s="10"/>
      <c r="I6884" s="39"/>
      <c r="J6884" s="103"/>
      <c r="K6884" s="39"/>
      <c r="L6884" s="10"/>
      <c r="M6884" s="19"/>
      <c r="N6884" s="10"/>
    </row>
    <row r="6885" spans="7:14" x14ac:dyDescent="0.75">
      <c r="G6885" s="10"/>
      <c r="H6885" s="10"/>
      <c r="I6885" s="39"/>
      <c r="J6885" s="103"/>
      <c r="K6885" s="39"/>
      <c r="L6885" s="10"/>
      <c r="M6885" s="19"/>
      <c r="N6885" s="10"/>
    </row>
    <row r="6886" spans="7:14" x14ac:dyDescent="0.75">
      <c r="G6886" s="10"/>
      <c r="H6886" s="10"/>
      <c r="I6886" s="39"/>
      <c r="J6886" s="103"/>
      <c r="K6886" s="39"/>
      <c r="L6886" s="10"/>
      <c r="M6886" s="19"/>
      <c r="N6886" s="10"/>
    </row>
    <row r="6887" spans="7:14" x14ac:dyDescent="0.75">
      <c r="G6887" s="10"/>
      <c r="H6887" s="10"/>
      <c r="I6887" s="39"/>
      <c r="J6887" s="103"/>
      <c r="K6887" s="39"/>
      <c r="L6887" s="10"/>
      <c r="M6887" s="19"/>
      <c r="N6887" s="10"/>
    </row>
    <row r="6888" spans="7:14" x14ac:dyDescent="0.75">
      <c r="G6888" s="10"/>
      <c r="H6888" s="10"/>
      <c r="I6888" s="39"/>
      <c r="J6888" s="103"/>
      <c r="K6888" s="39"/>
      <c r="L6888" s="10"/>
      <c r="M6888" s="19"/>
      <c r="N6888" s="10"/>
    </row>
    <row r="6889" spans="7:14" x14ac:dyDescent="0.75">
      <c r="G6889" s="10"/>
      <c r="H6889" s="10"/>
      <c r="I6889" s="39"/>
      <c r="J6889" s="103"/>
      <c r="K6889" s="39"/>
      <c r="L6889" s="10"/>
      <c r="M6889" s="19"/>
      <c r="N6889" s="10"/>
    </row>
    <row r="6890" spans="7:14" x14ac:dyDescent="0.75">
      <c r="G6890" s="10"/>
      <c r="H6890" s="10"/>
      <c r="I6890" s="39"/>
      <c r="J6890" s="103"/>
      <c r="K6890" s="39"/>
      <c r="L6890" s="10"/>
      <c r="M6890" s="19"/>
      <c r="N6890" s="10"/>
    </row>
    <row r="6891" spans="7:14" x14ac:dyDescent="0.75">
      <c r="G6891" s="10"/>
      <c r="H6891" s="10"/>
      <c r="I6891" s="39"/>
      <c r="J6891" s="103"/>
      <c r="K6891" s="39"/>
      <c r="L6891" s="10"/>
      <c r="M6891" s="19"/>
      <c r="N6891" s="10"/>
    </row>
    <row r="6892" spans="7:14" x14ac:dyDescent="0.75">
      <c r="G6892" s="10"/>
      <c r="H6892" s="10"/>
      <c r="I6892" s="39"/>
      <c r="J6892" s="103"/>
      <c r="K6892" s="39"/>
      <c r="L6892" s="10"/>
      <c r="M6892" s="19"/>
      <c r="N6892" s="10"/>
    </row>
    <row r="6893" spans="7:14" x14ac:dyDescent="0.75">
      <c r="G6893" s="10"/>
      <c r="H6893" s="10"/>
      <c r="I6893" s="39"/>
      <c r="J6893" s="103"/>
      <c r="K6893" s="39"/>
      <c r="L6893" s="10"/>
      <c r="M6893" s="19"/>
      <c r="N6893" s="10"/>
    </row>
    <row r="6894" spans="7:14" x14ac:dyDescent="0.75">
      <c r="G6894" s="10"/>
      <c r="H6894" s="10"/>
      <c r="I6894" s="39"/>
      <c r="J6894" s="103"/>
      <c r="K6894" s="39"/>
      <c r="L6894" s="10"/>
      <c r="M6894" s="19"/>
      <c r="N6894" s="10"/>
    </row>
    <row r="6895" spans="7:14" x14ac:dyDescent="0.75">
      <c r="G6895" s="10"/>
      <c r="H6895" s="10"/>
      <c r="I6895" s="39"/>
      <c r="J6895" s="103"/>
      <c r="K6895" s="39"/>
      <c r="L6895" s="10"/>
      <c r="M6895" s="19"/>
      <c r="N6895" s="10"/>
    </row>
    <row r="6896" spans="7:14" x14ac:dyDescent="0.75">
      <c r="G6896" s="10"/>
      <c r="H6896" s="10"/>
      <c r="I6896" s="39"/>
      <c r="J6896" s="103"/>
      <c r="K6896" s="39"/>
      <c r="L6896" s="10"/>
      <c r="M6896" s="19"/>
      <c r="N6896" s="10"/>
    </row>
    <row r="6897" spans="7:14" x14ac:dyDescent="0.75">
      <c r="G6897" s="10"/>
      <c r="H6897" s="10"/>
      <c r="I6897" s="39"/>
      <c r="J6897" s="103"/>
      <c r="K6897" s="39"/>
      <c r="L6897" s="10"/>
      <c r="M6897" s="19"/>
      <c r="N6897" s="10"/>
    </row>
    <row r="6898" spans="7:14" x14ac:dyDescent="0.75">
      <c r="G6898" s="10"/>
      <c r="H6898" s="10"/>
      <c r="I6898" s="39"/>
      <c r="J6898" s="103"/>
      <c r="K6898" s="39"/>
      <c r="L6898" s="10"/>
      <c r="M6898" s="19"/>
      <c r="N6898" s="10"/>
    </row>
    <row r="6899" spans="7:14" x14ac:dyDescent="0.75">
      <c r="G6899" s="10"/>
      <c r="H6899" s="10"/>
      <c r="I6899" s="39"/>
      <c r="J6899" s="103"/>
      <c r="K6899" s="39"/>
      <c r="L6899" s="10"/>
      <c r="M6899" s="19"/>
      <c r="N6899" s="10"/>
    </row>
    <row r="6900" spans="7:14" x14ac:dyDescent="0.75">
      <c r="G6900" s="10"/>
      <c r="H6900" s="10"/>
      <c r="I6900" s="39"/>
      <c r="J6900" s="103"/>
      <c r="K6900" s="39"/>
      <c r="L6900" s="10"/>
      <c r="M6900" s="19"/>
      <c r="N6900" s="10"/>
    </row>
    <row r="6901" spans="7:14" x14ac:dyDescent="0.75">
      <c r="G6901" s="10"/>
      <c r="H6901" s="10"/>
      <c r="I6901" s="39"/>
      <c r="J6901" s="103"/>
      <c r="K6901" s="39"/>
      <c r="L6901" s="10"/>
      <c r="M6901" s="19"/>
      <c r="N6901" s="10"/>
    </row>
    <row r="6902" spans="7:14" x14ac:dyDescent="0.75">
      <c r="G6902" s="10"/>
      <c r="H6902" s="10"/>
      <c r="I6902" s="39"/>
      <c r="J6902" s="103"/>
      <c r="K6902" s="39"/>
      <c r="L6902" s="10"/>
      <c r="M6902" s="19"/>
      <c r="N6902" s="10"/>
    </row>
    <row r="6903" spans="7:14" x14ac:dyDescent="0.75">
      <c r="G6903" s="10"/>
      <c r="H6903" s="10"/>
      <c r="I6903" s="39"/>
      <c r="J6903" s="103"/>
      <c r="K6903" s="39"/>
      <c r="L6903" s="10"/>
      <c r="M6903" s="19"/>
      <c r="N6903" s="10"/>
    </row>
    <row r="6904" spans="7:14" x14ac:dyDescent="0.75">
      <c r="G6904" s="10"/>
      <c r="H6904" s="10"/>
      <c r="I6904" s="39"/>
      <c r="J6904" s="103"/>
      <c r="K6904" s="39"/>
      <c r="L6904" s="10"/>
      <c r="M6904" s="19"/>
      <c r="N6904" s="10"/>
    </row>
    <row r="6905" spans="7:14" x14ac:dyDescent="0.75">
      <c r="G6905" s="10"/>
      <c r="H6905" s="10"/>
      <c r="I6905" s="39"/>
      <c r="J6905" s="103"/>
      <c r="K6905" s="39"/>
      <c r="L6905" s="10"/>
      <c r="M6905" s="19"/>
      <c r="N6905" s="10"/>
    </row>
    <row r="6906" spans="7:14" x14ac:dyDescent="0.75">
      <c r="G6906" s="10"/>
      <c r="H6906" s="10"/>
      <c r="I6906" s="39"/>
      <c r="J6906" s="103"/>
      <c r="K6906" s="39"/>
      <c r="L6906" s="10"/>
      <c r="M6906" s="19"/>
      <c r="N6906" s="10"/>
    </row>
    <row r="6907" spans="7:14" x14ac:dyDescent="0.75">
      <c r="G6907" s="10"/>
      <c r="H6907" s="10"/>
      <c r="I6907" s="39"/>
      <c r="J6907" s="103"/>
      <c r="K6907" s="39"/>
      <c r="L6907" s="10"/>
      <c r="M6907" s="19"/>
      <c r="N6907" s="10"/>
    </row>
    <row r="6908" spans="7:14" x14ac:dyDescent="0.75">
      <c r="G6908" s="10"/>
      <c r="H6908" s="10"/>
      <c r="I6908" s="39"/>
      <c r="J6908" s="103"/>
      <c r="K6908" s="39"/>
      <c r="L6908" s="10"/>
      <c r="M6908" s="19"/>
      <c r="N6908" s="10"/>
    </row>
    <row r="6909" spans="7:14" x14ac:dyDescent="0.75">
      <c r="G6909" s="10"/>
      <c r="H6909" s="10"/>
      <c r="I6909" s="39"/>
      <c r="J6909" s="103"/>
      <c r="K6909" s="39"/>
      <c r="L6909" s="10"/>
      <c r="M6909" s="19"/>
      <c r="N6909" s="10"/>
    </row>
    <row r="6910" spans="7:14" x14ac:dyDescent="0.75">
      <c r="G6910" s="10"/>
      <c r="H6910" s="10"/>
      <c r="I6910" s="39"/>
      <c r="J6910" s="103"/>
      <c r="K6910" s="39"/>
      <c r="L6910" s="10"/>
      <c r="M6910" s="19"/>
      <c r="N6910" s="10"/>
    </row>
    <row r="6911" spans="7:14" x14ac:dyDescent="0.75">
      <c r="G6911" s="10"/>
      <c r="H6911" s="10"/>
      <c r="I6911" s="39"/>
      <c r="J6911" s="103"/>
      <c r="K6911" s="39"/>
      <c r="L6911" s="10"/>
      <c r="M6911" s="19"/>
      <c r="N6911" s="10"/>
    </row>
    <row r="6912" spans="7:14" x14ac:dyDescent="0.75">
      <c r="G6912" s="10"/>
      <c r="H6912" s="10"/>
      <c r="I6912" s="39"/>
      <c r="J6912" s="103"/>
      <c r="K6912" s="39"/>
      <c r="L6912" s="10"/>
      <c r="M6912" s="19"/>
      <c r="N6912" s="10"/>
    </row>
    <row r="6913" spans="7:14" x14ac:dyDescent="0.75">
      <c r="G6913" s="10"/>
      <c r="H6913" s="10"/>
      <c r="I6913" s="39"/>
      <c r="J6913" s="103"/>
      <c r="K6913" s="39"/>
      <c r="L6913" s="10"/>
      <c r="M6913" s="19"/>
      <c r="N6913" s="10"/>
    </row>
    <row r="6914" spans="7:14" x14ac:dyDescent="0.75">
      <c r="G6914" s="10"/>
      <c r="H6914" s="10"/>
      <c r="I6914" s="39"/>
      <c r="J6914" s="103"/>
      <c r="K6914" s="39"/>
      <c r="L6914" s="10"/>
      <c r="M6914" s="19"/>
      <c r="N6914" s="10"/>
    </row>
    <row r="6915" spans="7:14" x14ac:dyDescent="0.75">
      <c r="G6915" s="10"/>
      <c r="H6915" s="10"/>
      <c r="I6915" s="39"/>
      <c r="J6915" s="103"/>
      <c r="K6915" s="39"/>
      <c r="L6915" s="10"/>
      <c r="M6915" s="19"/>
      <c r="N6915" s="10"/>
    </row>
    <row r="6916" spans="7:14" x14ac:dyDescent="0.75">
      <c r="G6916" s="10"/>
      <c r="H6916" s="10"/>
      <c r="I6916" s="39"/>
      <c r="J6916" s="103"/>
      <c r="K6916" s="39"/>
      <c r="L6916" s="10"/>
      <c r="M6916" s="19"/>
      <c r="N6916" s="10"/>
    </row>
    <row r="6917" spans="7:14" x14ac:dyDescent="0.75">
      <c r="G6917" s="10"/>
      <c r="H6917" s="10"/>
      <c r="I6917" s="39"/>
      <c r="J6917" s="103"/>
      <c r="K6917" s="39"/>
      <c r="L6917" s="10"/>
      <c r="M6917" s="19"/>
      <c r="N6917" s="10"/>
    </row>
    <row r="6918" spans="7:14" x14ac:dyDescent="0.75">
      <c r="G6918" s="10"/>
      <c r="H6918" s="10"/>
      <c r="I6918" s="39"/>
      <c r="J6918" s="103"/>
      <c r="K6918" s="39"/>
      <c r="L6918" s="10"/>
      <c r="M6918" s="19"/>
      <c r="N6918" s="10"/>
    </row>
    <row r="6919" spans="7:14" x14ac:dyDescent="0.75">
      <c r="G6919" s="10"/>
      <c r="H6919" s="10"/>
      <c r="I6919" s="39"/>
      <c r="J6919" s="103"/>
      <c r="K6919" s="39"/>
      <c r="L6919" s="10"/>
      <c r="M6919" s="19"/>
      <c r="N6919" s="10"/>
    </row>
    <row r="6920" spans="7:14" x14ac:dyDescent="0.75">
      <c r="G6920" s="10"/>
      <c r="H6920" s="10"/>
      <c r="I6920" s="39"/>
      <c r="J6920" s="103"/>
      <c r="K6920" s="39"/>
      <c r="L6920" s="10"/>
      <c r="M6920" s="19"/>
      <c r="N6920" s="10"/>
    </row>
    <row r="6921" spans="7:14" x14ac:dyDescent="0.75">
      <c r="G6921" s="10"/>
      <c r="H6921" s="10"/>
      <c r="I6921" s="39"/>
      <c r="J6921" s="103"/>
      <c r="K6921" s="39"/>
      <c r="L6921" s="10"/>
      <c r="M6921" s="19"/>
      <c r="N6921" s="10"/>
    </row>
    <row r="6922" spans="7:14" x14ac:dyDescent="0.75">
      <c r="G6922" s="10"/>
      <c r="H6922" s="10"/>
      <c r="I6922" s="39"/>
      <c r="J6922" s="103"/>
      <c r="K6922" s="39"/>
      <c r="L6922" s="10"/>
      <c r="M6922" s="19"/>
      <c r="N6922" s="10"/>
    </row>
    <row r="6923" spans="7:14" x14ac:dyDescent="0.75">
      <c r="G6923" s="10"/>
      <c r="H6923" s="10"/>
      <c r="I6923" s="39"/>
      <c r="J6923" s="103"/>
      <c r="K6923" s="39"/>
      <c r="L6923" s="10"/>
      <c r="M6923" s="19"/>
      <c r="N6923" s="10"/>
    </row>
    <row r="6924" spans="7:14" x14ac:dyDescent="0.75">
      <c r="G6924" s="10"/>
      <c r="H6924" s="10"/>
      <c r="I6924" s="39"/>
      <c r="J6924" s="103"/>
      <c r="K6924" s="39"/>
      <c r="L6924" s="10"/>
      <c r="M6924" s="19"/>
      <c r="N6924" s="10"/>
    </row>
    <row r="6925" spans="7:14" x14ac:dyDescent="0.75">
      <c r="G6925" s="10"/>
      <c r="H6925" s="10"/>
      <c r="I6925" s="39"/>
      <c r="J6925" s="103"/>
      <c r="K6925" s="39"/>
      <c r="L6925" s="10"/>
      <c r="M6925" s="19"/>
      <c r="N6925" s="10"/>
    </row>
    <row r="6926" spans="7:14" x14ac:dyDescent="0.75">
      <c r="G6926" s="10"/>
      <c r="H6926" s="10"/>
      <c r="I6926" s="39"/>
      <c r="J6926" s="103"/>
      <c r="K6926" s="39"/>
      <c r="L6926" s="10"/>
      <c r="M6926" s="19"/>
      <c r="N6926" s="10"/>
    </row>
    <row r="6927" spans="7:14" x14ac:dyDescent="0.75">
      <c r="G6927" s="10"/>
      <c r="H6927" s="10"/>
      <c r="I6927" s="39"/>
      <c r="J6927" s="103"/>
      <c r="K6927" s="39"/>
      <c r="L6927" s="10"/>
      <c r="M6927" s="19"/>
      <c r="N6927" s="10"/>
    </row>
    <row r="6928" spans="7:14" x14ac:dyDescent="0.75">
      <c r="G6928" s="10"/>
      <c r="H6928" s="10"/>
      <c r="I6928" s="39"/>
      <c r="J6928" s="103"/>
      <c r="K6928" s="39"/>
      <c r="L6928" s="10"/>
      <c r="M6928" s="19"/>
      <c r="N6928" s="10"/>
    </row>
    <row r="6929" spans="7:14" x14ac:dyDescent="0.75">
      <c r="G6929" s="10"/>
      <c r="H6929" s="10"/>
      <c r="I6929" s="39"/>
      <c r="J6929" s="103"/>
      <c r="K6929" s="39"/>
      <c r="L6929" s="10"/>
      <c r="M6929" s="19"/>
      <c r="N6929" s="10"/>
    </row>
    <row r="6930" spans="7:14" x14ac:dyDescent="0.75">
      <c r="G6930" s="10"/>
      <c r="H6930" s="10"/>
      <c r="I6930" s="39"/>
      <c r="J6930" s="103"/>
      <c r="K6930" s="39"/>
      <c r="L6930" s="10"/>
      <c r="M6930" s="19"/>
      <c r="N6930" s="10"/>
    </row>
    <row r="6931" spans="7:14" x14ac:dyDescent="0.75">
      <c r="G6931" s="10"/>
      <c r="H6931" s="10"/>
      <c r="I6931" s="39"/>
      <c r="J6931" s="103"/>
      <c r="K6931" s="39"/>
      <c r="L6931" s="10"/>
      <c r="M6931" s="19"/>
      <c r="N6931" s="10"/>
    </row>
    <row r="6932" spans="7:14" x14ac:dyDescent="0.75">
      <c r="G6932" s="10"/>
      <c r="H6932" s="10"/>
      <c r="I6932" s="39"/>
      <c r="J6932" s="103"/>
      <c r="K6932" s="39"/>
      <c r="L6932" s="10"/>
      <c r="M6932" s="19"/>
      <c r="N6932" s="10"/>
    </row>
    <row r="6933" spans="7:14" x14ac:dyDescent="0.75">
      <c r="G6933" s="10"/>
      <c r="H6933" s="10"/>
      <c r="I6933" s="39"/>
      <c r="J6933" s="103"/>
      <c r="K6933" s="39"/>
      <c r="L6933" s="10"/>
      <c r="M6933" s="19"/>
      <c r="N6933" s="10"/>
    </row>
    <row r="6934" spans="7:14" x14ac:dyDescent="0.75">
      <c r="G6934" s="10"/>
      <c r="H6934" s="10"/>
      <c r="I6934" s="39"/>
      <c r="J6934" s="103"/>
      <c r="K6934" s="39"/>
      <c r="L6934" s="10"/>
      <c r="M6934" s="19"/>
      <c r="N6934" s="10"/>
    </row>
    <row r="6935" spans="7:14" x14ac:dyDescent="0.75">
      <c r="G6935" s="10"/>
      <c r="H6935" s="10"/>
      <c r="I6935" s="39"/>
      <c r="J6935" s="103"/>
      <c r="K6935" s="39"/>
      <c r="L6935" s="10"/>
      <c r="M6935" s="19"/>
      <c r="N6935" s="10"/>
    </row>
    <row r="6936" spans="7:14" x14ac:dyDescent="0.75">
      <c r="G6936" s="10"/>
      <c r="H6936" s="10"/>
      <c r="I6936" s="39"/>
      <c r="J6936" s="103"/>
      <c r="K6936" s="39"/>
      <c r="L6936" s="10"/>
      <c r="M6936" s="19"/>
      <c r="N6936" s="10"/>
    </row>
    <row r="6937" spans="7:14" x14ac:dyDescent="0.75">
      <c r="G6937" s="10"/>
      <c r="H6937" s="10"/>
      <c r="I6937" s="39"/>
      <c r="J6937" s="103"/>
      <c r="K6937" s="39"/>
      <c r="L6937" s="10"/>
      <c r="M6937" s="19"/>
      <c r="N6937" s="10"/>
    </row>
    <row r="6938" spans="7:14" x14ac:dyDescent="0.75">
      <c r="G6938" s="10"/>
      <c r="H6938" s="10"/>
      <c r="I6938" s="39"/>
      <c r="J6938" s="103"/>
      <c r="K6938" s="39"/>
      <c r="L6938" s="10"/>
      <c r="M6938" s="19"/>
      <c r="N6938" s="10"/>
    </row>
    <row r="6939" spans="7:14" x14ac:dyDescent="0.75">
      <c r="G6939" s="10"/>
      <c r="H6939" s="10"/>
      <c r="I6939" s="39"/>
      <c r="J6939" s="103"/>
      <c r="K6939" s="39"/>
      <c r="L6939" s="10"/>
      <c r="M6939" s="19"/>
      <c r="N6939" s="10"/>
    </row>
    <row r="6940" spans="7:14" x14ac:dyDescent="0.75">
      <c r="G6940" s="10"/>
      <c r="H6940" s="10"/>
      <c r="I6940" s="39"/>
      <c r="J6940" s="103"/>
      <c r="K6940" s="39"/>
      <c r="L6940" s="10"/>
      <c r="M6940" s="19"/>
      <c r="N6940" s="10"/>
    </row>
    <row r="6941" spans="7:14" x14ac:dyDescent="0.75">
      <c r="G6941" s="10"/>
      <c r="H6941" s="10"/>
      <c r="I6941" s="39"/>
      <c r="J6941" s="103"/>
      <c r="K6941" s="39"/>
      <c r="L6941" s="10"/>
      <c r="M6941" s="19"/>
      <c r="N6941" s="10"/>
    </row>
    <row r="6942" spans="7:14" x14ac:dyDescent="0.75">
      <c r="G6942" s="10"/>
      <c r="H6942" s="10"/>
      <c r="I6942" s="39"/>
      <c r="J6942" s="103"/>
      <c r="K6942" s="39"/>
      <c r="L6942" s="10"/>
      <c r="M6942" s="19"/>
      <c r="N6942" s="10"/>
    </row>
    <row r="6943" spans="7:14" x14ac:dyDescent="0.75">
      <c r="G6943" s="10"/>
      <c r="H6943" s="10"/>
      <c r="I6943" s="39"/>
      <c r="J6943" s="103"/>
      <c r="K6943" s="39"/>
      <c r="L6943" s="10"/>
      <c r="M6943" s="19"/>
      <c r="N6943" s="10"/>
    </row>
    <row r="6944" spans="7:14" x14ac:dyDescent="0.75">
      <c r="G6944" s="10"/>
      <c r="H6944" s="10"/>
      <c r="I6944" s="39"/>
      <c r="J6944" s="103"/>
      <c r="K6944" s="39"/>
      <c r="L6944" s="10"/>
      <c r="M6944" s="19"/>
      <c r="N6944" s="10"/>
    </row>
    <row r="6945" spans="7:14" x14ac:dyDescent="0.75">
      <c r="G6945" s="10"/>
      <c r="H6945" s="10"/>
      <c r="I6945" s="39"/>
      <c r="J6945" s="103"/>
      <c r="K6945" s="39"/>
      <c r="L6945" s="10"/>
      <c r="M6945" s="19"/>
      <c r="N6945" s="10"/>
    </row>
    <row r="6946" spans="7:14" x14ac:dyDescent="0.75">
      <c r="G6946" s="10"/>
      <c r="H6946" s="10"/>
      <c r="I6946" s="39"/>
      <c r="J6946" s="103"/>
      <c r="K6946" s="39"/>
      <c r="L6946" s="10"/>
      <c r="M6946" s="19"/>
      <c r="N6946" s="10"/>
    </row>
    <row r="6947" spans="7:14" x14ac:dyDescent="0.75">
      <c r="G6947" s="10"/>
      <c r="H6947" s="10"/>
      <c r="I6947" s="39"/>
      <c r="J6947" s="103"/>
      <c r="K6947" s="39"/>
      <c r="L6947" s="10"/>
      <c r="M6947" s="19"/>
      <c r="N6947" s="10"/>
    </row>
    <row r="6948" spans="7:14" x14ac:dyDescent="0.75">
      <c r="G6948" s="10"/>
      <c r="H6948" s="10"/>
      <c r="I6948" s="39"/>
      <c r="J6948" s="103"/>
      <c r="K6948" s="39"/>
      <c r="L6948" s="10"/>
      <c r="M6948" s="19"/>
      <c r="N6948" s="10"/>
    </row>
    <row r="6949" spans="7:14" x14ac:dyDescent="0.75">
      <c r="G6949" s="10"/>
      <c r="H6949" s="10"/>
      <c r="I6949" s="39"/>
      <c r="J6949" s="103"/>
      <c r="K6949" s="39"/>
      <c r="L6949" s="10"/>
      <c r="M6949" s="19"/>
      <c r="N6949" s="10"/>
    </row>
    <row r="6950" spans="7:14" x14ac:dyDescent="0.75">
      <c r="G6950" s="10"/>
      <c r="H6950" s="10"/>
      <c r="I6950" s="39"/>
      <c r="J6950" s="103"/>
      <c r="K6950" s="39"/>
      <c r="L6950" s="10"/>
      <c r="M6950" s="19"/>
      <c r="N6950" s="10"/>
    </row>
    <row r="6951" spans="7:14" x14ac:dyDescent="0.75">
      <c r="G6951" s="10"/>
      <c r="H6951" s="10"/>
      <c r="I6951" s="39"/>
      <c r="J6951" s="103"/>
      <c r="K6951" s="39"/>
      <c r="L6951" s="10"/>
      <c r="M6951" s="19"/>
      <c r="N6951" s="10"/>
    </row>
    <row r="6952" spans="7:14" x14ac:dyDescent="0.75">
      <c r="G6952" s="10"/>
      <c r="H6952" s="10"/>
      <c r="I6952" s="39"/>
      <c r="J6952" s="103"/>
      <c r="K6952" s="39"/>
      <c r="L6952" s="10"/>
      <c r="M6952" s="19"/>
      <c r="N6952" s="10"/>
    </row>
    <row r="6953" spans="7:14" x14ac:dyDescent="0.75">
      <c r="G6953" s="10"/>
      <c r="H6953" s="10"/>
      <c r="I6953" s="39"/>
      <c r="J6953" s="103"/>
      <c r="K6953" s="39"/>
      <c r="L6953" s="10"/>
      <c r="M6953" s="19"/>
      <c r="N6953" s="10"/>
    </row>
    <row r="6954" spans="7:14" x14ac:dyDescent="0.75">
      <c r="G6954" s="10"/>
      <c r="H6954" s="10"/>
      <c r="I6954" s="39"/>
      <c r="J6954" s="103"/>
      <c r="K6954" s="39"/>
      <c r="L6954" s="10"/>
      <c r="M6954" s="19"/>
      <c r="N6954" s="10"/>
    </row>
    <row r="6955" spans="7:14" x14ac:dyDescent="0.75">
      <c r="G6955" s="10"/>
      <c r="H6955" s="10"/>
      <c r="I6955" s="39"/>
      <c r="J6955" s="103"/>
      <c r="K6955" s="39"/>
      <c r="L6955" s="10"/>
      <c r="M6955" s="19"/>
      <c r="N6955" s="10"/>
    </row>
    <row r="6956" spans="7:14" x14ac:dyDescent="0.75">
      <c r="G6956" s="10"/>
      <c r="H6956" s="10"/>
      <c r="I6956" s="39"/>
      <c r="J6956" s="103"/>
      <c r="K6956" s="39"/>
      <c r="L6956" s="10"/>
      <c r="M6956" s="19"/>
      <c r="N6956" s="10"/>
    </row>
    <row r="6957" spans="7:14" x14ac:dyDescent="0.75">
      <c r="G6957" s="10"/>
      <c r="H6957" s="10"/>
      <c r="I6957" s="39"/>
      <c r="J6957" s="103"/>
      <c r="K6957" s="39"/>
      <c r="L6957" s="10"/>
      <c r="M6957" s="19"/>
      <c r="N6957" s="10"/>
    </row>
    <row r="6958" spans="7:14" x14ac:dyDescent="0.75">
      <c r="G6958" s="10"/>
      <c r="H6958" s="10"/>
      <c r="I6958" s="39"/>
      <c r="J6958" s="103"/>
      <c r="K6958" s="39"/>
      <c r="L6958" s="10"/>
      <c r="M6958" s="19"/>
      <c r="N6958" s="10"/>
    </row>
    <row r="6959" spans="7:14" x14ac:dyDescent="0.75">
      <c r="G6959" s="10"/>
      <c r="H6959" s="10"/>
      <c r="I6959" s="39"/>
      <c r="J6959" s="103"/>
      <c r="K6959" s="39"/>
      <c r="L6959" s="10"/>
      <c r="M6959" s="19"/>
      <c r="N6959" s="10"/>
    </row>
    <row r="6960" spans="7:14" x14ac:dyDescent="0.75">
      <c r="G6960" s="10"/>
      <c r="H6960" s="10"/>
      <c r="I6960" s="39"/>
      <c r="J6960" s="103"/>
      <c r="K6960" s="39"/>
      <c r="L6960" s="10"/>
      <c r="M6960" s="19"/>
      <c r="N6960" s="10"/>
    </row>
    <row r="6961" spans="7:14" x14ac:dyDescent="0.75">
      <c r="G6961" s="10"/>
      <c r="H6961" s="10"/>
      <c r="I6961" s="39"/>
      <c r="J6961" s="103"/>
      <c r="K6961" s="39"/>
      <c r="L6961" s="10"/>
      <c r="M6961" s="19"/>
      <c r="N6961" s="10"/>
    </row>
    <row r="6962" spans="7:14" x14ac:dyDescent="0.75">
      <c r="G6962" s="10"/>
      <c r="H6962" s="10"/>
      <c r="I6962" s="39"/>
      <c r="J6962" s="103"/>
      <c r="K6962" s="39"/>
      <c r="L6962" s="10"/>
      <c r="M6962" s="19"/>
      <c r="N6962" s="10"/>
    </row>
    <row r="6963" spans="7:14" x14ac:dyDescent="0.75">
      <c r="G6963" s="10"/>
      <c r="H6963" s="10"/>
      <c r="I6963" s="39"/>
      <c r="J6963" s="103"/>
      <c r="K6963" s="39"/>
      <c r="L6963" s="10"/>
      <c r="M6963" s="19"/>
      <c r="N6963" s="10"/>
    </row>
    <row r="6964" spans="7:14" x14ac:dyDescent="0.75">
      <c r="G6964" s="10"/>
      <c r="H6964" s="10"/>
      <c r="I6964" s="39"/>
      <c r="J6964" s="103"/>
      <c r="K6964" s="39"/>
      <c r="L6964" s="10"/>
      <c r="M6964" s="19"/>
      <c r="N6964" s="10"/>
    </row>
    <row r="6965" spans="7:14" x14ac:dyDescent="0.75">
      <c r="G6965" s="10"/>
      <c r="H6965" s="10"/>
      <c r="I6965" s="39"/>
      <c r="J6965" s="103"/>
      <c r="K6965" s="39"/>
      <c r="L6965" s="10"/>
      <c r="M6965" s="19"/>
      <c r="N6965" s="10"/>
    </row>
    <row r="6966" spans="7:14" x14ac:dyDescent="0.75">
      <c r="G6966" s="10"/>
      <c r="H6966" s="10"/>
      <c r="I6966" s="39"/>
      <c r="J6966" s="103"/>
      <c r="K6966" s="39"/>
      <c r="L6966" s="10"/>
      <c r="M6966" s="19"/>
      <c r="N6966" s="10"/>
    </row>
    <row r="6967" spans="7:14" x14ac:dyDescent="0.75">
      <c r="G6967" s="10"/>
      <c r="H6967" s="10"/>
      <c r="I6967" s="39"/>
      <c r="J6967" s="103"/>
      <c r="K6967" s="39"/>
      <c r="L6967" s="10"/>
      <c r="M6967" s="19"/>
      <c r="N6967" s="10"/>
    </row>
    <row r="6968" spans="7:14" x14ac:dyDescent="0.75">
      <c r="G6968" s="10"/>
      <c r="H6968" s="10"/>
      <c r="I6968" s="39"/>
      <c r="J6968" s="103"/>
      <c r="K6968" s="39"/>
      <c r="L6968" s="10"/>
      <c r="M6968" s="19"/>
      <c r="N6968" s="10"/>
    </row>
    <row r="6969" spans="7:14" x14ac:dyDescent="0.75">
      <c r="G6969" s="10"/>
      <c r="H6969" s="10"/>
      <c r="I6969" s="39"/>
      <c r="J6969" s="103"/>
      <c r="K6969" s="39"/>
      <c r="L6969" s="10"/>
      <c r="M6969" s="19"/>
      <c r="N6969" s="10"/>
    </row>
    <row r="6970" spans="7:14" x14ac:dyDescent="0.75">
      <c r="G6970" s="10"/>
      <c r="H6970" s="10"/>
      <c r="I6970" s="39"/>
      <c r="J6970" s="103"/>
      <c r="K6970" s="39"/>
      <c r="L6970" s="10"/>
      <c r="M6970" s="19"/>
      <c r="N6970" s="10"/>
    </row>
    <row r="6971" spans="7:14" x14ac:dyDescent="0.75">
      <c r="G6971" s="10"/>
      <c r="H6971" s="10"/>
      <c r="I6971" s="39"/>
      <c r="J6971" s="103"/>
      <c r="K6971" s="39"/>
      <c r="L6971" s="10"/>
      <c r="M6971" s="19"/>
      <c r="N6971" s="10"/>
    </row>
    <row r="6972" spans="7:14" x14ac:dyDescent="0.75">
      <c r="G6972" s="10"/>
      <c r="H6972" s="10"/>
      <c r="I6972" s="39"/>
      <c r="J6972" s="103"/>
      <c r="K6972" s="39"/>
      <c r="L6972" s="10"/>
      <c r="M6972" s="19"/>
      <c r="N6972" s="10"/>
    </row>
    <row r="6973" spans="7:14" x14ac:dyDescent="0.75">
      <c r="G6973" s="10"/>
      <c r="H6973" s="10"/>
      <c r="I6973" s="39"/>
      <c r="J6973" s="103"/>
      <c r="K6973" s="39"/>
      <c r="L6973" s="10"/>
      <c r="M6973" s="19"/>
      <c r="N6973" s="10"/>
    </row>
    <row r="6974" spans="7:14" x14ac:dyDescent="0.75">
      <c r="G6974" s="10"/>
      <c r="H6974" s="10"/>
      <c r="I6974" s="39"/>
      <c r="J6974" s="103"/>
      <c r="K6974" s="39"/>
      <c r="L6974" s="10"/>
      <c r="M6974" s="19"/>
      <c r="N6974" s="10"/>
    </row>
    <row r="6975" spans="7:14" x14ac:dyDescent="0.75">
      <c r="G6975" s="10"/>
      <c r="H6975" s="10"/>
      <c r="I6975" s="39"/>
      <c r="J6975" s="103"/>
      <c r="K6975" s="39"/>
      <c r="L6975" s="10"/>
      <c r="M6975" s="19"/>
      <c r="N6975" s="10"/>
    </row>
    <row r="6976" spans="7:14" x14ac:dyDescent="0.75">
      <c r="G6976" s="10"/>
      <c r="H6976" s="10"/>
      <c r="I6976" s="39"/>
      <c r="J6976" s="103"/>
      <c r="K6976" s="39"/>
      <c r="L6976" s="10"/>
      <c r="M6976" s="19"/>
      <c r="N6976" s="10"/>
    </row>
    <row r="6977" spans="7:14" x14ac:dyDescent="0.75">
      <c r="G6977" s="10"/>
      <c r="H6977" s="10"/>
      <c r="I6977" s="39"/>
      <c r="J6977" s="103"/>
      <c r="K6977" s="39"/>
      <c r="L6977" s="10"/>
      <c r="M6977" s="19"/>
      <c r="N6977" s="10"/>
    </row>
    <row r="6978" spans="7:14" x14ac:dyDescent="0.75">
      <c r="G6978" s="10"/>
      <c r="H6978" s="10"/>
      <c r="I6978" s="39"/>
      <c r="J6978" s="103"/>
      <c r="K6978" s="39"/>
      <c r="L6978" s="10"/>
      <c r="M6978" s="19"/>
      <c r="N6978" s="10"/>
    </row>
    <row r="6979" spans="7:14" x14ac:dyDescent="0.75">
      <c r="G6979" s="10"/>
      <c r="H6979" s="10"/>
      <c r="I6979" s="39"/>
      <c r="J6979" s="103"/>
      <c r="K6979" s="39"/>
      <c r="L6979" s="10"/>
      <c r="M6979" s="19"/>
      <c r="N6979" s="10"/>
    </row>
    <row r="6980" spans="7:14" x14ac:dyDescent="0.75">
      <c r="G6980" s="10"/>
      <c r="H6980" s="10"/>
      <c r="I6980" s="39"/>
      <c r="J6980" s="103"/>
      <c r="K6980" s="39"/>
      <c r="L6980" s="10"/>
      <c r="M6980" s="19"/>
      <c r="N6980" s="10"/>
    </row>
    <row r="6981" spans="7:14" x14ac:dyDescent="0.75">
      <c r="G6981" s="10"/>
      <c r="H6981" s="10"/>
      <c r="I6981" s="39"/>
      <c r="J6981" s="103"/>
      <c r="K6981" s="39"/>
      <c r="L6981" s="10"/>
      <c r="M6981" s="19"/>
      <c r="N6981" s="10"/>
    </row>
    <row r="6982" spans="7:14" x14ac:dyDescent="0.75">
      <c r="G6982" s="10"/>
      <c r="H6982" s="10"/>
      <c r="I6982" s="39"/>
      <c r="J6982" s="103"/>
      <c r="K6982" s="39"/>
      <c r="L6982" s="10"/>
      <c r="M6982" s="19"/>
      <c r="N6982" s="10"/>
    </row>
    <row r="6983" spans="7:14" x14ac:dyDescent="0.75">
      <c r="G6983" s="10"/>
      <c r="H6983" s="10"/>
      <c r="I6983" s="39"/>
      <c r="J6983" s="103"/>
      <c r="K6983" s="39"/>
      <c r="L6983" s="10"/>
      <c r="M6983" s="19"/>
      <c r="N6983" s="10"/>
    </row>
    <row r="6984" spans="7:14" x14ac:dyDescent="0.75">
      <c r="G6984" s="10"/>
      <c r="H6984" s="10"/>
      <c r="I6984" s="39"/>
      <c r="J6984" s="103"/>
      <c r="K6984" s="39"/>
      <c r="L6984" s="10"/>
      <c r="M6984" s="19"/>
      <c r="N6984" s="10"/>
    </row>
    <row r="6985" spans="7:14" x14ac:dyDescent="0.75">
      <c r="G6985" s="10"/>
      <c r="H6985" s="10"/>
      <c r="I6985" s="39"/>
      <c r="J6985" s="103"/>
      <c r="K6985" s="39"/>
      <c r="L6985" s="10"/>
      <c r="M6985" s="19"/>
      <c r="N6985" s="10"/>
    </row>
    <row r="6986" spans="7:14" x14ac:dyDescent="0.75">
      <c r="G6986" s="10"/>
      <c r="H6986" s="10"/>
      <c r="I6986" s="39"/>
      <c r="J6986" s="103"/>
      <c r="K6986" s="39"/>
      <c r="L6986" s="10"/>
      <c r="M6986" s="19"/>
      <c r="N6986" s="10"/>
    </row>
    <row r="6987" spans="7:14" x14ac:dyDescent="0.75">
      <c r="G6987" s="10"/>
      <c r="H6987" s="10"/>
      <c r="I6987" s="39"/>
      <c r="J6987" s="103"/>
      <c r="K6987" s="39"/>
      <c r="L6987" s="10"/>
      <c r="M6987" s="19"/>
      <c r="N6987" s="10"/>
    </row>
    <row r="6988" spans="7:14" x14ac:dyDescent="0.75">
      <c r="G6988" s="10"/>
      <c r="H6988" s="10"/>
      <c r="I6988" s="39"/>
      <c r="J6988" s="103"/>
      <c r="K6988" s="39"/>
      <c r="L6988" s="10"/>
      <c r="M6988" s="19"/>
      <c r="N6988" s="10"/>
    </row>
    <row r="6989" spans="7:14" x14ac:dyDescent="0.75">
      <c r="G6989" s="10"/>
      <c r="H6989" s="10"/>
      <c r="I6989" s="39"/>
      <c r="J6989" s="103"/>
      <c r="K6989" s="39"/>
      <c r="L6989" s="10"/>
      <c r="M6989" s="19"/>
      <c r="N6989" s="10"/>
    </row>
    <row r="6990" spans="7:14" x14ac:dyDescent="0.75">
      <c r="G6990" s="10"/>
      <c r="H6990" s="10"/>
      <c r="I6990" s="39"/>
      <c r="J6990" s="103"/>
      <c r="K6990" s="39"/>
      <c r="L6990" s="10"/>
      <c r="M6990" s="19"/>
      <c r="N6990" s="10"/>
    </row>
    <row r="6991" spans="7:14" x14ac:dyDescent="0.75">
      <c r="G6991" s="10"/>
      <c r="H6991" s="10"/>
      <c r="I6991" s="39"/>
      <c r="J6991" s="103"/>
      <c r="K6991" s="39"/>
      <c r="L6991" s="10"/>
      <c r="M6991" s="19"/>
      <c r="N6991" s="10"/>
    </row>
    <row r="6992" spans="7:14" x14ac:dyDescent="0.75">
      <c r="G6992" s="10"/>
      <c r="H6992" s="10"/>
      <c r="I6992" s="39"/>
      <c r="J6992" s="103"/>
      <c r="K6992" s="39"/>
      <c r="L6992" s="10"/>
      <c r="M6992" s="19"/>
      <c r="N6992" s="10"/>
    </row>
    <row r="6993" spans="7:14" x14ac:dyDescent="0.75">
      <c r="G6993" s="10"/>
      <c r="H6993" s="10"/>
      <c r="I6993" s="39"/>
      <c r="J6993" s="103"/>
      <c r="K6993" s="39"/>
      <c r="L6993" s="10"/>
      <c r="M6993" s="19"/>
      <c r="N6993" s="10"/>
    </row>
    <row r="6994" spans="7:14" x14ac:dyDescent="0.75">
      <c r="G6994" s="10"/>
      <c r="H6994" s="10"/>
      <c r="I6994" s="39"/>
      <c r="J6994" s="103"/>
      <c r="K6994" s="39"/>
      <c r="L6994" s="10"/>
      <c r="M6994" s="19"/>
      <c r="N6994" s="10"/>
    </row>
    <row r="6995" spans="7:14" x14ac:dyDescent="0.75">
      <c r="G6995" s="10"/>
      <c r="H6995" s="10"/>
      <c r="I6995" s="39"/>
      <c r="J6995" s="103"/>
      <c r="K6995" s="39"/>
      <c r="L6995" s="10"/>
      <c r="M6995" s="19"/>
      <c r="N6995" s="10"/>
    </row>
    <row r="6996" spans="7:14" x14ac:dyDescent="0.75">
      <c r="G6996" s="10"/>
      <c r="H6996" s="10"/>
      <c r="I6996" s="39"/>
      <c r="J6996" s="103"/>
      <c r="K6996" s="39"/>
      <c r="L6996" s="10"/>
      <c r="M6996" s="19"/>
      <c r="N6996" s="10"/>
    </row>
    <row r="6997" spans="7:14" x14ac:dyDescent="0.75">
      <c r="G6997" s="10"/>
      <c r="H6997" s="10"/>
      <c r="I6997" s="39"/>
      <c r="J6997" s="103"/>
      <c r="K6997" s="39"/>
      <c r="L6997" s="10"/>
      <c r="M6997" s="19"/>
      <c r="N6997" s="10"/>
    </row>
    <row r="6998" spans="7:14" x14ac:dyDescent="0.75">
      <c r="G6998" s="10"/>
      <c r="H6998" s="10"/>
      <c r="I6998" s="39"/>
      <c r="J6998" s="103"/>
      <c r="K6998" s="39"/>
      <c r="L6998" s="10"/>
      <c r="M6998" s="19"/>
      <c r="N6998" s="10"/>
    </row>
    <row r="6999" spans="7:14" x14ac:dyDescent="0.75">
      <c r="G6999" s="10"/>
      <c r="H6999" s="10"/>
      <c r="I6999" s="39"/>
      <c r="J6999" s="103"/>
      <c r="K6999" s="39"/>
      <c r="L6999" s="10"/>
      <c r="M6999" s="19"/>
      <c r="N6999" s="10"/>
    </row>
    <row r="7000" spans="7:14" x14ac:dyDescent="0.75">
      <c r="G7000" s="10"/>
      <c r="H7000" s="10"/>
      <c r="I7000" s="39"/>
      <c r="J7000" s="103"/>
      <c r="K7000" s="39"/>
      <c r="L7000" s="10"/>
      <c r="M7000" s="19"/>
      <c r="N7000" s="10"/>
    </row>
    <row r="7001" spans="7:14" x14ac:dyDescent="0.75">
      <c r="G7001" s="10"/>
      <c r="H7001" s="10"/>
      <c r="I7001" s="39"/>
      <c r="J7001" s="103"/>
      <c r="K7001" s="39"/>
      <c r="L7001" s="10"/>
      <c r="M7001" s="19"/>
      <c r="N7001" s="10"/>
    </row>
    <row r="7002" spans="7:14" x14ac:dyDescent="0.75">
      <c r="G7002" s="10"/>
      <c r="H7002" s="10"/>
      <c r="I7002" s="39"/>
      <c r="J7002" s="103"/>
      <c r="K7002" s="39"/>
      <c r="L7002" s="10"/>
      <c r="M7002" s="19"/>
      <c r="N7002" s="10"/>
    </row>
    <row r="7003" spans="7:14" x14ac:dyDescent="0.75">
      <c r="G7003" s="10"/>
      <c r="H7003" s="10"/>
      <c r="I7003" s="39"/>
      <c r="J7003" s="103"/>
      <c r="K7003" s="39"/>
      <c r="L7003" s="10"/>
      <c r="M7003" s="19"/>
      <c r="N7003" s="10"/>
    </row>
    <row r="7004" spans="7:14" x14ac:dyDescent="0.75">
      <c r="G7004" s="10"/>
      <c r="H7004" s="10"/>
      <c r="I7004" s="39"/>
      <c r="J7004" s="103"/>
      <c r="K7004" s="39"/>
      <c r="L7004" s="10"/>
      <c r="M7004" s="19"/>
      <c r="N7004" s="10"/>
    </row>
    <row r="7005" spans="7:14" x14ac:dyDescent="0.75">
      <c r="G7005" s="10"/>
      <c r="H7005" s="10"/>
      <c r="I7005" s="39"/>
      <c r="J7005" s="103"/>
      <c r="K7005" s="39"/>
      <c r="L7005" s="10"/>
      <c r="M7005" s="19"/>
      <c r="N7005" s="10"/>
    </row>
    <row r="7006" spans="7:14" x14ac:dyDescent="0.75">
      <c r="G7006" s="10"/>
      <c r="H7006" s="10"/>
      <c r="I7006" s="39"/>
      <c r="J7006" s="103"/>
      <c r="K7006" s="39"/>
      <c r="L7006" s="10"/>
      <c r="M7006" s="19"/>
      <c r="N7006" s="10"/>
    </row>
    <row r="7007" spans="7:14" x14ac:dyDescent="0.75">
      <c r="G7007" s="10"/>
      <c r="H7007" s="10"/>
      <c r="I7007" s="39"/>
      <c r="J7007" s="103"/>
      <c r="K7007" s="39"/>
      <c r="L7007" s="10"/>
      <c r="M7007" s="19"/>
      <c r="N7007" s="10"/>
    </row>
    <row r="7008" spans="7:14" x14ac:dyDescent="0.75">
      <c r="G7008" s="10"/>
      <c r="H7008" s="10"/>
      <c r="I7008" s="39"/>
      <c r="J7008" s="103"/>
      <c r="K7008" s="39"/>
      <c r="L7008" s="10"/>
      <c r="M7008" s="19"/>
      <c r="N7008" s="10"/>
    </row>
    <row r="7009" spans="7:14" x14ac:dyDescent="0.75">
      <c r="G7009" s="10"/>
      <c r="H7009" s="10"/>
      <c r="I7009" s="39"/>
      <c r="J7009" s="103"/>
      <c r="K7009" s="39"/>
      <c r="L7009" s="10"/>
      <c r="M7009" s="19"/>
      <c r="N7009" s="10"/>
    </row>
    <row r="7010" spans="7:14" x14ac:dyDescent="0.75">
      <c r="G7010" s="10"/>
      <c r="H7010" s="10"/>
      <c r="I7010" s="39"/>
      <c r="J7010" s="103"/>
      <c r="K7010" s="39"/>
      <c r="L7010" s="10"/>
      <c r="M7010" s="19"/>
      <c r="N7010" s="10"/>
    </row>
    <row r="7011" spans="7:14" x14ac:dyDescent="0.75">
      <c r="G7011" s="10"/>
      <c r="H7011" s="10"/>
      <c r="I7011" s="39"/>
      <c r="J7011" s="103"/>
      <c r="K7011" s="39"/>
      <c r="L7011" s="10"/>
      <c r="M7011" s="19"/>
      <c r="N7011" s="10"/>
    </row>
    <row r="7012" spans="7:14" x14ac:dyDescent="0.75">
      <c r="G7012" s="10"/>
      <c r="H7012" s="10"/>
      <c r="I7012" s="39"/>
      <c r="J7012" s="103"/>
      <c r="K7012" s="39"/>
      <c r="L7012" s="10"/>
      <c r="M7012" s="19"/>
      <c r="N7012" s="10"/>
    </row>
    <row r="7013" spans="7:14" x14ac:dyDescent="0.75">
      <c r="G7013" s="10"/>
      <c r="H7013" s="10"/>
      <c r="I7013" s="39"/>
      <c r="J7013" s="103"/>
      <c r="K7013" s="39"/>
      <c r="L7013" s="10"/>
      <c r="M7013" s="19"/>
      <c r="N7013" s="10"/>
    </row>
    <row r="7014" spans="7:14" x14ac:dyDescent="0.75">
      <c r="G7014" s="10"/>
      <c r="H7014" s="10"/>
      <c r="I7014" s="39"/>
      <c r="J7014" s="103"/>
      <c r="K7014" s="39"/>
      <c r="L7014" s="10"/>
      <c r="M7014" s="19"/>
      <c r="N7014" s="10"/>
    </row>
    <row r="7015" spans="7:14" x14ac:dyDescent="0.75">
      <c r="G7015" s="10"/>
      <c r="H7015" s="10"/>
      <c r="I7015" s="39"/>
      <c r="J7015" s="103"/>
      <c r="K7015" s="39"/>
      <c r="L7015" s="10"/>
      <c r="M7015" s="19"/>
      <c r="N7015" s="10"/>
    </row>
    <row r="7016" spans="7:14" x14ac:dyDescent="0.75">
      <c r="G7016" s="10"/>
      <c r="H7016" s="10"/>
      <c r="I7016" s="39"/>
      <c r="J7016" s="103"/>
      <c r="K7016" s="39"/>
      <c r="L7016" s="10"/>
      <c r="M7016" s="19"/>
      <c r="N7016" s="10"/>
    </row>
    <row r="7017" spans="7:14" x14ac:dyDescent="0.75">
      <c r="G7017" s="10"/>
      <c r="H7017" s="10"/>
      <c r="I7017" s="39"/>
      <c r="J7017" s="103"/>
      <c r="K7017" s="39"/>
      <c r="L7017" s="10"/>
      <c r="M7017" s="19"/>
      <c r="N7017" s="10"/>
    </row>
    <row r="7018" spans="7:14" x14ac:dyDescent="0.75">
      <c r="G7018" s="10"/>
      <c r="H7018" s="10"/>
      <c r="I7018" s="39"/>
      <c r="J7018" s="103"/>
      <c r="K7018" s="39"/>
      <c r="L7018" s="10"/>
      <c r="M7018" s="19"/>
      <c r="N7018" s="10"/>
    </row>
    <row r="7019" spans="7:14" x14ac:dyDescent="0.75">
      <c r="G7019" s="10"/>
      <c r="H7019" s="10"/>
      <c r="I7019" s="39"/>
      <c r="J7019" s="103"/>
      <c r="K7019" s="39"/>
      <c r="L7019" s="10"/>
      <c r="M7019" s="19"/>
      <c r="N7019" s="10"/>
    </row>
    <row r="7020" spans="7:14" x14ac:dyDescent="0.75">
      <c r="G7020" s="10"/>
      <c r="H7020" s="10"/>
      <c r="I7020" s="39"/>
      <c r="J7020" s="103"/>
      <c r="K7020" s="39"/>
      <c r="L7020" s="10"/>
      <c r="M7020" s="19"/>
      <c r="N7020" s="10"/>
    </row>
    <row r="7021" spans="7:14" x14ac:dyDescent="0.75">
      <c r="G7021" s="10"/>
      <c r="H7021" s="10"/>
      <c r="I7021" s="39"/>
      <c r="J7021" s="103"/>
      <c r="K7021" s="39"/>
      <c r="L7021" s="10"/>
      <c r="M7021" s="19"/>
      <c r="N7021" s="10"/>
    </row>
    <row r="7022" spans="7:14" x14ac:dyDescent="0.75">
      <c r="G7022" s="10"/>
      <c r="H7022" s="10"/>
      <c r="I7022" s="39"/>
      <c r="J7022" s="103"/>
      <c r="K7022" s="39"/>
      <c r="L7022" s="10"/>
      <c r="M7022" s="19"/>
      <c r="N7022" s="10"/>
    </row>
    <row r="7023" spans="7:14" x14ac:dyDescent="0.75">
      <c r="G7023" s="10"/>
      <c r="H7023" s="10"/>
      <c r="I7023" s="39"/>
      <c r="J7023" s="103"/>
      <c r="K7023" s="39"/>
      <c r="L7023" s="10"/>
      <c r="M7023" s="19"/>
      <c r="N7023" s="10"/>
    </row>
    <row r="7024" spans="7:14" x14ac:dyDescent="0.75">
      <c r="G7024" s="10"/>
      <c r="H7024" s="10"/>
      <c r="I7024" s="39"/>
      <c r="J7024" s="103"/>
      <c r="K7024" s="39"/>
      <c r="L7024" s="10"/>
      <c r="M7024" s="19"/>
      <c r="N7024" s="10"/>
    </row>
    <row r="7025" spans="7:14" x14ac:dyDescent="0.75">
      <c r="G7025" s="10"/>
      <c r="H7025" s="10"/>
      <c r="I7025" s="39"/>
      <c r="J7025" s="103"/>
      <c r="K7025" s="39"/>
      <c r="L7025" s="10"/>
      <c r="M7025" s="19"/>
      <c r="N7025" s="10"/>
    </row>
    <row r="7026" spans="7:14" x14ac:dyDescent="0.75">
      <c r="G7026" s="10"/>
      <c r="H7026" s="10"/>
      <c r="I7026" s="39"/>
      <c r="J7026" s="103"/>
      <c r="K7026" s="39"/>
      <c r="L7026" s="10"/>
      <c r="M7026" s="19"/>
      <c r="N7026" s="10"/>
    </row>
    <row r="7027" spans="7:14" x14ac:dyDescent="0.75">
      <c r="G7027" s="10"/>
      <c r="H7027" s="10"/>
      <c r="I7027" s="39"/>
      <c r="J7027" s="103"/>
      <c r="K7027" s="39"/>
      <c r="L7027" s="10"/>
      <c r="M7027" s="19"/>
      <c r="N7027" s="10"/>
    </row>
    <row r="7028" spans="7:14" x14ac:dyDescent="0.75">
      <c r="G7028" s="10"/>
      <c r="H7028" s="10"/>
      <c r="I7028" s="39"/>
      <c r="J7028" s="103"/>
      <c r="K7028" s="39"/>
      <c r="L7028" s="10"/>
      <c r="M7028" s="19"/>
      <c r="N7028" s="10"/>
    </row>
    <row r="7029" spans="7:14" x14ac:dyDescent="0.75">
      <c r="G7029" s="10"/>
      <c r="H7029" s="10"/>
      <c r="I7029" s="39"/>
      <c r="J7029" s="103"/>
      <c r="K7029" s="39"/>
      <c r="L7029" s="10"/>
      <c r="M7029" s="19"/>
      <c r="N7029" s="10"/>
    </row>
    <row r="7030" spans="7:14" x14ac:dyDescent="0.75">
      <c r="G7030" s="10"/>
      <c r="H7030" s="10"/>
      <c r="I7030" s="39"/>
      <c r="J7030" s="103"/>
      <c r="K7030" s="39"/>
      <c r="L7030" s="10"/>
      <c r="M7030" s="19"/>
      <c r="N7030" s="10"/>
    </row>
    <row r="7031" spans="7:14" x14ac:dyDescent="0.75">
      <c r="G7031" s="10"/>
      <c r="H7031" s="10"/>
      <c r="I7031" s="39"/>
      <c r="J7031" s="103"/>
      <c r="K7031" s="39"/>
      <c r="L7031" s="10"/>
      <c r="M7031" s="19"/>
      <c r="N7031" s="10"/>
    </row>
    <row r="7032" spans="7:14" x14ac:dyDescent="0.75">
      <c r="G7032" s="10"/>
      <c r="H7032" s="10"/>
      <c r="I7032" s="39"/>
      <c r="J7032" s="103"/>
      <c r="K7032" s="39"/>
      <c r="L7032" s="10"/>
      <c r="M7032" s="19"/>
      <c r="N7032" s="10"/>
    </row>
    <row r="7033" spans="7:14" x14ac:dyDescent="0.75">
      <c r="G7033" s="10"/>
      <c r="H7033" s="10"/>
      <c r="I7033" s="39"/>
      <c r="J7033" s="103"/>
      <c r="K7033" s="39"/>
      <c r="L7033" s="10"/>
      <c r="M7033" s="19"/>
      <c r="N7033" s="10"/>
    </row>
    <row r="7034" spans="7:14" x14ac:dyDescent="0.75">
      <c r="G7034" s="10"/>
      <c r="H7034" s="10"/>
      <c r="I7034" s="39"/>
      <c r="J7034" s="103"/>
      <c r="K7034" s="39"/>
      <c r="L7034" s="10"/>
      <c r="M7034" s="19"/>
      <c r="N7034" s="10"/>
    </row>
    <row r="7035" spans="7:14" x14ac:dyDescent="0.75">
      <c r="G7035" s="10"/>
      <c r="H7035" s="10"/>
      <c r="I7035" s="39"/>
      <c r="J7035" s="103"/>
      <c r="K7035" s="39"/>
      <c r="L7035" s="10"/>
      <c r="M7035" s="19"/>
      <c r="N7035" s="10"/>
    </row>
    <row r="7036" spans="7:14" x14ac:dyDescent="0.75">
      <c r="G7036" s="10"/>
      <c r="H7036" s="10"/>
      <c r="I7036" s="39"/>
      <c r="J7036" s="103"/>
      <c r="K7036" s="39"/>
      <c r="L7036" s="10"/>
      <c r="M7036" s="19"/>
      <c r="N7036" s="10"/>
    </row>
    <row r="7037" spans="7:14" x14ac:dyDescent="0.75">
      <c r="G7037" s="10"/>
      <c r="H7037" s="10"/>
      <c r="I7037" s="39"/>
      <c r="J7037" s="103"/>
      <c r="K7037" s="39"/>
      <c r="L7037" s="10"/>
      <c r="M7037" s="19"/>
      <c r="N7037" s="10"/>
    </row>
    <row r="7038" spans="7:14" x14ac:dyDescent="0.75">
      <c r="G7038" s="10"/>
      <c r="H7038" s="10"/>
      <c r="I7038" s="39"/>
      <c r="J7038" s="103"/>
      <c r="K7038" s="39"/>
      <c r="L7038" s="10"/>
      <c r="M7038" s="19"/>
      <c r="N7038" s="10"/>
    </row>
    <row r="7039" spans="7:14" x14ac:dyDescent="0.75">
      <c r="G7039" s="10"/>
      <c r="H7039" s="10"/>
      <c r="I7039" s="39"/>
      <c r="J7039" s="103"/>
      <c r="K7039" s="39"/>
      <c r="L7039" s="10"/>
      <c r="M7039" s="19"/>
      <c r="N7039" s="10"/>
    </row>
    <row r="7040" spans="7:14" x14ac:dyDescent="0.75">
      <c r="G7040" s="10"/>
      <c r="H7040" s="10"/>
      <c r="I7040" s="39"/>
      <c r="J7040" s="103"/>
      <c r="K7040" s="39"/>
      <c r="L7040" s="10"/>
      <c r="M7040" s="19"/>
      <c r="N7040" s="10"/>
    </row>
    <row r="7041" spans="7:14" x14ac:dyDescent="0.75">
      <c r="G7041" s="10"/>
      <c r="H7041" s="10"/>
      <c r="I7041" s="39"/>
      <c r="J7041" s="103"/>
      <c r="K7041" s="39"/>
      <c r="L7041" s="10"/>
      <c r="M7041" s="19"/>
      <c r="N7041" s="10"/>
    </row>
    <row r="7042" spans="7:14" x14ac:dyDescent="0.75">
      <c r="G7042" s="10"/>
      <c r="H7042" s="10"/>
      <c r="I7042" s="39"/>
      <c r="J7042" s="103"/>
      <c r="K7042" s="39"/>
      <c r="L7042" s="10"/>
      <c r="M7042" s="19"/>
      <c r="N7042" s="10"/>
    </row>
    <row r="7043" spans="7:14" x14ac:dyDescent="0.75">
      <c r="G7043" s="10"/>
      <c r="H7043" s="10"/>
      <c r="I7043" s="39"/>
      <c r="J7043" s="103"/>
      <c r="K7043" s="39"/>
      <c r="L7043" s="10"/>
      <c r="M7043" s="19"/>
      <c r="N7043" s="10"/>
    </row>
    <row r="7044" spans="7:14" x14ac:dyDescent="0.75">
      <c r="G7044" s="10"/>
      <c r="H7044" s="10"/>
      <c r="I7044" s="39"/>
      <c r="J7044" s="103"/>
      <c r="K7044" s="39"/>
      <c r="L7044" s="10"/>
      <c r="M7044" s="19"/>
      <c r="N7044" s="10"/>
    </row>
    <row r="7045" spans="7:14" x14ac:dyDescent="0.75">
      <c r="G7045" s="10"/>
      <c r="H7045" s="10"/>
      <c r="I7045" s="39"/>
      <c r="J7045" s="103"/>
      <c r="K7045" s="39"/>
      <c r="L7045" s="10"/>
      <c r="M7045" s="19"/>
      <c r="N7045" s="10"/>
    </row>
    <row r="7046" spans="7:14" x14ac:dyDescent="0.75">
      <c r="G7046" s="10"/>
      <c r="H7046" s="10"/>
      <c r="I7046" s="39"/>
      <c r="J7046" s="103"/>
      <c r="K7046" s="39"/>
      <c r="L7046" s="10"/>
      <c r="M7046" s="19"/>
      <c r="N7046" s="10"/>
    </row>
    <row r="7047" spans="7:14" x14ac:dyDescent="0.75">
      <c r="G7047" s="10"/>
      <c r="H7047" s="10"/>
      <c r="I7047" s="39"/>
      <c r="J7047" s="103"/>
      <c r="K7047" s="39"/>
      <c r="L7047" s="10"/>
      <c r="M7047" s="19"/>
      <c r="N7047" s="10"/>
    </row>
    <row r="7048" spans="7:14" x14ac:dyDescent="0.75">
      <c r="G7048" s="10"/>
      <c r="H7048" s="10"/>
      <c r="I7048" s="39"/>
      <c r="J7048" s="103"/>
      <c r="K7048" s="39"/>
      <c r="L7048" s="10"/>
      <c r="M7048" s="19"/>
      <c r="N7048" s="10"/>
    </row>
    <row r="7049" spans="7:14" x14ac:dyDescent="0.75">
      <c r="G7049" s="10"/>
      <c r="H7049" s="10"/>
      <c r="I7049" s="39"/>
      <c r="J7049" s="103"/>
      <c r="K7049" s="39"/>
      <c r="L7049" s="10"/>
      <c r="M7049" s="19"/>
      <c r="N7049" s="10"/>
    </row>
    <row r="7050" spans="7:14" x14ac:dyDescent="0.75">
      <c r="G7050" s="10"/>
      <c r="H7050" s="10"/>
      <c r="I7050" s="39"/>
      <c r="J7050" s="103"/>
      <c r="K7050" s="39"/>
      <c r="L7050" s="10"/>
      <c r="M7050" s="19"/>
      <c r="N7050" s="10"/>
    </row>
    <row r="7051" spans="7:14" x14ac:dyDescent="0.75">
      <c r="G7051" s="10"/>
      <c r="H7051" s="10"/>
      <c r="I7051" s="39"/>
      <c r="J7051" s="103"/>
      <c r="K7051" s="39"/>
      <c r="L7051" s="10"/>
      <c r="M7051" s="19"/>
      <c r="N7051" s="10"/>
    </row>
    <row r="7052" spans="7:14" x14ac:dyDescent="0.75">
      <c r="G7052" s="10"/>
      <c r="H7052" s="10"/>
      <c r="I7052" s="39"/>
      <c r="J7052" s="103"/>
      <c r="K7052" s="39"/>
      <c r="L7052" s="10"/>
      <c r="M7052" s="19"/>
      <c r="N7052" s="10"/>
    </row>
    <row r="7053" spans="7:14" x14ac:dyDescent="0.75">
      <c r="G7053" s="10"/>
      <c r="H7053" s="10"/>
      <c r="I7053" s="39"/>
      <c r="J7053" s="103"/>
      <c r="K7053" s="39"/>
      <c r="L7053" s="10"/>
      <c r="M7053" s="19"/>
      <c r="N7053" s="10"/>
    </row>
    <row r="7054" spans="7:14" x14ac:dyDescent="0.75">
      <c r="G7054" s="10"/>
      <c r="H7054" s="10"/>
      <c r="I7054" s="39"/>
      <c r="J7054" s="103"/>
      <c r="K7054" s="39"/>
      <c r="L7054" s="10"/>
      <c r="M7054" s="19"/>
      <c r="N7054" s="10"/>
    </row>
    <row r="7055" spans="7:14" x14ac:dyDescent="0.75">
      <c r="G7055" s="10"/>
      <c r="H7055" s="10"/>
      <c r="I7055" s="39"/>
      <c r="J7055" s="103"/>
      <c r="K7055" s="39"/>
      <c r="L7055" s="10"/>
      <c r="M7055" s="19"/>
      <c r="N7055" s="10"/>
    </row>
    <row r="7056" spans="7:14" x14ac:dyDescent="0.75">
      <c r="G7056" s="10"/>
      <c r="H7056" s="10"/>
      <c r="I7056" s="39"/>
      <c r="J7056" s="103"/>
      <c r="K7056" s="39"/>
      <c r="L7056" s="10"/>
      <c r="M7056" s="19"/>
      <c r="N7056" s="10"/>
    </row>
    <row r="7057" spans="7:14" x14ac:dyDescent="0.75">
      <c r="G7057" s="10"/>
      <c r="H7057" s="10"/>
      <c r="I7057" s="39"/>
      <c r="J7057" s="103"/>
      <c r="K7057" s="39"/>
      <c r="L7057" s="10"/>
      <c r="M7057" s="19"/>
      <c r="N7057" s="10"/>
    </row>
    <row r="7058" spans="7:14" x14ac:dyDescent="0.75">
      <c r="G7058" s="10"/>
      <c r="H7058" s="10"/>
      <c r="I7058" s="39"/>
      <c r="J7058" s="103"/>
      <c r="K7058" s="39"/>
      <c r="L7058" s="10"/>
      <c r="M7058" s="19"/>
      <c r="N7058" s="10"/>
    </row>
    <row r="7059" spans="7:14" x14ac:dyDescent="0.75">
      <c r="G7059" s="10"/>
      <c r="H7059" s="10"/>
      <c r="I7059" s="39"/>
      <c r="J7059" s="103"/>
      <c r="K7059" s="39"/>
      <c r="L7059" s="10"/>
      <c r="M7059" s="19"/>
      <c r="N7059" s="10"/>
    </row>
    <row r="7060" spans="7:14" x14ac:dyDescent="0.75">
      <c r="G7060" s="10"/>
      <c r="H7060" s="10"/>
      <c r="I7060" s="39"/>
      <c r="J7060" s="103"/>
      <c r="K7060" s="39"/>
      <c r="L7060" s="10"/>
      <c r="M7060" s="19"/>
      <c r="N7060" s="10"/>
    </row>
    <row r="7061" spans="7:14" x14ac:dyDescent="0.75">
      <c r="G7061" s="10"/>
      <c r="H7061" s="10"/>
      <c r="I7061" s="39"/>
      <c r="J7061" s="103"/>
      <c r="K7061" s="39"/>
      <c r="L7061" s="10"/>
      <c r="M7061" s="19"/>
      <c r="N7061" s="10"/>
    </row>
    <row r="7062" spans="7:14" x14ac:dyDescent="0.75">
      <c r="G7062" s="10"/>
      <c r="H7062" s="10"/>
      <c r="I7062" s="39"/>
      <c r="J7062" s="103"/>
      <c r="K7062" s="39"/>
      <c r="L7062" s="10"/>
      <c r="M7062" s="19"/>
      <c r="N7062" s="10"/>
    </row>
    <row r="7063" spans="7:14" x14ac:dyDescent="0.75">
      <c r="G7063" s="10"/>
      <c r="H7063" s="10"/>
      <c r="I7063" s="39"/>
      <c r="J7063" s="103"/>
      <c r="K7063" s="39"/>
      <c r="L7063" s="10"/>
      <c r="M7063" s="19"/>
      <c r="N7063" s="10"/>
    </row>
    <row r="7064" spans="7:14" x14ac:dyDescent="0.75">
      <c r="G7064" s="10"/>
      <c r="H7064" s="10"/>
      <c r="I7064" s="39"/>
      <c r="J7064" s="103"/>
      <c r="K7064" s="39"/>
      <c r="L7064" s="10"/>
      <c r="M7064" s="19"/>
      <c r="N7064" s="10"/>
    </row>
    <row r="7065" spans="7:14" x14ac:dyDescent="0.75">
      <c r="G7065" s="10"/>
      <c r="H7065" s="10"/>
      <c r="I7065" s="39"/>
      <c r="J7065" s="103"/>
      <c r="K7065" s="39"/>
      <c r="L7065" s="10"/>
      <c r="M7065" s="19"/>
      <c r="N7065" s="10"/>
    </row>
    <row r="7066" spans="7:14" x14ac:dyDescent="0.75">
      <c r="G7066" s="10"/>
      <c r="H7066" s="10"/>
      <c r="I7066" s="39"/>
      <c r="J7066" s="103"/>
      <c r="K7066" s="39"/>
      <c r="L7066" s="10"/>
      <c r="M7066" s="19"/>
      <c r="N7066" s="10"/>
    </row>
    <row r="7067" spans="7:14" x14ac:dyDescent="0.75">
      <c r="G7067" s="10"/>
      <c r="H7067" s="10"/>
      <c r="I7067" s="39"/>
      <c r="J7067" s="103"/>
      <c r="K7067" s="39"/>
      <c r="L7067" s="10"/>
      <c r="M7067" s="19"/>
      <c r="N7067" s="10"/>
    </row>
    <row r="7068" spans="7:14" x14ac:dyDescent="0.75">
      <c r="G7068" s="10"/>
      <c r="H7068" s="10"/>
      <c r="I7068" s="39"/>
      <c r="J7068" s="103"/>
      <c r="K7068" s="39"/>
      <c r="L7068" s="10"/>
      <c r="M7068" s="19"/>
      <c r="N7068" s="10"/>
    </row>
    <row r="7069" spans="7:14" x14ac:dyDescent="0.75">
      <c r="G7069" s="10"/>
      <c r="H7069" s="10"/>
      <c r="I7069" s="39"/>
      <c r="J7069" s="103"/>
      <c r="K7069" s="39"/>
      <c r="L7069" s="10"/>
      <c r="M7069" s="19"/>
      <c r="N7069" s="10"/>
    </row>
    <row r="7070" spans="7:14" x14ac:dyDescent="0.75">
      <c r="G7070" s="10"/>
      <c r="H7070" s="10"/>
      <c r="I7070" s="39"/>
      <c r="J7070" s="103"/>
      <c r="K7070" s="39"/>
      <c r="L7070" s="10"/>
      <c r="M7070" s="19"/>
      <c r="N7070" s="10"/>
    </row>
    <row r="7071" spans="7:14" x14ac:dyDescent="0.75">
      <c r="G7071" s="10"/>
      <c r="H7071" s="10"/>
      <c r="I7071" s="39"/>
      <c r="J7071" s="103"/>
      <c r="K7071" s="39"/>
      <c r="L7071" s="10"/>
      <c r="M7071" s="19"/>
      <c r="N7071" s="10"/>
    </row>
    <row r="7072" spans="7:14" x14ac:dyDescent="0.75">
      <c r="G7072" s="10"/>
      <c r="H7072" s="10"/>
      <c r="I7072" s="39"/>
      <c r="J7072" s="103"/>
      <c r="K7072" s="39"/>
      <c r="L7072" s="10"/>
      <c r="M7072" s="19"/>
      <c r="N7072" s="10"/>
    </row>
    <row r="7073" spans="7:14" x14ac:dyDescent="0.75">
      <c r="G7073" s="10"/>
      <c r="H7073" s="10"/>
      <c r="I7073" s="39"/>
      <c r="J7073" s="103"/>
      <c r="K7073" s="39"/>
      <c r="L7073" s="10"/>
      <c r="M7073" s="19"/>
      <c r="N7073" s="10"/>
    </row>
    <row r="7074" spans="7:14" x14ac:dyDescent="0.75">
      <c r="G7074" s="10"/>
      <c r="H7074" s="10"/>
      <c r="I7074" s="39"/>
      <c r="J7074" s="103"/>
      <c r="K7074" s="39"/>
      <c r="L7074" s="10"/>
      <c r="M7074" s="19"/>
      <c r="N7074" s="10"/>
    </row>
    <row r="7075" spans="7:14" x14ac:dyDescent="0.75">
      <c r="G7075" s="10"/>
      <c r="H7075" s="10"/>
      <c r="I7075" s="39"/>
      <c r="J7075" s="103"/>
      <c r="K7075" s="39"/>
      <c r="L7075" s="10"/>
      <c r="M7075" s="19"/>
      <c r="N7075" s="10"/>
    </row>
    <row r="7076" spans="7:14" x14ac:dyDescent="0.75">
      <c r="G7076" s="10"/>
      <c r="H7076" s="10"/>
      <c r="I7076" s="39"/>
      <c r="J7076" s="103"/>
      <c r="K7076" s="39"/>
      <c r="L7076" s="10"/>
      <c r="M7076" s="19"/>
      <c r="N7076" s="10"/>
    </row>
    <row r="7077" spans="7:14" x14ac:dyDescent="0.75">
      <c r="G7077" s="10"/>
      <c r="H7077" s="10"/>
      <c r="I7077" s="39"/>
      <c r="J7077" s="103"/>
      <c r="K7077" s="39"/>
      <c r="L7077" s="10"/>
      <c r="M7077" s="19"/>
      <c r="N7077" s="10"/>
    </row>
    <row r="7078" spans="7:14" x14ac:dyDescent="0.75">
      <c r="G7078" s="10"/>
      <c r="H7078" s="10"/>
      <c r="I7078" s="39"/>
      <c r="J7078" s="103"/>
      <c r="K7078" s="39"/>
      <c r="L7078" s="10"/>
      <c r="M7078" s="19"/>
      <c r="N7078" s="10"/>
    </row>
    <row r="7079" spans="7:14" x14ac:dyDescent="0.75">
      <c r="G7079" s="10"/>
      <c r="H7079" s="10"/>
      <c r="I7079" s="39"/>
      <c r="J7079" s="103"/>
      <c r="K7079" s="39"/>
      <c r="L7079" s="10"/>
      <c r="M7079" s="19"/>
      <c r="N7079" s="10"/>
    </row>
    <row r="7080" spans="7:14" x14ac:dyDescent="0.75">
      <c r="G7080" s="10"/>
      <c r="H7080" s="10"/>
      <c r="I7080" s="39"/>
      <c r="J7080" s="103"/>
      <c r="K7080" s="39"/>
      <c r="L7080" s="10"/>
      <c r="M7080" s="19"/>
      <c r="N7080" s="10"/>
    </row>
    <row r="7081" spans="7:14" x14ac:dyDescent="0.75">
      <c r="G7081" s="10"/>
      <c r="H7081" s="10"/>
      <c r="I7081" s="39"/>
      <c r="J7081" s="103"/>
      <c r="K7081" s="39"/>
      <c r="L7081" s="10"/>
      <c r="M7081" s="19"/>
      <c r="N7081" s="10"/>
    </row>
    <row r="7082" spans="7:14" x14ac:dyDescent="0.75">
      <c r="G7082" s="10"/>
      <c r="H7082" s="10"/>
      <c r="I7082" s="39"/>
      <c r="J7082" s="103"/>
      <c r="K7082" s="39"/>
      <c r="L7082" s="10"/>
      <c r="M7082" s="19"/>
      <c r="N7082" s="10"/>
    </row>
    <row r="7083" spans="7:14" x14ac:dyDescent="0.75">
      <c r="G7083" s="10"/>
      <c r="H7083" s="10"/>
      <c r="I7083" s="39"/>
      <c r="J7083" s="103"/>
      <c r="K7083" s="39"/>
      <c r="L7083" s="10"/>
      <c r="M7083" s="19"/>
      <c r="N7083" s="10"/>
    </row>
    <row r="7084" spans="7:14" x14ac:dyDescent="0.75">
      <c r="G7084" s="10"/>
      <c r="H7084" s="10"/>
      <c r="I7084" s="39"/>
      <c r="J7084" s="103"/>
      <c r="K7084" s="39"/>
      <c r="L7084" s="10"/>
      <c r="M7084" s="19"/>
      <c r="N7084" s="10"/>
    </row>
    <row r="7085" spans="7:14" x14ac:dyDescent="0.75">
      <c r="G7085" s="10"/>
      <c r="H7085" s="10"/>
      <c r="I7085" s="39"/>
      <c r="J7085" s="103"/>
      <c r="K7085" s="39"/>
      <c r="L7085" s="10"/>
      <c r="M7085" s="19"/>
      <c r="N7085" s="10"/>
    </row>
    <row r="7086" spans="7:14" x14ac:dyDescent="0.75">
      <c r="G7086" s="10"/>
      <c r="H7086" s="10"/>
      <c r="I7086" s="39"/>
      <c r="J7086" s="103"/>
      <c r="K7086" s="39"/>
      <c r="L7086" s="10"/>
      <c r="M7086" s="19"/>
      <c r="N7086" s="10"/>
    </row>
    <row r="7087" spans="7:14" x14ac:dyDescent="0.75">
      <c r="G7087" s="10"/>
      <c r="H7087" s="10"/>
      <c r="I7087" s="39"/>
      <c r="J7087" s="103"/>
      <c r="K7087" s="39"/>
      <c r="L7087" s="10"/>
      <c r="M7087" s="19"/>
      <c r="N7087" s="10"/>
    </row>
    <row r="7088" spans="7:14" x14ac:dyDescent="0.75">
      <c r="G7088" s="10"/>
      <c r="H7088" s="10"/>
      <c r="I7088" s="39"/>
      <c r="J7088" s="103"/>
      <c r="K7088" s="39"/>
      <c r="L7088" s="10"/>
      <c r="M7088" s="19"/>
      <c r="N7088" s="10"/>
    </row>
    <row r="7089" spans="7:14" x14ac:dyDescent="0.75">
      <c r="G7089" s="10"/>
      <c r="H7089" s="10"/>
      <c r="I7089" s="39"/>
      <c r="J7089" s="103"/>
      <c r="K7089" s="39"/>
      <c r="L7089" s="10"/>
      <c r="M7089" s="19"/>
      <c r="N7089" s="10"/>
    </row>
    <row r="7090" spans="7:14" x14ac:dyDescent="0.75">
      <c r="G7090" s="10"/>
      <c r="H7090" s="10"/>
      <c r="I7090" s="39"/>
      <c r="J7090" s="103"/>
      <c r="K7090" s="39"/>
      <c r="L7090" s="10"/>
      <c r="M7090" s="19"/>
      <c r="N7090" s="10"/>
    </row>
    <row r="7091" spans="7:14" x14ac:dyDescent="0.75">
      <c r="G7091" s="10"/>
      <c r="H7091" s="10"/>
      <c r="I7091" s="39"/>
      <c r="J7091" s="103"/>
      <c r="K7091" s="39"/>
      <c r="L7091" s="10"/>
      <c r="M7091" s="19"/>
      <c r="N7091" s="10"/>
    </row>
    <row r="7092" spans="7:14" x14ac:dyDescent="0.75">
      <c r="G7092" s="10"/>
      <c r="H7092" s="10"/>
      <c r="I7092" s="39"/>
      <c r="J7092" s="103"/>
      <c r="K7092" s="39"/>
      <c r="L7092" s="10"/>
      <c r="M7092" s="19"/>
      <c r="N7092" s="10"/>
    </row>
    <row r="7093" spans="7:14" x14ac:dyDescent="0.75">
      <c r="G7093" s="10"/>
      <c r="H7093" s="10"/>
      <c r="I7093" s="39"/>
      <c r="J7093" s="103"/>
      <c r="K7093" s="39"/>
      <c r="L7093" s="10"/>
      <c r="M7093" s="19"/>
      <c r="N7093" s="10"/>
    </row>
    <row r="7094" spans="7:14" x14ac:dyDescent="0.75">
      <c r="G7094" s="10"/>
      <c r="H7094" s="10"/>
      <c r="I7094" s="39"/>
      <c r="J7094" s="103"/>
      <c r="K7094" s="39"/>
      <c r="L7094" s="10"/>
      <c r="M7094" s="19"/>
      <c r="N7094" s="10"/>
    </row>
    <row r="7095" spans="7:14" x14ac:dyDescent="0.75">
      <c r="G7095" s="10"/>
      <c r="H7095" s="10"/>
      <c r="I7095" s="39"/>
      <c r="J7095" s="103"/>
      <c r="K7095" s="39"/>
      <c r="L7095" s="10"/>
      <c r="M7095" s="19"/>
      <c r="N7095" s="10"/>
    </row>
    <row r="7096" spans="7:14" x14ac:dyDescent="0.75">
      <c r="G7096" s="10"/>
      <c r="H7096" s="10"/>
      <c r="I7096" s="39"/>
      <c r="J7096" s="103"/>
      <c r="K7096" s="39"/>
      <c r="L7096" s="10"/>
      <c r="M7096" s="19"/>
      <c r="N7096" s="10"/>
    </row>
    <row r="7097" spans="7:14" x14ac:dyDescent="0.75">
      <c r="G7097" s="10"/>
      <c r="H7097" s="10"/>
      <c r="I7097" s="39"/>
      <c r="J7097" s="103"/>
      <c r="K7097" s="39"/>
      <c r="L7097" s="10"/>
      <c r="M7097" s="19"/>
      <c r="N7097" s="10"/>
    </row>
    <row r="7098" spans="7:14" x14ac:dyDescent="0.75">
      <c r="G7098" s="10"/>
      <c r="H7098" s="10"/>
      <c r="I7098" s="39"/>
      <c r="J7098" s="103"/>
      <c r="K7098" s="39"/>
      <c r="L7098" s="10"/>
      <c r="M7098" s="19"/>
      <c r="N7098" s="10"/>
    </row>
    <row r="7099" spans="7:14" x14ac:dyDescent="0.75">
      <c r="G7099" s="10"/>
      <c r="H7099" s="10"/>
      <c r="I7099" s="39"/>
      <c r="J7099" s="103"/>
      <c r="K7099" s="39"/>
      <c r="L7099" s="10"/>
      <c r="M7099" s="19"/>
      <c r="N7099" s="10"/>
    </row>
    <row r="7100" spans="7:14" x14ac:dyDescent="0.75">
      <c r="G7100" s="10"/>
      <c r="H7100" s="10"/>
      <c r="I7100" s="39"/>
      <c r="J7100" s="103"/>
      <c r="K7100" s="39"/>
      <c r="L7100" s="10"/>
      <c r="M7100" s="19"/>
      <c r="N7100" s="10"/>
    </row>
    <row r="7101" spans="7:14" x14ac:dyDescent="0.75">
      <c r="G7101" s="10"/>
      <c r="H7101" s="10"/>
      <c r="I7101" s="39"/>
      <c r="J7101" s="103"/>
      <c r="K7101" s="39"/>
      <c r="L7101" s="10"/>
      <c r="M7101" s="19"/>
      <c r="N7101" s="10"/>
    </row>
    <row r="7102" spans="7:14" x14ac:dyDescent="0.75">
      <c r="G7102" s="10"/>
      <c r="H7102" s="10"/>
      <c r="I7102" s="39"/>
      <c r="J7102" s="103"/>
      <c r="K7102" s="39"/>
      <c r="L7102" s="10"/>
      <c r="M7102" s="19"/>
      <c r="N7102" s="10"/>
    </row>
    <row r="7103" spans="7:14" x14ac:dyDescent="0.75">
      <c r="G7103" s="10"/>
      <c r="H7103" s="10"/>
      <c r="I7103" s="39"/>
      <c r="J7103" s="103"/>
      <c r="K7103" s="39"/>
      <c r="L7103" s="10"/>
      <c r="M7103" s="19"/>
      <c r="N7103" s="10"/>
    </row>
    <row r="7104" spans="7:14" x14ac:dyDescent="0.75">
      <c r="G7104" s="10"/>
      <c r="H7104" s="10"/>
      <c r="I7104" s="39"/>
      <c r="J7104" s="103"/>
      <c r="K7104" s="39"/>
      <c r="L7104" s="10"/>
      <c r="M7104" s="19"/>
      <c r="N7104" s="10"/>
    </row>
    <row r="7105" spans="7:14" x14ac:dyDescent="0.75">
      <c r="G7105" s="10"/>
      <c r="H7105" s="10"/>
      <c r="I7105" s="39"/>
      <c r="J7105" s="103"/>
      <c r="K7105" s="39"/>
      <c r="L7105" s="10"/>
      <c r="M7105" s="19"/>
      <c r="N7105" s="10"/>
    </row>
    <row r="7106" spans="7:14" x14ac:dyDescent="0.75">
      <c r="G7106" s="10"/>
      <c r="H7106" s="10"/>
      <c r="I7106" s="39"/>
      <c r="J7106" s="103"/>
      <c r="K7106" s="39"/>
      <c r="L7106" s="10"/>
      <c r="M7106" s="19"/>
      <c r="N7106" s="10"/>
    </row>
    <row r="7107" spans="7:14" x14ac:dyDescent="0.75">
      <c r="G7107" s="10"/>
      <c r="H7107" s="10"/>
      <c r="I7107" s="39"/>
      <c r="J7107" s="103"/>
      <c r="K7107" s="39"/>
      <c r="L7107" s="10"/>
      <c r="M7107" s="19"/>
      <c r="N7107" s="10"/>
    </row>
    <row r="7108" spans="7:14" x14ac:dyDescent="0.75">
      <c r="G7108" s="10"/>
      <c r="H7108" s="10"/>
      <c r="I7108" s="39"/>
      <c r="J7108" s="103"/>
      <c r="K7108" s="39"/>
      <c r="L7108" s="10"/>
      <c r="M7108" s="19"/>
      <c r="N7108" s="10"/>
    </row>
    <row r="7109" spans="7:14" x14ac:dyDescent="0.75">
      <c r="G7109" s="10"/>
      <c r="H7109" s="10"/>
      <c r="I7109" s="39"/>
      <c r="J7109" s="103"/>
      <c r="K7109" s="39"/>
      <c r="L7109" s="10"/>
      <c r="M7109" s="19"/>
      <c r="N7109" s="10"/>
    </row>
    <row r="7110" spans="7:14" x14ac:dyDescent="0.75">
      <c r="G7110" s="10"/>
      <c r="H7110" s="10"/>
      <c r="I7110" s="39"/>
      <c r="J7110" s="103"/>
      <c r="K7110" s="39"/>
      <c r="L7110" s="10"/>
      <c r="M7110" s="19"/>
      <c r="N7110" s="10"/>
    </row>
    <row r="7111" spans="7:14" x14ac:dyDescent="0.75">
      <c r="G7111" s="10"/>
      <c r="H7111" s="10"/>
      <c r="I7111" s="39"/>
      <c r="J7111" s="103"/>
      <c r="K7111" s="39"/>
      <c r="L7111" s="10"/>
      <c r="M7111" s="19"/>
      <c r="N7111" s="10"/>
    </row>
    <row r="7112" spans="7:14" x14ac:dyDescent="0.75">
      <c r="G7112" s="10"/>
      <c r="H7112" s="10"/>
      <c r="I7112" s="39"/>
      <c r="J7112" s="103"/>
      <c r="K7112" s="39"/>
      <c r="L7112" s="10"/>
      <c r="M7112" s="19"/>
      <c r="N7112" s="10"/>
    </row>
    <row r="7113" spans="7:14" x14ac:dyDescent="0.75">
      <c r="G7113" s="10"/>
      <c r="H7113" s="10"/>
      <c r="I7113" s="39"/>
      <c r="J7113" s="103"/>
      <c r="K7113" s="39"/>
      <c r="L7113" s="10"/>
      <c r="M7113" s="19"/>
      <c r="N7113" s="10"/>
    </row>
    <row r="7114" spans="7:14" x14ac:dyDescent="0.75">
      <c r="G7114" s="10"/>
      <c r="H7114" s="10"/>
      <c r="I7114" s="39"/>
      <c r="J7114" s="103"/>
      <c r="K7114" s="39"/>
      <c r="L7114" s="10"/>
      <c r="M7114" s="19"/>
      <c r="N7114" s="10"/>
    </row>
    <row r="7115" spans="7:14" x14ac:dyDescent="0.75">
      <c r="G7115" s="10"/>
      <c r="H7115" s="10"/>
      <c r="I7115" s="39"/>
      <c r="J7115" s="103"/>
      <c r="K7115" s="39"/>
      <c r="L7115" s="10"/>
      <c r="M7115" s="19"/>
      <c r="N7115" s="10"/>
    </row>
    <row r="7116" spans="7:14" x14ac:dyDescent="0.75">
      <c r="G7116" s="10"/>
      <c r="H7116" s="10"/>
      <c r="I7116" s="39"/>
      <c r="J7116" s="103"/>
      <c r="K7116" s="39"/>
      <c r="L7116" s="10"/>
      <c r="M7116" s="19"/>
      <c r="N7116" s="10"/>
    </row>
    <row r="7117" spans="7:14" x14ac:dyDescent="0.75">
      <c r="G7117" s="10"/>
      <c r="H7117" s="10"/>
      <c r="I7117" s="39"/>
      <c r="J7117" s="103"/>
      <c r="K7117" s="39"/>
      <c r="L7117" s="10"/>
      <c r="M7117" s="19"/>
      <c r="N7117" s="10"/>
    </row>
    <row r="7118" spans="7:14" x14ac:dyDescent="0.75">
      <c r="G7118" s="10"/>
      <c r="H7118" s="10"/>
      <c r="I7118" s="39"/>
      <c r="J7118" s="103"/>
      <c r="K7118" s="39"/>
      <c r="L7118" s="10"/>
      <c r="M7118" s="19"/>
      <c r="N7118" s="10"/>
    </row>
    <row r="7119" spans="7:14" x14ac:dyDescent="0.75">
      <c r="G7119" s="10"/>
      <c r="H7119" s="10"/>
      <c r="I7119" s="39"/>
      <c r="J7119" s="103"/>
      <c r="K7119" s="39"/>
      <c r="L7119" s="10"/>
      <c r="M7119" s="19"/>
      <c r="N7119" s="10"/>
    </row>
    <row r="7120" spans="7:14" x14ac:dyDescent="0.75">
      <c r="G7120" s="10"/>
      <c r="H7120" s="10"/>
      <c r="I7120" s="39"/>
      <c r="J7120" s="103"/>
      <c r="K7120" s="39"/>
      <c r="L7120" s="10"/>
      <c r="M7120" s="19"/>
      <c r="N7120" s="10"/>
    </row>
    <row r="7121" spans="7:14" x14ac:dyDescent="0.75">
      <c r="G7121" s="10"/>
      <c r="H7121" s="10"/>
      <c r="I7121" s="39"/>
      <c r="J7121" s="103"/>
      <c r="K7121" s="39"/>
      <c r="L7121" s="10"/>
      <c r="M7121" s="19"/>
      <c r="N7121" s="10"/>
    </row>
    <row r="7122" spans="7:14" x14ac:dyDescent="0.75">
      <c r="G7122" s="10"/>
      <c r="H7122" s="10"/>
      <c r="I7122" s="39"/>
      <c r="J7122" s="103"/>
      <c r="K7122" s="39"/>
      <c r="L7122" s="10"/>
      <c r="M7122" s="19"/>
      <c r="N7122" s="10"/>
    </row>
    <row r="7123" spans="7:14" x14ac:dyDescent="0.75">
      <c r="G7123" s="10"/>
      <c r="H7123" s="10"/>
      <c r="I7123" s="39"/>
      <c r="J7123" s="103"/>
      <c r="K7123" s="39"/>
      <c r="L7123" s="10"/>
      <c r="M7123" s="19"/>
      <c r="N7123" s="10"/>
    </row>
    <row r="7124" spans="7:14" x14ac:dyDescent="0.75">
      <c r="G7124" s="10"/>
      <c r="H7124" s="10"/>
      <c r="I7124" s="39"/>
      <c r="J7124" s="103"/>
      <c r="K7124" s="39"/>
      <c r="L7124" s="10"/>
      <c r="M7124" s="19"/>
      <c r="N7124" s="10"/>
    </row>
    <row r="7125" spans="7:14" x14ac:dyDescent="0.75">
      <c r="G7125" s="10"/>
      <c r="H7125" s="10"/>
      <c r="I7125" s="39"/>
      <c r="J7125" s="103"/>
      <c r="K7125" s="39"/>
      <c r="L7125" s="10"/>
      <c r="M7125" s="19"/>
      <c r="N7125" s="10"/>
    </row>
    <row r="7126" spans="7:14" x14ac:dyDescent="0.75">
      <c r="G7126" s="10"/>
      <c r="H7126" s="10"/>
      <c r="I7126" s="39"/>
      <c r="J7126" s="103"/>
      <c r="K7126" s="39"/>
      <c r="L7126" s="10"/>
      <c r="M7126" s="19"/>
      <c r="N7126" s="10"/>
    </row>
    <row r="7127" spans="7:14" x14ac:dyDescent="0.75">
      <c r="G7127" s="10"/>
      <c r="H7127" s="10"/>
      <c r="I7127" s="39"/>
      <c r="J7127" s="103"/>
      <c r="K7127" s="39"/>
      <c r="L7127" s="10"/>
      <c r="M7127" s="19"/>
      <c r="N7127" s="10"/>
    </row>
    <row r="7128" spans="7:14" x14ac:dyDescent="0.75">
      <c r="G7128" s="10"/>
      <c r="H7128" s="10"/>
      <c r="I7128" s="39"/>
      <c r="J7128" s="103"/>
      <c r="K7128" s="39"/>
      <c r="L7128" s="10"/>
      <c r="M7128" s="19"/>
      <c r="N7128" s="10"/>
    </row>
    <row r="7129" spans="7:14" x14ac:dyDescent="0.75">
      <c r="G7129" s="10"/>
      <c r="H7129" s="10"/>
      <c r="I7129" s="39"/>
      <c r="J7129" s="103"/>
      <c r="K7129" s="39"/>
      <c r="L7129" s="10"/>
      <c r="M7129" s="19"/>
      <c r="N7129" s="10"/>
    </row>
    <row r="7130" spans="7:14" x14ac:dyDescent="0.75">
      <c r="G7130" s="10"/>
      <c r="H7130" s="10"/>
      <c r="I7130" s="39"/>
      <c r="J7130" s="103"/>
      <c r="K7130" s="39"/>
      <c r="L7130" s="10"/>
      <c r="M7130" s="19"/>
      <c r="N7130" s="10"/>
    </row>
    <row r="7131" spans="7:14" x14ac:dyDescent="0.75">
      <c r="G7131" s="10"/>
      <c r="H7131" s="10"/>
      <c r="I7131" s="39"/>
      <c r="J7131" s="103"/>
      <c r="K7131" s="39"/>
      <c r="L7131" s="10"/>
      <c r="M7131" s="19"/>
      <c r="N7131" s="10"/>
    </row>
    <row r="7132" spans="7:14" x14ac:dyDescent="0.75">
      <c r="G7132" s="10"/>
      <c r="H7132" s="10"/>
      <c r="I7132" s="39"/>
      <c r="J7132" s="103"/>
      <c r="K7132" s="39"/>
      <c r="L7132" s="10"/>
      <c r="M7132" s="19"/>
      <c r="N7132" s="10"/>
    </row>
    <row r="7133" spans="7:14" x14ac:dyDescent="0.75">
      <c r="G7133" s="10"/>
      <c r="H7133" s="10"/>
      <c r="I7133" s="39"/>
      <c r="J7133" s="103"/>
      <c r="K7133" s="39"/>
      <c r="L7133" s="10"/>
      <c r="M7133" s="19"/>
      <c r="N7133" s="10"/>
    </row>
    <row r="7134" spans="7:14" x14ac:dyDescent="0.75">
      <c r="G7134" s="10"/>
      <c r="H7134" s="10"/>
      <c r="I7134" s="39"/>
      <c r="J7134" s="103"/>
      <c r="K7134" s="39"/>
      <c r="L7134" s="10"/>
      <c r="M7134" s="19"/>
      <c r="N7134" s="10"/>
    </row>
    <row r="7135" spans="7:14" x14ac:dyDescent="0.75">
      <c r="G7135" s="10"/>
      <c r="H7135" s="10"/>
      <c r="I7135" s="39"/>
      <c r="J7135" s="103"/>
      <c r="K7135" s="39"/>
      <c r="L7135" s="10"/>
      <c r="M7135" s="19"/>
      <c r="N7135" s="10"/>
    </row>
    <row r="7136" spans="7:14" x14ac:dyDescent="0.75">
      <c r="G7136" s="10"/>
      <c r="H7136" s="10"/>
      <c r="I7136" s="39"/>
      <c r="J7136" s="103"/>
      <c r="K7136" s="39"/>
      <c r="L7136" s="10"/>
      <c r="M7136" s="19"/>
      <c r="N7136" s="10"/>
    </row>
    <row r="7137" spans="7:14" x14ac:dyDescent="0.75">
      <c r="G7137" s="10"/>
      <c r="H7137" s="10"/>
      <c r="I7137" s="39"/>
      <c r="J7137" s="103"/>
      <c r="K7137" s="39"/>
      <c r="L7137" s="10"/>
      <c r="M7137" s="19"/>
      <c r="N7137" s="10"/>
    </row>
    <row r="7138" spans="7:14" x14ac:dyDescent="0.75">
      <c r="G7138" s="10"/>
      <c r="H7138" s="10"/>
      <c r="I7138" s="39"/>
      <c r="J7138" s="103"/>
      <c r="K7138" s="39"/>
      <c r="L7138" s="10"/>
      <c r="M7138" s="19"/>
      <c r="N7138" s="10"/>
    </row>
    <row r="7139" spans="7:14" x14ac:dyDescent="0.75">
      <c r="G7139" s="10"/>
      <c r="H7139" s="10"/>
      <c r="I7139" s="39"/>
      <c r="J7139" s="103"/>
      <c r="K7139" s="39"/>
      <c r="L7139" s="10"/>
      <c r="M7139" s="19"/>
      <c r="N7139" s="10"/>
    </row>
    <row r="7140" spans="7:14" x14ac:dyDescent="0.75">
      <c r="G7140" s="10"/>
      <c r="H7140" s="10"/>
      <c r="I7140" s="39"/>
      <c r="J7140" s="103"/>
      <c r="K7140" s="39"/>
      <c r="L7140" s="10"/>
      <c r="M7140" s="19"/>
      <c r="N7140" s="10"/>
    </row>
    <row r="7141" spans="7:14" x14ac:dyDescent="0.75">
      <c r="G7141" s="10"/>
      <c r="H7141" s="10"/>
      <c r="I7141" s="39"/>
      <c r="J7141" s="103"/>
      <c r="K7141" s="39"/>
      <c r="L7141" s="10"/>
      <c r="M7141" s="19"/>
      <c r="N7141" s="10"/>
    </row>
    <row r="7142" spans="7:14" x14ac:dyDescent="0.75">
      <c r="G7142" s="10"/>
      <c r="H7142" s="10"/>
      <c r="I7142" s="39"/>
      <c r="J7142" s="103"/>
      <c r="K7142" s="39"/>
      <c r="L7142" s="10"/>
      <c r="M7142" s="19"/>
      <c r="N7142" s="10"/>
    </row>
    <row r="7143" spans="7:14" x14ac:dyDescent="0.75">
      <c r="G7143" s="10"/>
      <c r="H7143" s="10"/>
      <c r="I7143" s="39"/>
      <c r="J7143" s="103"/>
      <c r="K7143" s="39"/>
      <c r="L7143" s="10"/>
      <c r="M7143" s="19"/>
      <c r="N7143" s="10"/>
    </row>
    <row r="7144" spans="7:14" x14ac:dyDescent="0.75">
      <c r="G7144" s="10"/>
      <c r="H7144" s="10"/>
      <c r="I7144" s="39"/>
      <c r="J7144" s="103"/>
      <c r="K7144" s="39"/>
      <c r="L7144" s="10"/>
      <c r="M7144" s="19"/>
      <c r="N7144" s="10"/>
    </row>
    <row r="7145" spans="7:14" x14ac:dyDescent="0.75">
      <c r="G7145" s="10"/>
      <c r="H7145" s="10"/>
      <c r="I7145" s="39"/>
      <c r="J7145" s="103"/>
      <c r="K7145" s="39"/>
      <c r="L7145" s="10"/>
      <c r="M7145" s="19"/>
      <c r="N7145" s="10"/>
    </row>
    <row r="7146" spans="7:14" x14ac:dyDescent="0.75">
      <c r="G7146" s="10"/>
      <c r="H7146" s="10"/>
      <c r="I7146" s="39"/>
      <c r="J7146" s="103"/>
      <c r="K7146" s="39"/>
      <c r="L7146" s="10"/>
      <c r="M7146" s="19"/>
      <c r="N7146" s="10"/>
    </row>
    <row r="7147" spans="7:14" x14ac:dyDescent="0.75">
      <c r="G7147" s="10"/>
      <c r="H7147" s="10"/>
      <c r="I7147" s="39"/>
      <c r="J7147" s="103"/>
      <c r="K7147" s="39"/>
      <c r="L7147" s="10"/>
      <c r="M7147" s="19"/>
      <c r="N7147" s="10"/>
    </row>
    <row r="7148" spans="7:14" x14ac:dyDescent="0.75">
      <c r="G7148" s="10"/>
      <c r="H7148" s="10"/>
      <c r="I7148" s="39"/>
      <c r="J7148" s="103"/>
      <c r="K7148" s="39"/>
      <c r="L7148" s="10"/>
      <c r="M7148" s="19"/>
      <c r="N7148" s="10"/>
    </row>
    <row r="7149" spans="7:14" x14ac:dyDescent="0.75">
      <c r="G7149" s="10"/>
      <c r="H7149" s="10"/>
      <c r="I7149" s="39"/>
      <c r="J7149" s="103"/>
      <c r="K7149" s="39"/>
      <c r="L7149" s="10"/>
      <c r="M7149" s="19"/>
      <c r="N7149" s="10"/>
    </row>
    <row r="7150" spans="7:14" x14ac:dyDescent="0.75">
      <c r="G7150" s="10"/>
      <c r="H7150" s="10"/>
      <c r="I7150" s="39"/>
      <c r="J7150" s="103"/>
      <c r="K7150" s="39"/>
      <c r="L7150" s="10"/>
      <c r="M7150" s="19"/>
      <c r="N7150" s="10"/>
    </row>
    <row r="7151" spans="7:14" x14ac:dyDescent="0.75">
      <c r="G7151" s="10"/>
      <c r="H7151" s="10"/>
      <c r="I7151" s="39"/>
      <c r="J7151" s="103"/>
      <c r="K7151" s="39"/>
      <c r="L7151" s="10"/>
      <c r="M7151" s="19"/>
      <c r="N7151" s="10"/>
    </row>
    <row r="7152" spans="7:14" x14ac:dyDescent="0.75">
      <c r="G7152" s="10"/>
      <c r="H7152" s="10"/>
      <c r="I7152" s="39"/>
      <c r="J7152" s="103"/>
      <c r="K7152" s="39"/>
      <c r="L7152" s="10"/>
      <c r="M7152" s="19"/>
      <c r="N7152" s="10"/>
    </row>
    <row r="7153" spans="7:14" x14ac:dyDescent="0.75">
      <c r="G7153" s="10"/>
      <c r="H7153" s="10"/>
      <c r="I7153" s="39"/>
      <c r="J7153" s="103"/>
      <c r="K7153" s="39"/>
      <c r="L7153" s="10"/>
      <c r="M7153" s="19"/>
      <c r="N7153" s="10"/>
    </row>
    <row r="7154" spans="7:14" x14ac:dyDescent="0.75">
      <c r="G7154" s="10"/>
      <c r="H7154" s="10"/>
      <c r="I7154" s="39"/>
      <c r="J7154" s="103"/>
      <c r="K7154" s="39"/>
      <c r="L7154" s="10"/>
      <c r="M7154" s="19"/>
      <c r="N7154" s="10"/>
    </row>
    <row r="7155" spans="7:14" x14ac:dyDescent="0.75">
      <c r="G7155" s="10"/>
      <c r="H7155" s="10"/>
      <c r="I7155" s="39"/>
      <c r="J7155" s="103"/>
      <c r="K7155" s="39"/>
      <c r="L7155" s="10"/>
      <c r="M7155" s="19"/>
      <c r="N7155" s="10"/>
    </row>
    <row r="7156" spans="7:14" x14ac:dyDescent="0.75">
      <c r="G7156" s="10"/>
      <c r="H7156" s="10"/>
      <c r="I7156" s="39"/>
      <c r="J7156" s="103"/>
      <c r="K7156" s="39"/>
      <c r="L7156" s="10"/>
      <c r="M7156" s="19"/>
      <c r="N7156" s="10"/>
    </row>
    <row r="7157" spans="7:14" x14ac:dyDescent="0.75">
      <c r="G7157" s="10"/>
      <c r="H7157" s="10"/>
      <c r="I7157" s="39"/>
      <c r="J7157" s="103"/>
      <c r="K7157" s="39"/>
      <c r="L7157" s="10"/>
      <c r="M7157" s="19"/>
      <c r="N7157" s="10"/>
    </row>
    <row r="7158" spans="7:14" x14ac:dyDescent="0.75">
      <c r="G7158" s="10"/>
      <c r="H7158" s="10"/>
      <c r="I7158" s="39"/>
      <c r="J7158" s="103"/>
      <c r="K7158" s="39"/>
      <c r="L7158" s="10"/>
      <c r="M7158" s="19"/>
      <c r="N7158" s="10"/>
    </row>
    <row r="7159" spans="7:14" x14ac:dyDescent="0.75">
      <c r="G7159" s="10"/>
      <c r="H7159" s="10"/>
      <c r="I7159" s="39"/>
      <c r="J7159" s="103"/>
      <c r="K7159" s="39"/>
      <c r="L7159" s="10"/>
      <c r="M7159" s="19"/>
      <c r="N7159" s="10"/>
    </row>
    <row r="7160" spans="7:14" x14ac:dyDescent="0.75">
      <c r="G7160" s="10"/>
      <c r="H7160" s="10"/>
      <c r="I7160" s="39"/>
      <c r="J7160" s="103"/>
      <c r="K7160" s="39"/>
      <c r="L7160" s="10"/>
      <c r="M7160" s="19"/>
      <c r="N7160" s="10"/>
    </row>
    <row r="7161" spans="7:14" x14ac:dyDescent="0.75">
      <c r="G7161" s="10"/>
      <c r="H7161" s="10"/>
      <c r="I7161" s="39"/>
      <c r="J7161" s="103"/>
      <c r="K7161" s="39"/>
      <c r="L7161" s="10"/>
      <c r="M7161" s="19"/>
      <c r="N7161" s="10"/>
    </row>
    <row r="7162" spans="7:14" x14ac:dyDescent="0.75">
      <c r="G7162" s="10"/>
      <c r="H7162" s="10"/>
      <c r="I7162" s="39"/>
      <c r="J7162" s="103"/>
      <c r="K7162" s="39"/>
      <c r="L7162" s="10"/>
      <c r="M7162" s="19"/>
      <c r="N7162" s="10"/>
    </row>
    <row r="7163" spans="7:14" x14ac:dyDescent="0.75">
      <c r="G7163" s="10"/>
      <c r="H7163" s="10"/>
      <c r="I7163" s="39"/>
      <c r="J7163" s="103"/>
      <c r="K7163" s="39"/>
      <c r="L7163" s="10"/>
      <c r="M7163" s="19"/>
      <c r="N7163" s="10"/>
    </row>
    <row r="7164" spans="7:14" x14ac:dyDescent="0.75">
      <c r="G7164" s="10"/>
      <c r="H7164" s="10"/>
      <c r="I7164" s="39"/>
      <c r="J7164" s="103"/>
      <c r="K7164" s="39"/>
      <c r="L7164" s="10"/>
      <c r="M7164" s="19"/>
      <c r="N7164" s="10"/>
    </row>
    <row r="7165" spans="7:14" x14ac:dyDescent="0.75">
      <c r="G7165" s="10"/>
      <c r="H7165" s="10"/>
      <c r="I7165" s="39"/>
      <c r="J7165" s="103"/>
      <c r="K7165" s="39"/>
      <c r="L7165" s="10"/>
      <c r="M7165" s="19"/>
      <c r="N7165" s="10"/>
    </row>
    <row r="7166" spans="7:14" x14ac:dyDescent="0.75">
      <c r="G7166" s="10"/>
      <c r="H7166" s="10"/>
      <c r="I7166" s="39"/>
      <c r="J7166" s="103"/>
      <c r="K7166" s="39"/>
      <c r="L7166" s="10"/>
      <c r="M7166" s="19"/>
      <c r="N7166" s="10"/>
    </row>
    <row r="7167" spans="7:14" x14ac:dyDescent="0.75">
      <c r="G7167" s="10"/>
      <c r="H7167" s="10"/>
      <c r="I7167" s="39"/>
      <c r="J7167" s="103"/>
      <c r="K7167" s="39"/>
      <c r="L7167" s="10"/>
      <c r="M7167" s="19"/>
      <c r="N7167" s="10"/>
    </row>
    <row r="7168" spans="7:14" x14ac:dyDescent="0.75">
      <c r="G7168" s="10"/>
      <c r="H7168" s="10"/>
      <c r="I7168" s="39"/>
      <c r="J7168" s="103"/>
      <c r="K7168" s="39"/>
      <c r="L7168" s="10"/>
      <c r="M7168" s="19"/>
      <c r="N7168" s="10"/>
    </row>
    <row r="7169" spans="7:14" x14ac:dyDescent="0.75">
      <c r="G7169" s="10"/>
      <c r="H7169" s="10"/>
      <c r="I7169" s="39"/>
      <c r="J7169" s="103"/>
      <c r="K7169" s="39"/>
      <c r="L7169" s="10"/>
      <c r="M7169" s="19"/>
      <c r="N7169" s="10"/>
    </row>
    <row r="7170" spans="7:14" x14ac:dyDescent="0.75">
      <c r="G7170" s="10"/>
      <c r="H7170" s="10"/>
      <c r="I7170" s="39"/>
      <c r="J7170" s="103"/>
      <c r="K7170" s="39"/>
      <c r="L7170" s="10"/>
      <c r="M7170" s="19"/>
      <c r="N7170" s="10"/>
    </row>
    <row r="7171" spans="7:14" x14ac:dyDescent="0.75">
      <c r="G7171" s="10"/>
      <c r="H7171" s="10"/>
      <c r="I7171" s="39"/>
      <c r="J7171" s="103"/>
      <c r="K7171" s="39"/>
      <c r="L7171" s="10"/>
      <c r="M7171" s="19"/>
      <c r="N7171" s="10"/>
    </row>
    <row r="7172" spans="7:14" x14ac:dyDescent="0.75">
      <c r="G7172" s="10"/>
      <c r="H7172" s="10"/>
      <c r="I7172" s="39"/>
      <c r="J7172" s="103"/>
      <c r="K7172" s="39"/>
      <c r="L7172" s="10"/>
      <c r="M7172" s="19"/>
      <c r="N7172" s="10"/>
    </row>
    <row r="7173" spans="7:14" x14ac:dyDescent="0.75">
      <c r="G7173" s="10"/>
      <c r="H7173" s="10"/>
      <c r="I7173" s="39"/>
      <c r="J7173" s="103"/>
      <c r="K7173" s="39"/>
      <c r="L7173" s="10"/>
      <c r="M7173" s="19"/>
      <c r="N7173" s="10"/>
    </row>
    <row r="7174" spans="7:14" x14ac:dyDescent="0.75">
      <c r="G7174" s="10"/>
      <c r="H7174" s="10"/>
      <c r="I7174" s="39"/>
      <c r="J7174" s="103"/>
      <c r="K7174" s="39"/>
      <c r="L7174" s="10"/>
      <c r="M7174" s="19"/>
      <c r="N7174" s="10"/>
    </row>
    <row r="7175" spans="7:14" x14ac:dyDescent="0.75">
      <c r="G7175" s="10"/>
      <c r="H7175" s="10"/>
      <c r="I7175" s="39"/>
      <c r="J7175" s="103"/>
      <c r="K7175" s="39"/>
      <c r="L7175" s="10"/>
      <c r="M7175" s="19"/>
      <c r="N7175" s="10"/>
    </row>
    <row r="7176" spans="7:14" x14ac:dyDescent="0.75">
      <c r="G7176" s="10"/>
      <c r="H7176" s="10"/>
      <c r="I7176" s="39"/>
      <c r="J7176" s="103"/>
      <c r="K7176" s="39"/>
      <c r="L7176" s="10"/>
      <c r="M7176" s="19"/>
      <c r="N7176" s="10"/>
    </row>
    <row r="7177" spans="7:14" x14ac:dyDescent="0.75">
      <c r="G7177" s="10"/>
      <c r="H7177" s="10"/>
      <c r="I7177" s="39"/>
      <c r="J7177" s="103"/>
      <c r="K7177" s="39"/>
      <c r="L7177" s="10"/>
      <c r="M7177" s="19"/>
      <c r="N7177" s="10"/>
    </row>
    <row r="7178" spans="7:14" x14ac:dyDescent="0.75">
      <c r="G7178" s="10"/>
      <c r="H7178" s="10"/>
      <c r="I7178" s="39"/>
      <c r="J7178" s="103"/>
      <c r="K7178" s="39"/>
      <c r="L7178" s="10"/>
      <c r="M7178" s="19"/>
      <c r="N7178" s="10"/>
    </row>
    <row r="7179" spans="7:14" x14ac:dyDescent="0.75">
      <c r="G7179" s="10"/>
      <c r="H7179" s="10"/>
      <c r="I7179" s="39"/>
      <c r="J7179" s="103"/>
      <c r="K7179" s="39"/>
      <c r="L7179" s="10"/>
      <c r="M7179" s="19"/>
      <c r="N7179" s="10"/>
    </row>
    <row r="7180" spans="7:14" x14ac:dyDescent="0.75">
      <c r="G7180" s="10"/>
      <c r="H7180" s="10"/>
      <c r="I7180" s="39"/>
      <c r="J7180" s="103"/>
      <c r="K7180" s="39"/>
      <c r="L7180" s="10"/>
      <c r="M7180" s="19"/>
      <c r="N7180" s="10"/>
    </row>
    <row r="7181" spans="7:14" x14ac:dyDescent="0.75">
      <c r="G7181" s="10"/>
      <c r="H7181" s="10"/>
      <c r="I7181" s="39"/>
      <c r="J7181" s="103"/>
      <c r="K7181" s="39"/>
      <c r="L7181" s="10"/>
      <c r="M7181" s="19"/>
      <c r="N7181" s="10"/>
    </row>
    <row r="7182" spans="7:14" x14ac:dyDescent="0.75">
      <c r="G7182" s="10"/>
      <c r="H7182" s="10"/>
      <c r="I7182" s="39"/>
      <c r="J7182" s="103"/>
      <c r="K7182" s="39"/>
      <c r="L7182" s="10"/>
      <c r="M7182" s="19"/>
      <c r="N7182" s="10"/>
    </row>
    <row r="7183" spans="7:14" x14ac:dyDescent="0.75">
      <c r="G7183" s="10"/>
      <c r="H7183" s="10"/>
      <c r="I7183" s="39"/>
      <c r="J7183" s="103"/>
      <c r="K7183" s="39"/>
      <c r="L7183" s="10"/>
      <c r="M7183" s="19"/>
      <c r="N7183" s="10"/>
    </row>
    <row r="7184" spans="7:14" x14ac:dyDescent="0.75">
      <c r="G7184" s="10"/>
      <c r="H7184" s="10"/>
      <c r="I7184" s="39"/>
      <c r="J7184" s="103"/>
      <c r="K7184" s="39"/>
      <c r="L7184" s="10"/>
      <c r="M7184" s="19"/>
      <c r="N7184" s="10"/>
    </row>
    <row r="7185" spans="7:14" x14ac:dyDescent="0.75">
      <c r="G7185" s="10"/>
      <c r="H7185" s="10"/>
      <c r="I7185" s="39"/>
      <c r="J7185" s="103"/>
      <c r="K7185" s="39"/>
      <c r="L7185" s="10"/>
      <c r="M7185" s="19"/>
      <c r="N7185" s="10"/>
    </row>
    <row r="7186" spans="7:14" x14ac:dyDescent="0.75">
      <c r="G7186" s="10"/>
      <c r="H7186" s="10"/>
      <c r="I7186" s="39"/>
      <c r="J7186" s="103"/>
      <c r="K7186" s="39"/>
      <c r="L7186" s="10"/>
      <c r="M7186" s="19"/>
      <c r="N7186" s="10"/>
    </row>
    <row r="7187" spans="7:14" x14ac:dyDescent="0.75">
      <c r="G7187" s="10"/>
      <c r="H7187" s="10"/>
      <c r="I7187" s="39"/>
      <c r="J7187" s="103"/>
      <c r="K7187" s="39"/>
      <c r="L7187" s="10"/>
      <c r="M7187" s="19"/>
      <c r="N7187" s="10"/>
    </row>
    <row r="7188" spans="7:14" x14ac:dyDescent="0.75">
      <c r="G7188" s="10"/>
      <c r="H7188" s="10"/>
      <c r="I7188" s="39"/>
      <c r="J7188" s="103"/>
      <c r="K7188" s="39"/>
      <c r="L7188" s="10"/>
      <c r="M7188" s="19"/>
      <c r="N7188" s="10"/>
    </row>
    <row r="7189" spans="7:14" x14ac:dyDescent="0.75">
      <c r="G7189" s="10"/>
      <c r="H7189" s="10"/>
      <c r="I7189" s="39"/>
      <c r="J7189" s="103"/>
      <c r="K7189" s="39"/>
      <c r="L7189" s="10"/>
      <c r="M7189" s="19"/>
      <c r="N7189" s="10"/>
    </row>
    <row r="7190" spans="7:14" x14ac:dyDescent="0.75">
      <c r="G7190" s="10"/>
      <c r="H7190" s="10"/>
      <c r="I7190" s="39"/>
      <c r="J7190" s="103"/>
      <c r="K7190" s="39"/>
      <c r="L7190" s="10"/>
      <c r="M7190" s="19"/>
      <c r="N7190" s="10"/>
    </row>
    <row r="7191" spans="7:14" x14ac:dyDescent="0.75">
      <c r="G7191" s="10"/>
      <c r="H7191" s="10"/>
      <c r="I7191" s="39"/>
      <c r="J7191" s="103"/>
      <c r="K7191" s="39"/>
      <c r="L7191" s="10"/>
      <c r="M7191" s="19"/>
      <c r="N7191" s="10"/>
    </row>
    <row r="7192" spans="7:14" x14ac:dyDescent="0.75">
      <c r="G7192" s="10"/>
      <c r="H7192" s="10"/>
      <c r="I7192" s="39"/>
      <c r="J7192" s="103"/>
      <c r="K7192" s="39"/>
      <c r="L7192" s="10"/>
      <c r="M7192" s="19"/>
      <c r="N7192" s="10"/>
    </row>
    <row r="7193" spans="7:14" x14ac:dyDescent="0.75">
      <c r="G7193" s="10"/>
      <c r="H7193" s="10"/>
      <c r="I7193" s="39"/>
      <c r="J7193" s="103"/>
      <c r="K7193" s="39"/>
      <c r="L7193" s="10"/>
      <c r="M7193" s="19"/>
      <c r="N7193" s="10"/>
    </row>
    <row r="7194" spans="7:14" x14ac:dyDescent="0.75">
      <c r="G7194" s="10"/>
      <c r="H7194" s="10"/>
      <c r="I7194" s="39"/>
      <c r="J7194" s="103"/>
      <c r="K7194" s="39"/>
      <c r="L7194" s="10"/>
      <c r="M7194" s="19"/>
      <c r="N7194" s="10"/>
    </row>
    <row r="7195" spans="7:14" x14ac:dyDescent="0.75">
      <c r="G7195" s="10"/>
      <c r="H7195" s="10"/>
      <c r="I7195" s="39"/>
      <c r="J7195" s="103"/>
      <c r="K7195" s="39"/>
      <c r="L7195" s="10"/>
      <c r="M7195" s="19"/>
      <c r="N7195" s="10"/>
    </row>
    <row r="7196" spans="7:14" x14ac:dyDescent="0.75">
      <c r="G7196" s="10"/>
      <c r="H7196" s="10"/>
      <c r="I7196" s="39"/>
      <c r="J7196" s="103"/>
      <c r="K7196" s="39"/>
      <c r="L7196" s="10"/>
      <c r="M7196" s="19"/>
      <c r="N7196" s="10"/>
    </row>
    <row r="7197" spans="7:14" x14ac:dyDescent="0.75">
      <c r="G7197" s="10"/>
      <c r="H7197" s="10"/>
      <c r="I7197" s="39"/>
      <c r="J7197" s="103"/>
      <c r="K7197" s="39"/>
      <c r="L7197" s="10"/>
      <c r="M7197" s="19"/>
      <c r="N7197" s="10"/>
    </row>
    <row r="7198" spans="7:14" x14ac:dyDescent="0.75">
      <c r="G7198" s="10"/>
      <c r="H7198" s="10"/>
      <c r="I7198" s="39"/>
      <c r="J7198" s="103"/>
      <c r="K7198" s="39"/>
      <c r="L7198" s="10"/>
      <c r="M7198" s="19"/>
      <c r="N7198" s="10"/>
    </row>
    <row r="7199" spans="7:14" x14ac:dyDescent="0.75">
      <c r="G7199" s="10"/>
      <c r="H7199" s="10"/>
      <c r="I7199" s="39"/>
      <c r="J7199" s="103"/>
      <c r="K7199" s="39"/>
      <c r="L7199" s="10"/>
      <c r="M7199" s="19"/>
      <c r="N7199" s="10"/>
    </row>
    <row r="7200" spans="7:14" x14ac:dyDescent="0.75">
      <c r="G7200" s="10"/>
      <c r="H7200" s="10"/>
      <c r="I7200" s="39"/>
      <c r="J7200" s="103"/>
      <c r="K7200" s="39"/>
      <c r="L7200" s="10"/>
      <c r="M7200" s="19"/>
      <c r="N7200" s="10"/>
    </row>
    <row r="7201" spans="7:14" x14ac:dyDescent="0.75">
      <c r="G7201" s="10"/>
      <c r="H7201" s="10"/>
      <c r="I7201" s="39"/>
      <c r="J7201" s="103"/>
      <c r="K7201" s="39"/>
      <c r="L7201" s="10"/>
      <c r="M7201" s="19"/>
      <c r="N7201" s="10"/>
    </row>
    <row r="7202" spans="7:14" x14ac:dyDescent="0.75">
      <c r="G7202" s="10"/>
      <c r="H7202" s="10"/>
      <c r="I7202" s="39"/>
      <c r="J7202" s="103"/>
      <c r="K7202" s="39"/>
      <c r="L7202" s="10"/>
      <c r="M7202" s="19"/>
      <c r="N7202" s="10"/>
    </row>
    <row r="7203" spans="7:14" x14ac:dyDescent="0.75">
      <c r="G7203" s="10"/>
      <c r="H7203" s="10"/>
      <c r="I7203" s="39"/>
      <c r="J7203" s="103"/>
      <c r="K7203" s="39"/>
      <c r="L7203" s="10"/>
      <c r="M7203" s="19"/>
      <c r="N7203" s="10"/>
    </row>
    <row r="7204" spans="7:14" x14ac:dyDescent="0.75">
      <c r="G7204" s="10"/>
      <c r="H7204" s="10"/>
      <c r="I7204" s="39"/>
      <c r="J7204" s="103"/>
      <c r="K7204" s="39"/>
      <c r="L7204" s="10"/>
      <c r="M7204" s="19"/>
      <c r="N7204" s="10"/>
    </row>
    <row r="7205" spans="7:14" x14ac:dyDescent="0.75">
      <c r="G7205" s="10"/>
      <c r="H7205" s="10"/>
      <c r="I7205" s="39"/>
      <c r="J7205" s="103"/>
      <c r="K7205" s="39"/>
      <c r="L7205" s="10"/>
      <c r="M7205" s="19"/>
      <c r="N7205" s="10"/>
    </row>
    <row r="7206" spans="7:14" x14ac:dyDescent="0.75">
      <c r="G7206" s="10"/>
      <c r="H7206" s="10"/>
      <c r="I7206" s="39"/>
      <c r="J7206" s="103"/>
      <c r="K7206" s="39"/>
      <c r="L7206" s="10"/>
      <c r="M7206" s="19"/>
      <c r="N7206" s="10"/>
    </row>
    <row r="7207" spans="7:14" x14ac:dyDescent="0.75">
      <c r="G7207" s="10"/>
      <c r="H7207" s="10"/>
      <c r="I7207" s="39"/>
      <c r="J7207" s="103"/>
      <c r="K7207" s="39"/>
      <c r="L7207" s="10"/>
      <c r="M7207" s="19"/>
      <c r="N7207" s="10"/>
    </row>
    <row r="7208" spans="7:14" x14ac:dyDescent="0.75">
      <c r="G7208" s="10"/>
      <c r="H7208" s="10"/>
      <c r="I7208" s="39"/>
      <c r="J7208" s="103"/>
      <c r="K7208" s="39"/>
      <c r="L7208" s="10"/>
      <c r="M7208" s="19"/>
      <c r="N7208" s="10"/>
    </row>
    <row r="7209" spans="7:14" x14ac:dyDescent="0.75">
      <c r="G7209" s="10"/>
      <c r="H7209" s="10"/>
      <c r="I7209" s="39"/>
      <c r="J7209" s="103"/>
      <c r="K7209" s="39"/>
      <c r="L7209" s="10"/>
      <c r="M7209" s="19"/>
      <c r="N7209" s="10"/>
    </row>
    <row r="7210" spans="7:14" x14ac:dyDescent="0.75">
      <c r="G7210" s="10"/>
      <c r="H7210" s="10"/>
      <c r="I7210" s="39"/>
      <c r="J7210" s="103"/>
      <c r="K7210" s="39"/>
      <c r="L7210" s="10"/>
      <c r="M7210" s="19"/>
      <c r="N7210" s="10"/>
    </row>
    <row r="7211" spans="7:14" x14ac:dyDescent="0.75">
      <c r="G7211" s="10"/>
      <c r="H7211" s="10"/>
      <c r="I7211" s="39"/>
      <c r="J7211" s="103"/>
      <c r="K7211" s="39"/>
      <c r="L7211" s="10"/>
      <c r="M7211" s="19"/>
      <c r="N7211" s="10"/>
    </row>
    <row r="7212" spans="7:14" x14ac:dyDescent="0.75">
      <c r="G7212" s="10"/>
      <c r="H7212" s="10"/>
      <c r="I7212" s="39"/>
      <c r="J7212" s="103"/>
      <c r="K7212" s="39"/>
      <c r="L7212" s="10"/>
      <c r="M7212" s="19"/>
      <c r="N7212" s="10"/>
    </row>
    <row r="7213" spans="7:14" x14ac:dyDescent="0.75">
      <c r="G7213" s="10"/>
      <c r="H7213" s="10"/>
      <c r="I7213" s="39"/>
      <c r="J7213" s="103"/>
      <c r="K7213" s="39"/>
      <c r="L7213" s="10"/>
      <c r="M7213" s="19"/>
      <c r="N7213" s="10"/>
    </row>
    <row r="7214" spans="7:14" x14ac:dyDescent="0.75">
      <c r="G7214" s="10"/>
      <c r="H7214" s="10"/>
      <c r="I7214" s="39"/>
      <c r="J7214" s="103"/>
      <c r="K7214" s="39"/>
      <c r="L7214" s="10"/>
      <c r="M7214" s="19"/>
      <c r="N7214" s="10"/>
    </row>
    <row r="7215" spans="7:14" x14ac:dyDescent="0.75">
      <c r="G7215" s="10"/>
      <c r="H7215" s="10"/>
      <c r="I7215" s="39"/>
      <c r="J7215" s="103"/>
      <c r="K7215" s="39"/>
      <c r="L7215" s="10"/>
      <c r="M7215" s="19"/>
      <c r="N7215" s="10"/>
    </row>
    <row r="7216" spans="7:14" x14ac:dyDescent="0.75">
      <c r="G7216" s="10"/>
      <c r="H7216" s="10"/>
      <c r="I7216" s="39"/>
      <c r="J7216" s="103"/>
      <c r="K7216" s="39"/>
      <c r="L7216" s="10"/>
      <c r="M7216" s="19"/>
      <c r="N7216" s="10"/>
    </row>
    <row r="7217" spans="7:14" x14ac:dyDescent="0.75">
      <c r="G7217" s="10"/>
      <c r="H7217" s="10"/>
      <c r="I7217" s="39"/>
      <c r="J7217" s="103"/>
      <c r="K7217" s="39"/>
      <c r="L7217" s="10"/>
      <c r="M7217" s="19"/>
      <c r="N7217" s="10"/>
    </row>
    <row r="7218" spans="7:14" x14ac:dyDescent="0.75">
      <c r="G7218" s="10"/>
      <c r="H7218" s="10"/>
      <c r="I7218" s="39"/>
      <c r="J7218" s="103"/>
      <c r="K7218" s="39"/>
      <c r="L7218" s="10"/>
      <c r="M7218" s="19"/>
      <c r="N7218" s="10"/>
    </row>
    <row r="7219" spans="7:14" x14ac:dyDescent="0.75">
      <c r="G7219" s="10"/>
      <c r="H7219" s="10"/>
      <c r="I7219" s="39"/>
      <c r="J7219" s="103"/>
      <c r="K7219" s="39"/>
      <c r="L7219" s="10"/>
      <c r="M7219" s="19"/>
      <c r="N7219" s="10"/>
    </row>
    <row r="7220" spans="7:14" x14ac:dyDescent="0.75">
      <c r="G7220" s="10"/>
      <c r="H7220" s="10"/>
      <c r="I7220" s="39"/>
      <c r="J7220" s="103"/>
      <c r="K7220" s="39"/>
      <c r="L7220" s="10"/>
      <c r="M7220" s="19"/>
      <c r="N7220" s="10"/>
    </row>
    <row r="7221" spans="7:14" x14ac:dyDescent="0.75">
      <c r="G7221" s="10"/>
      <c r="H7221" s="10"/>
      <c r="I7221" s="39"/>
      <c r="J7221" s="103"/>
      <c r="K7221" s="39"/>
      <c r="L7221" s="10"/>
      <c r="M7221" s="19"/>
      <c r="N7221" s="10"/>
    </row>
    <row r="7222" spans="7:14" x14ac:dyDescent="0.75">
      <c r="G7222" s="10"/>
      <c r="H7222" s="10"/>
      <c r="I7222" s="39"/>
      <c r="J7222" s="103"/>
      <c r="K7222" s="39"/>
      <c r="L7222" s="10"/>
      <c r="M7222" s="19"/>
      <c r="N7222" s="10"/>
    </row>
    <row r="7223" spans="7:14" x14ac:dyDescent="0.75">
      <c r="G7223" s="10"/>
      <c r="H7223" s="10"/>
      <c r="I7223" s="39"/>
      <c r="J7223" s="103"/>
      <c r="K7223" s="39"/>
      <c r="L7223" s="10"/>
      <c r="M7223" s="19"/>
      <c r="N7223" s="10"/>
    </row>
    <row r="7224" spans="7:14" x14ac:dyDescent="0.75">
      <c r="G7224" s="10"/>
      <c r="H7224" s="10"/>
      <c r="I7224" s="39"/>
      <c r="J7224" s="103"/>
      <c r="K7224" s="39"/>
      <c r="L7224" s="10"/>
      <c r="M7224" s="19"/>
      <c r="N7224" s="10"/>
    </row>
    <row r="7225" spans="7:14" x14ac:dyDescent="0.75">
      <c r="G7225" s="10"/>
      <c r="H7225" s="10"/>
      <c r="I7225" s="39"/>
      <c r="J7225" s="103"/>
      <c r="K7225" s="39"/>
      <c r="L7225" s="10"/>
      <c r="M7225" s="19"/>
      <c r="N7225" s="10"/>
    </row>
    <row r="7226" spans="7:14" x14ac:dyDescent="0.75">
      <c r="G7226" s="10"/>
      <c r="H7226" s="10"/>
      <c r="I7226" s="39"/>
      <c r="J7226" s="103"/>
      <c r="K7226" s="39"/>
      <c r="L7226" s="10"/>
      <c r="M7226" s="19"/>
      <c r="N7226" s="10"/>
    </row>
    <row r="7227" spans="7:14" x14ac:dyDescent="0.75">
      <c r="G7227" s="10"/>
      <c r="H7227" s="10"/>
      <c r="I7227" s="10"/>
      <c r="J7227" s="102"/>
      <c r="K7227" s="10"/>
      <c r="L7227" s="10"/>
      <c r="M7227" s="19"/>
      <c r="N7227" s="10"/>
    </row>
    <row r="7228" spans="7:14" x14ac:dyDescent="0.75">
      <c r="G7228" s="10"/>
      <c r="H7228" s="10"/>
      <c r="I7228" s="10"/>
      <c r="J7228" s="102"/>
      <c r="K7228" s="10"/>
      <c r="L7228" s="10"/>
      <c r="M7228" s="19"/>
      <c r="N7228" s="10"/>
    </row>
    <row r="7229" spans="7:14" x14ac:dyDescent="0.75">
      <c r="G7229" s="10"/>
      <c r="H7229" s="10"/>
      <c r="I7229" s="10"/>
      <c r="J7229" s="102"/>
      <c r="K7229" s="10"/>
      <c r="L7229" s="10"/>
      <c r="M7229" s="19"/>
      <c r="N7229" s="10"/>
    </row>
    <row r="7230" spans="7:14" x14ac:dyDescent="0.75">
      <c r="G7230" s="10"/>
      <c r="H7230" s="10"/>
      <c r="I7230" s="10"/>
      <c r="J7230" s="102"/>
      <c r="K7230" s="10"/>
      <c r="L7230" s="10"/>
      <c r="M7230" s="19"/>
      <c r="N7230" s="10"/>
    </row>
    <row r="7231" spans="7:14" x14ac:dyDescent="0.75">
      <c r="G7231" s="10"/>
      <c r="H7231" s="10"/>
      <c r="I7231" s="10"/>
      <c r="J7231" s="102"/>
      <c r="K7231" s="10"/>
      <c r="L7231" s="10"/>
      <c r="M7231" s="19"/>
      <c r="N7231" s="10"/>
    </row>
    <row r="7232" spans="7:14" x14ac:dyDescent="0.75">
      <c r="G7232" s="10"/>
      <c r="H7232" s="10"/>
      <c r="I7232" s="10"/>
      <c r="J7232" s="102"/>
      <c r="K7232" s="10"/>
      <c r="L7232" s="10"/>
      <c r="M7232" s="19"/>
      <c r="N7232" s="10"/>
    </row>
    <row r="7233" spans="7:14" x14ac:dyDescent="0.75">
      <c r="G7233" s="10"/>
      <c r="H7233" s="10"/>
      <c r="I7233" s="10"/>
      <c r="J7233" s="102"/>
      <c r="K7233" s="10"/>
      <c r="L7233" s="10"/>
      <c r="M7233" s="19"/>
      <c r="N7233" s="10"/>
    </row>
    <row r="7234" spans="7:14" x14ac:dyDescent="0.75">
      <c r="G7234" s="10"/>
      <c r="H7234" s="10"/>
      <c r="I7234" s="10"/>
      <c r="J7234" s="102"/>
      <c r="K7234" s="10"/>
      <c r="L7234" s="10"/>
      <c r="M7234" s="19"/>
      <c r="N7234" s="10"/>
    </row>
    <row r="7235" spans="7:14" x14ac:dyDescent="0.75">
      <c r="G7235" s="10"/>
      <c r="H7235" s="10"/>
      <c r="I7235" s="10"/>
      <c r="J7235" s="102"/>
      <c r="K7235" s="10"/>
      <c r="L7235" s="10"/>
      <c r="M7235" s="19"/>
      <c r="N7235" s="10"/>
    </row>
    <row r="7236" spans="7:14" x14ac:dyDescent="0.75">
      <c r="G7236" s="10"/>
      <c r="H7236" s="10"/>
      <c r="I7236" s="10"/>
      <c r="J7236" s="102"/>
      <c r="K7236" s="10"/>
      <c r="L7236" s="10"/>
      <c r="M7236" s="19"/>
      <c r="N7236" s="10"/>
    </row>
    <row r="7237" spans="7:14" x14ac:dyDescent="0.75">
      <c r="G7237" s="10"/>
      <c r="H7237" s="10"/>
      <c r="I7237" s="10"/>
      <c r="J7237" s="102"/>
      <c r="K7237" s="10"/>
      <c r="L7237" s="10"/>
      <c r="M7237" s="19"/>
      <c r="N7237" s="10"/>
    </row>
    <row r="7238" spans="7:14" x14ac:dyDescent="0.75">
      <c r="G7238" s="10"/>
      <c r="H7238" s="10"/>
      <c r="I7238" s="10"/>
      <c r="J7238" s="102"/>
      <c r="K7238" s="10"/>
      <c r="L7238" s="10"/>
      <c r="M7238" s="19"/>
      <c r="N7238" s="10"/>
    </row>
    <row r="7239" spans="7:14" x14ac:dyDescent="0.75">
      <c r="G7239" s="10"/>
      <c r="H7239" s="10"/>
      <c r="I7239" s="10"/>
      <c r="J7239" s="102"/>
      <c r="K7239" s="10"/>
      <c r="L7239" s="10"/>
      <c r="M7239" s="19"/>
      <c r="N7239" s="10"/>
    </row>
    <row r="7240" spans="7:14" x14ac:dyDescent="0.75">
      <c r="G7240" s="10"/>
      <c r="H7240" s="10"/>
      <c r="I7240" s="10"/>
      <c r="J7240" s="102"/>
      <c r="K7240" s="10"/>
      <c r="L7240" s="10"/>
      <c r="M7240" s="19"/>
      <c r="N7240" s="10"/>
    </row>
    <row r="7241" spans="7:14" x14ac:dyDescent="0.75">
      <c r="G7241" s="10"/>
      <c r="H7241" s="10"/>
      <c r="I7241" s="10"/>
      <c r="J7241" s="102"/>
      <c r="K7241" s="10"/>
      <c r="L7241" s="10"/>
      <c r="M7241" s="19"/>
      <c r="N7241" s="10"/>
    </row>
    <row r="7242" spans="7:14" x14ac:dyDescent="0.75">
      <c r="G7242" s="10"/>
      <c r="H7242" s="10"/>
      <c r="I7242" s="10"/>
      <c r="J7242" s="102"/>
      <c r="K7242" s="10"/>
      <c r="L7242" s="10"/>
      <c r="M7242" s="19"/>
      <c r="N7242" s="10"/>
    </row>
    <row r="7243" spans="7:14" x14ac:dyDescent="0.75">
      <c r="G7243" s="10"/>
      <c r="H7243" s="10"/>
      <c r="I7243" s="10"/>
      <c r="J7243" s="102"/>
      <c r="K7243" s="10"/>
      <c r="L7243" s="10"/>
      <c r="M7243" s="19"/>
      <c r="N7243" s="10"/>
    </row>
    <row r="7244" spans="7:14" x14ac:dyDescent="0.75">
      <c r="G7244" s="10"/>
      <c r="H7244" s="10"/>
      <c r="I7244" s="10"/>
      <c r="J7244" s="102"/>
      <c r="K7244" s="10"/>
      <c r="L7244" s="10"/>
      <c r="M7244" s="19"/>
      <c r="N7244" s="10"/>
    </row>
    <row r="7245" spans="7:14" x14ac:dyDescent="0.75">
      <c r="G7245" s="10"/>
      <c r="H7245" s="10"/>
      <c r="I7245" s="10"/>
      <c r="J7245" s="102"/>
      <c r="K7245" s="10"/>
      <c r="L7245" s="10"/>
      <c r="M7245" s="19"/>
      <c r="N7245" s="10"/>
    </row>
    <row r="7246" spans="7:14" x14ac:dyDescent="0.75">
      <c r="G7246" s="10"/>
      <c r="H7246" s="10"/>
      <c r="I7246" s="10"/>
      <c r="J7246" s="102"/>
      <c r="K7246" s="10"/>
      <c r="L7246" s="10"/>
      <c r="M7246" s="19"/>
      <c r="N7246" s="10"/>
    </row>
    <row r="7247" spans="7:14" x14ac:dyDescent="0.75">
      <c r="G7247" s="10"/>
      <c r="H7247" s="10"/>
      <c r="I7247" s="10"/>
      <c r="J7247" s="102"/>
      <c r="K7247" s="10"/>
      <c r="L7247" s="10"/>
      <c r="M7247" s="19"/>
      <c r="N7247" s="10"/>
    </row>
    <row r="7248" spans="7:14" x14ac:dyDescent="0.75">
      <c r="G7248" s="10"/>
      <c r="H7248" s="10"/>
      <c r="I7248" s="10"/>
      <c r="J7248" s="102"/>
      <c r="K7248" s="10"/>
      <c r="L7248" s="10"/>
      <c r="M7248" s="19"/>
      <c r="N7248" s="10"/>
    </row>
    <row r="7249" spans="7:14" x14ac:dyDescent="0.75">
      <c r="G7249" s="10"/>
      <c r="H7249" s="10"/>
      <c r="I7249" s="10"/>
      <c r="J7249" s="102"/>
      <c r="K7249" s="10"/>
      <c r="L7249" s="10"/>
      <c r="M7249" s="19"/>
      <c r="N7249" s="10"/>
    </row>
    <row r="7250" spans="7:14" x14ac:dyDescent="0.75">
      <c r="G7250" s="10"/>
      <c r="H7250" s="10"/>
      <c r="I7250" s="10"/>
      <c r="J7250" s="102"/>
      <c r="K7250" s="10"/>
      <c r="L7250" s="10"/>
      <c r="M7250" s="19"/>
      <c r="N7250" s="10"/>
    </row>
    <row r="7251" spans="7:14" x14ac:dyDescent="0.75">
      <c r="G7251" s="10"/>
      <c r="H7251" s="10"/>
      <c r="I7251" s="10"/>
      <c r="J7251" s="102"/>
      <c r="K7251" s="10"/>
      <c r="L7251" s="10"/>
      <c r="M7251" s="19"/>
      <c r="N7251" s="10"/>
    </row>
    <row r="7252" spans="7:14" x14ac:dyDescent="0.75">
      <c r="G7252" s="10"/>
      <c r="H7252" s="10"/>
      <c r="I7252" s="10"/>
      <c r="J7252" s="102"/>
      <c r="K7252" s="10"/>
      <c r="L7252" s="10"/>
      <c r="M7252" s="19"/>
      <c r="N7252" s="10"/>
    </row>
    <row r="7253" spans="7:14" x14ac:dyDescent="0.75">
      <c r="G7253" s="10"/>
      <c r="H7253" s="10"/>
      <c r="I7253" s="10"/>
      <c r="J7253" s="102"/>
      <c r="K7253" s="10"/>
      <c r="L7253" s="10"/>
      <c r="M7253" s="19"/>
      <c r="N7253" s="10"/>
    </row>
    <row r="7254" spans="7:14" x14ac:dyDescent="0.75">
      <c r="G7254" s="10"/>
      <c r="H7254" s="10"/>
      <c r="I7254" s="10"/>
      <c r="J7254" s="102"/>
      <c r="K7254" s="10"/>
      <c r="L7254" s="10"/>
      <c r="M7254" s="19"/>
      <c r="N7254" s="10"/>
    </row>
    <row r="7255" spans="7:14" x14ac:dyDescent="0.75">
      <c r="G7255" s="10"/>
      <c r="H7255" s="10"/>
      <c r="I7255" s="10"/>
      <c r="J7255" s="102"/>
      <c r="K7255" s="10"/>
      <c r="L7255" s="10"/>
      <c r="M7255" s="19"/>
      <c r="N7255" s="10"/>
    </row>
    <row r="7256" spans="7:14" x14ac:dyDescent="0.75">
      <c r="G7256" s="10"/>
      <c r="H7256" s="10"/>
      <c r="I7256" s="10"/>
      <c r="J7256" s="102"/>
      <c r="K7256" s="10"/>
      <c r="L7256" s="10"/>
      <c r="M7256" s="19"/>
      <c r="N7256" s="10"/>
    </row>
    <row r="7257" spans="7:14" x14ac:dyDescent="0.75">
      <c r="G7257" s="10"/>
      <c r="H7257" s="10"/>
      <c r="I7257" s="10"/>
      <c r="J7257" s="102"/>
      <c r="K7257" s="10"/>
      <c r="L7257" s="10"/>
      <c r="M7257" s="19"/>
      <c r="N7257" s="10"/>
    </row>
    <row r="7258" spans="7:14" x14ac:dyDescent="0.75">
      <c r="G7258" s="10"/>
      <c r="H7258" s="10"/>
      <c r="I7258" s="10"/>
      <c r="J7258" s="102"/>
      <c r="K7258" s="10"/>
      <c r="L7258" s="10"/>
      <c r="M7258" s="19"/>
      <c r="N7258" s="10"/>
    </row>
    <row r="7259" spans="7:14" x14ac:dyDescent="0.75">
      <c r="G7259" s="10"/>
      <c r="H7259" s="10"/>
      <c r="I7259" s="10"/>
      <c r="J7259" s="102"/>
      <c r="K7259" s="10"/>
      <c r="L7259" s="10"/>
      <c r="M7259" s="19"/>
      <c r="N7259" s="10"/>
    </row>
    <row r="7260" spans="7:14" x14ac:dyDescent="0.75">
      <c r="G7260" s="10"/>
      <c r="H7260" s="10"/>
      <c r="I7260" s="10"/>
      <c r="J7260" s="102"/>
      <c r="K7260" s="10"/>
      <c r="L7260" s="10"/>
      <c r="M7260" s="19"/>
      <c r="N7260" s="10"/>
    </row>
    <row r="7261" spans="7:14" x14ac:dyDescent="0.75">
      <c r="G7261" s="10"/>
      <c r="H7261" s="10"/>
      <c r="I7261" s="10"/>
      <c r="J7261" s="102"/>
      <c r="K7261" s="10"/>
      <c r="L7261" s="10"/>
      <c r="M7261" s="19"/>
      <c r="N7261" s="10"/>
    </row>
    <row r="7262" spans="7:14" x14ac:dyDescent="0.75">
      <c r="G7262" s="10"/>
      <c r="H7262" s="10"/>
      <c r="I7262" s="10"/>
      <c r="J7262" s="102"/>
      <c r="K7262" s="10"/>
      <c r="L7262" s="10"/>
      <c r="M7262" s="19"/>
      <c r="N7262" s="10"/>
    </row>
    <row r="7263" spans="7:14" x14ac:dyDescent="0.75">
      <c r="G7263" s="10"/>
      <c r="H7263" s="10"/>
      <c r="I7263" s="10"/>
      <c r="J7263" s="102"/>
      <c r="K7263" s="10"/>
      <c r="L7263" s="10"/>
      <c r="M7263" s="19"/>
      <c r="N7263" s="10"/>
    </row>
    <row r="7264" spans="7:14" x14ac:dyDescent="0.75">
      <c r="G7264" s="10"/>
      <c r="H7264" s="10"/>
      <c r="I7264" s="10"/>
      <c r="J7264" s="102"/>
      <c r="K7264" s="10"/>
      <c r="L7264" s="10"/>
      <c r="M7264" s="19"/>
      <c r="N7264" s="10"/>
    </row>
    <row r="7265" spans="7:14" x14ac:dyDescent="0.75">
      <c r="G7265" s="10"/>
      <c r="H7265" s="10"/>
      <c r="I7265" s="10"/>
      <c r="J7265" s="102"/>
      <c r="K7265" s="10"/>
      <c r="L7265" s="10"/>
      <c r="M7265" s="19"/>
      <c r="N7265" s="10"/>
    </row>
    <row r="7266" spans="7:14" x14ac:dyDescent="0.75">
      <c r="G7266" s="10"/>
      <c r="H7266" s="10"/>
      <c r="I7266" s="10"/>
      <c r="J7266" s="102"/>
      <c r="K7266" s="10"/>
      <c r="L7266" s="10"/>
      <c r="M7266" s="19"/>
      <c r="N7266" s="10"/>
    </row>
    <row r="7267" spans="7:14" x14ac:dyDescent="0.75">
      <c r="G7267" s="10"/>
      <c r="H7267" s="10"/>
      <c r="I7267" s="10"/>
      <c r="J7267" s="102"/>
      <c r="K7267" s="10"/>
      <c r="L7267" s="10"/>
      <c r="M7267" s="19"/>
      <c r="N7267" s="10"/>
    </row>
    <row r="7268" spans="7:14" x14ac:dyDescent="0.75">
      <c r="G7268" s="10"/>
      <c r="H7268" s="10"/>
      <c r="I7268" s="10"/>
      <c r="J7268" s="102"/>
      <c r="K7268" s="10"/>
      <c r="L7268" s="10"/>
      <c r="M7268" s="19"/>
      <c r="N7268" s="10"/>
    </row>
    <row r="7269" spans="7:14" x14ac:dyDescent="0.75">
      <c r="G7269" s="10"/>
      <c r="H7269" s="10"/>
      <c r="I7269" s="10"/>
      <c r="J7269" s="102"/>
      <c r="K7269" s="10"/>
      <c r="L7269" s="10"/>
      <c r="M7269" s="19"/>
      <c r="N7269" s="10"/>
    </row>
    <row r="7270" spans="7:14" x14ac:dyDescent="0.75">
      <c r="G7270" s="10"/>
      <c r="H7270" s="10"/>
      <c r="I7270" s="10"/>
      <c r="J7270" s="102"/>
      <c r="K7270" s="10"/>
      <c r="L7270" s="10"/>
      <c r="M7270" s="19"/>
      <c r="N7270" s="10"/>
    </row>
    <row r="7271" spans="7:14" x14ac:dyDescent="0.75">
      <c r="G7271" s="10"/>
      <c r="H7271" s="10"/>
      <c r="I7271" s="10"/>
      <c r="J7271" s="102"/>
      <c r="K7271" s="10"/>
      <c r="L7271" s="10"/>
      <c r="M7271" s="19"/>
      <c r="N7271" s="10"/>
    </row>
    <row r="7272" spans="7:14" x14ac:dyDescent="0.75">
      <c r="G7272" s="10"/>
      <c r="H7272" s="10"/>
      <c r="I7272" s="10"/>
      <c r="J7272" s="102"/>
      <c r="K7272" s="10"/>
      <c r="L7272" s="10"/>
      <c r="M7272" s="19"/>
      <c r="N7272" s="10"/>
    </row>
    <row r="7273" spans="7:14" x14ac:dyDescent="0.75">
      <c r="G7273" s="10"/>
      <c r="H7273" s="10"/>
      <c r="I7273" s="10"/>
      <c r="J7273" s="102"/>
      <c r="K7273" s="10"/>
      <c r="L7273" s="10"/>
      <c r="M7273" s="19"/>
      <c r="N7273" s="10"/>
    </row>
    <row r="7274" spans="7:14" x14ac:dyDescent="0.75">
      <c r="G7274" s="10"/>
      <c r="H7274" s="10"/>
      <c r="I7274" s="10"/>
      <c r="J7274" s="102"/>
      <c r="K7274" s="10"/>
      <c r="L7274" s="10"/>
      <c r="M7274" s="19"/>
      <c r="N7274" s="10"/>
    </row>
    <row r="7275" spans="7:14" x14ac:dyDescent="0.75">
      <c r="G7275" s="10"/>
      <c r="H7275" s="10"/>
      <c r="I7275" s="10"/>
      <c r="J7275" s="102"/>
      <c r="K7275" s="10"/>
      <c r="L7275" s="10"/>
      <c r="M7275" s="19"/>
      <c r="N7275" s="10"/>
    </row>
    <row r="7276" spans="7:14" x14ac:dyDescent="0.75">
      <c r="G7276" s="10"/>
      <c r="H7276" s="10"/>
      <c r="I7276" s="10"/>
      <c r="J7276" s="102"/>
      <c r="K7276" s="10"/>
      <c r="L7276" s="10"/>
      <c r="M7276" s="19"/>
      <c r="N7276" s="10"/>
    </row>
    <row r="7277" spans="7:14" x14ac:dyDescent="0.75">
      <c r="G7277" s="10"/>
      <c r="H7277" s="10"/>
      <c r="I7277" s="10"/>
      <c r="J7277" s="102"/>
      <c r="K7277" s="10"/>
      <c r="L7277" s="10"/>
      <c r="M7277" s="19"/>
      <c r="N7277" s="10"/>
    </row>
    <row r="7278" spans="7:14" x14ac:dyDescent="0.75">
      <c r="G7278" s="10"/>
      <c r="H7278" s="10"/>
      <c r="I7278" s="10"/>
      <c r="J7278" s="102"/>
      <c r="K7278" s="10"/>
      <c r="L7278" s="10"/>
      <c r="M7278" s="19"/>
      <c r="N7278" s="10"/>
    </row>
    <row r="7279" spans="7:14" x14ac:dyDescent="0.75">
      <c r="G7279" s="10"/>
      <c r="H7279" s="10"/>
      <c r="I7279" s="10"/>
      <c r="J7279" s="102"/>
      <c r="K7279" s="10"/>
      <c r="L7279" s="10"/>
      <c r="M7279" s="19"/>
      <c r="N7279" s="10"/>
    </row>
    <row r="7280" spans="7:14" x14ac:dyDescent="0.75">
      <c r="G7280" s="10"/>
      <c r="H7280" s="10"/>
      <c r="I7280" s="10"/>
      <c r="J7280" s="102"/>
      <c r="K7280" s="10"/>
      <c r="L7280" s="10"/>
      <c r="M7280" s="19"/>
      <c r="N7280" s="10"/>
    </row>
    <row r="7281" spans="7:14" x14ac:dyDescent="0.75">
      <c r="G7281" s="10"/>
      <c r="H7281" s="10"/>
      <c r="I7281" s="10"/>
      <c r="J7281" s="102"/>
      <c r="K7281" s="10"/>
      <c r="L7281" s="10"/>
      <c r="M7281" s="19"/>
      <c r="N7281" s="10"/>
    </row>
    <row r="7282" spans="7:14" x14ac:dyDescent="0.75">
      <c r="G7282" s="10"/>
      <c r="H7282" s="10"/>
      <c r="I7282" s="10"/>
      <c r="J7282" s="102"/>
      <c r="K7282" s="10"/>
      <c r="L7282" s="10"/>
      <c r="M7282" s="19"/>
      <c r="N7282" s="10"/>
    </row>
    <row r="7283" spans="7:14" x14ac:dyDescent="0.75">
      <c r="G7283" s="10"/>
      <c r="H7283" s="10"/>
      <c r="I7283" s="10"/>
      <c r="J7283" s="102"/>
      <c r="K7283" s="10"/>
      <c r="L7283" s="10"/>
      <c r="M7283" s="19"/>
      <c r="N7283" s="10"/>
    </row>
    <row r="7284" spans="7:14" x14ac:dyDescent="0.75">
      <c r="G7284" s="10"/>
      <c r="H7284" s="10"/>
      <c r="I7284" s="10"/>
      <c r="J7284" s="102"/>
      <c r="K7284" s="10"/>
      <c r="L7284" s="10"/>
      <c r="M7284" s="19"/>
      <c r="N7284" s="10"/>
    </row>
    <row r="7285" spans="7:14" x14ac:dyDescent="0.75">
      <c r="G7285" s="10"/>
      <c r="H7285" s="10"/>
      <c r="I7285" s="10"/>
      <c r="J7285" s="102"/>
      <c r="K7285" s="10"/>
      <c r="L7285" s="10"/>
      <c r="M7285" s="19"/>
      <c r="N7285" s="10"/>
    </row>
    <row r="7286" spans="7:14" x14ac:dyDescent="0.75">
      <c r="G7286" s="10"/>
      <c r="H7286" s="10"/>
      <c r="I7286" s="10"/>
      <c r="J7286" s="102"/>
      <c r="K7286" s="10"/>
      <c r="L7286" s="10"/>
      <c r="M7286" s="19"/>
      <c r="N7286" s="10"/>
    </row>
    <row r="7287" spans="7:14" x14ac:dyDescent="0.75">
      <c r="G7287" s="10"/>
      <c r="H7287" s="10"/>
      <c r="I7287" s="10"/>
      <c r="J7287" s="102"/>
      <c r="K7287" s="10"/>
      <c r="L7287" s="10"/>
      <c r="M7287" s="19"/>
      <c r="N7287" s="10"/>
    </row>
    <row r="7288" spans="7:14" x14ac:dyDescent="0.75">
      <c r="G7288" s="10"/>
      <c r="H7288" s="10"/>
      <c r="I7288" s="10"/>
      <c r="J7288" s="102"/>
      <c r="K7288" s="10"/>
      <c r="L7288" s="10"/>
      <c r="M7288" s="19"/>
      <c r="N7288" s="10"/>
    </row>
    <row r="7289" spans="7:14" x14ac:dyDescent="0.75">
      <c r="G7289" s="10"/>
      <c r="H7289" s="10"/>
      <c r="I7289" s="10"/>
      <c r="J7289" s="102"/>
      <c r="K7289" s="10"/>
      <c r="L7289" s="10"/>
      <c r="M7289" s="19"/>
      <c r="N7289" s="10"/>
    </row>
    <row r="7290" spans="7:14" x14ac:dyDescent="0.75">
      <c r="G7290" s="10"/>
      <c r="H7290" s="10"/>
      <c r="I7290" s="10"/>
      <c r="J7290" s="102"/>
      <c r="K7290" s="10"/>
      <c r="L7290" s="10"/>
      <c r="M7290" s="19"/>
      <c r="N7290" s="10"/>
    </row>
    <row r="7291" spans="7:14" x14ac:dyDescent="0.75">
      <c r="G7291" s="10"/>
      <c r="H7291" s="10"/>
      <c r="I7291" s="10"/>
      <c r="J7291" s="102"/>
      <c r="K7291" s="10"/>
      <c r="L7291" s="10"/>
      <c r="M7291" s="19"/>
      <c r="N7291" s="10"/>
    </row>
    <row r="7292" spans="7:14" x14ac:dyDescent="0.75">
      <c r="G7292" s="10"/>
      <c r="H7292" s="10"/>
      <c r="I7292" s="10"/>
      <c r="J7292" s="102"/>
      <c r="K7292" s="10"/>
      <c r="L7292" s="10"/>
      <c r="M7292" s="19"/>
      <c r="N7292" s="10"/>
    </row>
    <row r="7293" spans="7:14" x14ac:dyDescent="0.75">
      <c r="G7293" s="10"/>
      <c r="H7293" s="10"/>
      <c r="I7293" s="10"/>
      <c r="J7293" s="102"/>
      <c r="K7293" s="10"/>
      <c r="L7293" s="10"/>
      <c r="M7293" s="19"/>
      <c r="N7293" s="10"/>
    </row>
    <row r="7294" spans="7:14" x14ac:dyDescent="0.75">
      <c r="G7294" s="10"/>
      <c r="H7294" s="10"/>
      <c r="I7294" s="10"/>
      <c r="J7294" s="102"/>
      <c r="K7294" s="10"/>
      <c r="L7294" s="10"/>
      <c r="M7294" s="19"/>
      <c r="N7294" s="10"/>
    </row>
    <row r="7295" spans="7:14" x14ac:dyDescent="0.75">
      <c r="G7295" s="10"/>
      <c r="H7295" s="10"/>
      <c r="I7295" s="10"/>
      <c r="J7295" s="102"/>
      <c r="K7295" s="10"/>
      <c r="L7295" s="10"/>
      <c r="M7295" s="19"/>
      <c r="N7295" s="10"/>
    </row>
    <row r="7296" spans="7:14" x14ac:dyDescent="0.75">
      <c r="G7296" s="10"/>
      <c r="H7296" s="10"/>
      <c r="I7296" s="10"/>
      <c r="J7296" s="102"/>
      <c r="K7296" s="10"/>
      <c r="L7296" s="10"/>
      <c r="M7296" s="19"/>
      <c r="N7296" s="10"/>
    </row>
    <row r="7297" spans="7:14" x14ac:dyDescent="0.75">
      <c r="G7297" s="10"/>
      <c r="H7297" s="10"/>
      <c r="I7297" s="10"/>
      <c r="J7297" s="102"/>
      <c r="K7297" s="10"/>
      <c r="L7297" s="10"/>
      <c r="M7297" s="19"/>
      <c r="N7297" s="10"/>
    </row>
    <row r="7298" spans="7:14" x14ac:dyDescent="0.75">
      <c r="G7298" s="10"/>
      <c r="H7298" s="10"/>
      <c r="I7298" s="10"/>
      <c r="J7298" s="102"/>
      <c r="K7298" s="10"/>
      <c r="L7298" s="10"/>
      <c r="M7298" s="19"/>
      <c r="N7298" s="10"/>
    </row>
    <row r="7299" spans="7:14" x14ac:dyDescent="0.75">
      <c r="G7299" s="10"/>
      <c r="H7299" s="10"/>
      <c r="I7299" s="10"/>
      <c r="J7299" s="102"/>
      <c r="K7299" s="10"/>
      <c r="L7299" s="10"/>
      <c r="M7299" s="19"/>
      <c r="N7299" s="10"/>
    </row>
    <row r="7300" spans="7:14" x14ac:dyDescent="0.75">
      <c r="G7300" s="10"/>
      <c r="H7300" s="10"/>
      <c r="I7300" s="10"/>
      <c r="J7300" s="102"/>
      <c r="K7300" s="10"/>
      <c r="L7300" s="10"/>
      <c r="M7300" s="19"/>
      <c r="N7300" s="10"/>
    </row>
    <row r="7301" spans="7:14" x14ac:dyDescent="0.75">
      <c r="G7301" s="10"/>
      <c r="H7301" s="10"/>
      <c r="I7301" s="10"/>
      <c r="J7301" s="102"/>
      <c r="K7301" s="10"/>
      <c r="L7301" s="10"/>
      <c r="M7301" s="19"/>
      <c r="N7301" s="10"/>
    </row>
    <row r="7302" spans="7:14" x14ac:dyDescent="0.75">
      <c r="G7302" s="10"/>
      <c r="H7302" s="10"/>
      <c r="I7302" s="10"/>
      <c r="J7302" s="102"/>
      <c r="K7302" s="10"/>
      <c r="L7302" s="10"/>
      <c r="M7302" s="19"/>
      <c r="N7302" s="10"/>
    </row>
    <row r="7303" spans="7:14" x14ac:dyDescent="0.75">
      <c r="G7303" s="10"/>
      <c r="H7303" s="10"/>
      <c r="I7303" s="10"/>
      <c r="J7303" s="102"/>
      <c r="K7303" s="10"/>
      <c r="L7303" s="10"/>
      <c r="M7303" s="19"/>
      <c r="N7303" s="10"/>
    </row>
    <row r="7304" spans="7:14" x14ac:dyDescent="0.75">
      <c r="G7304" s="10"/>
      <c r="H7304" s="10"/>
      <c r="I7304" s="10"/>
      <c r="J7304" s="102"/>
      <c r="K7304" s="10"/>
      <c r="L7304" s="10"/>
      <c r="M7304" s="19"/>
      <c r="N7304" s="10"/>
    </row>
    <row r="7305" spans="7:14" x14ac:dyDescent="0.75">
      <c r="G7305" s="10"/>
      <c r="H7305" s="10"/>
      <c r="I7305" s="10"/>
      <c r="J7305" s="102"/>
      <c r="K7305" s="10"/>
      <c r="L7305" s="10"/>
      <c r="M7305" s="19"/>
      <c r="N7305" s="10"/>
    </row>
    <row r="7306" spans="7:14" x14ac:dyDescent="0.75">
      <c r="G7306" s="10"/>
      <c r="H7306" s="10"/>
      <c r="I7306" s="10"/>
      <c r="J7306" s="102"/>
      <c r="K7306" s="10"/>
      <c r="L7306" s="10"/>
      <c r="M7306" s="19"/>
      <c r="N7306" s="10"/>
    </row>
    <row r="7307" spans="7:14" x14ac:dyDescent="0.75">
      <c r="G7307" s="10"/>
      <c r="H7307" s="10"/>
      <c r="I7307" s="10"/>
      <c r="J7307" s="102"/>
      <c r="K7307" s="10"/>
      <c r="L7307" s="10"/>
      <c r="M7307" s="19"/>
      <c r="N7307" s="10"/>
    </row>
    <row r="7308" spans="7:14" x14ac:dyDescent="0.75">
      <c r="G7308" s="10"/>
      <c r="H7308" s="10"/>
      <c r="I7308" s="10"/>
      <c r="J7308" s="102"/>
      <c r="K7308" s="10"/>
      <c r="L7308" s="10"/>
      <c r="M7308" s="19"/>
      <c r="N7308" s="10"/>
    </row>
    <row r="7309" spans="7:14" x14ac:dyDescent="0.75">
      <c r="G7309" s="10"/>
      <c r="H7309" s="10"/>
      <c r="I7309" s="10"/>
      <c r="J7309" s="102"/>
      <c r="K7309" s="10"/>
      <c r="L7309" s="10"/>
      <c r="M7309" s="19"/>
      <c r="N7309" s="10"/>
    </row>
    <row r="7310" spans="7:14" x14ac:dyDescent="0.75">
      <c r="G7310" s="10"/>
      <c r="H7310" s="10"/>
      <c r="I7310" s="10"/>
      <c r="J7310" s="102"/>
      <c r="K7310" s="10"/>
      <c r="L7310" s="10"/>
      <c r="M7310" s="19"/>
      <c r="N7310" s="10"/>
    </row>
    <row r="7311" spans="7:14" x14ac:dyDescent="0.75">
      <c r="G7311" s="10"/>
      <c r="H7311" s="10"/>
      <c r="I7311" s="10"/>
      <c r="J7311" s="102"/>
      <c r="K7311" s="10"/>
      <c r="L7311" s="10"/>
      <c r="M7311" s="19"/>
      <c r="N7311" s="10"/>
    </row>
    <row r="7312" spans="7:14" x14ac:dyDescent="0.75">
      <c r="G7312" s="10"/>
      <c r="H7312" s="10"/>
      <c r="I7312" s="10"/>
      <c r="J7312" s="102"/>
      <c r="K7312" s="10"/>
      <c r="L7312" s="10"/>
      <c r="M7312" s="19"/>
      <c r="N7312" s="10"/>
    </row>
    <row r="7313" spans="7:14" x14ac:dyDescent="0.75">
      <c r="G7313" s="10"/>
      <c r="H7313" s="10"/>
      <c r="I7313" s="10"/>
      <c r="J7313" s="102"/>
      <c r="K7313" s="10"/>
      <c r="L7313" s="10"/>
      <c r="M7313" s="19"/>
      <c r="N7313" s="10"/>
    </row>
    <row r="7314" spans="7:14" x14ac:dyDescent="0.75">
      <c r="G7314" s="10"/>
      <c r="H7314" s="10"/>
      <c r="I7314" s="10"/>
      <c r="J7314" s="102"/>
      <c r="K7314" s="10"/>
      <c r="L7314" s="10"/>
      <c r="M7314" s="19"/>
      <c r="N7314" s="10"/>
    </row>
    <row r="7315" spans="7:14" x14ac:dyDescent="0.75">
      <c r="G7315" s="10"/>
      <c r="H7315" s="10"/>
      <c r="I7315" s="10"/>
      <c r="J7315" s="102"/>
      <c r="K7315" s="10"/>
      <c r="L7315" s="10"/>
      <c r="M7315" s="19"/>
      <c r="N7315" s="10"/>
    </row>
    <row r="7316" spans="7:14" x14ac:dyDescent="0.75">
      <c r="G7316" s="10"/>
      <c r="H7316" s="10"/>
      <c r="I7316" s="10"/>
      <c r="J7316" s="102"/>
      <c r="K7316" s="10"/>
      <c r="L7316" s="10"/>
      <c r="M7316" s="19"/>
      <c r="N7316" s="10"/>
    </row>
    <row r="7317" spans="7:14" x14ac:dyDescent="0.75">
      <c r="G7317" s="10"/>
      <c r="H7317" s="10"/>
      <c r="I7317" s="10"/>
      <c r="J7317" s="102"/>
      <c r="K7317" s="10"/>
      <c r="L7317" s="10"/>
      <c r="M7317" s="19"/>
      <c r="N7317" s="10"/>
    </row>
    <row r="7318" spans="7:14" x14ac:dyDescent="0.75">
      <c r="G7318" s="10"/>
      <c r="H7318" s="10"/>
      <c r="I7318" s="10"/>
      <c r="J7318" s="102"/>
      <c r="K7318" s="10"/>
      <c r="L7318" s="10"/>
      <c r="M7318" s="19"/>
      <c r="N7318" s="10"/>
    </row>
    <row r="7319" spans="7:14" x14ac:dyDescent="0.75">
      <c r="G7319" s="10"/>
      <c r="H7319" s="10"/>
      <c r="I7319" s="10"/>
      <c r="J7319" s="102"/>
      <c r="K7319" s="10"/>
      <c r="L7319" s="10"/>
      <c r="M7319" s="19"/>
      <c r="N7319" s="10"/>
    </row>
    <row r="7320" spans="7:14" x14ac:dyDescent="0.75">
      <c r="G7320" s="10"/>
      <c r="H7320" s="10"/>
      <c r="I7320" s="10"/>
      <c r="J7320" s="102"/>
      <c r="K7320" s="10"/>
      <c r="L7320" s="10"/>
      <c r="M7320" s="19"/>
      <c r="N7320" s="10"/>
    </row>
    <row r="7321" spans="7:14" x14ac:dyDescent="0.75">
      <c r="G7321" s="10"/>
      <c r="H7321" s="10"/>
      <c r="I7321" s="10"/>
      <c r="J7321" s="102"/>
      <c r="K7321" s="10"/>
      <c r="L7321" s="10"/>
      <c r="M7321" s="19"/>
      <c r="N7321" s="10"/>
    </row>
    <row r="7322" spans="7:14" x14ac:dyDescent="0.75">
      <c r="G7322" s="10"/>
      <c r="H7322" s="10"/>
      <c r="I7322" s="10"/>
      <c r="J7322" s="102"/>
      <c r="K7322" s="10"/>
      <c r="L7322" s="10"/>
      <c r="M7322" s="19"/>
      <c r="N7322" s="10"/>
    </row>
    <row r="7323" spans="7:14" x14ac:dyDescent="0.75">
      <c r="G7323" s="10"/>
      <c r="H7323" s="10"/>
      <c r="I7323" s="10"/>
      <c r="J7323" s="102"/>
      <c r="K7323" s="10"/>
      <c r="L7323" s="10"/>
      <c r="M7323" s="19"/>
      <c r="N7323" s="10"/>
    </row>
    <row r="7324" spans="7:14" x14ac:dyDescent="0.75">
      <c r="G7324" s="10"/>
      <c r="H7324" s="10"/>
      <c r="I7324" s="10"/>
      <c r="J7324" s="102"/>
      <c r="K7324" s="10"/>
      <c r="L7324" s="10"/>
      <c r="M7324" s="19"/>
      <c r="N7324" s="10"/>
    </row>
    <row r="7325" spans="7:14" x14ac:dyDescent="0.75">
      <c r="G7325" s="10"/>
      <c r="H7325" s="10"/>
      <c r="I7325" s="10"/>
      <c r="J7325" s="102"/>
      <c r="K7325" s="10"/>
      <c r="L7325" s="10"/>
      <c r="M7325" s="19"/>
      <c r="N7325" s="10"/>
    </row>
    <row r="7326" spans="7:14" x14ac:dyDescent="0.75">
      <c r="G7326" s="10"/>
      <c r="H7326" s="10"/>
      <c r="I7326" s="10"/>
      <c r="J7326" s="102"/>
      <c r="K7326" s="10"/>
      <c r="L7326" s="10"/>
      <c r="M7326" s="19"/>
      <c r="N7326" s="10"/>
    </row>
    <row r="7327" spans="7:14" x14ac:dyDescent="0.75">
      <c r="G7327" s="10"/>
      <c r="H7327" s="10"/>
      <c r="I7327" s="10"/>
      <c r="J7327" s="102"/>
      <c r="K7327" s="10"/>
      <c r="L7327" s="10"/>
      <c r="M7327" s="19"/>
      <c r="N7327" s="10"/>
    </row>
    <row r="7328" spans="7:14" x14ac:dyDescent="0.75">
      <c r="G7328" s="10"/>
      <c r="H7328" s="10"/>
      <c r="I7328" s="10"/>
      <c r="J7328" s="102"/>
      <c r="K7328" s="10"/>
      <c r="L7328" s="10"/>
      <c r="M7328" s="19"/>
      <c r="N7328" s="10"/>
    </row>
    <row r="7329" spans="7:14" x14ac:dyDescent="0.75">
      <c r="G7329" s="10"/>
      <c r="H7329" s="10"/>
      <c r="I7329" s="10"/>
      <c r="J7329" s="102"/>
      <c r="K7329" s="10"/>
      <c r="L7329" s="10"/>
      <c r="M7329" s="19"/>
      <c r="N7329" s="10"/>
    </row>
    <row r="7330" spans="7:14" x14ac:dyDescent="0.75">
      <c r="G7330" s="10"/>
      <c r="H7330" s="10"/>
      <c r="I7330" s="10"/>
      <c r="J7330" s="102"/>
      <c r="K7330" s="10"/>
      <c r="L7330" s="10"/>
      <c r="M7330" s="19"/>
      <c r="N7330" s="10"/>
    </row>
    <row r="7331" spans="7:14" x14ac:dyDescent="0.75">
      <c r="G7331" s="10"/>
      <c r="H7331" s="10"/>
      <c r="I7331" s="10"/>
      <c r="J7331" s="102"/>
      <c r="K7331" s="10"/>
      <c r="L7331" s="10"/>
      <c r="M7331" s="19"/>
      <c r="N7331" s="10"/>
    </row>
    <row r="7332" spans="7:14" x14ac:dyDescent="0.75">
      <c r="G7332" s="10"/>
      <c r="H7332" s="10"/>
      <c r="I7332" s="10"/>
      <c r="J7332" s="102"/>
      <c r="K7332" s="10"/>
      <c r="L7332" s="10"/>
      <c r="M7332" s="19"/>
      <c r="N7332" s="10"/>
    </row>
    <row r="7333" spans="7:14" x14ac:dyDescent="0.75">
      <c r="G7333" s="10"/>
      <c r="H7333" s="10"/>
      <c r="I7333" s="10"/>
      <c r="J7333" s="102"/>
      <c r="K7333" s="10"/>
      <c r="L7333" s="10"/>
      <c r="M7333" s="19"/>
      <c r="N7333" s="10"/>
    </row>
    <row r="7334" spans="7:14" x14ac:dyDescent="0.75">
      <c r="G7334" s="10"/>
      <c r="H7334" s="10"/>
      <c r="I7334" s="10"/>
      <c r="J7334" s="102"/>
      <c r="K7334" s="10"/>
      <c r="L7334" s="10"/>
      <c r="M7334" s="19"/>
      <c r="N7334" s="10"/>
    </row>
    <row r="7335" spans="7:14" x14ac:dyDescent="0.75">
      <c r="G7335" s="10"/>
      <c r="H7335" s="10"/>
      <c r="I7335" s="10"/>
      <c r="J7335" s="102"/>
      <c r="K7335" s="10"/>
      <c r="L7335" s="10"/>
      <c r="M7335" s="19"/>
      <c r="N7335" s="10"/>
    </row>
    <row r="7336" spans="7:14" x14ac:dyDescent="0.75">
      <c r="G7336" s="10"/>
      <c r="H7336" s="10"/>
      <c r="I7336" s="10"/>
      <c r="J7336" s="102"/>
      <c r="K7336" s="10"/>
      <c r="L7336" s="10"/>
      <c r="M7336" s="19"/>
      <c r="N7336" s="10"/>
    </row>
    <row r="7337" spans="7:14" x14ac:dyDescent="0.75">
      <c r="G7337" s="10"/>
      <c r="H7337" s="10"/>
      <c r="I7337" s="10"/>
      <c r="J7337" s="102"/>
      <c r="K7337" s="10"/>
      <c r="L7337" s="10"/>
      <c r="M7337" s="19"/>
      <c r="N7337" s="10"/>
    </row>
    <row r="7338" spans="7:14" x14ac:dyDescent="0.75">
      <c r="G7338" s="10"/>
      <c r="H7338" s="10"/>
      <c r="I7338" s="10"/>
      <c r="J7338" s="102"/>
      <c r="K7338" s="10"/>
      <c r="L7338" s="10"/>
      <c r="M7338" s="19"/>
      <c r="N7338" s="10"/>
    </row>
    <row r="7339" spans="7:14" x14ac:dyDescent="0.75">
      <c r="G7339" s="10"/>
      <c r="H7339" s="10"/>
      <c r="I7339" s="10"/>
      <c r="J7339" s="102"/>
      <c r="K7339" s="10"/>
      <c r="L7339" s="10"/>
      <c r="M7339" s="19"/>
      <c r="N7339" s="10"/>
    </row>
    <row r="7340" spans="7:14" x14ac:dyDescent="0.75">
      <c r="G7340" s="10"/>
      <c r="H7340" s="10"/>
      <c r="I7340" s="10"/>
      <c r="J7340" s="102"/>
      <c r="K7340" s="10"/>
      <c r="L7340" s="10"/>
      <c r="M7340" s="19"/>
      <c r="N7340" s="10"/>
    </row>
    <row r="7341" spans="7:14" x14ac:dyDescent="0.75">
      <c r="G7341" s="10"/>
      <c r="H7341" s="10"/>
      <c r="I7341" s="10"/>
      <c r="J7341" s="102"/>
      <c r="K7341" s="10"/>
      <c r="L7341" s="10"/>
      <c r="M7341" s="19"/>
      <c r="N7341" s="10"/>
    </row>
    <row r="7342" spans="7:14" x14ac:dyDescent="0.75">
      <c r="G7342" s="10"/>
      <c r="H7342" s="10"/>
      <c r="I7342" s="10"/>
      <c r="J7342" s="102"/>
      <c r="K7342" s="10"/>
      <c r="L7342" s="10"/>
      <c r="M7342" s="19"/>
      <c r="N7342" s="10"/>
    </row>
    <row r="7343" spans="7:14" x14ac:dyDescent="0.75">
      <c r="G7343" s="10"/>
      <c r="H7343" s="10"/>
      <c r="I7343" s="10"/>
      <c r="J7343" s="102"/>
      <c r="K7343" s="10"/>
      <c r="L7343" s="10"/>
      <c r="M7343" s="19"/>
      <c r="N7343" s="10"/>
    </row>
    <row r="7344" spans="7:14" x14ac:dyDescent="0.75">
      <c r="G7344" s="10"/>
      <c r="H7344" s="10"/>
      <c r="I7344" s="10"/>
      <c r="J7344" s="102"/>
      <c r="K7344" s="10"/>
      <c r="L7344" s="10"/>
      <c r="M7344" s="19"/>
      <c r="N7344" s="10"/>
    </row>
    <row r="7345" spans="7:14" x14ac:dyDescent="0.75">
      <c r="G7345" s="10"/>
      <c r="H7345" s="10"/>
      <c r="I7345" s="10"/>
      <c r="J7345" s="102"/>
      <c r="K7345" s="10"/>
      <c r="L7345" s="10"/>
      <c r="M7345" s="19"/>
      <c r="N7345" s="10"/>
    </row>
    <row r="7346" spans="7:14" x14ac:dyDescent="0.75">
      <c r="G7346" s="10"/>
      <c r="H7346" s="10"/>
      <c r="I7346" s="10"/>
      <c r="J7346" s="102"/>
      <c r="K7346" s="10"/>
      <c r="L7346" s="10"/>
      <c r="M7346" s="19"/>
      <c r="N7346" s="10"/>
    </row>
    <row r="7347" spans="7:14" x14ac:dyDescent="0.75">
      <c r="G7347" s="10"/>
      <c r="H7347" s="10"/>
      <c r="I7347" s="10"/>
      <c r="J7347" s="102"/>
      <c r="K7347" s="10"/>
      <c r="L7347" s="10"/>
      <c r="M7347" s="19"/>
      <c r="N7347" s="10"/>
    </row>
    <row r="7348" spans="7:14" x14ac:dyDescent="0.75">
      <c r="G7348" s="10"/>
      <c r="H7348" s="10"/>
      <c r="I7348" s="10"/>
      <c r="J7348" s="102"/>
      <c r="K7348" s="10"/>
      <c r="L7348" s="10"/>
      <c r="M7348" s="19"/>
      <c r="N7348" s="10"/>
    </row>
    <row r="7349" spans="7:14" x14ac:dyDescent="0.75">
      <c r="G7349" s="10"/>
      <c r="H7349" s="10"/>
      <c r="I7349" s="10"/>
      <c r="J7349" s="102"/>
      <c r="K7349" s="10"/>
      <c r="L7349" s="10"/>
      <c r="M7349" s="19"/>
      <c r="N7349" s="10"/>
    </row>
    <row r="7350" spans="7:14" x14ac:dyDescent="0.75">
      <c r="G7350" s="10"/>
      <c r="H7350" s="10"/>
      <c r="I7350" s="10"/>
      <c r="J7350" s="102"/>
      <c r="K7350" s="10"/>
      <c r="L7350" s="10"/>
      <c r="M7350" s="19"/>
      <c r="N7350" s="10"/>
    </row>
    <row r="7351" spans="7:14" x14ac:dyDescent="0.75">
      <c r="G7351" s="10"/>
      <c r="H7351" s="10"/>
      <c r="I7351" s="10"/>
      <c r="J7351" s="102"/>
      <c r="K7351" s="10"/>
      <c r="L7351" s="10"/>
      <c r="M7351" s="19"/>
      <c r="N7351" s="10"/>
    </row>
    <row r="7352" spans="7:14" x14ac:dyDescent="0.75">
      <c r="G7352" s="10"/>
      <c r="H7352" s="10"/>
      <c r="I7352" s="10"/>
      <c r="J7352" s="102"/>
      <c r="K7352" s="10"/>
      <c r="L7352" s="10"/>
      <c r="M7352" s="19"/>
      <c r="N7352" s="10"/>
    </row>
    <row r="7353" spans="7:14" x14ac:dyDescent="0.75">
      <c r="G7353" s="10"/>
      <c r="H7353" s="10"/>
      <c r="I7353" s="10"/>
      <c r="J7353" s="102"/>
      <c r="K7353" s="10"/>
      <c r="L7353" s="10"/>
      <c r="M7353" s="19"/>
      <c r="N7353" s="10"/>
    </row>
    <row r="7354" spans="7:14" x14ac:dyDescent="0.75">
      <c r="G7354" s="10"/>
      <c r="H7354" s="10"/>
      <c r="I7354" s="10"/>
      <c r="J7354" s="102"/>
      <c r="K7354" s="10"/>
      <c r="L7354" s="10"/>
      <c r="M7354" s="19"/>
      <c r="N7354" s="10"/>
    </row>
    <row r="7355" spans="7:14" x14ac:dyDescent="0.75">
      <c r="G7355" s="10"/>
      <c r="H7355" s="10"/>
      <c r="I7355" s="10"/>
      <c r="J7355" s="102"/>
      <c r="K7355" s="10"/>
      <c r="L7355" s="10"/>
      <c r="M7355" s="19"/>
      <c r="N7355" s="10"/>
    </row>
    <row r="7356" spans="7:14" x14ac:dyDescent="0.75">
      <c r="G7356" s="10"/>
      <c r="H7356" s="10"/>
      <c r="I7356" s="10"/>
      <c r="J7356" s="102"/>
      <c r="K7356" s="10"/>
      <c r="L7356" s="10"/>
      <c r="M7356" s="19"/>
      <c r="N7356" s="10"/>
    </row>
    <row r="7357" spans="7:14" x14ac:dyDescent="0.75">
      <c r="G7357" s="10"/>
      <c r="H7357" s="10"/>
      <c r="I7357" s="10"/>
      <c r="J7357" s="102"/>
      <c r="K7357" s="10"/>
      <c r="L7357" s="10"/>
      <c r="M7357" s="19"/>
      <c r="N7357" s="10"/>
    </row>
    <row r="7358" spans="7:14" x14ac:dyDescent="0.75">
      <c r="G7358" s="10"/>
      <c r="H7358" s="10"/>
      <c r="I7358" s="10"/>
      <c r="J7358" s="102"/>
      <c r="K7358" s="10"/>
      <c r="L7358" s="10"/>
      <c r="M7358" s="19"/>
      <c r="N7358" s="10"/>
    </row>
    <row r="7359" spans="7:14" x14ac:dyDescent="0.75">
      <c r="G7359" s="10"/>
      <c r="H7359" s="10"/>
      <c r="I7359" s="10"/>
      <c r="J7359" s="102"/>
      <c r="K7359" s="10"/>
      <c r="L7359" s="10"/>
      <c r="M7359" s="19"/>
      <c r="N7359" s="10"/>
    </row>
    <row r="7360" spans="7:14" x14ac:dyDescent="0.75">
      <c r="G7360" s="10"/>
      <c r="H7360" s="10"/>
      <c r="I7360" s="10"/>
      <c r="J7360" s="102"/>
      <c r="K7360" s="10"/>
      <c r="L7360" s="10"/>
      <c r="M7360" s="19"/>
      <c r="N7360" s="10"/>
    </row>
    <row r="7361" spans="7:14" x14ac:dyDescent="0.75">
      <c r="G7361" s="10"/>
      <c r="H7361" s="10"/>
      <c r="I7361" s="10"/>
      <c r="J7361" s="102"/>
      <c r="K7361" s="10"/>
      <c r="L7361" s="10"/>
      <c r="M7361" s="19"/>
      <c r="N7361" s="10"/>
    </row>
    <row r="7362" spans="7:14" x14ac:dyDescent="0.75">
      <c r="G7362" s="10"/>
      <c r="H7362" s="10"/>
      <c r="I7362" s="10"/>
      <c r="J7362" s="102"/>
      <c r="K7362" s="10"/>
      <c r="L7362" s="10"/>
      <c r="M7362" s="19"/>
      <c r="N7362" s="29"/>
    </row>
    <row r="7363" spans="7:14" x14ac:dyDescent="0.75">
      <c r="G7363" s="10"/>
      <c r="H7363" s="10"/>
      <c r="I7363" s="10"/>
      <c r="J7363" s="102"/>
      <c r="K7363" s="10"/>
      <c r="L7363" s="10"/>
      <c r="M7363" s="19"/>
    </row>
    <row r="7364" spans="7:14" x14ac:dyDescent="0.75">
      <c r="G7364" s="29"/>
      <c r="H7364" s="29"/>
      <c r="I7364" s="29"/>
      <c r="J7364" s="104"/>
      <c r="K7364" s="29"/>
      <c r="L7364" s="29"/>
      <c r="M7364" s="77"/>
    </row>
  </sheetData>
  <sortState xmlns:xlrd2="http://schemas.microsoft.com/office/spreadsheetml/2017/richdata2" ref="I25:L7224">
    <sortCondition descending="1" ref="I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4"/>
  <dimension ref="C1:BA556"/>
  <sheetViews>
    <sheetView topLeftCell="AN19" zoomScaleNormal="100" workbookViewId="0">
      <selection activeCell="AZ5" sqref="AZ5"/>
    </sheetView>
  </sheetViews>
  <sheetFormatPr defaultColWidth="8.81640625" defaultRowHeight="14.75" x14ac:dyDescent="0.75"/>
  <cols>
    <col min="1" max="3" width="8.81640625" style="1"/>
    <col min="4" max="4" width="12.36328125" style="1" customWidth="1"/>
    <col min="5" max="5" width="7.6328125" style="21" customWidth="1"/>
    <col min="6" max="6" width="9.36328125" style="21" customWidth="1"/>
    <col min="7" max="7" width="10.453125" style="1" customWidth="1"/>
    <col min="8" max="8" width="7.81640625" style="21" bestFit="1" customWidth="1"/>
    <col min="9" max="9" width="12.36328125" style="1" customWidth="1"/>
    <col min="10" max="10" width="10" style="21" customWidth="1"/>
    <col min="11" max="11" width="11.6328125" style="1" customWidth="1"/>
    <col min="12" max="12" width="10.1796875" style="21" customWidth="1"/>
    <col min="13" max="13" width="11" style="1" bestFit="1" customWidth="1"/>
    <col min="14" max="15" width="8.81640625" style="1"/>
    <col min="16" max="16" width="11.81640625" style="1" customWidth="1"/>
    <col min="17" max="17" width="7.6328125" style="1" customWidth="1"/>
    <col min="18" max="19" width="8.81640625" style="12"/>
    <col min="20" max="20" width="8.1796875" style="12" customWidth="1"/>
    <col min="21" max="21" width="7.453125" style="12" customWidth="1"/>
    <col min="22" max="26" width="8.81640625" style="1"/>
    <col min="27" max="28" width="8.81640625" style="12"/>
    <col min="29" max="29" width="9.453125" style="12" bestFit="1" customWidth="1"/>
    <col min="30" max="30" width="8.81640625" style="12"/>
    <col min="31" max="34" width="8.81640625" style="1"/>
    <col min="35" max="35" width="12" style="1" customWidth="1"/>
    <col min="36" max="36" width="15.6328125" style="99" customWidth="1"/>
    <col min="37" max="37" width="14" style="2" customWidth="1"/>
    <col min="38" max="38" width="9.36328125" style="2" bestFit="1" customWidth="1"/>
    <col min="39" max="39" width="9.36328125" style="2" customWidth="1"/>
    <col min="40" max="41" width="8.81640625" style="1"/>
    <col min="42" max="42" width="11.6328125" style="1" customWidth="1"/>
    <col min="43" max="43" width="16" style="12" customWidth="1"/>
    <col min="44" max="44" width="12.81640625" style="12" customWidth="1"/>
    <col min="45" max="46" width="8.81640625" style="12"/>
    <col min="47" max="47" width="8.81640625" style="1"/>
    <col min="48" max="48" width="17.36328125" style="1" customWidth="1"/>
    <col min="49" max="49" width="13.453125" style="1" customWidth="1"/>
    <col min="50" max="50" width="8.81640625" style="1"/>
    <col min="51" max="51" width="12" style="1" customWidth="1"/>
    <col min="52" max="52" width="12.6328125" style="1" bestFit="1" customWidth="1"/>
    <col min="53" max="53" width="12.6328125" style="10" bestFit="1" customWidth="1"/>
    <col min="54" max="16384" width="8.81640625" style="1"/>
  </cols>
  <sheetData>
    <row r="1" spans="3:53" x14ac:dyDescent="0.75">
      <c r="C1" s="11" t="s">
        <v>42</v>
      </c>
      <c r="P1" s="12"/>
      <c r="AH1" s="11" t="s">
        <v>43</v>
      </c>
    </row>
    <row r="2" spans="3:53" x14ac:dyDescent="0.75">
      <c r="D2" s="11" t="s">
        <v>41</v>
      </c>
      <c r="O2" s="11" t="s">
        <v>8</v>
      </c>
      <c r="P2" s="12"/>
      <c r="Y2" s="11" t="s">
        <v>9</v>
      </c>
      <c r="AI2" s="11" t="s">
        <v>36</v>
      </c>
      <c r="AP2" s="11"/>
      <c r="AQ2" s="13" t="s">
        <v>44</v>
      </c>
      <c r="AY2" s="11"/>
    </row>
    <row r="3" spans="3:53" ht="15.5" thickBot="1" x14ac:dyDescent="0.9">
      <c r="D3" s="38"/>
      <c r="P3" s="38"/>
      <c r="AI3" s="38"/>
      <c r="AP3" s="38"/>
      <c r="AV3" s="37" t="s">
        <v>62</v>
      </c>
      <c r="AW3" s="62" t="s">
        <v>53</v>
      </c>
      <c r="AX3" s="69"/>
      <c r="AY3" s="38"/>
    </row>
    <row r="4" spans="3:53" ht="15.5" thickBot="1" x14ac:dyDescent="0.9">
      <c r="C4" s="11"/>
      <c r="D4" s="11" t="s">
        <v>5</v>
      </c>
      <c r="E4" s="72" t="s">
        <v>58</v>
      </c>
      <c r="F4" s="72" t="s">
        <v>54</v>
      </c>
      <c r="G4" s="11" t="s">
        <v>74</v>
      </c>
      <c r="H4" s="72" t="s">
        <v>55</v>
      </c>
      <c r="I4" s="11" t="s">
        <v>75</v>
      </c>
      <c r="J4" s="72" t="s">
        <v>57</v>
      </c>
      <c r="K4" s="11" t="s">
        <v>76</v>
      </c>
      <c r="L4" s="72" t="s">
        <v>56</v>
      </c>
      <c r="M4" s="11" t="s">
        <v>77</v>
      </c>
      <c r="O4" s="11"/>
      <c r="P4" s="11" t="s">
        <v>5</v>
      </c>
      <c r="Q4" s="11" t="s">
        <v>58</v>
      </c>
      <c r="R4" s="11" t="s">
        <v>54</v>
      </c>
      <c r="S4" s="11" t="s">
        <v>55</v>
      </c>
      <c r="T4" s="11" t="s">
        <v>57</v>
      </c>
      <c r="U4" s="11" t="s">
        <v>56</v>
      </c>
      <c r="X4" s="11"/>
      <c r="Y4" s="11"/>
      <c r="Z4" s="11" t="s">
        <v>58</v>
      </c>
      <c r="AA4" s="11" t="s">
        <v>54</v>
      </c>
      <c r="AB4" s="11" t="s">
        <v>55</v>
      </c>
      <c r="AC4" s="11" t="s">
        <v>57</v>
      </c>
      <c r="AD4" s="11" t="s">
        <v>56</v>
      </c>
      <c r="AF4" s="11"/>
      <c r="AG4" s="11"/>
      <c r="AH4" s="11"/>
      <c r="AI4" s="11" t="s">
        <v>5</v>
      </c>
      <c r="AJ4" s="116" t="s">
        <v>65</v>
      </c>
      <c r="AK4" s="62" t="s">
        <v>53</v>
      </c>
      <c r="AL4" s="1"/>
      <c r="AM4" s="1"/>
      <c r="AN4" s="11"/>
      <c r="AO4" s="11"/>
      <c r="AP4" s="11" t="s">
        <v>5</v>
      </c>
      <c r="AQ4" s="37" t="s">
        <v>62</v>
      </c>
      <c r="AR4" s="62" t="s">
        <v>53</v>
      </c>
      <c r="AS4" s="70"/>
      <c r="AT4" s="70"/>
      <c r="AV4" s="4">
        <f>benchmark!C6</f>
        <v>0.4</v>
      </c>
      <c r="AW4" s="36">
        <v>0.6</v>
      </c>
      <c r="AX4" s="66"/>
      <c r="AY4" s="11" t="s">
        <v>5</v>
      </c>
      <c r="AZ4" s="14" t="s">
        <v>29</v>
      </c>
      <c r="BA4" s="68"/>
    </row>
    <row r="5" spans="3:53" x14ac:dyDescent="0.75">
      <c r="C5" s="11"/>
      <c r="D5" s="15">
        <v>43770</v>
      </c>
      <c r="E5" s="21">
        <f>+VLOOKUP(D5,Prezzi!$I$12:$J$367,2,0)</f>
        <v>5.214162</v>
      </c>
      <c r="F5" s="21">
        <f>+VLOOKUP(D5,Prezzi!$K$12:$L$367,2,0)/VLOOKUP(D5,Prezzi!$S$12:$T$367,2,0)</f>
        <v>276.41511446269868</v>
      </c>
      <c r="G5" s="1">
        <v>0</v>
      </c>
      <c r="H5" s="21">
        <f>+VLOOKUP(D5,Prezzi!$M$12:$N$367,2,0)/VLOOKUP(D5,Prezzi!$S$12:$T$367,2,0)</f>
        <v>23.546198042912295</v>
      </c>
      <c r="I5" s="1">
        <v>0</v>
      </c>
      <c r="J5" s="21">
        <f>+VLOOKUP(D5,Prezzi!$O$12:$P$367,2,0)/VLOOKUP(D5,Prezzi!$S$12:$T$367,2,0)</f>
        <v>51.457355238351745</v>
      </c>
      <c r="K5" s="1">
        <v>0</v>
      </c>
      <c r="L5" s="21">
        <f>+VLOOKUP(D5,Prezzi!$Q$12:$R$367,2,0)/VLOOKUP(D5,Prezzi!$S$12:$T$367,2,0)</f>
        <v>101.48409282700423</v>
      </c>
      <c r="M5" s="107">
        <v>0</v>
      </c>
      <c r="O5" s="1" t="str">
        <f t="shared" ref="O5:O14" si="0">+YEAR( P5) &amp; WEEKNUM(P5,2)</f>
        <v>201944</v>
      </c>
      <c r="P5" s="35">
        <v>43770</v>
      </c>
      <c r="Q5" s="12">
        <f t="shared" ref="Q5:Q9" si="1">+LN(E5/E6)</f>
        <v>-7.2391947257107359E-4</v>
      </c>
      <c r="R5" s="12">
        <f t="shared" ref="R5:R9" si="2">+LN((F5+G5)/F6)</f>
        <v>1.1043553114113001E-2</v>
      </c>
      <c r="S5" s="12">
        <f t="shared" ref="S5:S9" si="3">+LN((H5+I5)/H6)</f>
        <v>4.5013915983237009E-3</v>
      </c>
      <c r="T5" s="12">
        <f t="shared" ref="T5:T9" si="4">+LN((J5+K5)/J6)</f>
        <v>-3.1520075526887469E-4</v>
      </c>
      <c r="U5" s="12">
        <f t="shared" ref="U5:U9" si="5">+LN((L5+M5)/L6)</f>
        <v>4.2394238734996196E-4</v>
      </c>
      <c r="X5" s="11"/>
      <c r="Y5" s="16">
        <v>201944</v>
      </c>
      <c r="Z5" s="12">
        <f>+SUMIF($O$5:$O$359,$Y5,Q$5:Q$359)</f>
        <v>2.3133037897188793E-3</v>
      </c>
      <c r="AA5" s="12">
        <f t="shared" ref="AA5:AD5" si="6">+SUMIF($O$5:$O$359,$Y5,R$5:R$359)</f>
        <v>1.1928377199111807E-2</v>
      </c>
      <c r="AB5" s="12">
        <f t="shared" si="6"/>
        <v>8.4521743967012897E-3</v>
      </c>
      <c r="AC5" s="12">
        <f t="shared" si="6"/>
        <v>8.6785271414775624E-4</v>
      </c>
      <c r="AD5" s="12">
        <f t="shared" si="6"/>
        <v>-4.1995169622145914E-3</v>
      </c>
      <c r="AF5" s="11"/>
      <c r="AG5" s="11"/>
      <c r="AH5" s="11"/>
      <c r="AI5" s="15">
        <v>43770</v>
      </c>
      <c r="AJ5" s="99">
        <f>+VLOOKUP(AI5,benchmark!I$7:$J$362,2,0)</f>
        <v>268.3895</v>
      </c>
      <c r="AK5" s="61">
        <f>+VLOOKUP(AI5,benchmark!K$7:$L$362,2,0)</f>
        <v>252.703</v>
      </c>
      <c r="AL5" s="1"/>
      <c r="AM5" s="1"/>
      <c r="AN5" s="11"/>
      <c r="AO5" s="11"/>
      <c r="AP5" s="15">
        <v>43770</v>
      </c>
      <c r="AQ5" s="12">
        <f t="shared" ref="AQ5:AR9" si="7">+AJ5/AJ6-1</f>
        <v>8.1784350309883624E-3</v>
      </c>
      <c r="AR5" s="12">
        <f t="shared" si="7"/>
        <v>-2.4080880175908481E-3</v>
      </c>
      <c r="AS5" s="70"/>
      <c r="AT5" s="70"/>
      <c r="AV5" s="106"/>
      <c r="AW5" s="106"/>
      <c r="AX5" s="66"/>
      <c r="AY5" s="15">
        <v>43770</v>
      </c>
      <c r="AZ5" s="12">
        <f>+SUMPRODUCT($AV$4:$AW$4,AQ5:AR5)</f>
        <v>1.8265212018408364E-3</v>
      </c>
      <c r="BA5" s="68"/>
    </row>
    <row r="6" spans="3:53" x14ac:dyDescent="0.75">
      <c r="C6" s="11"/>
      <c r="D6" s="15">
        <v>43769</v>
      </c>
      <c r="E6" s="21">
        <f>+VLOOKUP(D6,Prezzi!$I$12:$J$367,2,0)</f>
        <v>5.2179380000000002</v>
      </c>
      <c r="F6" s="21">
        <f>+VLOOKUP(D6,Prezzi!$K$12:$L$367,2,0)/VLOOKUP(D6,Prezzi!$S$12:$T$367,2,0)</f>
        <v>273.3793033889188</v>
      </c>
      <c r="G6" s="1">
        <v>0</v>
      </c>
      <c r="H6" s="21">
        <f>+VLOOKUP(D6,Prezzi!$M$12:$N$367,2,0)/VLOOKUP(D6,Prezzi!$S$12:$T$367,2,0)</f>
        <v>23.440445580060963</v>
      </c>
      <c r="I6" s="1">
        <v>0</v>
      </c>
      <c r="J6" s="21">
        <f>+VLOOKUP(D6,Prezzi!$O$12:$P$367,2,0)/VLOOKUP(D6,Prezzi!$S$12:$T$367,2,0)</f>
        <v>51.473577192038732</v>
      </c>
      <c r="K6" s="1">
        <v>0</v>
      </c>
      <c r="L6" s="21">
        <f>+VLOOKUP(D6,Prezzi!$Q$12:$R$367,2,0)/VLOOKUP(D6,Prezzi!$S$12:$T$367,2,0)</f>
        <v>101.44107853684777</v>
      </c>
      <c r="M6" s="107">
        <v>0</v>
      </c>
      <c r="O6" s="1" t="str">
        <f t="shared" si="0"/>
        <v>201944</v>
      </c>
      <c r="P6" s="35">
        <v>43769</v>
      </c>
      <c r="Q6" s="12">
        <f t="shared" si="1"/>
        <v>3.945150979307077E-3</v>
      </c>
      <c r="R6" s="12">
        <f t="shared" si="2"/>
        <v>-7.2745229682048777E-3</v>
      </c>
      <c r="S6" s="12">
        <f t="shared" si="3"/>
        <v>-4.4226690207561621E-3</v>
      </c>
      <c r="T6" s="12">
        <f t="shared" si="4"/>
        <v>6.7876708411982812E-3</v>
      </c>
      <c r="U6" s="12">
        <f t="shared" si="5"/>
        <v>-2.3724388987522344E-4</v>
      </c>
      <c r="X6" s="11"/>
      <c r="Y6" s="16">
        <v>201943</v>
      </c>
      <c r="Z6" s="12">
        <f>+SUMIF($O$5:$O$359,$Y6,Q$5:Q$359)</f>
        <v>-7.7092768781353532E-4</v>
      </c>
      <c r="AA6" s="12">
        <f t="shared" ref="AA6:AA9" si="8">+SUMIF($O$5:$O$359,$Y6,R$5:R$359)</f>
        <v>1.5522595436275419E-2</v>
      </c>
      <c r="AB6" s="12">
        <f t="shared" ref="AB6:AB9" si="9">+SUMIF($O$5:$O$359,$Y6,S$5:S$359)</f>
        <v>4.8441252400289302E-3</v>
      </c>
      <c r="AC6" s="12">
        <f t="shared" ref="AC6:AC9" si="10">+SUMIF($O$5:$O$359,$Y6,T$5:T$359)</f>
        <v>1.1637711613001299E-2</v>
      </c>
      <c r="AD6" s="12">
        <f t="shared" ref="AD6:AD9" si="11">+SUMIF($O$5:$O$359,$Y6,U$5:U$359)</f>
        <v>5.2749989964428192E-3</v>
      </c>
      <c r="AF6" s="11"/>
      <c r="AG6" s="11"/>
      <c r="AH6" s="11"/>
      <c r="AI6" s="15">
        <v>43769</v>
      </c>
      <c r="AJ6" s="99">
        <f>+VLOOKUP(AI6,benchmark!I$7:$J$362,2,0)</f>
        <v>266.21230000000003</v>
      </c>
      <c r="AK6" s="61">
        <f>+VLOOKUP(AI6,benchmark!K$7:$L$362,2,0)</f>
        <v>253.31299999999999</v>
      </c>
      <c r="AL6" s="1"/>
      <c r="AM6" s="1"/>
      <c r="AN6" s="11"/>
      <c r="AO6" s="11"/>
      <c r="AP6" s="15">
        <v>43769</v>
      </c>
      <c r="AQ6" s="12">
        <f t="shared" si="7"/>
        <v>-1.3605927037417809E-3</v>
      </c>
      <c r="AR6" s="12">
        <f t="shared" si="7"/>
        <v>3.8121505363559738E-3</v>
      </c>
      <c r="AS6" s="70"/>
      <c r="AT6" s="70"/>
      <c r="AV6" s="106"/>
      <c r="AW6" s="106"/>
      <c r="AX6" s="66"/>
      <c r="AY6" s="15">
        <v>43769</v>
      </c>
      <c r="AZ6" s="12">
        <f t="shared" ref="AZ5:AZ9" si="12">+SUMPRODUCT($AV$4:$AW$4,AQ6:AR6)</f>
        <v>1.7430532403168715E-3</v>
      </c>
      <c r="BA6" s="68"/>
    </row>
    <row r="7" spans="3:53" x14ac:dyDescent="0.75">
      <c r="C7" s="11"/>
      <c r="D7" s="15">
        <v>43768</v>
      </c>
      <c r="E7" s="21">
        <f>+VLOOKUP(D7,Prezzi!$I$12:$J$367,2,0)</f>
        <v>5.1973929999999999</v>
      </c>
      <c r="F7" s="21">
        <f>+VLOOKUP(D7,Prezzi!$K$12:$L$367,2,0)/VLOOKUP(D7,Prezzi!$S$12:$T$367,2,0)</f>
        <v>275.3752584188727</v>
      </c>
      <c r="G7" s="1">
        <v>0</v>
      </c>
      <c r="H7" s="21">
        <f>+VLOOKUP(D7,Prezzi!$M$12:$N$367,2,0)/VLOOKUP(D7,Prezzi!$S$12:$T$367,2,0)</f>
        <v>23.544344498469293</v>
      </c>
      <c r="I7" s="1">
        <v>0</v>
      </c>
      <c r="J7" s="21">
        <f>+VLOOKUP(D7,Prezzi!$O$12:$P$367,2,0)/VLOOKUP(D7,Prezzi!$S$12:$T$367,2,0)</f>
        <v>51.125374572303258</v>
      </c>
      <c r="K7" s="1">
        <v>0</v>
      </c>
      <c r="L7" s="21">
        <f>+VLOOKUP(D7,Prezzi!$Q$12:$R$367,2,0)/VLOOKUP(D7,Prezzi!$S$12:$T$367,2,0)</f>
        <v>101.46514766792724</v>
      </c>
      <c r="M7" s="107">
        <v>0</v>
      </c>
      <c r="O7" s="1" t="str">
        <f t="shared" si="0"/>
        <v>201944</v>
      </c>
      <c r="P7" s="35">
        <v>43768</v>
      </c>
      <c r="Q7" s="12">
        <f t="shared" si="1"/>
        <v>1.24389655369475E-3</v>
      </c>
      <c r="R7" s="12">
        <f t="shared" si="2"/>
        <v>2.3374461025101479E-3</v>
      </c>
      <c r="S7" s="12">
        <f t="shared" si="3"/>
        <v>6.8880018290401772E-3</v>
      </c>
      <c r="T7" s="12">
        <f t="shared" si="4"/>
        <v>3.4928440280127524E-3</v>
      </c>
      <c r="U7" s="12">
        <f t="shared" si="5"/>
        <v>-2.5214482318721698E-3</v>
      </c>
      <c r="X7" s="11"/>
      <c r="Y7" s="16">
        <v>201942</v>
      </c>
      <c r="Z7" s="12">
        <f>+SUMIF($O$5:$O$359,$Y7,Q$5:Q$359)</f>
        <v>-8.5785166040818785E-4</v>
      </c>
      <c r="AA7" s="12">
        <f t="shared" si="8"/>
        <v>-3.5902270824535354E-3</v>
      </c>
      <c r="AB7" s="12">
        <f t="shared" si="9"/>
        <v>6.1388270296421727E-4</v>
      </c>
      <c r="AC7" s="12">
        <f t="shared" si="10"/>
        <v>-5.4919567651123304E-3</v>
      </c>
      <c r="AD7" s="12">
        <f t="shared" si="11"/>
        <v>-7.3734571449465989E-3</v>
      </c>
      <c r="AF7" s="11"/>
      <c r="AG7" s="11"/>
      <c r="AH7" s="11"/>
      <c r="AI7" s="15">
        <v>43768</v>
      </c>
      <c r="AJ7" s="99">
        <f>+VLOOKUP(AI7,benchmark!I$7:$J$362,2,0)</f>
        <v>266.57499999999999</v>
      </c>
      <c r="AK7" s="61">
        <f>+VLOOKUP(AI7,benchmark!K$7:$L$362,2,0)</f>
        <v>252.351</v>
      </c>
      <c r="AL7" s="1"/>
      <c r="AM7" s="1"/>
      <c r="AN7" s="11"/>
      <c r="AO7" s="11"/>
      <c r="AP7" s="15">
        <v>43768</v>
      </c>
      <c r="AQ7" s="12">
        <f t="shared" si="7"/>
        <v>1.7466448110594612E-3</v>
      </c>
      <c r="AR7" s="12">
        <f t="shared" si="7"/>
        <v>3.894626290915415E-3</v>
      </c>
      <c r="AS7" s="70"/>
      <c r="AT7" s="70"/>
      <c r="AV7" s="106"/>
      <c r="AW7" s="106"/>
      <c r="AX7" s="66"/>
      <c r="AY7" s="15">
        <v>43768</v>
      </c>
      <c r="AZ7" s="12">
        <f t="shared" si="12"/>
        <v>3.0354336989730337E-3</v>
      </c>
      <c r="BA7" s="68"/>
    </row>
    <row r="8" spans="3:53" x14ac:dyDescent="0.75">
      <c r="C8" s="11"/>
      <c r="D8" s="15">
        <v>43767</v>
      </c>
      <c r="E8" s="21">
        <f>+VLOOKUP(D8,Prezzi!$I$12:$J$367,2,0)</f>
        <v>5.1909320000000001</v>
      </c>
      <c r="F8" s="21">
        <f>+VLOOKUP(D8,Prezzi!$K$12:$L$367,2,0)/VLOOKUP(D8,Prezzi!$S$12:$T$367,2,0)</f>
        <v>274.73233528616493</v>
      </c>
      <c r="G8" s="1">
        <v>0</v>
      </c>
      <c r="H8" s="21">
        <f>+VLOOKUP(D8,Prezzi!$M$12:$N$367,2,0)/VLOOKUP(D8,Prezzi!$S$12:$T$367,2,0)</f>
        <v>23.382728255971159</v>
      </c>
      <c r="I8" s="1">
        <v>0</v>
      </c>
      <c r="J8" s="21">
        <f>+VLOOKUP(D8,Prezzi!$O$12:$P$367,2,0)/VLOOKUP(D8,Prezzi!$S$12:$T$367,2,0)</f>
        <v>50.947113114015323</v>
      </c>
      <c r="K8" s="1">
        <v>0</v>
      </c>
      <c r="L8" s="21">
        <f>+VLOOKUP(D8,Prezzi!$Q$12:$R$367,2,0)/VLOOKUP(D8,Prezzi!$S$12:$T$367,2,0)</f>
        <v>101.72130959891844</v>
      </c>
      <c r="M8" s="107">
        <v>0</v>
      </c>
      <c r="O8" s="1" t="str">
        <f t="shared" si="0"/>
        <v>201944</v>
      </c>
      <c r="P8" s="35">
        <v>43767</v>
      </c>
      <c r="Q8" s="12">
        <f t="shared" si="1"/>
        <v>2.6395661091937079E-4</v>
      </c>
      <c r="R8" s="12">
        <f t="shared" si="2"/>
        <v>-1.5423504894103257E-3</v>
      </c>
      <c r="S8" s="12">
        <f t="shared" si="3"/>
        <v>-3.568268115389525E-4</v>
      </c>
      <c r="T8" s="12">
        <f t="shared" si="4"/>
        <v>-4.0885663578525463E-3</v>
      </c>
      <c r="U8" s="12">
        <f t="shared" si="5"/>
        <v>-1.4947540593749089E-3</v>
      </c>
      <c r="X8" s="11"/>
      <c r="Y8" s="16">
        <v>201941</v>
      </c>
      <c r="Z8" s="12">
        <f>+SUMIF($O$5:$O$359,$Y8,Q$5:Q$359)</f>
        <v>-9.5346897283609035E-3</v>
      </c>
      <c r="AA8" s="12">
        <f t="shared" si="8"/>
        <v>8.0177284765317429E-4</v>
      </c>
      <c r="AB8" s="12">
        <f t="shared" si="9"/>
        <v>1.464767475262734E-2</v>
      </c>
      <c r="AC8" s="12">
        <f t="shared" si="10"/>
        <v>-2.1042648411718851E-2</v>
      </c>
      <c r="AD8" s="12">
        <f t="shared" si="11"/>
        <v>-6.9841172693293676E-3</v>
      </c>
      <c r="AF8" s="11"/>
      <c r="AG8" s="11"/>
      <c r="AH8" s="11"/>
      <c r="AI8" s="15">
        <v>43767</v>
      </c>
      <c r="AJ8" s="99">
        <f>+VLOOKUP(AI8,benchmark!I$7:$J$362,2,0)</f>
        <v>266.11020000000002</v>
      </c>
      <c r="AK8" s="61">
        <f>+VLOOKUP(AI8,benchmark!K$7:$L$362,2,0)</f>
        <v>251.37200000000001</v>
      </c>
      <c r="AL8" s="1"/>
      <c r="AM8" s="1"/>
      <c r="AN8" s="11"/>
      <c r="AO8" s="11"/>
      <c r="AP8" s="15">
        <v>43767</v>
      </c>
      <c r="AQ8" s="12">
        <f t="shared" si="7"/>
        <v>5.07942284823093E-4</v>
      </c>
      <c r="AR8" s="12">
        <f t="shared" si="7"/>
        <v>-2.4801882562094368E-3</v>
      </c>
      <c r="AS8" s="70"/>
      <c r="AT8" s="70"/>
      <c r="AV8" s="106"/>
      <c r="AW8" s="106"/>
      <c r="AX8" s="66"/>
      <c r="AY8" s="15">
        <v>43767</v>
      </c>
      <c r="AZ8" s="12">
        <f t="shared" si="12"/>
        <v>-1.2849360397964248E-3</v>
      </c>
      <c r="BA8" s="68"/>
    </row>
    <row r="9" spans="3:53" x14ac:dyDescent="0.75">
      <c r="C9" s="11"/>
      <c r="D9" s="15">
        <v>43766</v>
      </c>
      <c r="E9" s="21">
        <f>+VLOOKUP(D9,Prezzi!$I$12:$J$367,2,0)</f>
        <v>5.1895619999999996</v>
      </c>
      <c r="F9" s="21">
        <f>+VLOOKUP(D9,Prezzi!$K$12:$L$367,2,0)/VLOOKUP(D9,Prezzi!$S$12:$T$367,2,0)</f>
        <v>275.15639577884008</v>
      </c>
      <c r="G9" s="1">
        <v>0</v>
      </c>
      <c r="H9" s="21">
        <f>+VLOOKUP(D9,Prezzi!$M$12:$N$367,2,0)/VLOOKUP(D9,Prezzi!$S$12:$T$367,2,0)</f>
        <v>23.391073329124197</v>
      </c>
      <c r="I9" s="1">
        <v>0</v>
      </c>
      <c r="J9" s="21">
        <f>+VLOOKUP(D9,Prezzi!$O$12:$P$367,2,0)/VLOOKUP(D9,Prezzi!$S$12:$T$367,2,0)</f>
        <v>51.15584017317579</v>
      </c>
      <c r="K9" s="1">
        <v>0</v>
      </c>
      <c r="L9" s="21">
        <f>+VLOOKUP(D9,Prezzi!$Q$12:$R$367,2,0)/VLOOKUP(D9,Prezzi!$S$12:$T$367,2,0)</f>
        <v>101.87347163344458</v>
      </c>
      <c r="M9" s="107">
        <v>0</v>
      </c>
      <c r="O9" s="1" t="str">
        <f t="shared" si="0"/>
        <v>201944</v>
      </c>
      <c r="P9" s="35">
        <v>43766</v>
      </c>
      <c r="Q9" s="12">
        <f t="shared" si="1"/>
        <v>-2.4157808816312452E-3</v>
      </c>
      <c r="R9" s="12">
        <f t="shared" si="2"/>
        <v>7.3642514401038618E-3</v>
      </c>
      <c r="S9" s="12">
        <f t="shared" si="3"/>
        <v>1.8422768016325272E-3</v>
      </c>
      <c r="T9" s="12">
        <f t="shared" si="4"/>
        <v>-5.0088950419418564E-3</v>
      </c>
      <c r="U9" s="12">
        <f t="shared" si="5"/>
        <v>-3.7001316844225091E-4</v>
      </c>
      <c r="X9" s="11"/>
      <c r="Y9" s="16">
        <v>201940</v>
      </c>
      <c r="Z9" s="12">
        <f t="shared" ref="Z9:Z72" si="13">+SUMIF($O$5:$O$359,$Y9,Q$5:Q$359)</f>
        <v>3.5382270727523147E-3</v>
      </c>
      <c r="AA9" s="12">
        <f t="shared" si="8"/>
        <v>-2.0364715952293135E-3</v>
      </c>
      <c r="AB9" s="12">
        <f t="shared" si="9"/>
        <v>-2.1074540241966377E-2</v>
      </c>
      <c r="AC9" s="12">
        <f t="shared" si="10"/>
        <v>9.6705432193573693E-4</v>
      </c>
      <c r="AD9" s="12">
        <f t="shared" si="11"/>
        <v>-3.7872892086842484E-3</v>
      </c>
      <c r="AF9" s="11"/>
      <c r="AG9" s="11"/>
      <c r="AH9" s="11"/>
      <c r="AI9" s="15">
        <v>43766</v>
      </c>
      <c r="AJ9" s="99">
        <f>+VLOOKUP(AI9,benchmark!I$7:$J$362,2,0)</f>
        <v>265.9751</v>
      </c>
      <c r="AK9" s="61">
        <f>+VLOOKUP(AI9,benchmark!K$7:$L$362,2,0)</f>
        <v>251.99700000000001</v>
      </c>
      <c r="AL9" s="1"/>
      <c r="AM9" s="1"/>
      <c r="AN9" s="11"/>
      <c r="AO9" s="11"/>
      <c r="AP9" s="15">
        <v>43766</v>
      </c>
      <c r="AQ9" s="12">
        <f t="shared" si="7"/>
        <v>4.2419981604793211E-3</v>
      </c>
      <c r="AR9" s="12">
        <f t="shared" si="7"/>
        <v>-3.1212171560133228E-3</v>
      </c>
      <c r="AS9" s="70"/>
      <c r="AT9" s="70"/>
      <c r="AV9" s="106"/>
      <c r="AW9" s="106"/>
      <c r="AX9" s="66"/>
      <c r="AY9" s="15">
        <v>43766</v>
      </c>
      <c r="AZ9" s="12">
        <f t="shared" si="12"/>
        <v>-1.7593102941626504E-4</v>
      </c>
      <c r="BA9" s="68"/>
    </row>
    <row r="10" spans="3:53" x14ac:dyDescent="0.75">
      <c r="C10" s="11"/>
      <c r="D10" s="15">
        <v>43763</v>
      </c>
      <c r="E10" s="21">
        <f>+VLOOKUP(D10,Prezzi!$I$12:$J$367,2,0)</f>
        <v>5.2021139999999999</v>
      </c>
      <c r="F10" s="21">
        <f>+VLOOKUP(D10,Prezzi!$K$12:$L$367,2,0)/VLOOKUP(D10,Prezzi!$S$12:$T$367,2,0)</f>
        <v>273.13751778157922</v>
      </c>
      <c r="G10" s="1">
        <v>0</v>
      </c>
      <c r="H10" s="21">
        <f>+VLOOKUP(D10,Prezzi!$M$12:$N$367,2,0)/VLOOKUP(D10,Prezzi!$S$12:$T$367,2,0)</f>
        <v>23.348020167461961</v>
      </c>
      <c r="I10" s="1">
        <v>0</v>
      </c>
      <c r="J10" s="21">
        <f>+VLOOKUP(D10,Prezzi!$O$12:$P$367,2,0)/VLOOKUP(D10,Prezzi!$S$12:$T$367,2,0)</f>
        <v>51.412717205365979</v>
      </c>
      <c r="K10" s="1">
        <v>0</v>
      </c>
      <c r="L10" s="21">
        <f>+VLOOKUP(D10,Prezzi!$Q$12:$R$367,2,0)/VLOOKUP(D10,Prezzi!$S$12:$T$367,2,0)</f>
        <v>101.9111731340596</v>
      </c>
      <c r="M10" s="107">
        <v>0</v>
      </c>
      <c r="O10" s="1" t="str">
        <f t="shared" si="0"/>
        <v>201943</v>
      </c>
      <c r="P10" s="35">
        <v>43763</v>
      </c>
      <c r="Q10" s="12">
        <f t="shared" ref="Q10:Q14" si="14">+LN(E10/E11)</f>
        <v>-1.4646771065911044E-3</v>
      </c>
      <c r="R10" s="12">
        <f t="shared" ref="R10:R14" si="15">+LN((F10+G10)/F11)</f>
        <v>5.9688295059917903E-3</v>
      </c>
      <c r="S10" s="12">
        <f t="shared" ref="S10:S14" si="16">+LN((H10+I10)/H11)</f>
        <v>2.7899867710163011E-4</v>
      </c>
      <c r="T10" s="12">
        <f t="shared" ref="T10:T14" si="17">+LN((J10+K10)/J11)</f>
        <v>2.717288983573827E-3</v>
      </c>
      <c r="U10" s="12">
        <f t="shared" ref="U10:U14" si="18">+LN((L10+M10)/L11)</f>
        <v>2.4164195202167854E-3</v>
      </c>
      <c r="X10" s="11"/>
      <c r="Y10" s="16">
        <v>201939</v>
      </c>
      <c r="Z10" s="12">
        <f t="shared" si="13"/>
        <v>3.4298028313124347E-3</v>
      </c>
      <c r="AA10" s="12">
        <f t="shared" ref="AA10:AA73" si="19">+SUMIF($O$5:$O$359,$Y10,R$5:R$359)</f>
        <v>-6.2105977693104018E-3</v>
      </c>
      <c r="AB10" s="12">
        <f t="shared" ref="AB10:AB73" si="20">+SUMIF($O$5:$O$359,$Y10,S$5:S$359)</f>
        <v>1.0363899367874227E-2</v>
      </c>
      <c r="AC10" s="12">
        <f t="shared" ref="AC10:AC73" si="21">+SUMIF($O$5:$O$359,$Y10,T$5:T$359)</f>
        <v>1.4709355398928575E-3</v>
      </c>
      <c r="AD10" s="12">
        <f t="shared" ref="AD10:AD73" si="22">+SUMIF($O$5:$O$359,$Y10,U$5:U$359)</f>
        <v>2.934385661966704E-3</v>
      </c>
      <c r="AF10" s="11"/>
      <c r="AG10" s="11"/>
      <c r="AH10" s="11"/>
      <c r="AI10" s="15">
        <v>43763</v>
      </c>
      <c r="AJ10" s="99">
        <f>+VLOOKUP(AI10,benchmark!I$7:$J$362,2,0)</f>
        <v>264.85160000000002</v>
      </c>
      <c r="AK10" s="61">
        <f>+VLOOKUP(AI10,benchmark!K$7:$L$362,2,0)</f>
        <v>252.786</v>
      </c>
      <c r="AL10" s="1"/>
      <c r="AM10" s="1"/>
      <c r="AN10" s="11"/>
      <c r="AO10" s="11"/>
      <c r="AP10" s="15">
        <v>43763</v>
      </c>
      <c r="AQ10" s="12">
        <f t="shared" ref="AQ10:AR14" si="23">+AJ10/AJ11-1</f>
        <v>2.6704908115278148E-3</v>
      </c>
      <c r="AR10" s="12">
        <f t="shared" si="23"/>
        <v>-2.3994254007593252E-3</v>
      </c>
      <c r="AS10" s="70"/>
      <c r="AT10" s="70"/>
      <c r="AV10" s="106"/>
      <c r="AW10" s="106"/>
      <c r="AX10" s="66"/>
      <c r="AY10" s="15">
        <v>43763</v>
      </c>
      <c r="AZ10" s="12">
        <f t="shared" ref="AZ10:AZ14" si="24">+SUMPRODUCT($AV$4:$AW$4,AQ10:AR10)</f>
        <v>-3.7145891584446913E-4</v>
      </c>
      <c r="BA10" s="68"/>
    </row>
    <row r="11" spans="3:53" x14ac:dyDescent="0.75">
      <c r="C11" s="11"/>
      <c r="D11" s="15">
        <v>43762</v>
      </c>
      <c r="E11" s="21">
        <f>+VLOOKUP(D11,Prezzi!$I$12:$J$367,2,0)</f>
        <v>5.2097389999999999</v>
      </c>
      <c r="F11" s="21">
        <f>+VLOOKUP(D11,Prezzi!$K$12:$L$367,2,0)/VLOOKUP(D11,Prezzi!$S$12:$T$367,2,0)</f>
        <v>271.51206236520488</v>
      </c>
      <c r="G11" s="1">
        <v>0</v>
      </c>
      <c r="H11" s="21">
        <f>+VLOOKUP(D11,Prezzi!$M$12:$N$367,2,0)/VLOOKUP(D11,Prezzi!$S$12:$T$367,2,0)</f>
        <v>23.341507009345793</v>
      </c>
      <c r="I11" s="1">
        <v>0</v>
      </c>
      <c r="J11" s="21">
        <f>+VLOOKUP(D11,Prezzi!$O$12:$P$367,2,0)/VLOOKUP(D11,Prezzi!$S$12:$T$367,2,0)</f>
        <v>51.273203630481667</v>
      </c>
      <c r="K11" s="1">
        <v>0</v>
      </c>
      <c r="L11" s="21">
        <f>+VLOOKUP(D11,Prezzi!$Q$12:$R$367,2,0)/VLOOKUP(D11,Prezzi!$S$12:$T$367,2,0)</f>
        <v>101.66521028037383</v>
      </c>
      <c r="M11" s="107">
        <v>0</v>
      </c>
      <c r="O11" s="1" t="str">
        <f t="shared" si="0"/>
        <v>201943</v>
      </c>
      <c r="P11" s="35">
        <v>43762</v>
      </c>
      <c r="Q11" s="12">
        <f t="shared" si="14"/>
        <v>5.8426901076345133E-4</v>
      </c>
      <c r="R11" s="12">
        <f t="shared" si="15"/>
        <v>1.4661529807834328E-3</v>
      </c>
      <c r="S11" s="12">
        <f t="shared" si="16"/>
        <v>2.4145689113501847E-3</v>
      </c>
      <c r="T11" s="12">
        <f t="shared" si="17"/>
        <v>5.7467036044052278E-3</v>
      </c>
      <c r="U11" s="12">
        <f t="shared" si="18"/>
        <v>1.037875679609776E-3</v>
      </c>
      <c r="X11" s="11"/>
      <c r="Y11" s="16">
        <v>201938</v>
      </c>
      <c r="Z11" s="12">
        <f t="shared" si="13"/>
        <v>6.176017916696688E-3</v>
      </c>
      <c r="AA11" s="12">
        <f t="shared" si="19"/>
        <v>9.9950997496080956E-4</v>
      </c>
      <c r="AB11" s="12">
        <f t="shared" si="20"/>
        <v>1.0263791147653509E-2</v>
      </c>
      <c r="AC11" s="12">
        <f t="shared" si="21"/>
        <v>1.8801843511381647E-2</v>
      </c>
      <c r="AD11" s="12">
        <f t="shared" si="22"/>
        <v>1.3610650609029981E-2</v>
      </c>
      <c r="AF11" s="11"/>
      <c r="AG11" s="11"/>
      <c r="AH11" s="11"/>
      <c r="AI11" s="15">
        <v>43762</v>
      </c>
      <c r="AJ11" s="99">
        <f>+VLOOKUP(AI11,benchmark!I$7:$J$362,2,0)</f>
        <v>264.14620000000002</v>
      </c>
      <c r="AK11" s="61">
        <f>+VLOOKUP(AI11,benchmark!K$7:$L$362,2,0)</f>
        <v>253.39400000000001</v>
      </c>
      <c r="AL11" s="1"/>
      <c r="AM11" s="1"/>
      <c r="AN11" s="11"/>
      <c r="AO11" s="11"/>
      <c r="AP11" s="15">
        <v>43762</v>
      </c>
      <c r="AQ11" s="12">
        <f t="shared" si="23"/>
        <v>3.6910828848355504E-3</v>
      </c>
      <c r="AR11" s="12">
        <f t="shared" si="23"/>
        <v>7.424784562768405E-4</v>
      </c>
      <c r="AS11" s="70"/>
      <c r="AT11" s="70"/>
      <c r="AV11" s="106"/>
      <c r="AW11" s="106"/>
      <c r="AX11" s="66"/>
      <c r="AY11" s="15">
        <v>43762</v>
      </c>
      <c r="AZ11" s="12">
        <f t="shared" si="24"/>
        <v>1.9219202277003244E-3</v>
      </c>
      <c r="BA11" s="68"/>
    </row>
    <row r="12" spans="3:53" x14ac:dyDescent="0.75">
      <c r="C12" s="11"/>
      <c r="D12" s="15">
        <v>43761</v>
      </c>
      <c r="E12" s="21">
        <f>+VLOOKUP(D12,Prezzi!$I$12:$J$367,2,0)</f>
        <v>5.206696</v>
      </c>
      <c r="F12" s="21">
        <f>+VLOOKUP(D12,Prezzi!$K$12:$L$367,2,0)/VLOOKUP(D12,Prezzi!$S$12:$T$367,2,0)</f>
        <v>271.11427582486738</v>
      </c>
      <c r="G12" s="1">
        <v>0</v>
      </c>
      <c r="H12" s="21">
        <f>+VLOOKUP(D12,Prezzi!$M$12:$N$367,2,0)/VLOOKUP(D12,Prezzi!$S$12:$T$367,2,0)</f>
        <v>23.285215319608017</v>
      </c>
      <c r="I12" s="1">
        <v>0</v>
      </c>
      <c r="J12" s="21">
        <f>+VLOOKUP(D12,Prezzi!$O$12:$P$367,2,0)/VLOOKUP(D12,Prezzi!$S$12:$T$367,2,0)</f>
        <v>50.979396745482333</v>
      </c>
      <c r="K12" s="1">
        <v>0</v>
      </c>
      <c r="L12" s="21">
        <f>+VLOOKUP(D12,Prezzi!$Q$12:$R$367,2,0)/VLOOKUP(D12,Prezzi!$S$12:$T$367,2,0)</f>
        <v>101.55974916838983</v>
      </c>
      <c r="M12" s="107">
        <v>0</v>
      </c>
      <c r="O12" s="1" t="str">
        <f t="shared" si="0"/>
        <v>201943</v>
      </c>
      <c r="P12" s="35">
        <v>43761</v>
      </c>
      <c r="Q12" s="12">
        <f t="shared" si="14"/>
        <v>7.0568670536214149E-4</v>
      </c>
      <c r="R12" s="12">
        <f t="shared" si="15"/>
        <v>3.5080792816795381E-3</v>
      </c>
      <c r="S12" s="12">
        <f t="shared" si="16"/>
        <v>-1.4185688322565239E-3</v>
      </c>
      <c r="T12" s="12">
        <f t="shared" si="17"/>
        <v>5.472174603368055E-3</v>
      </c>
      <c r="U12" s="12">
        <f t="shared" si="18"/>
        <v>1.4822351561038685E-3</v>
      </c>
      <c r="X12" s="11"/>
      <c r="Y12" s="16">
        <v>201937</v>
      </c>
      <c r="Z12" s="12">
        <f t="shared" si="13"/>
        <v>-1.3585542260931248E-2</v>
      </c>
      <c r="AA12" s="12">
        <f t="shared" si="19"/>
        <v>3.9203464114183524E-3</v>
      </c>
      <c r="AB12" s="12">
        <f t="shared" si="20"/>
        <v>-1.0572697487340982E-2</v>
      </c>
      <c r="AC12" s="12">
        <f t="shared" si="21"/>
        <v>-1.7114727199166027E-2</v>
      </c>
      <c r="AD12" s="12">
        <f t="shared" si="22"/>
        <v>-1.8675434708699853E-2</v>
      </c>
      <c r="AF12" s="11"/>
      <c r="AG12" s="11"/>
      <c r="AH12" s="11"/>
      <c r="AI12" s="15">
        <v>43761</v>
      </c>
      <c r="AJ12" s="99">
        <f>+VLOOKUP(AI12,benchmark!I$7:$J$362,2,0)</f>
        <v>263.1748</v>
      </c>
      <c r="AK12" s="61">
        <f>+VLOOKUP(AI12,benchmark!K$7:$L$362,2,0)</f>
        <v>253.20599999999999</v>
      </c>
      <c r="AL12" s="1"/>
      <c r="AM12" s="1"/>
      <c r="AN12" s="11"/>
      <c r="AO12" s="11"/>
      <c r="AP12" s="15">
        <v>43761</v>
      </c>
      <c r="AQ12" s="12">
        <f t="shared" si="23"/>
        <v>1.2897786374610476E-3</v>
      </c>
      <c r="AR12" s="12">
        <f t="shared" si="23"/>
        <v>1.3445856698803826E-3</v>
      </c>
      <c r="AS12" s="70"/>
      <c r="AT12" s="70"/>
      <c r="AV12" s="106"/>
      <c r="AW12" s="106"/>
      <c r="AX12" s="66"/>
      <c r="AY12" s="15">
        <v>43761</v>
      </c>
      <c r="AZ12" s="12">
        <f t="shared" si="24"/>
        <v>1.3226628569126485E-3</v>
      </c>
      <c r="BA12" s="68"/>
    </row>
    <row r="13" spans="3:53" x14ac:dyDescent="0.75">
      <c r="C13" s="11"/>
      <c r="D13" s="15">
        <v>43760</v>
      </c>
      <c r="E13" s="21">
        <f>+VLOOKUP(D13,Prezzi!$I$12:$J$367,2,0)</f>
        <v>5.203023</v>
      </c>
      <c r="F13" s="21">
        <f>+VLOOKUP(D13,Prezzi!$K$12:$L$367,2,0)/VLOOKUP(D13,Prezzi!$S$12:$T$367,2,0)</f>
        <v>270.1648517520216</v>
      </c>
      <c r="G13" s="1">
        <v>0</v>
      </c>
      <c r="H13" s="21">
        <f>+VLOOKUP(D13,Prezzi!$M$12:$N$367,2,0)/VLOOKUP(D13,Prezzi!$S$12:$T$367,2,0)</f>
        <v>23.31827044025157</v>
      </c>
      <c r="I13" s="1">
        <v>0</v>
      </c>
      <c r="J13" s="21">
        <f>+VLOOKUP(D13,Prezzi!$O$12:$P$367,2,0)/VLOOKUP(D13,Prezzi!$S$12:$T$367,2,0)</f>
        <v>50.701190476190476</v>
      </c>
      <c r="K13" s="1">
        <v>0</v>
      </c>
      <c r="L13" s="21">
        <f>+VLOOKUP(D13,Prezzi!$Q$12:$R$367,2,0)/VLOOKUP(D13,Prezzi!$S$12:$T$367,2,0)</f>
        <v>101.40932524707996</v>
      </c>
      <c r="M13" s="107">
        <v>0</v>
      </c>
      <c r="O13" s="1" t="str">
        <f t="shared" si="0"/>
        <v>201943</v>
      </c>
      <c r="P13" s="35">
        <v>43760</v>
      </c>
      <c r="Q13" s="12">
        <f t="shared" si="14"/>
        <v>1.4688788204302616E-3</v>
      </c>
      <c r="R13" s="12">
        <f t="shared" si="15"/>
        <v>3.0636885117768715E-4</v>
      </c>
      <c r="S13" s="12">
        <f t="shared" si="16"/>
        <v>5.2745436329904756E-3</v>
      </c>
      <c r="T13" s="12">
        <f t="shared" si="17"/>
        <v>4.403857047778458E-3</v>
      </c>
      <c r="U13" s="12">
        <f t="shared" si="18"/>
        <v>4.7386427305003767E-3</v>
      </c>
      <c r="X13" s="11"/>
      <c r="Y13" s="16">
        <v>201936</v>
      </c>
      <c r="Z13" s="12">
        <f t="shared" si="13"/>
        <v>-2.857109563245992E-3</v>
      </c>
      <c r="AA13" s="12">
        <f t="shared" si="19"/>
        <v>1.893842077802952E-2</v>
      </c>
      <c r="AB13" s="12">
        <f t="shared" si="20"/>
        <v>1.6408069572223922E-2</v>
      </c>
      <c r="AC13" s="12">
        <f t="shared" si="21"/>
        <v>-8.138290991404902E-3</v>
      </c>
      <c r="AD13" s="12">
        <f t="shared" si="22"/>
        <v>5.4711929794052459E-3</v>
      </c>
      <c r="AF13" s="11"/>
      <c r="AG13" s="11"/>
      <c r="AH13" s="11"/>
      <c r="AI13" s="15">
        <v>43760</v>
      </c>
      <c r="AJ13" s="99">
        <f>+VLOOKUP(AI13,benchmark!I$7:$J$362,2,0)</f>
        <v>262.83580000000001</v>
      </c>
      <c r="AK13" s="61">
        <f>+VLOOKUP(AI13,benchmark!K$7:$L$362,2,0)</f>
        <v>252.86600000000001</v>
      </c>
      <c r="AL13" s="1"/>
      <c r="AM13" s="1"/>
      <c r="AN13" s="11"/>
      <c r="AO13" s="11"/>
      <c r="AP13" s="15">
        <v>43760</v>
      </c>
      <c r="AQ13" s="12">
        <f t="shared" si="23"/>
        <v>-1.3753914356425812E-3</v>
      </c>
      <c r="AR13" s="12">
        <f t="shared" si="23"/>
        <v>2.8117403046514777E-3</v>
      </c>
      <c r="AS13" s="70"/>
      <c r="AT13" s="70"/>
      <c r="AV13" s="106"/>
      <c r="AW13" s="106"/>
      <c r="AX13" s="66"/>
      <c r="AY13" s="15">
        <v>43760</v>
      </c>
      <c r="AZ13" s="12">
        <f t="shared" si="24"/>
        <v>1.136887608533854E-3</v>
      </c>
      <c r="BA13" s="68"/>
    </row>
    <row r="14" spans="3:53" x14ac:dyDescent="0.75">
      <c r="C14" s="11"/>
      <c r="D14" s="15">
        <v>43759</v>
      </c>
      <c r="E14" s="21">
        <f>+VLOOKUP(D14,Prezzi!$I$12:$J$367,2,0)</f>
        <v>5.1953860000000001</v>
      </c>
      <c r="F14" s="21">
        <f>+VLOOKUP(D14,Prezzi!$K$12:$L$367,2,0)/VLOOKUP(D14,Prezzi!$S$12:$T$367,2,0)</f>
        <v>270.08209433455653</v>
      </c>
      <c r="G14" s="1">
        <v>0</v>
      </c>
      <c r="H14" s="21">
        <f>+VLOOKUP(D14,Prezzi!$M$12:$N$367,2,0)/VLOOKUP(D14,Prezzi!$S$12:$T$367,2,0)</f>
        <v>23.195601002416542</v>
      </c>
      <c r="I14" s="1">
        <v>0</v>
      </c>
      <c r="J14" s="21">
        <f>+VLOOKUP(D14,Prezzi!$O$12:$P$367,2,0)/VLOOKUP(D14,Prezzi!$S$12:$T$367,2,0)</f>
        <v>50.478400608610045</v>
      </c>
      <c r="K14" s="1">
        <v>0</v>
      </c>
      <c r="L14" s="21">
        <f>+VLOOKUP(D14,Prezzi!$Q$12:$R$367,2,0)/VLOOKUP(D14,Prezzi!$S$12:$T$367,2,0)</f>
        <v>100.9299194486709</v>
      </c>
      <c r="M14" s="107">
        <v>0</v>
      </c>
      <c r="O14" s="1" t="str">
        <f t="shared" si="0"/>
        <v>201943</v>
      </c>
      <c r="P14" s="35">
        <v>43759</v>
      </c>
      <c r="Q14" s="12">
        <f t="shared" si="14"/>
        <v>-2.0650851177782853E-3</v>
      </c>
      <c r="R14" s="12">
        <f t="shared" si="15"/>
        <v>4.2731648166429697E-3</v>
      </c>
      <c r="S14" s="12">
        <f t="shared" si="16"/>
        <v>-1.7054171491568374E-3</v>
      </c>
      <c r="T14" s="12">
        <f t="shared" si="17"/>
        <v>-6.7023126261242672E-3</v>
      </c>
      <c r="U14" s="12">
        <f t="shared" si="18"/>
        <v>-4.4001740899879864E-3</v>
      </c>
      <c r="X14" s="11"/>
      <c r="Y14" s="16">
        <v>201935</v>
      </c>
      <c r="Z14" s="12">
        <f t="shared" si="13"/>
        <v>3.0718457492654953E-3</v>
      </c>
      <c r="AA14" s="12">
        <f t="shared" si="19"/>
        <v>3.0561257596336738E-2</v>
      </c>
      <c r="AB14" s="12">
        <f t="shared" si="20"/>
        <v>1.1095068015881494E-2</v>
      </c>
      <c r="AC14" s="12">
        <f t="shared" si="21"/>
        <v>-2.1747731462503882E-3</v>
      </c>
      <c r="AD14" s="12">
        <f t="shared" si="22"/>
        <v>8.453320000053749E-3</v>
      </c>
      <c r="AF14" s="11"/>
      <c r="AG14" s="11"/>
      <c r="AH14" s="11"/>
      <c r="AI14" s="15">
        <v>43759</v>
      </c>
      <c r="AJ14" s="99">
        <f>+VLOOKUP(AI14,benchmark!I$7:$J$362,2,0)</f>
        <v>263.19779999999997</v>
      </c>
      <c r="AK14" s="61">
        <f>+VLOOKUP(AI14,benchmark!K$7:$L$362,2,0)</f>
        <v>252.15700000000001</v>
      </c>
      <c r="AL14" s="1"/>
      <c r="AM14" s="1"/>
      <c r="AN14" s="11"/>
      <c r="AO14" s="11"/>
      <c r="AP14" s="15">
        <v>43759</v>
      </c>
      <c r="AQ14" s="12">
        <f t="shared" si="23"/>
        <v>6.1851082594648332E-3</v>
      </c>
      <c r="AR14" s="12">
        <f t="shared" si="23"/>
        <v>-3.3004996205412418E-3</v>
      </c>
      <c r="AS14" s="70"/>
      <c r="AT14" s="70"/>
      <c r="AV14" s="106"/>
      <c r="AW14" s="106"/>
      <c r="AX14" s="66"/>
      <c r="AY14" s="15">
        <v>43759</v>
      </c>
      <c r="AZ14" s="12">
        <f t="shared" si="24"/>
        <v>4.9374353146118847E-4</v>
      </c>
      <c r="BA14" s="68"/>
    </row>
    <row r="15" spans="3:53" x14ac:dyDescent="0.75">
      <c r="C15" s="11"/>
      <c r="D15" s="15">
        <v>43756</v>
      </c>
      <c r="E15" s="21">
        <f>+VLOOKUP(D15,Prezzi!$I$12:$J$367,2,0)</f>
        <v>5.2061260000000003</v>
      </c>
      <c r="F15" s="21">
        <f>+VLOOKUP(D15,Prezzi!$K$12:$L$367,2,0)/VLOOKUP(D15,Prezzi!$S$12:$T$367,2,0)</f>
        <v>268.93045136396267</v>
      </c>
      <c r="G15" s="1">
        <v>0</v>
      </c>
      <c r="H15" s="21">
        <f>+VLOOKUP(D15,Prezzi!$M$12:$N$367,2,0)/VLOOKUP(D15,Prezzi!$S$12:$T$367,2,0)</f>
        <v>23.235192928930363</v>
      </c>
      <c r="I15" s="1">
        <v>0</v>
      </c>
      <c r="J15" s="21">
        <f>+VLOOKUP(D15,Prezzi!$O$12:$P$367,2,0)/VLOOKUP(D15,Prezzi!$S$12:$T$367,2,0)</f>
        <v>50.817858937544862</v>
      </c>
      <c r="K15" s="1">
        <v>0</v>
      </c>
      <c r="L15" s="21">
        <f>+VLOOKUP(D15,Prezzi!$Q$12:$R$367,2,0)/VLOOKUP(D15,Prezzi!$S$12:$T$367,2,0)</f>
        <v>101.37500717875089</v>
      </c>
      <c r="M15" s="107">
        <v>0</v>
      </c>
      <c r="O15" s="1" t="str">
        <f t="shared" ref="O15:O24" si="25">+YEAR( P15) &amp; WEEKNUM(P15,2)</f>
        <v>201942</v>
      </c>
      <c r="P15" s="35">
        <v>43756</v>
      </c>
      <c r="Q15" s="12">
        <f>+LN(E15/E16)</f>
        <v>-3.1650006505847363E-4</v>
      </c>
      <c r="R15" s="12">
        <f t="shared" ref="R15:R18" si="26">+LN((F15+G15)/F16)</f>
        <v>-6.6856824075193283E-3</v>
      </c>
      <c r="S15" s="12">
        <f t="shared" ref="S15:S18" si="27">+LN((H15+I15)/H16)</f>
        <v>-3.599266956804481E-3</v>
      </c>
      <c r="T15" s="12">
        <f t="shared" ref="T15:T18" si="28">+LN((J15+K15)/J16)</f>
        <v>-5.1906690485948384E-3</v>
      </c>
      <c r="U15" s="12">
        <f t="shared" ref="U15:U18" si="29">+LN((L15+M15)/L16)</f>
        <v>-2.2391378378560749E-3</v>
      </c>
      <c r="X15" s="11"/>
      <c r="Y15" s="16">
        <v>201934</v>
      </c>
      <c r="Z15" s="12">
        <f t="shared" si="13"/>
        <v>-1.2634302858668331E-3</v>
      </c>
      <c r="AA15" s="12">
        <f t="shared" si="19"/>
        <v>-1.3293721339082132E-2</v>
      </c>
      <c r="AB15" s="12">
        <f t="shared" si="20"/>
        <v>5.4415249644161733E-3</v>
      </c>
      <c r="AC15" s="12">
        <f t="shared" si="21"/>
        <v>1.0311112068517519E-2</v>
      </c>
      <c r="AD15" s="12">
        <f t="shared" si="22"/>
        <v>2.566891055938293E-3</v>
      </c>
      <c r="AF15" s="11"/>
      <c r="AG15" s="11"/>
      <c r="AH15" s="11"/>
      <c r="AI15" s="15">
        <v>43756</v>
      </c>
      <c r="AJ15" s="99">
        <f>+VLOOKUP(AI15,benchmark!I$7:$J$362,2,0)</f>
        <v>261.57990000000001</v>
      </c>
      <c r="AK15" s="61">
        <f>+VLOOKUP(AI15,benchmark!K$7:$L$362,2,0)</f>
        <v>252.99199999999999</v>
      </c>
      <c r="AL15" s="1"/>
      <c r="AM15" s="1"/>
      <c r="AN15" s="11"/>
      <c r="AO15" s="11"/>
      <c r="AP15" s="15">
        <v>43756</v>
      </c>
      <c r="AQ15" s="12">
        <f>+AJ15/AJ16-1</f>
        <v>-3.1204422887766148E-3</v>
      </c>
      <c r="AR15" s="12">
        <f t="shared" ref="AR15:AR24" si="30">+AK15/AK16-1</f>
        <v>-1.3381702199888323E-3</v>
      </c>
      <c r="AS15" s="70"/>
      <c r="AT15" s="70"/>
      <c r="AV15" s="106"/>
      <c r="AW15" s="106"/>
      <c r="AX15" s="66"/>
      <c r="AY15" s="15">
        <v>43756</v>
      </c>
      <c r="AZ15" s="12">
        <f t="shared" ref="AZ15:AZ24" si="31">+SUMPRODUCT($AV$4:$AW$4,AQ15:AR15)</f>
        <v>-2.0510790475039451E-3</v>
      </c>
      <c r="BA15" s="68"/>
    </row>
    <row r="16" spans="3:53" x14ac:dyDescent="0.75">
      <c r="C16" s="11"/>
      <c r="D16" s="15">
        <v>43755</v>
      </c>
      <c r="E16" s="21">
        <f>+VLOOKUP(D16,Prezzi!$I$12:$J$367,2,0)</f>
        <v>5.2077739999999997</v>
      </c>
      <c r="F16" s="21">
        <f>+VLOOKUP(D16,Prezzi!$K$12:$L$367,2,0)/VLOOKUP(D16,Prezzi!$S$12:$T$367,2,0)</f>
        <v>270.73445874201389</v>
      </c>
      <c r="G16" s="1">
        <v>0</v>
      </c>
      <c r="H16" s="21">
        <f>+VLOOKUP(D16,Prezzi!$M$12:$N$367,2,0)/VLOOKUP(D16,Prezzi!$S$12:$T$367,2,0)</f>
        <v>23.318973274543328</v>
      </c>
      <c r="I16" s="1">
        <v>0</v>
      </c>
      <c r="J16" s="21">
        <f>+VLOOKUP(D16,Prezzi!$O$12:$P$367,2,0)/VLOOKUP(D16,Prezzi!$S$12:$T$367,2,0)</f>
        <v>51.08232340502115</v>
      </c>
      <c r="K16" s="1">
        <v>0</v>
      </c>
      <c r="L16" s="21">
        <f>+VLOOKUP(D16,Prezzi!$Q$12:$R$367,2,0)/VLOOKUP(D16,Prezzi!$S$12:$T$367,2,0)</f>
        <v>101.60225411680014</v>
      </c>
      <c r="M16" s="107">
        <v>0</v>
      </c>
      <c r="O16" s="1" t="str">
        <f t="shared" si="25"/>
        <v>201942</v>
      </c>
      <c r="P16" s="35">
        <v>43755</v>
      </c>
      <c r="Q16" s="12">
        <f t="shared" ref="Q16:Q18" si="32">+LN(E16/E17)</f>
        <v>-1.756834354144309E-4</v>
      </c>
      <c r="R16" s="12">
        <f t="shared" si="26"/>
        <v>-5.1160581459184541E-3</v>
      </c>
      <c r="S16" s="12">
        <f t="shared" si="27"/>
        <v>-5.3553959467151637E-4</v>
      </c>
      <c r="T16" s="12">
        <f t="shared" si="28"/>
        <v>-5.4147152957383484E-3</v>
      </c>
      <c r="U16" s="12">
        <f t="shared" si="29"/>
        <v>-7.1965938163568192E-3</v>
      </c>
      <c r="X16" s="11"/>
      <c r="Y16" s="16">
        <v>201933</v>
      </c>
      <c r="Z16" s="12">
        <f t="shared" si="13"/>
        <v>8.3671044161526282E-3</v>
      </c>
      <c r="AA16" s="12">
        <f t="shared" si="19"/>
        <v>1.4858813232491042E-3</v>
      </c>
      <c r="AB16" s="12">
        <f t="shared" si="20"/>
        <v>8.8687128025121392E-3</v>
      </c>
      <c r="AC16" s="12">
        <f t="shared" si="21"/>
        <v>2.1471259273308254E-2</v>
      </c>
      <c r="AD16" s="12">
        <f t="shared" si="22"/>
        <v>3.2267381800850717E-3</v>
      </c>
      <c r="AF16" s="11"/>
      <c r="AG16" s="11"/>
      <c r="AH16" s="11"/>
      <c r="AI16" s="15">
        <v>43755</v>
      </c>
      <c r="AJ16" s="99">
        <f>+VLOOKUP(AI16,benchmark!I$7:$J$362,2,0)</f>
        <v>262.39870000000002</v>
      </c>
      <c r="AK16" s="61">
        <f>+VLOOKUP(AI16,benchmark!K$7:$L$362,2,0)</f>
        <v>253.33099999999999</v>
      </c>
      <c r="AL16" s="1"/>
      <c r="AM16" s="1"/>
      <c r="AN16" s="11"/>
      <c r="AO16" s="11"/>
      <c r="AP16" s="15">
        <v>43755</v>
      </c>
      <c r="AQ16" s="12">
        <f t="shared" ref="AQ16:AQ24" si="33">+AJ16/AJ17-1</f>
        <v>3.1869695154287392E-3</v>
      </c>
      <c r="AR16" s="12">
        <f t="shared" si="30"/>
        <v>8.4545881943931533E-4</v>
      </c>
      <c r="AS16" s="70"/>
      <c r="AT16" s="70"/>
      <c r="AV16" s="106"/>
      <c r="AW16" s="106"/>
      <c r="AX16" s="66"/>
      <c r="AY16" s="15">
        <v>43755</v>
      </c>
      <c r="AZ16" s="12">
        <f t="shared" si="31"/>
        <v>1.782063097835085E-3</v>
      </c>
      <c r="BA16" s="68"/>
    </row>
    <row r="17" spans="3:53" x14ac:dyDescent="0.75">
      <c r="C17" s="11"/>
      <c r="D17" s="15">
        <v>43754</v>
      </c>
      <c r="E17" s="21">
        <f>+VLOOKUP(D17,Prezzi!$I$12:$J$367,2,0)</f>
        <v>5.2086889999999997</v>
      </c>
      <c r="F17" s="21">
        <f>+VLOOKUP(D17,Prezzi!$K$12:$L$367,2,0)/VLOOKUP(D17,Prezzi!$S$12:$T$367,2,0)</f>
        <v>272.1231011337868</v>
      </c>
      <c r="G17" s="1">
        <v>0</v>
      </c>
      <c r="H17" s="21">
        <f>+VLOOKUP(D17,Prezzi!$M$12:$N$367,2,0)/VLOOKUP(D17,Prezzi!$S$12:$T$367,2,0)</f>
        <v>23.331464852607709</v>
      </c>
      <c r="I17" s="1">
        <v>0</v>
      </c>
      <c r="J17" s="21">
        <f>+VLOOKUP(D17,Prezzi!$O$12:$P$367,2,0)/VLOOKUP(D17,Prezzi!$S$12:$T$367,2,0)</f>
        <v>51.359669841269834</v>
      </c>
      <c r="K17" s="1">
        <v>0</v>
      </c>
      <c r="L17" s="21">
        <f>+VLOOKUP(D17,Prezzi!$Q$12:$R$367,2,0)/VLOOKUP(D17,Prezzi!$S$12:$T$367,2,0)</f>
        <v>102.33608163265306</v>
      </c>
      <c r="M17" s="107">
        <v>0</v>
      </c>
      <c r="O17" s="1" t="str">
        <f t="shared" si="25"/>
        <v>201942</v>
      </c>
      <c r="P17" s="35">
        <v>43754</v>
      </c>
      <c r="Q17" s="12">
        <f t="shared" si="32"/>
        <v>1.3420784129940906E-4</v>
      </c>
      <c r="R17" s="12">
        <f t="shared" si="26"/>
        <v>-3.5710716699065641E-3</v>
      </c>
      <c r="S17" s="12">
        <f t="shared" si="27"/>
        <v>-2.6242855511891109E-3</v>
      </c>
      <c r="T17" s="12">
        <f t="shared" si="28"/>
        <v>4.8807729125256308E-3</v>
      </c>
      <c r="U17" s="12">
        <f t="shared" si="29"/>
        <v>-2.1551696329206549E-3</v>
      </c>
      <c r="X17" s="11"/>
      <c r="Y17" s="16">
        <v>201932</v>
      </c>
      <c r="Z17" s="12">
        <f t="shared" si="13"/>
        <v>4.5932063357630101E-3</v>
      </c>
      <c r="AA17" s="12">
        <f t="shared" si="19"/>
        <v>-1.2272661134402958E-2</v>
      </c>
      <c r="AB17" s="12">
        <f t="shared" si="20"/>
        <v>-6.9681017289312981E-3</v>
      </c>
      <c r="AC17" s="12">
        <f t="shared" si="21"/>
        <v>2.7434275378901939E-2</v>
      </c>
      <c r="AD17" s="12">
        <f t="shared" si="22"/>
        <v>4.4724442661824761E-3</v>
      </c>
      <c r="AF17" s="11"/>
      <c r="AG17" s="11"/>
      <c r="AH17" s="11"/>
      <c r="AI17" s="15">
        <v>43754</v>
      </c>
      <c r="AJ17" s="99">
        <f>+VLOOKUP(AI17,benchmark!I$7:$J$362,2,0)</f>
        <v>261.56509999999997</v>
      </c>
      <c r="AK17" s="61">
        <f>+VLOOKUP(AI17,benchmark!K$7:$L$362,2,0)</f>
        <v>253.11699999999999</v>
      </c>
      <c r="AL17" s="1"/>
      <c r="AM17" s="1"/>
      <c r="AN17" s="11"/>
      <c r="AO17" s="11"/>
      <c r="AP17" s="15">
        <v>43754</v>
      </c>
      <c r="AQ17" s="12">
        <f t="shared" si="33"/>
        <v>6.9968357479188725E-5</v>
      </c>
      <c r="AR17" s="12">
        <f t="shared" si="30"/>
        <v>-8.8023999368447292E-4</v>
      </c>
      <c r="AS17" s="70"/>
      <c r="AT17" s="70"/>
      <c r="AV17" s="106"/>
      <c r="AW17" s="106"/>
      <c r="AX17" s="66"/>
      <c r="AY17" s="15">
        <v>43754</v>
      </c>
      <c r="AZ17" s="12">
        <f t="shared" si="31"/>
        <v>-5.0015665321900826E-4</v>
      </c>
      <c r="BA17" s="68"/>
    </row>
    <row r="18" spans="3:53" x14ac:dyDescent="0.75">
      <c r="C18" s="11"/>
      <c r="D18" s="15">
        <v>43753</v>
      </c>
      <c r="E18" s="21">
        <f>+VLOOKUP(D18,Prezzi!$I$12:$J$367,2,0)</f>
        <v>5.2079899999999997</v>
      </c>
      <c r="F18" s="21">
        <f>+VLOOKUP(D18,Prezzi!$K$12:$L$367,2,0)/VLOOKUP(D18,Prezzi!$S$12:$T$367,2,0)</f>
        <v>273.09660943036249</v>
      </c>
      <c r="G18" s="1">
        <v>0</v>
      </c>
      <c r="H18" s="21">
        <f>+VLOOKUP(D18,Prezzi!$M$12:$N$367,2,0)/VLOOKUP(D18,Prezzi!$S$12:$T$367,2,0)</f>
        <v>23.392773689470335</v>
      </c>
      <c r="I18" s="1">
        <v>0</v>
      </c>
      <c r="J18" s="21">
        <f>+VLOOKUP(D18,Prezzi!$O$12:$P$367,2,0)/VLOOKUP(D18,Prezzi!$S$12:$T$367,2,0)</f>
        <v>51.109605705460162</v>
      </c>
      <c r="K18" s="1">
        <v>0</v>
      </c>
      <c r="L18" s="21">
        <f>+VLOOKUP(D18,Prezzi!$Q$12:$R$367,2,0)/VLOOKUP(D18,Prezzi!$S$12:$T$367,2,0)</f>
        <v>102.55687108203871</v>
      </c>
      <c r="M18" s="107">
        <v>0</v>
      </c>
      <c r="O18" s="1" t="str">
        <f t="shared" si="25"/>
        <v>201942</v>
      </c>
      <c r="P18" s="35">
        <v>43753</v>
      </c>
      <c r="Q18" s="12">
        <f t="shared" si="32"/>
        <v>-1.1356857716469753E-3</v>
      </c>
      <c r="R18" s="12">
        <f t="shared" si="26"/>
        <v>1.2086737546414782E-2</v>
      </c>
      <c r="S18" s="12">
        <f t="shared" si="27"/>
        <v>1.1209716056662867E-2</v>
      </c>
      <c r="T18" s="12">
        <f t="shared" si="28"/>
        <v>-6.2543486169430694E-3</v>
      </c>
      <c r="U18" s="12">
        <f t="shared" si="29"/>
        <v>2.7232589621180143E-3</v>
      </c>
      <c r="X18" s="11"/>
      <c r="Y18" s="16">
        <v>201931</v>
      </c>
      <c r="Z18" s="12">
        <f t="shared" si="13"/>
        <v>6.923802557628032E-3</v>
      </c>
      <c r="AA18" s="12">
        <f t="shared" si="19"/>
        <v>-2.8301911214016921E-2</v>
      </c>
      <c r="AB18" s="12">
        <f t="shared" si="20"/>
        <v>-1.2942143095617316E-2</v>
      </c>
      <c r="AC18" s="12">
        <f t="shared" si="21"/>
        <v>2.0445221339897547E-2</v>
      </c>
      <c r="AD18" s="12">
        <f t="shared" si="22"/>
        <v>-1.3392299000983196E-3</v>
      </c>
      <c r="AF18" s="11"/>
      <c r="AG18" s="11"/>
      <c r="AH18" s="11"/>
      <c r="AI18" s="15">
        <v>43753</v>
      </c>
      <c r="AJ18" s="99">
        <f>+VLOOKUP(AI18,benchmark!I$7:$J$362,2,0)</f>
        <v>261.54680000000002</v>
      </c>
      <c r="AK18" s="61">
        <f>+VLOOKUP(AI18,benchmark!K$7:$L$362,2,0)</f>
        <v>253.34</v>
      </c>
      <c r="AL18" s="1"/>
      <c r="AM18" s="1"/>
      <c r="AN18" s="11"/>
      <c r="AO18" s="11"/>
      <c r="AP18" s="15">
        <v>43753</v>
      </c>
      <c r="AQ18" s="12">
        <f t="shared" si="33"/>
        <v>8.8714657725899038E-3</v>
      </c>
      <c r="AR18" s="12">
        <f t="shared" si="30"/>
        <v>-2.3863341025257556E-3</v>
      </c>
      <c r="AS18" s="70"/>
      <c r="AT18" s="70"/>
      <c r="AV18" s="106"/>
      <c r="AW18" s="106"/>
      <c r="AX18" s="66"/>
      <c r="AY18" s="15">
        <v>43753</v>
      </c>
      <c r="AZ18" s="12">
        <f t="shared" si="31"/>
        <v>2.1167858475205081E-3</v>
      </c>
      <c r="BA18" s="68"/>
    </row>
    <row r="19" spans="3:53" x14ac:dyDescent="0.75">
      <c r="C19" s="11"/>
      <c r="D19" s="15">
        <v>43752</v>
      </c>
      <c r="E19" s="21">
        <f>+VLOOKUP(D19,Prezzi!$I$12:$J$367,2,0)</f>
        <v>5.213908</v>
      </c>
      <c r="F19" s="21">
        <f>+VLOOKUP(D19,Prezzi!$K$12:$L$367,2,0)/VLOOKUP(D19,Prezzi!$S$12:$T$367,2,0)</f>
        <v>269.81563049587527</v>
      </c>
      <c r="G19" s="1">
        <v>0</v>
      </c>
      <c r="H19" s="21">
        <f>+VLOOKUP(D19,Prezzi!$M$12:$N$367,2,0)/VLOOKUP(D19,Prezzi!$S$12:$T$367,2,0)</f>
        <v>23.132011603662406</v>
      </c>
      <c r="I19" s="1">
        <v>0</v>
      </c>
      <c r="J19" s="21">
        <f>+VLOOKUP(D19,Prezzi!$O$12:$P$367,2,0)/VLOOKUP(D19,Prezzi!$S$12:$T$367,2,0)</f>
        <v>51.430264708548641</v>
      </c>
      <c r="K19" s="1">
        <v>0</v>
      </c>
      <c r="L19" s="21">
        <f>+VLOOKUP(D19,Prezzi!$Q$12:$R$367,2,0)/VLOOKUP(D19,Prezzi!$S$12:$T$367,2,0)</f>
        <v>102.27796210678996</v>
      </c>
      <c r="M19" s="107">
        <v>0</v>
      </c>
      <c r="O19" s="1" t="str">
        <f t="shared" si="25"/>
        <v>201942</v>
      </c>
      <c r="P19" s="35">
        <v>43752</v>
      </c>
      <c r="Q19" s="12">
        <f t="shared" ref="Q19:Q24" si="34">+LN(E19/E20)</f>
        <v>6.3580977041228289E-4</v>
      </c>
      <c r="R19" s="12">
        <f t="shared" ref="R19:R24" si="35">+LN((F19+G19)/F20)</f>
        <v>-3.041524055239693E-4</v>
      </c>
      <c r="S19" s="12">
        <f t="shared" ref="S19:S24" si="36">+LN((H19+I19)/H20)</f>
        <v>-3.836741251033541E-3</v>
      </c>
      <c r="T19" s="12">
        <f t="shared" ref="T19:T24" si="37">+LN((J19+K19)/J20)</f>
        <v>6.487003283638295E-3</v>
      </c>
      <c r="U19" s="12">
        <f t="shared" ref="U19:U24" si="38">+LN((L19+M19)/L20)</f>
        <v>1.4941851800689368E-3</v>
      </c>
      <c r="X19" s="11"/>
      <c r="Y19" s="16">
        <v>201930</v>
      </c>
      <c r="Z19" s="12">
        <f t="shared" si="13"/>
        <v>1.2851366618378687E-3</v>
      </c>
      <c r="AA19" s="12">
        <f t="shared" si="19"/>
        <v>2.4371201225383193E-2</v>
      </c>
      <c r="AB19" s="12">
        <f t="shared" si="20"/>
        <v>2.5366389713474473E-3</v>
      </c>
      <c r="AC19" s="12">
        <f t="shared" si="21"/>
        <v>2.4618861425040892E-3</v>
      </c>
      <c r="AD19" s="12">
        <f t="shared" si="22"/>
        <v>1.292483902389569E-2</v>
      </c>
      <c r="AF19" s="11"/>
      <c r="AG19" s="11"/>
      <c r="AH19" s="11"/>
      <c r="AI19" s="15">
        <v>43752</v>
      </c>
      <c r="AJ19" s="99">
        <f>+VLOOKUP(AI19,benchmark!I$7:$J$362,2,0)</f>
        <v>259.24689999999998</v>
      </c>
      <c r="AK19" s="61">
        <f>+VLOOKUP(AI19,benchmark!K$7:$L$362,2,0)</f>
        <v>253.946</v>
      </c>
      <c r="AL19" s="1"/>
      <c r="AM19" s="1"/>
      <c r="AN19" s="11"/>
      <c r="AO19" s="11"/>
      <c r="AP19" s="15">
        <v>43752</v>
      </c>
      <c r="AQ19" s="12">
        <f>+AJ19/AJ20-1</f>
        <v>-9.5993772543701006E-4</v>
      </c>
      <c r="AR19" s="12">
        <f t="shared" si="30"/>
        <v>1.3288171949732419E-3</v>
      </c>
      <c r="AS19" s="70"/>
      <c r="AT19" s="70"/>
      <c r="AV19" s="106"/>
      <c r="AW19" s="106"/>
      <c r="AX19" s="66"/>
      <c r="AY19" s="15">
        <v>43752</v>
      </c>
      <c r="AZ19" s="12">
        <f t="shared" si="31"/>
        <v>4.1331522680914111E-4</v>
      </c>
      <c r="BA19" s="68"/>
    </row>
    <row r="20" spans="3:53" x14ac:dyDescent="0.75">
      <c r="C20" s="11"/>
      <c r="D20" s="15">
        <v>43749</v>
      </c>
      <c r="E20" s="21">
        <f>+VLOOKUP(D20,Prezzi!$I$12:$J$367,2,0)</f>
        <v>5.2105940000000004</v>
      </c>
      <c r="F20" s="21">
        <f>+VLOOKUP(D20,Prezzi!$K$12:$L$367,2,0)/VLOOKUP(D20,Prezzi!$S$12:$T$367,2,0)</f>
        <v>269.89770805034863</v>
      </c>
      <c r="G20" s="1">
        <v>0</v>
      </c>
      <c r="H20" s="21">
        <f>+VLOOKUP(D20,Prezzi!$M$12:$N$367,2,0)/VLOOKUP(D20,Prezzi!$S$12:$T$367,2,0)</f>
        <v>23.220933623109659</v>
      </c>
      <c r="I20" s="1">
        <v>0</v>
      </c>
      <c r="J20" s="21">
        <f>+VLOOKUP(D20,Prezzi!$O$12:$P$367,2,0)/VLOOKUP(D20,Prezzi!$S$12:$T$367,2,0)</f>
        <v>51.097716200307886</v>
      </c>
      <c r="K20" s="1">
        <v>0</v>
      </c>
      <c r="L20" s="21">
        <f>+VLOOKUP(D20,Prezzi!$Q$12:$R$367,2,0)/VLOOKUP(D20,Prezzi!$S$12:$T$367,2,0)</f>
        <v>102.12525400706329</v>
      </c>
      <c r="M20" s="107">
        <v>0</v>
      </c>
      <c r="O20" s="1" t="str">
        <f t="shared" si="25"/>
        <v>201941</v>
      </c>
      <c r="P20" s="35">
        <v>43749</v>
      </c>
      <c r="Q20" s="12">
        <f t="shared" si="34"/>
        <v>-3.4975078385015668E-3</v>
      </c>
      <c r="R20" s="12">
        <f t="shared" si="35"/>
        <v>9.7893130283059366E-3</v>
      </c>
      <c r="S20" s="12">
        <f t="shared" si="36"/>
        <v>1.5404479777766648E-2</v>
      </c>
      <c r="T20" s="12">
        <f t="shared" si="37"/>
        <v>-8.6029043485855855E-3</v>
      </c>
      <c r="U20" s="12">
        <f t="shared" si="38"/>
        <v>-2.0494281897394072E-3</v>
      </c>
      <c r="X20" s="11"/>
      <c r="Y20" s="16">
        <v>201929</v>
      </c>
      <c r="Z20" s="12">
        <f t="shared" si="13"/>
        <v>4.4390716778332073E-3</v>
      </c>
      <c r="AA20" s="12">
        <f t="shared" si="19"/>
        <v>-9.8167956999812289E-3</v>
      </c>
      <c r="AB20" s="12">
        <f t="shared" si="20"/>
        <v>2.0575978269637943E-3</v>
      </c>
      <c r="AC20" s="12">
        <f t="shared" si="21"/>
        <v>1.2395979298127868E-2</v>
      </c>
      <c r="AD20" s="12">
        <f t="shared" si="22"/>
        <v>7.6100927953857171E-3</v>
      </c>
      <c r="AF20" s="11"/>
      <c r="AG20" s="11"/>
      <c r="AH20" s="11"/>
      <c r="AI20" s="15">
        <v>43749</v>
      </c>
      <c r="AJ20" s="99">
        <f>+VLOOKUP(AI20,benchmark!I$7:$J$362,2,0)</f>
        <v>259.49599999999998</v>
      </c>
      <c r="AK20" s="61">
        <f>+VLOOKUP(AI20,benchmark!K$7:$L$362,2,0)</f>
        <v>253.60900000000001</v>
      </c>
      <c r="AL20" s="1"/>
      <c r="AM20" s="1"/>
      <c r="AN20" s="11"/>
      <c r="AO20" s="11"/>
      <c r="AP20" s="15">
        <v>43749</v>
      </c>
      <c r="AQ20" s="12">
        <f t="shared" si="33"/>
        <v>1.3796835107993566E-2</v>
      </c>
      <c r="AR20" s="12">
        <f t="shared" si="30"/>
        <v>-1.6887237342444461E-3</v>
      </c>
      <c r="AS20" s="70"/>
      <c r="AT20" s="70"/>
      <c r="AV20" s="106"/>
      <c r="AW20" s="106"/>
      <c r="AX20" s="66"/>
      <c r="AY20" s="15">
        <v>43749</v>
      </c>
      <c r="AZ20" s="12">
        <f t="shared" si="31"/>
        <v>4.5054998026507588E-3</v>
      </c>
      <c r="BA20" s="68"/>
    </row>
    <row r="21" spans="3:53" x14ac:dyDescent="0.75">
      <c r="C21" s="11"/>
      <c r="D21" s="15">
        <v>43748</v>
      </c>
      <c r="E21" s="21">
        <f>+VLOOKUP(D21,Prezzi!$I$12:$J$367,2,0)</f>
        <v>5.2288500000000004</v>
      </c>
      <c r="F21" s="21">
        <f>+VLOOKUP(D21,Prezzi!$K$12:$L$367,2,0)/VLOOKUP(D21,Prezzi!$S$12:$T$367,2,0)</f>
        <v>267.26848504079783</v>
      </c>
      <c r="G21" s="1">
        <v>0</v>
      </c>
      <c r="H21" s="21">
        <f>+VLOOKUP(D21,Prezzi!$M$12:$N$367,2,0)/VLOOKUP(D21,Prezzi!$S$12:$T$367,2,0)</f>
        <v>22.865968268359023</v>
      </c>
      <c r="I21" s="1">
        <v>0</v>
      </c>
      <c r="J21" s="21">
        <f>+VLOOKUP(D21,Prezzi!$O$12:$P$367,2,0)/VLOOKUP(D21,Prezzi!$S$12:$T$367,2,0)</f>
        <v>51.539201269265639</v>
      </c>
      <c r="K21" s="1">
        <v>0</v>
      </c>
      <c r="L21" s="21">
        <f>+VLOOKUP(D21,Prezzi!$Q$12:$R$367,2,0)/VLOOKUP(D21,Prezzi!$S$12:$T$367,2,0)</f>
        <v>102.33476699909339</v>
      </c>
      <c r="M21" s="107">
        <v>0</v>
      </c>
      <c r="O21" s="1" t="str">
        <f t="shared" si="25"/>
        <v>201941</v>
      </c>
      <c r="P21" s="35">
        <v>43748</v>
      </c>
      <c r="Q21" s="12">
        <f t="shared" si="34"/>
        <v>-3.056990120168147E-3</v>
      </c>
      <c r="R21" s="12">
        <f t="shared" si="35"/>
        <v>1.9642819657166963E-3</v>
      </c>
      <c r="S21" s="12">
        <f t="shared" si="36"/>
        <v>-1.3083192811277719E-3</v>
      </c>
      <c r="T21" s="12">
        <f t="shared" si="37"/>
        <v>-1.2506982436231502E-2</v>
      </c>
      <c r="U21" s="12">
        <f t="shared" si="38"/>
        <v>-5.745095794812108E-3</v>
      </c>
      <c r="X21" s="11"/>
      <c r="Y21" s="16">
        <v>201928</v>
      </c>
      <c r="Z21" s="12">
        <f t="shared" si="13"/>
        <v>-4.4082453191229077E-3</v>
      </c>
      <c r="AA21" s="12">
        <f t="shared" si="19"/>
        <v>8.8339075725560202E-3</v>
      </c>
      <c r="AB21" s="12">
        <f t="shared" si="20"/>
        <v>-4.465693633681463E-3</v>
      </c>
      <c r="AC21" s="12">
        <f t="shared" si="21"/>
        <v>9.951646429631842E-3</v>
      </c>
      <c r="AD21" s="12">
        <f t="shared" si="22"/>
        <v>-5.996132241856602E-4</v>
      </c>
      <c r="AF21" s="11"/>
      <c r="AG21" s="11"/>
      <c r="AH21" s="11"/>
      <c r="AI21" s="15">
        <v>43748</v>
      </c>
      <c r="AJ21" s="99">
        <f>+VLOOKUP(AI21,benchmark!I$7:$J$362,2,0)</f>
        <v>255.96449999999999</v>
      </c>
      <c r="AK21" s="61">
        <f>+VLOOKUP(AI21,benchmark!K$7:$L$362,2,0)</f>
        <v>254.03800000000001</v>
      </c>
      <c r="AL21" s="1"/>
      <c r="AM21" s="1"/>
      <c r="AN21" s="11"/>
      <c r="AO21" s="11"/>
      <c r="AP21" s="15">
        <v>43748</v>
      </c>
      <c r="AQ21" s="12">
        <f t="shared" si="33"/>
        <v>5.6919845447707118E-3</v>
      </c>
      <c r="AR21" s="12">
        <f t="shared" si="30"/>
        <v>-4.5844957838311329E-3</v>
      </c>
      <c r="AS21" s="70"/>
      <c r="AT21" s="70"/>
      <c r="AV21" s="106"/>
      <c r="AW21" s="106"/>
      <c r="AX21" s="66"/>
      <c r="AY21" s="15">
        <v>43748</v>
      </c>
      <c r="AZ21" s="12">
        <f t="shared" si="31"/>
        <v>-4.7390365239039466E-4</v>
      </c>
      <c r="BA21" s="68"/>
    </row>
    <row r="22" spans="3:53" x14ac:dyDescent="0.75">
      <c r="C22" s="11"/>
      <c r="D22" s="15">
        <v>43747</v>
      </c>
      <c r="E22" s="21">
        <f>+VLOOKUP(D22,Prezzi!$I$12:$J$367,2,0)</f>
        <v>5.2448589999999999</v>
      </c>
      <c r="F22" s="21">
        <f>+VLOOKUP(D22,Prezzi!$K$12:$L$367,2,0)/VLOOKUP(D22,Prezzi!$S$12:$T$367,2,0)</f>
        <v>266.74400965303704</v>
      </c>
      <c r="G22" s="1">
        <v>0</v>
      </c>
      <c r="H22" s="21">
        <f>+VLOOKUP(D22,Prezzi!$M$12:$N$367,2,0)/VLOOKUP(D22,Prezzi!$S$12:$T$367,2,0)</f>
        <v>22.895903833894906</v>
      </c>
      <c r="I22" s="1">
        <v>0</v>
      </c>
      <c r="J22" s="21">
        <f>+VLOOKUP(D22,Prezzi!$O$12:$P$367,2,0)/VLOOKUP(D22,Prezzi!$S$12:$T$367,2,0)</f>
        <v>52.187849011929693</v>
      </c>
      <c r="K22" s="1">
        <v>0</v>
      </c>
      <c r="L22" s="21">
        <f>+VLOOKUP(D22,Prezzi!$Q$12:$R$367,2,0)/VLOOKUP(D22,Prezzi!$S$12:$T$367,2,0)</f>
        <v>102.92438211456151</v>
      </c>
      <c r="M22" s="107">
        <v>0</v>
      </c>
      <c r="O22" s="1" t="str">
        <f t="shared" si="25"/>
        <v>201941</v>
      </c>
      <c r="P22" s="35">
        <v>43747</v>
      </c>
      <c r="Q22" s="12">
        <f t="shared" si="34"/>
        <v>-1.9034815372069424E-3</v>
      </c>
      <c r="R22" s="12">
        <f t="shared" si="35"/>
        <v>9.8322985459960797E-3</v>
      </c>
      <c r="S22" s="12">
        <f t="shared" si="36"/>
        <v>4.2818081128765603E-3</v>
      </c>
      <c r="T22" s="12">
        <f t="shared" si="37"/>
        <v>5.1119574180690476E-3</v>
      </c>
      <c r="U22" s="12">
        <f t="shared" si="38"/>
        <v>-8.8292487544700492E-4</v>
      </c>
      <c r="X22" s="11"/>
      <c r="Y22" s="16">
        <v>201927</v>
      </c>
      <c r="Z22" s="12">
        <f t="shared" si="13"/>
        <v>1.4390388611140142E-3</v>
      </c>
      <c r="AA22" s="12">
        <f t="shared" si="19"/>
        <v>2.7387996767050612E-2</v>
      </c>
      <c r="AB22" s="12">
        <f t="shared" si="20"/>
        <v>9.964069695116453E-3</v>
      </c>
      <c r="AC22" s="12">
        <f t="shared" si="21"/>
        <v>1.745832918731937E-3</v>
      </c>
      <c r="AD22" s="12">
        <f t="shared" si="22"/>
        <v>1.3746172928098797E-2</v>
      </c>
      <c r="AF22" s="11"/>
      <c r="AG22" s="11"/>
      <c r="AH22" s="11"/>
      <c r="AI22" s="15">
        <v>43747</v>
      </c>
      <c r="AJ22" s="99">
        <f>+VLOOKUP(AI22,benchmark!I$7:$J$362,2,0)</f>
        <v>254.51580000000001</v>
      </c>
      <c r="AK22" s="61">
        <f>+VLOOKUP(AI22,benchmark!K$7:$L$362,2,0)</f>
        <v>255.208</v>
      </c>
      <c r="AL22" s="1"/>
      <c r="AM22" s="1"/>
      <c r="AN22" s="11"/>
      <c r="AO22" s="11"/>
      <c r="AP22" s="15">
        <v>43747</v>
      </c>
      <c r="AQ22" s="12">
        <f t="shared" si="33"/>
        <v>5.6383372160286882E-3</v>
      </c>
      <c r="AR22" s="12">
        <f t="shared" si="30"/>
        <v>-2.548268584382174E-3</v>
      </c>
      <c r="AS22" s="70"/>
      <c r="AT22" s="70"/>
      <c r="AV22" s="106"/>
      <c r="AW22" s="106"/>
      <c r="AX22" s="66"/>
      <c r="AY22" s="15">
        <v>43747</v>
      </c>
      <c r="AZ22" s="12">
        <f t="shared" si="31"/>
        <v>7.2637373578217108E-4</v>
      </c>
      <c r="BA22" s="68"/>
    </row>
    <row r="23" spans="3:53" x14ac:dyDescent="0.75">
      <c r="C23" s="11"/>
      <c r="D23" s="15">
        <v>43746</v>
      </c>
      <c r="E23" s="21">
        <f>+VLOOKUP(D23,Prezzi!$I$12:$J$367,2,0)</f>
        <v>5.2548519999999996</v>
      </c>
      <c r="F23" s="21">
        <f>+VLOOKUP(D23,Prezzi!$K$12:$L$367,2,0)/VLOOKUP(D23,Prezzi!$S$12:$T$367,2,0)</f>
        <v>264.13415437829963</v>
      </c>
      <c r="G23" s="1">
        <v>0</v>
      </c>
      <c r="H23" s="21">
        <f>+VLOOKUP(D23,Prezzi!$M$12:$N$367,2,0)/VLOOKUP(D23,Prezzi!$S$12:$T$367,2,0)</f>
        <v>22.798077553249588</v>
      </c>
      <c r="I23" s="1">
        <v>0</v>
      </c>
      <c r="J23" s="21">
        <f>+VLOOKUP(D23,Prezzi!$O$12:$P$367,2,0)/VLOOKUP(D23,Prezzi!$S$12:$T$367,2,0)</f>
        <v>51.921747678864008</v>
      </c>
      <c r="K23" s="1">
        <v>0</v>
      </c>
      <c r="L23" s="21">
        <f>+VLOOKUP(D23,Prezzi!$Q$12:$R$367,2,0)/VLOOKUP(D23,Prezzi!$S$12:$T$367,2,0)</f>
        <v>103.01529674130713</v>
      </c>
      <c r="M23" s="107">
        <v>0</v>
      </c>
      <c r="O23" s="1" t="str">
        <f t="shared" si="25"/>
        <v>201941</v>
      </c>
      <c r="P23" s="35">
        <v>43746</v>
      </c>
      <c r="Q23" s="12">
        <f t="shared" si="34"/>
        <v>2.3809403837263493E-4</v>
      </c>
      <c r="R23" s="12">
        <f t="shared" si="35"/>
        <v>-1.5021696756728134E-2</v>
      </c>
      <c r="S23" s="12">
        <f t="shared" si="36"/>
        <v>-1.0879480747886435E-2</v>
      </c>
      <c r="T23" s="12">
        <f t="shared" si="37"/>
        <v>2.5342764650282488E-3</v>
      </c>
      <c r="U23" s="12">
        <f t="shared" si="38"/>
        <v>-1.902624674696058E-3</v>
      </c>
      <c r="X23" s="11"/>
      <c r="Y23" s="16">
        <v>201926</v>
      </c>
      <c r="Z23" s="12">
        <f t="shared" si="13"/>
        <v>8.9139125767635026E-4</v>
      </c>
      <c r="AA23" s="12">
        <f t="shared" si="19"/>
        <v>-8.4022841550476617E-3</v>
      </c>
      <c r="AB23" s="12">
        <f t="shared" si="20"/>
        <v>-4.387453085556132E-3</v>
      </c>
      <c r="AC23" s="12">
        <f t="shared" si="21"/>
        <v>3.9800529784114278E-3</v>
      </c>
      <c r="AD23" s="12">
        <f t="shared" si="22"/>
        <v>-5.1555114099510815E-3</v>
      </c>
      <c r="AF23" s="11"/>
      <c r="AG23" s="11"/>
      <c r="AH23" s="11"/>
      <c r="AI23" s="15">
        <v>43746</v>
      </c>
      <c r="AJ23" s="99">
        <f>+VLOOKUP(AI23,benchmark!I$7:$J$362,2,0)</f>
        <v>253.08879999999999</v>
      </c>
      <c r="AK23" s="61">
        <f>+VLOOKUP(AI23,benchmark!K$7:$L$362,2,0)</f>
        <v>255.86</v>
      </c>
      <c r="AL23" s="1"/>
      <c r="AM23" s="1"/>
      <c r="AN23" s="11"/>
      <c r="AO23" s="11"/>
      <c r="AP23" s="15">
        <v>43746</v>
      </c>
      <c r="AQ23" s="12">
        <f t="shared" si="33"/>
        <v>-1.1389252923288518E-2</v>
      </c>
      <c r="AR23" s="12">
        <f t="shared" si="30"/>
        <v>1.1268840092029109E-3</v>
      </c>
      <c r="AS23" s="70"/>
      <c r="AT23" s="70"/>
      <c r="AV23" s="106"/>
      <c r="AW23" s="106"/>
      <c r="AX23" s="66"/>
      <c r="AY23" s="15">
        <v>43746</v>
      </c>
      <c r="AZ23" s="12">
        <f t="shared" si="31"/>
        <v>-3.8795707637936604E-3</v>
      </c>
      <c r="BA23" s="68"/>
    </row>
    <row r="24" spans="3:53" x14ac:dyDescent="0.75">
      <c r="C24" s="11"/>
      <c r="D24" s="15">
        <v>43745</v>
      </c>
      <c r="E24" s="21">
        <f>+VLOOKUP(D24,Prezzi!$I$12:$J$367,2,0)</f>
        <v>5.2536009999999997</v>
      </c>
      <c r="F24" s="21">
        <f>+VLOOKUP(D24,Prezzi!$K$12:$L$367,2,0)/VLOOKUP(D24,Prezzi!$S$12:$T$367,2,0)</f>
        <v>268.13184844901303</v>
      </c>
      <c r="G24" s="1">
        <v>0</v>
      </c>
      <c r="H24" s="21">
        <f>+VLOOKUP(D24,Prezzi!$M$12:$N$367,2,0)/VLOOKUP(D24,Prezzi!$S$12:$T$367,2,0)</f>
        <v>23.047462930956062</v>
      </c>
      <c r="I24" s="1">
        <v>0</v>
      </c>
      <c r="J24" s="21">
        <f>+VLOOKUP(D24,Prezzi!$O$12:$P$367,2,0)/VLOOKUP(D24,Prezzi!$S$12:$T$367,2,0)</f>
        <v>51.790330210133725</v>
      </c>
      <c r="K24" s="1">
        <v>0</v>
      </c>
      <c r="L24" s="21">
        <f>+VLOOKUP(D24,Prezzi!$Q$12:$R$367,2,0)/VLOOKUP(D24,Prezzi!$S$12:$T$367,2,0)</f>
        <v>103.21148276175748</v>
      </c>
      <c r="M24" s="111">
        <f>0.400067/VLOOKUP(D24,Prezzi!$S$12:$T$367,2,0)</f>
        <v>0.3639288638224325</v>
      </c>
      <c r="O24" s="1" t="str">
        <f t="shared" si="25"/>
        <v>201941</v>
      </c>
      <c r="P24" s="35">
        <v>43745</v>
      </c>
      <c r="Q24" s="12">
        <f t="shared" si="34"/>
        <v>-1.3148042708568809E-3</v>
      </c>
      <c r="R24" s="12">
        <f t="shared" si="35"/>
        <v>-5.7624239356374035E-3</v>
      </c>
      <c r="S24" s="12">
        <f t="shared" si="36"/>
        <v>7.1491868909983394E-3</v>
      </c>
      <c r="T24" s="12">
        <f t="shared" si="37"/>
        <v>-7.5789955099990619E-3</v>
      </c>
      <c r="U24" s="12">
        <f t="shared" si="38"/>
        <v>3.5959562653652098E-3</v>
      </c>
      <c r="X24" s="11"/>
      <c r="Y24" s="16">
        <v>201925</v>
      </c>
      <c r="Z24" s="12">
        <f t="shared" si="13"/>
        <v>5.457711516375011E-3</v>
      </c>
      <c r="AA24" s="12">
        <f t="shared" si="19"/>
        <v>1.728903617245927E-2</v>
      </c>
      <c r="AB24" s="12">
        <f t="shared" si="20"/>
        <v>1.0343781080626866E-2</v>
      </c>
      <c r="AC24" s="12">
        <f t="shared" si="21"/>
        <v>3.6873856335864541E-2</v>
      </c>
      <c r="AD24" s="12">
        <f t="shared" si="22"/>
        <v>1.1666091885581278E-2</v>
      </c>
      <c r="AF24" s="11"/>
      <c r="AG24" s="11"/>
      <c r="AH24" s="11"/>
      <c r="AI24" s="15">
        <v>43745</v>
      </c>
      <c r="AJ24" s="99">
        <f>+VLOOKUP(AI24,benchmark!I$7:$J$362,2,0)</f>
        <v>256.00450000000001</v>
      </c>
      <c r="AK24" s="61">
        <f>+VLOOKUP(AI24,benchmark!K$7:$L$362,2,0)</f>
        <v>255.572</v>
      </c>
      <c r="AL24" s="1"/>
      <c r="AM24" s="1"/>
      <c r="AN24" s="11"/>
      <c r="AO24" s="11"/>
      <c r="AP24" s="15">
        <v>43745</v>
      </c>
      <c r="AQ24" s="12">
        <f t="shared" si="33"/>
        <v>-1.0952641822468134E-3</v>
      </c>
      <c r="AR24" s="12">
        <f t="shared" si="30"/>
        <v>-1.012387083660693E-3</v>
      </c>
      <c r="AS24" s="70"/>
      <c r="AT24" s="70"/>
      <c r="AV24" s="106"/>
      <c r="AW24" s="106"/>
      <c r="AX24" s="66"/>
      <c r="AY24" s="15">
        <v>43745</v>
      </c>
      <c r="AZ24" s="12">
        <f t="shared" si="31"/>
        <v>-1.0455379230951412E-3</v>
      </c>
      <c r="BA24" s="68"/>
    </row>
    <row r="25" spans="3:53" x14ac:dyDescent="0.75">
      <c r="D25" s="15">
        <v>43742</v>
      </c>
      <c r="E25" s="21">
        <f>+VLOOKUP(D25,Prezzi!$I$12:$J$367,2,0)</f>
        <v>5.2605130000000004</v>
      </c>
      <c r="F25" s="21">
        <f>+VLOOKUP(D25,Prezzi!$K$12:$L$367,2,0)/VLOOKUP(D25,Prezzi!$S$12:$T$367,2,0)</f>
        <v>269.68139812369066</v>
      </c>
      <c r="G25" s="1">
        <v>0</v>
      </c>
      <c r="H25" s="21">
        <f>+VLOOKUP(D25,Prezzi!$M$12:$N$367,2,0)/VLOOKUP(D25,Prezzi!$S$12:$T$367,2,0)</f>
        <v>22.883279897987066</v>
      </c>
      <c r="I25" s="1">
        <v>0</v>
      </c>
      <c r="J25" s="21">
        <f>+VLOOKUP(D25,Prezzi!$O$12:$P$367,2,0)/VLOOKUP(D25,Prezzi!$S$12:$T$367,2,0)</f>
        <v>52.184340103834593</v>
      </c>
      <c r="K25" s="1">
        <v>0</v>
      </c>
      <c r="L25" s="21">
        <f>+VLOOKUP(D25,Prezzi!$Q$12:$R$367,2,0)/VLOOKUP(D25,Prezzi!$S$12:$T$367,2,0)</f>
        <v>103.20362783495764</v>
      </c>
      <c r="M25" s="1">
        <v>0</v>
      </c>
      <c r="O25" s="1" t="str">
        <f>+YEAR( P25) &amp; WEEKNUM(P25,2)</f>
        <v>201940</v>
      </c>
      <c r="P25" s="35">
        <v>43742</v>
      </c>
      <c r="Q25" s="12">
        <f t="shared" ref="Q25:Q88" si="39">+LN(E25/E26)</f>
        <v>1.0700497435794474E-3</v>
      </c>
      <c r="R25" s="12">
        <f>+LN((F25+G25)/F26)</f>
        <v>1.1566290214588085E-2</v>
      </c>
      <c r="S25" s="12">
        <f>+LN((H25+I25)/H26)</f>
        <v>6.1430117624771642E-3</v>
      </c>
      <c r="T25" s="12">
        <f>+LN((J25+K25)/J26)</f>
        <v>-2.9143092235254836E-3</v>
      </c>
      <c r="U25" s="12">
        <f>+LN((L25+M25)/L26)</f>
        <v>1.8163356745843379E-3</v>
      </c>
      <c r="Y25" s="16">
        <v>201924</v>
      </c>
      <c r="Z25" s="12">
        <f t="shared" si="13"/>
        <v>1.8360557273115648E-3</v>
      </c>
      <c r="AA25" s="12">
        <f t="shared" si="19"/>
        <v>5.9485429490185636E-3</v>
      </c>
      <c r="AB25" s="12">
        <f t="shared" si="20"/>
        <v>-4.9677129654514696E-3</v>
      </c>
      <c r="AC25" s="12">
        <f t="shared" si="21"/>
        <v>1.4030139736295917E-4</v>
      </c>
      <c r="AD25" s="12">
        <f t="shared" si="22"/>
        <v>3.1630523804227029E-3</v>
      </c>
      <c r="AI25" s="15">
        <v>43742</v>
      </c>
      <c r="AJ25" s="99">
        <f>+VLOOKUP(AI25,benchmark!I$7:$J$362,2,0)</f>
        <v>256.28519999999997</v>
      </c>
      <c r="AK25" s="61">
        <f>+VLOOKUP(AI25,benchmark!K$7:$L$362,2,0)</f>
        <v>255.83099999999999</v>
      </c>
      <c r="AP25" s="15">
        <v>43742</v>
      </c>
      <c r="AQ25" s="12">
        <f>+AJ25/AJ26-1</f>
        <v>9.8460752822056019E-3</v>
      </c>
      <c r="AR25" s="12">
        <f>+AK25/AK26-1</f>
        <v>-2.2275370474589273E-4</v>
      </c>
      <c r="AY25" s="15">
        <v>43742</v>
      </c>
      <c r="AZ25" s="12">
        <f>+SUMPRODUCT($AV$4:$AW$4,AQ25:AR25)</f>
        <v>3.8047778900347049E-3</v>
      </c>
      <c r="BA25" s="32"/>
    </row>
    <row r="26" spans="3:53" x14ac:dyDescent="0.75">
      <c r="D26" s="15">
        <v>43741</v>
      </c>
      <c r="E26" s="21">
        <f>+VLOOKUP(D26,Prezzi!$I$12:$J$367,2,0)</f>
        <v>5.2548870000000001</v>
      </c>
      <c r="F26" s="21">
        <f>+VLOOKUP(D26,Prezzi!$K$12:$L$367,2,0)/VLOOKUP(D26,Prezzi!$S$12:$T$367,2,0)</f>
        <v>266.58015432380603</v>
      </c>
      <c r="G26" s="1">
        <v>0</v>
      </c>
      <c r="H26" s="21">
        <f>+VLOOKUP(D26,Prezzi!$M$12:$N$367,2,0)/VLOOKUP(D26,Prezzi!$S$12:$T$367,2,0)</f>
        <v>22.743138526161996</v>
      </c>
      <c r="I26" s="1">
        <v>0</v>
      </c>
      <c r="J26" s="21">
        <f>+VLOOKUP(D26,Prezzi!$O$12:$P$367,2,0)/VLOOKUP(D26,Prezzi!$S$12:$T$367,2,0)</f>
        <v>52.336643228928871</v>
      </c>
      <c r="K26" s="1">
        <v>0</v>
      </c>
      <c r="L26" s="21">
        <f>+VLOOKUP(D26,Prezzi!$Q$12:$R$367,2,0)/VLOOKUP(D26,Prezzi!$S$12:$T$367,2,0)</f>
        <v>103.01634553922017</v>
      </c>
      <c r="M26" s="1">
        <v>0</v>
      </c>
      <c r="O26" s="1" t="str">
        <f t="shared" ref="O26:O89" si="40">+YEAR( P26) &amp; WEEKNUM(P26,2)</f>
        <v>201940</v>
      </c>
      <c r="P26" s="35">
        <v>43741</v>
      </c>
      <c r="Q26" s="12">
        <f t="shared" si="39"/>
        <v>2.7288021815902136E-3</v>
      </c>
      <c r="R26" s="12">
        <f t="shared" ref="R26:R89" si="41">+LN((F26+G26)/F27)</f>
        <v>5.8139927331910179E-3</v>
      </c>
      <c r="S26" s="12">
        <f t="shared" ref="S26:S89" si="42">+LN((H26+I26)/H27)</f>
        <v>1.8299044831726898E-3</v>
      </c>
      <c r="T26" s="12">
        <f t="shared" ref="T26:T89" si="43">+LN((J26+K26)/J27)</f>
        <v>1.7452890780133721E-3</v>
      </c>
      <c r="U26" s="12">
        <f t="shared" ref="U26:U89" si="44">+LN((L26+M26)/L27)</f>
        <v>-1.6261008684076675E-4</v>
      </c>
      <c r="Y26" s="16">
        <v>201923</v>
      </c>
      <c r="Z26" s="12">
        <f t="shared" si="13"/>
        <v>1.6345140519993726E-3</v>
      </c>
      <c r="AA26" s="12">
        <f t="shared" si="19"/>
        <v>3.2783169257039876E-2</v>
      </c>
      <c r="AB26" s="12">
        <f t="shared" si="20"/>
        <v>3.0818169331838979E-2</v>
      </c>
      <c r="AC26" s="12">
        <f t="shared" si="21"/>
        <v>1.5605859650330522E-2</v>
      </c>
      <c r="AD26" s="12">
        <f t="shared" si="22"/>
        <v>5.0790803367479617E-3</v>
      </c>
      <c r="AI26" s="15">
        <v>43741</v>
      </c>
      <c r="AJ26" s="99">
        <f>+VLOOKUP(AI26,benchmark!I$7:$J$362,2,0)</f>
        <v>253.78640000000001</v>
      </c>
      <c r="AK26" s="61">
        <f>+VLOOKUP(AI26,benchmark!K$7:$L$362,2,0)</f>
        <v>255.88800000000001</v>
      </c>
      <c r="AP26" s="15">
        <v>43741</v>
      </c>
      <c r="AQ26" s="12">
        <f t="shared" ref="AQ26:AR44" si="45">+AJ26/AJ27-1</f>
        <v>4.6295398288871414E-3</v>
      </c>
      <c r="AR26" s="12">
        <f t="shared" si="45"/>
        <v>3.1715664558822354E-3</v>
      </c>
      <c r="AY26" s="15">
        <v>43741</v>
      </c>
      <c r="AZ26" s="12">
        <f t="shared" ref="AZ26:AZ89" si="46">+SUMPRODUCT($AV$4:$AW$4,AQ26:AR26)</f>
        <v>3.7547558050841975E-3</v>
      </c>
      <c r="BA26" s="32"/>
    </row>
    <row r="27" spans="3:53" x14ac:dyDescent="0.75">
      <c r="D27" s="15">
        <v>43740</v>
      </c>
      <c r="E27" s="21">
        <f>+VLOOKUP(D27,Prezzi!$I$12:$J$367,2,0)</f>
        <v>5.2405670000000004</v>
      </c>
      <c r="F27" s="21">
        <f>+VLOOKUP(D27,Prezzi!$K$12:$L$367,2,0)/VLOOKUP(D27,Prezzi!$S$12:$T$367,2,0)</f>
        <v>265.03475606407324</v>
      </c>
      <c r="G27" s="1">
        <v>0</v>
      </c>
      <c r="H27" s="21">
        <f>+VLOOKUP(D27,Prezzi!$M$12:$N$367,2,0)/VLOOKUP(D27,Prezzi!$S$12:$T$367,2,0)</f>
        <v>22.701558810068647</v>
      </c>
      <c r="I27" s="1">
        <v>0</v>
      </c>
      <c r="J27" s="21">
        <f>+VLOOKUP(D27,Prezzi!$O$12:$P$367,2,0)/VLOOKUP(D27,Prezzi!$S$12:$T$367,2,0)</f>
        <v>52.245380320366131</v>
      </c>
      <c r="K27" s="1">
        <v>0</v>
      </c>
      <c r="L27" s="21">
        <f>+VLOOKUP(D27,Prezzi!$Q$12:$R$367,2,0)/VLOOKUP(D27,Prezzi!$S$12:$T$367,2,0)</f>
        <v>103.03309839816933</v>
      </c>
      <c r="M27" s="1">
        <v>0</v>
      </c>
      <c r="O27" s="1" t="str">
        <f t="shared" si="40"/>
        <v>201940</v>
      </c>
      <c r="P27" s="35">
        <v>43740</v>
      </c>
      <c r="Q27" s="12">
        <f t="shared" si="39"/>
        <v>4.8670699215427155E-4</v>
      </c>
      <c r="R27" s="12">
        <f t="shared" si="41"/>
        <v>-2.054272243032906E-2</v>
      </c>
      <c r="S27" s="12">
        <f t="shared" si="42"/>
        <v>-2.3098563157967916E-2</v>
      </c>
      <c r="T27" s="12">
        <f t="shared" si="43"/>
        <v>9.8874599017527588E-3</v>
      </c>
      <c r="U27" s="12">
        <f t="shared" si="44"/>
        <v>-4.2007063191115144E-3</v>
      </c>
      <c r="Y27" s="16">
        <v>201922</v>
      </c>
      <c r="Z27" s="12">
        <f t="shared" si="13"/>
        <v>5.9670638462021273E-3</v>
      </c>
      <c r="AA27" s="12">
        <f t="shared" si="19"/>
        <v>-2.2960694693457444E-2</v>
      </c>
      <c r="AB27" s="12">
        <f t="shared" si="20"/>
        <v>-1.3561348691715901E-2</v>
      </c>
      <c r="AC27" s="12">
        <f t="shared" si="21"/>
        <v>2.0733147332509482E-2</v>
      </c>
      <c r="AD27" s="12">
        <f t="shared" si="22"/>
        <v>5.4023873023059076E-3</v>
      </c>
      <c r="AI27" s="15">
        <v>43740</v>
      </c>
      <c r="AJ27" s="99">
        <f>+VLOOKUP(AI27,benchmark!I$7:$J$362,2,0)</f>
        <v>252.61689999999999</v>
      </c>
      <c r="AK27" s="61">
        <f>+VLOOKUP(AI27,benchmark!K$7:$L$362,2,0)</f>
        <v>255.07900000000001</v>
      </c>
      <c r="AP27" s="15">
        <v>43740</v>
      </c>
      <c r="AQ27" s="12">
        <f t="shared" si="45"/>
        <v>-1.6228036014705016E-2</v>
      </c>
      <c r="AR27" s="12">
        <f t="shared" si="45"/>
        <v>-1.987581528011928E-3</v>
      </c>
      <c r="AY27" s="15">
        <v>43740</v>
      </c>
      <c r="AZ27" s="12">
        <f t="shared" si="46"/>
        <v>-7.6837633226891642E-3</v>
      </c>
      <c r="BA27" s="32"/>
    </row>
    <row r="28" spans="3:53" x14ac:dyDescent="0.75">
      <c r="D28" s="15">
        <v>43739</v>
      </c>
      <c r="E28" s="21">
        <f>+VLOOKUP(D28,Prezzi!$I$12:$J$367,2,0)</f>
        <v>5.2380170000000001</v>
      </c>
      <c r="F28" s="21">
        <f>+VLOOKUP(D28,Prezzi!$K$12:$L$367,2,0)/VLOOKUP(D28,Prezzi!$S$12:$T$367,2,0)</f>
        <v>270.53559919251239</v>
      </c>
      <c r="G28" s="1">
        <v>0</v>
      </c>
      <c r="H28" s="21">
        <f>+VLOOKUP(D28,Prezzi!$M$12:$N$367,2,0)/VLOOKUP(D28,Prezzi!$S$12:$T$367,2,0)</f>
        <v>23.232035235823083</v>
      </c>
      <c r="I28" s="1">
        <v>0</v>
      </c>
      <c r="J28" s="21">
        <f>+VLOOKUP(D28,Prezzi!$O$12:$P$367,2,0)/VLOOKUP(D28,Prezzi!$S$12:$T$367,2,0)</f>
        <v>51.731351624151216</v>
      </c>
      <c r="K28" s="1">
        <v>0</v>
      </c>
      <c r="L28" s="21">
        <f>+VLOOKUP(D28,Prezzi!$Q$12:$R$367,2,0)/VLOOKUP(D28,Prezzi!$S$12:$T$367,2,0)</f>
        <v>103.46682051752613</v>
      </c>
      <c r="M28" s="1">
        <v>0</v>
      </c>
      <c r="O28" s="1" t="str">
        <f t="shared" si="40"/>
        <v>201940</v>
      </c>
      <c r="P28" s="35">
        <v>43739</v>
      </c>
      <c r="Q28" s="12">
        <f t="shared" si="39"/>
        <v>-4.867069921542825E-4</v>
      </c>
      <c r="R28" s="12">
        <f t="shared" si="41"/>
        <v>-1.311830289578883E-2</v>
      </c>
      <c r="S28" s="12">
        <f t="shared" si="42"/>
        <v>-8.9336710698727211E-3</v>
      </c>
      <c r="T28" s="12">
        <f t="shared" si="43"/>
        <v>8.5936006152670542E-3</v>
      </c>
      <c r="U28" s="12">
        <f t="shared" si="44"/>
        <v>-5.1309673409894382E-3</v>
      </c>
      <c r="Y28" s="16">
        <v>201921</v>
      </c>
      <c r="Z28" s="12">
        <f t="shared" si="13"/>
        <v>4.5636731662077384E-3</v>
      </c>
      <c r="AA28" s="12">
        <f t="shared" si="19"/>
        <v>-1.2797701966814498E-2</v>
      </c>
      <c r="AB28" s="12">
        <f t="shared" si="20"/>
        <v>-3.3727624254452533E-4</v>
      </c>
      <c r="AC28" s="12">
        <f t="shared" si="21"/>
        <v>5.1001218669157172E-3</v>
      </c>
      <c r="AD28" s="12">
        <f t="shared" si="22"/>
        <v>3.9398132238390891E-4</v>
      </c>
      <c r="AI28" s="15">
        <v>43739</v>
      </c>
      <c r="AJ28" s="99">
        <f>+VLOOKUP(AI28,benchmark!I$7:$J$362,2,0)</f>
        <v>256.78399999999999</v>
      </c>
      <c r="AK28" s="61">
        <f>+VLOOKUP(AI28,benchmark!K$7:$L$362,2,0)</f>
        <v>255.58699999999999</v>
      </c>
      <c r="AP28" s="15">
        <v>43739</v>
      </c>
      <c r="AQ28" s="12">
        <f t="shared" si="45"/>
        <v>-9.0170403345162242E-3</v>
      </c>
      <c r="AR28" s="12">
        <f t="shared" si="45"/>
        <v>-1.2426486391434732E-3</v>
      </c>
      <c r="AY28" s="15">
        <v>43739</v>
      </c>
      <c r="AZ28" s="12">
        <f t="shared" si="46"/>
        <v>-4.3524053172925735E-3</v>
      </c>
      <c r="BA28" s="32"/>
    </row>
    <row r="29" spans="3:53" x14ac:dyDescent="0.75">
      <c r="D29" s="15">
        <v>43738</v>
      </c>
      <c r="E29" s="21">
        <f>+VLOOKUP(D29,Prezzi!$I$12:$J$367,2,0)</f>
        <v>5.2405670000000004</v>
      </c>
      <c r="F29" s="21">
        <f>+VLOOKUP(D29,Prezzi!$K$12:$L$367,2,0)/VLOOKUP(D29,Prezzi!$S$12:$T$367,2,0)</f>
        <v>274.10794746992377</v>
      </c>
      <c r="G29" s="126">
        <f>1.48/VLOOKUP(D29,Prezzi!$S$12:$T$367,2,0)</f>
        <v>1.3591698043897511</v>
      </c>
      <c r="H29" s="21">
        <f>+VLOOKUP(D29,Prezzi!$M$12:$N$367,2,0)/VLOOKUP(D29,Prezzi!$S$12:$T$367,2,0)</f>
        <v>23.440512443750578</v>
      </c>
      <c r="I29" s="1">
        <v>0</v>
      </c>
      <c r="J29" s="21">
        <f>+VLOOKUP(D29,Prezzi!$O$12:$P$367,2,0)/VLOOKUP(D29,Prezzi!$S$12:$T$367,2,0)</f>
        <v>51.288697768390122</v>
      </c>
      <c r="K29" s="1">
        <v>0</v>
      </c>
      <c r="L29" s="21">
        <f>+VLOOKUP(D29,Prezzi!$Q$12:$R$367,2,0)/VLOOKUP(D29,Prezzi!$S$12:$T$367,2,0)</f>
        <v>103.99906970337037</v>
      </c>
      <c r="M29" s="1">
        <v>0</v>
      </c>
      <c r="O29" s="1" t="str">
        <f t="shared" si="40"/>
        <v>201940</v>
      </c>
      <c r="P29" s="35">
        <v>43738</v>
      </c>
      <c r="Q29" s="12">
        <f t="shared" si="39"/>
        <v>-2.6062485241733603E-4</v>
      </c>
      <c r="R29" s="12">
        <f t="shared" si="41"/>
        <v>1.4244270783109475E-2</v>
      </c>
      <c r="S29" s="12">
        <f t="shared" si="42"/>
        <v>2.9847777402244075E-3</v>
      </c>
      <c r="T29" s="12">
        <f t="shared" si="43"/>
        <v>-1.6344986049571963E-2</v>
      </c>
      <c r="U29" s="12">
        <f t="shared" si="44"/>
        <v>3.8906588636731325E-3</v>
      </c>
      <c r="Y29" s="16">
        <v>201920</v>
      </c>
      <c r="Z29" s="12">
        <f t="shared" si="13"/>
        <v>4.0648896464554746E-4</v>
      </c>
      <c r="AA29" s="12">
        <f t="shared" si="19"/>
        <v>-1.7083264839363489E-3</v>
      </c>
      <c r="AB29" s="12">
        <f t="shared" si="20"/>
        <v>1.3128916083742503E-2</v>
      </c>
      <c r="AC29" s="12">
        <f t="shared" si="21"/>
        <v>-3.4331302546650611E-3</v>
      </c>
      <c r="AD29" s="12">
        <f t="shared" si="22"/>
        <v>5.5812918309925139E-3</v>
      </c>
      <c r="AI29" s="15">
        <v>43738</v>
      </c>
      <c r="AJ29" s="99">
        <f>+VLOOKUP(AI29,benchmark!I$7:$J$362,2,0)</f>
        <v>259.12049999999999</v>
      </c>
      <c r="AK29" s="61">
        <f>+VLOOKUP(AI29,benchmark!K$7:$L$362,2,0)</f>
        <v>255.905</v>
      </c>
      <c r="AP29" s="15">
        <v>43738</v>
      </c>
      <c r="AQ29" s="12">
        <f t="shared" si="45"/>
        <v>1.7993072628375018E-3</v>
      </c>
      <c r="AR29" s="12">
        <f t="shared" si="45"/>
        <v>6.2527111364563126E-5</v>
      </c>
      <c r="AY29" s="15">
        <v>43738</v>
      </c>
      <c r="AZ29" s="12">
        <f t="shared" si="46"/>
        <v>7.5723917195373862E-4</v>
      </c>
      <c r="BA29" s="32"/>
    </row>
    <row r="30" spans="3:53" x14ac:dyDescent="0.75">
      <c r="D30" s="15">
        <v>43735</v>
      </c>
      <c r="E30" s="21">
        <f>+VLOOKUP(D30,Prezzi!$I$12:$J$367,2,0)</f>
        <v>5.2419330000000004</v>
      </c>
      <c r="F30" s="21">
        <f>+VLOOKUP(D30,Prezzi!$K$12:$L$367,2,0)/VLOOKUP(D30,Prezzi!$S$12:$T$367,2,0)</f>
        <v>271.57110288065849</v>
      </c>
      <c r="G30" s="1">
        <v>0</v>
      </c>
      <c r="H30" s="21">
        <f>+VLOOKUP(D30,Prezzi!$M$12:$N$367,2,0)/VLOOKUP(D30,Prezzi!$S$12:$T$367,2,0)</f>
        <v>23.370652034750801</v>
      </c>
      <c r="I30" s="1">
        <v>0</v>
      </c>
      <c r="J30" s="21">
        <f>+VLOOKUP(D30,Prezzi!$O$12:$P$367,2,0)/VLOOKUP(D30,Prezzi!$S$12:$T$367,2,0)</f>
        <v>52.133899405578426</v>
      </c>
      <c r="K30" s="1">
        <v>0</v>
      </c>
      <c r="L30" s="21">
        <f>+VLOOKUP(D30,Prezzi!$Q$12:$R$367,2,0)/VLOOKUP(D30,Prezzi!$S$12:$T$367,2,0)</f>
        <v>103.59523090992228</v>
      </c>
      <c r="M30" s="1">
        <v>0</v>
      </c>
      <c r="O30" s="1" t="str">
        <f t="shared" si="40"/>
        <v>201939</v>
      </c>
      <c r="P30" s="35">
        <v>43735</v>
      </c>
      <c r="Q30" s="12">
        <f t="shared" si="39"/>
        <v>2.2379745450838384E-4</v>
      </c>
      <c r="R30" s="12">
        <f t="shared" si="41"/>
        <v>-4.9149910125413348E-3</v>
      </c>
      <c r="S30" s="12">
        <f t="shared" si="42"/>
        <v>2.2494318767758907E-3</v>
      </c>
      <c r="T30" s="12">
        <f t="shared" si="43"/>
        <v>-5.2106141226198497E-3</v>
      </c>
      <c r="U30" s="12">
        <f t="shared" si="44"/>
        <v>9.5378822716540596E-4</v>
      </c>
      <c r="Y30" s="16">
        <v>201919</v>
      </c>
      <c r="Z30" s="12">
        <f t="shared" si="13"/>
        <v>2.699978475432672E-3</v>
      </c>
      <c r="AA30" s="12">
        <f t="shared" si="19"/>
        <v>-2.7941341572585689E-2</v>
      </c>
      <c r="AB30" s="12">
        <f t="shared" si="20"/>
        <v>-1.9111895367580546E-2</v>
      </c>
      <c r="AC30" s="12">
        <f t="shared" si="21"/>
        <v>-9.7059833840389392E-4</v>
      </c>
      <c r="AD30" s="12">
        <f t="shared" si="22"/>
        <v>-5.4971244792823776E-3</v>
      </c>
      <c r="AI30" s="15">
        <v>43735</v>
      </c>
      <c r="AJ30" s="99">
        <f>+VLOOKUP(AI30,benchmark!I$7:$J$362,2,0)</f>
        <v>258.6551</v>
      </c>
      <c r="AK30" s="61">
        <f>+VLOOKUP(AI30,benchmark!K$7:$L$362,2,0)</f>
        <v>255.88900000000001</v>
      </c>
      <c r="AP30" s="15">
        <v>43735</v>
      </c>
      <c r="AQ30" s="12">
        <f t="shared" si="45"/>
        <v>-3.3346113312819892E-3</v>
      </c>
      <c r="AR30" s="12">
        <f t="shared" si="45"/>
        <v>-5.5852393450805948E-4</v>
      </c>
      <c r="AY30" s="15">
        <v>43735</v>
      </c>
      <c r="AZ30" s="12">
        <f t="shared" si="46"/>
        <v>-1.6689588932176315E-3</v>
      </c>
      <c r="BA30" s="32"/>
    </row>
    <row r="31" spans="3:53" x14ac:dyDescent="0.75">
      <c r="D31" s="15">
        <v>43734</v>
      </c>
      <c r="E31" s="21">
        <f>+VLOOKUP(D31,Prezzi!$I$12:$J$367,2,0)</f>
        <v>5.2407599999999999</v>
      </c>
      <c r="F31" s="21">
        <f>+VLOOKUP(D31,Prezzi!$K$12:$L$367,2,0)/VLOOKUP(D31,Prezzi!$S$12:$T$367,2,0)</f>
        <v>272.90915798134938</v>
      </c>
      <c r="G31" s="1">
        <v>0</v>
      </c>
      <c r="H31" s="21">
        <f>+VLOOKUP(D31,Prezzi!$M$12:$N$367,2,0)/VLOOKUP(D31,Prezzi!$S$12:$T$367,2,0)</f>
        <v>23.318140427866155</v>
      </c>
      <c r="I31" s="1">
        <v>0</v>
      </c>
      <c r="J31" s="21">
        <f>+VLOOKUP(D31,Prezzi!$O$12:$P$367,2,0)/VLOOKUP(D31,Prezzi!$S$12:$T$367,2,0)</f>
        <v>52.406257999634299</v>
      </c>
      <c r="K31" s="1">
        <v>0</v>
      </c>
      <c r="L31" s="21">
        <f>+VLOOKUP(D31,Prezzi!$Q$12:$R$367,2,0)/VLOOKUP(D31,Prezzi!$S$12:$T$367,2,0)</f>
        <v>103.49647010422379</v>
      </c>
      <c r="M31" s="1">
        <v>0</v>
      </c>
      <c r="O31" s="1" t="str">
        <f t="shared" si="40"/>
        <v>201939</v>
      </c>
      <c r="P31" s="35">
        <v>43734</v>
      </c>
      <c r="Q31" s="12">
        <f t="shared" si="39"/>
        <v>1.0704557274214331E-3</v>
      </c>
      <c r="R31" s="12">
        <f t="shared" si="41"/>
        <v>1.6447611938163757E-3</v>
      </c>
      <c r="S31" s="12">
        <f t="shared" si="42"/>
        <v>1.2480204083034649E-2</v>
      </c>
      <c r="T31" s="12">
        <f t="shared" si="43"/>
        <v>5.507501920304087E-3</v>
      </c>
      <c r="U31" s="12">
        <f t="shared" si="44"/>
        <v>4.6465455766259416E-3</v>
      </c>
      <c r="Y31" s="16">
        <v>201918</v>
      </c>
      <c r="Z31" s="12">
        <f t="shared" si="13"/>
        <v>-9.6236340338346903E-4</v>
      </c>
      <c r="AA31" s="12">
        <f t="shared" si="19"/>
        <v>2.0157083269812972E-4</v>
      </c>
      <c r="AB31" s="12">
        <f t="shared" si="20"/>
        <v>7.9850180981800396E-4</v>
      </c>
      <c r="AC31" s="12">
        <f t="shared" si="21"/>
        <v>-7.2162473876105897E-3</v>
      </c>
      <c r="AD31" s="12">
        <f t="shared" si="22"/>
        <v>-2.3813158560729284E-3</v>
      </c>
      <c r="AI31" s="15">
        <v>43734</v>
      </c>
      <c r="AJ31" s="99">
        <f>+VLOOKUP(AI31,benchmark!I$7:$J$362,2,0)</f>
        <v>259.52049999999997</v>
      </c>
      <c r="AK31" s="61">
        <f>+VLOOKUP(AI31,benchmark!K$7:$L$362,2,0)</f>
        <v>256.03199999999998</v>
      </c>
      <c r="AP31" s="15">
        <v>43734</v>
      </c>
      <c r="AQ31" s="12">
        <f t="shared" si="45"/>
        <v>4.007551151175015E-5</v>
      </c>
      <c r="AR31" s="12">
        <f t="shared" si="45"/>
        <v>7.4214981270470659E-5</v>
      </c>
      <c r="AY31" s="15">
        <v>43734</v>
      </c>
      <c r="AZ31" s="12">
        <f t="shared" si="46"/>
        <v>6.0559193366982461E-5</v>
      </c>
      <c r="BA31" s="32"/>
    </row>
    <row r="32" spans="3:53" x14ac:dyDescent="0.75">
      <c r="D32" s="15">
        <v>43733</v>
      </c>
      <c r="E32" s="21">
        <f>+VLOOKUP(D32,Prezzi!$I$12:$J$367,2,0)</f>
        <v>5.2351530000000004</v>
      </c>
      <c r="F32" s="21">
        <f>+VLOOKUP(D32,Prezzi!$K$12:$L$367,2,0)/VLOOKUP(D32,Prezzi!$S$12:$T$367,2,0)</f>
        <v>272.4606565288654</v>
      </c>
      <c r="G32" s="1">
        <v>0</v>
      </c>
      <c r="H32" s="21">
        <f>+VLOOKUP(D32,Prezzi!$M$12:$N$367,2,0)/VLOOKUP(D32,Prezzi!$S$12:$T$367,2,0)</f>
        <v>23.028933709706791</v>
      </c>
      <c r="I32" s="1">
        <v>0</v>
      </c>
      <c r="J32" s="21">
        <f>+VLOOKUP(D32,Prezzi!$O$12:$P$367,2,0)/VLOOKUP(D32,Prezzi!$S$12:$T$367,2,0)</f>
        <v>52.118423784374428</v>
      </c>
      <c r="K32" s="1">
        <v>0</v>
      </c>
      <c r="L32" s="21">
        <f>+VLOOKUP(D32,Prezzi!$Q$12:$R$367,2,0)/VLOOKUP(D32,Prezzi!$S$12:$T$367,2,0)</f>
        <v>103.0166845747587</v>
      </c>
      <c r="M32" s="1">
        <v>0</v>
      </c>
      <c r="O32" s="1" t="str">
        <f t="shared" si="40"/>
        <v>201939</v>
      </c>
      <c r="P32" s="35">
        <v>43733</v>
      </c>
      <c r="Q32" s="12">
        <f t="shared" si="39"/>
        <v>-2.5477754811261146E-3</v>
      </c>
      <c r="R32" s="12">
        <f t="shared" si="41"/>
        <v>8.0485432398016386E-3</v>
      </c>
      <c r="S32" s="12">
        <f t="shared" si="42"/>
        <v>-8.0337218606007371E-3</v>
      </c>
      <c r="T32" s="12">
        <f t="shared" si="43"/>
        <v>-1.6225135436026942E-2</v>
      </c>
      <c r="U32" s="12">
        <f t="shared" si="44"/>
        <v>-2.055473089954186E-3</v>
      </c>
      <c r="Y32" s="16">
        <v>201917</v>
      </c>
      <c r="Z32" s="12">
        <f t="shared" si="13"/>
        <v>4.5374062937766279E-3</v>
      </c>
      <c r="AA32" s="12">
        <f t="shared" si="19"/>
        <v>2.2474617040179532E-2</v>
      </c>
      <c r="AB32" s="12">
        <f t="shared" si="20"/>
        <v>1.4045605625366428E-2</v>
      </c>
      <c r="AC32" s="12">
        <f t="shared" si="21"/>
        <v>1.9975026197211022E-2</v>
      </c>
      <c r="AD32" s="12">
        <f t="shared" si="22"/>
        <v>1.0100631374826577E-2</v>
      </c>
      <c r="AI32" s="15">
        <v>43733</v>
      </c>
      <c r="AJ32" s="99">
        <f>+VLOOKUP(AI32,benchmark!I$7:$J$362,2,0)</f>
        <v>259.51010000000002</v>
      </c>
      <c r="AK32" s="61">
        <f>+VLOOKUP(AI32,benchmark!K$7:$L$362,2,0)</f>
        <v>256.01299999999998</v>
      </c>
      <c r="AP32" s="15">
        <v>43733</v>
      </c>
      <c r="AQ32" s="12">
        <f t="shared" si="45"/>
        <v>3.6505157365396279E-4</v>
      </c>
      <c r="AR32" s="12">
        <f t="shared" si="45"/>
        <v>-9.7945868323301433E-4</v>
      </c>
      <c r="AY32" s="15">
        <v>43733</v>
      </c>
      <c r="AZ32" s="12">
        <f t="shared" si="46"/>
        <v>-4.4165458047822341E-4</v>
      </c>
      <c r="BA32" s="32"/>
    </row>
    <row r="33" spans="4:53" x14ac:dyDescent="0.75">
      <c r="D33" s="15">
        <v>43732</v>
      </c>
      <c r="E33" s="21">
        <f>+VLOOKUP(D33,Prezzi!$I$12:$J$367,2,0)</f>
        <v>5.2485080000000002</v>
      </c>
      <c r="F33" s="21">
        <f>+VLOOKUP(D33,Prezzi!$K$12:$L$367,2,0)/VLOOKUP(D33,Prezzi!$S$12:$T$367,2,0)</f>
        <v>270.27654639643731</v>
      </c>
      <c r="G33" s="1">
        <v>0</v>
      </c>
      <c r="H33" s="21">
        <f>+VLOOKUP(D33,Prezzi!$M$12:$N$367,2,0)/VLOOKUP(D33,Prezzi!$S$12:$T$367,2,0)</f>
        <v>23.214686903571749</v>
      </c>
      <c r="I33" s="1">
        <v>0</v>
      </c>
      <c r="J33" s="21">
        <f>+VLOOKUP(D33,Prezzi!$O$12:$P$367,2,0)/VLOOKUP(D33,Prezzi!$S$12:$T$367,2,0)</f>
        <v>52.970949740979727</v>
      </c>
      <c r="K33" s="1">
        <v>0</v>
      </c>
      <c r="L33" s="21">
        <f>+VLOOKUP(D33,Prezzi!$Q$12:$R$367,2,0)/VLOOKUP(D33,Prezzi!$S$12:$T$367,2,0)</f>
        <v>103.22865036808142</v>
      </c>
      <c r="M33" s="1">
        <v>0</v>
      </c>
      <c r="O33" s="1" t="str">
        <f t="shared" si="40"/>
        <v>201939</v>
      </c>
      <c r="P33" s="35">
        <v>43732</v>
      </c>
      <c r="Q33" s="12">
        <f t="shared" si="39"/>
        <v>1.977944973092088E-3</v>
      </c>
      <c r="R33" s="12">
        <f t="shared" si="41"/>
        <v>-1.4982053551364564E-2</v>
      </c>
      <c r="S33" s="12">
        <f t="shared" si="42"/>
        <v>2.1095471905971841E-3</v>
      </c>
      <c r="T33" s="12">
        <f t="shared" si="43"/>
        <v>3.813477291804358E-3</v>
      </c>
      <c r="U33" s="12">
        <f t="shared" si="44"/>
        <v>-5.7439107299126933E-3</v>
      </c>
      <c r="Y33" s="16">
        <v>201916</v>
      </c>
      <c r="Z33" s="12">
        <f t="shared" si="13"/>
        <v>-4.1304419747989502E-3</v>
      </c>
      <c r="AA33" s="12">
        <f t="shared" si="19"/>
        <v>5.6190039909210969E-3</v>
      </c>
      <c r="AB33" s="12">
        <f t="shared" si="20"/>
        <v>2.7367535043203257E-3</v>
      </c>
      <c r="AC33" s="12">
        <f t="shared" si="21"/>
        <v>-7.3360131406786065E-3</v>
      </c>
      <c r="AD33" s="12">
        <f t="shared" si="22"/>
        <v>8.1828861102254194E-3</v>
      </c>
      <c r="AI33" s="15">
        <v>43732</v>
      </c>
      <c r="AJ33" s="99">
        <f>+VLOOKUP(AI33,benchmark!I$7:$J$362,2,0)</f>
        <v>259.41539999999998</v>
      </c>
      <c r="AK33" s="61">
        <f>+VLOOKUP(AI33,benchmark!K$7:$L$362,2,0)</f>
        <v>256.26400000000001</v>
      </c>
      <c r="AP33" s="15">
        <v>43732</v>
      </c>
      <c r="AQ33" s="12">
        <f t="shared" si="45"/>
        <v>-5.1095369201723528E-3</v>
      </c>
      <c r="AR33" s="12">
        <f t="shared" si="45"/>
        <v>1.3128692444750456E-3</v>
      </c>
      <c r="AY33" s="15">
        <v>43732</v>
      </c>
      <c r="AZ33" s="12">
        <f t="shared" si="46"/>
        <v>-1.2560932213839136E-3</v>
      </c>
      <c r="BA33" s="32"/>
    </row>
    <row r="34" spans="4:53" x14ac:dyDescent="0.75">
      <c r="D34" s="15">
        <v>43731</v>
      </c>
      <c r="E34" s="21">
        <f>+VLOOKUP(D34,Prezzi!$I$12:$J$367,2,0)</f>
        <v>5.238137</v>
      </c>
      <c r="F34" s="21">
        <f>+VLOOKUP(D34,Prezzi!$K$12:$L$367,2,0)/VLOOKUP(D34,Prezzi!$S$12:$T$367,2,0)</f>
        <v>274.35632954028222</v>
      </c>
      <c r="G34" s="1">
        <v>0</v>
      </c>
      <c r="H34" s="21">
        <f>+VLOOKUP(D34,Prezzi!$M$12:$N$367,2,0)/VLOOKUP(D34,Prezzi!$S$12:$T$367,2,0)</f>
        <v>23.165766044606279</v>
      </c>
      <c r="I34" s="1">
        <v>0</v>
      </c>
      <c r="J34" s="21">
        <f>+VLOOKUP(D34,Prezzi!$O$12:$P$367,2,0)/VLOOKUP(D34,Prezzi!$S$12:$T$367,2,0)</f>
        <v>52.769330905780606</v>
      </c>
      <c r="K34" s="1">
        <v>0</v>
      </c>
      <c r="L34" s="21">
        <f>+VLOOKUP(D34,Prezzi!$Q$12:$R$367,2,0)/VLOOKUP(D34,Prezzi!$S$12:$T$367,2,0)</f>
        <v>103.82329267182521</v>
      </c>
      <c r="M34" s="1">
        <v>0</v>
      </c>
      <c r="O34" s="1" t="str">
        <f t="shared" si="40"/>
        <v>201939</v>
      </c>
      <c r="P34" s="35">
        <v>43731</v>
      </c>
      <c r="Q34" s="12">
        <f t="shared" si="39"/>
        <v>2.7053801574166447E-3</v>
      </c>
      <c r="R34" s="12">
        <f t="shared" si="41"/>
        <v>3.9931423609774822E-3</v>
      </c>
      <c r="S34" s="12">
        <f t="shared" si="42"/>
        <v>1.5584380780672407E-3</v>
      </c>
      <c r="T34" s="12">
        <f t="shared" si="43"/>
        <v>1.3585705886431204E-2</v>
      </c>
      <c r="U34" s="12">
        <f t="shared" si="44"/>
        <v>5.1334356780422356E-3</v>
      </c>
      <c r="Y34" s="16">
        <v>201915</v>
      </c>
      <c r="Z34" s="12">
        <f t="shared" si="13"/>
        <v>1.3235303650422686E-3</v>
      </c>
      <c r="AA34" s="12">
        <f t="shared" si="19"/>
        <v>-2.2259904521750107E-3</v>
      </c>
      <c r="AB34" s="12">
        <f t="shared" si="20"/>
        <v>-7.2623339010341259E-3</v>
      </c>
      <c r="AC34" s="12">
        <f t="shared" si="21"/>
        <v>-8.083354796767233E-3</v>
      </c>
      <c r="AD34" s="12">
        <f t="shared" si="22"/>
        <v>-1.1854708470346769E-2</v>
      </c>
      <c r="AI34" s="15">
        <v>43731</v>
      </c>
      <c r="AJ34" s="99">
        <f>+VLOOKUP(AI34,benchmark!I$7:$J$362,2,0)</f>
        <v>260.74770000000001</v>
      </c>
      <c r="AK34" s="61">
        <f>+VLOOKUP(AI34,benchmark!K$7:$L$362,2,0)</f>
        <v>255.928</v>
      </c>
      <c r="AP34" s="15">
        <v>43731</v>
      </c>
      <c r="AQ34" s="12">
        <f t="shared" si="45"/>
        <v>-2.1930898726776338E-3</v>
      </c>
      <c r="AR34" s="12">
        <f t="shared" si="45"/>
        <v>5.7216511050330876E-3</v>
      </c>
      <c r="AY34" s="15">
        <v>43731</v>
      </c>
      <c r="AZ34" s="12">
        <f t="shared" si="46"/>
        <v>2.5557547139487989E-3</v>
      </c>
      <c r="BA34" s="32"/>
    </row>
    <row r="35" spans="4:53" x14ac:dyDescent="0.75">
      <c r="D35" s="15">
        <v>43728</v>
      </c>
      <c r="E35" s="21">
        <f>+VLOOKUP(D35,Prezzi!$I$12:$J$367,2,0)</f>
        <v>5.2239849999999999</v>
      </c>
      <c r="F35" s="21">
        <f>+VLOOKUP(D35,Prezzi!$K$12:$L$367,2,0)/VLOOKUP(D35,Prezzi!$S$12:$T$367,2,0)</f>
        <v>273.26297008159565</v>
      </c>
      <c r="G35" s="1">
        <v>0</v>
      </c>
      <c r="H35" s="21">
        <f>+VLOOKUP(D35,Prezzi!$M$12:$N$367,2,0)/VLOOKUP(D35,Prezzi!$S$12:$T$367,2,0)</f>
        <v>23.129691749773343</v>
      </c>
      <c r="I35" s="1">
        <v>0</v>
      </c>
      <c r="J35" s="21">
        <f>+VLOOKUP(D35,Prezzi!$O$12:$P$367,2,0)/VLOOKUP(D35,Prezzi!$S$12:$T$367,2,0)</f>
        <v>52.057270172257475</v>
      </c>
      <c r="K35" s="1">
        <v>0</v>
      </c>
      <c r="L35" s="21">
        <f>+VLOOKUP(D35,Prezzi!$Q$12:$R$367,2,0)/VLOOKUP(D35,Prezzi!$S$12:$T$367,2,0)</f>
        <v>103.2916881233001</v>
      </c>
      <c r="M35" s="1">
        <v>0</v>
      </c>
      <c r="O35" s="1" t="str">
        <f t="shared" si="40"/>
        <v>201938</v>
      </c>
      <c r="P35" s="35">
        <v>43728</v>
      </c>
      <c r="Q35" s="12">
        <f t="shared" si="39"/>
        <v>3.9173174650010558E-4</v>
      </c>
      <c r="R35" s="12">
        <f t="shared" si="41"/>
        <v>-1.5160673537470382E-3</v>
      </c>
      <c r="S35" s="12">
        <f t="shared" si="42"/>
        <v>2.722738602280558E-3</v>
      </c>
      <c r="T35" s="12">
        <f t="shared" si="43"/>
        <v>1.0625529023857784E-2</v>
      </c>
      <c r="U35" s="12">
        <f t="shared" si="44"/>
        <v>5.923018290275613E-3</v>
      </c>
      <c r="Y35" s="16">
        <v>201914</v>
      </c>
      <c r="Z35" s="12">
        <f t="shared" si="13"/>
        <v>-3.450665284003806E-3</v>
      </c>
      <c r="AA35" s="12">
        <f t="shared" si="19"/>
        <v>2.0811382560762124E-2</v>
      </c>
      <c r="AB35" s="12">
        <f t="shared" si="20"/>
        <v>1.0669178315621843E-2</v>
      </c>
      <c r="AC35" s="12">
        <f t="shared" si="21"/>
        <v>-1.3921472310963472E-3</v>
      </c>
      <c r="AD35" s="12">
        <f t="shared" si="22"/>
        <v>2.4483886657821036E-3</v>
      </c>
      <c r="AI35" s="15">
        <v>43728</v>
      </c>
      <c r="AJ35" s="99">
        <f>+VLOOKUP(AI35,benchmark!I$7:$J$362,2,0)</f>
        <v>261.32080000000002</v>
      </c>
      <c r="AK35" s="61">
        <f>+VLOOKUP(AI35,benchmark!K$7:$L$362,2,0)</f>
        <v>254.47200000000001</v>
      </c>
      <c r="AP35" s="15">
        <v>43728</v>
      </c>
      <c r="AQ35" s="12">
        <f t="shared" si="45"/>
        <v>-2.3079099269904813E-3</v>
      </c>
      <c r="AR35" s="12">
        <f t="shared" si="45"/>
        <v>4.7965402005112345E-4</v>
      </c>
      <c r="AY35" s="15">
        <v>43728</v>
      </c>
      <c r="AZ35" s="12">
        <f t="shared" si="46"/>
        <v>-6.3537155876551847E-4</v>
      </c>
      <c r="BA35" s="32"/>
    </row>
    <row r="36" spans="4:53" x14ac:dyDescent="0.75">
      <c r="D36" s="15">
        <v>43727</v>
      </c>
      <c r="E36" s="21">
        <f>+VLOOKUP(D36,Prezzi!$I$12:$J$367,2,0)</f>
        <v>5.2219389999999999</v>
      </c>
      <c r="F36" s="21">
        <f>+VLOOKUP(D36,Prezzi!$K$12:$L$367,2,0)/VLOOKUP(D36,Prezzi!$S$12:$T$367,2,0)</f>
        <v>273.67756935032077</v>
      </c>
      <c r="G36" s="1">
        <v>0</v>
      </c>
      <c r="H36" s="21">
        <f>+VLOOKUP(D36,Prezzi!$M$12:$N$367,2,0)/VLOOKUP(D36,Prezzi!$S$12:$T$367,2,0)</f>
        <v>23.066801301165626</v>
      </c>
      <c r="I36" s="1">
        <v>0</v>
      </c>
      <c r="J36" s="21">
        <f>+VLOOKUP(D36,Prezzi!$O$12:$P$367,2,0)/VLOOKUP(D36,Prezzi!$S$12:$T$367,2,0)</f>
        <v>51.507062437878375</v>
      </c>
      <c r="K36" s="1">
        <v>0</v>
      </c>
      <c r="L36" s="21">
        <f>+VLOOKUP(D36,Prezzi!$Q$12:$R$367,2,0)/VLOOKUP(D36,Prezzi!$S$12:$T$367,2,0)</f>
        <v>102.68169784042649</v>
      </c>
      <c r="M36" s="1">
        <v>0</v>
      </c>
      <c r="O36" s="1" t="str">
        <f t="shared" si="40"/>
        <v>201938</v>
      </c>
      <c r="P36" s="35">
        <v>43727</v>
      </c>
      <c r="Q36" s="12">
        <f t="shared" si="39"/>
        <v>1.157711363703852E-3</v>
      </c>
      <c r="R36" s="12">
        <f t="shared" si="41"/>
        <v>-1.1863590129698295E-3</v>
      </c>
      <c r="S36" s="12">
        <f t="shared" si="42"/>
        <v>3.4420004786116952E-3</v>
      </c>
      <c r="T36" s="12">
        <f t="shared" si="43"/>
        <v>-4.8799966376670634E-3</v>
      </c>
      <c r="U36" s="12">
        <f t="shared" si="44"/>
        <v>-6.943711033635451E-4</v>
      </c>
      <c r="Y36" s="16">
        <v>201913</v>
      </c>
      <c r="Z36" s="12">
        <f t="shared" si="13"/>
        <v>1.5416670174751681E-3</v>
      </c>
      <c r="AA36" s="12">
        <f t="shared" si="19"/>
        <v>2.215943049931958E-2</v>
      </c>
      <c r="AB36" s="12">
        <f t="shared" si="20"/>
        <v>7.3914810928695429E-3</v>
      </c>
      <c r="AC36" s="12">
        <f t="shared" si="21"/>
        <v>-9.065811997165274E-3</v>
      </c>
      <c r="AD36" s="12">
        <f t="shared" si="22"/>
        <v>9.664356518689618E-3</v>
      </c>
      <c r="AI36" s="15">
        <v>43727</v>
      </c>
      <c r="AJ36" s="99">
        <f>+VLOOKUP(AI36,benchmark!I$7:$J$362,2,0)</f>
        <v>261.92529999999999</v>
      </c>
      <c r="AK36" s="61">
        <f>+VLOOKUP(AI36,benchmark!K$7:$L$362,2,0)</f>
        <v>254.35</v>
      </c>
      <c r="AP36" s="15">
        <v>43727</v>
      </c>
      <c r="AQ36" s="12">
        <f t="shared" si="45"/>
        <v>9.8292455213311314E-4</v>
      </c>
      <c r="AR36" s="12">
        <f t="shared" si="45"/>
        <v>-5.6582866393706244E-4</v>
      </c>
      <c r="AY36" s="15">
        <v>43727</v>
      </c>
      <c r="AZ36" s="12">
        <f t="shared" si="46"/>
        <v>5.3672622491007793E-5</v>
      </c>
      <c r="BA36" s="32"/>
    </row>
    <row r="37" spans="4:53" x14ac:dyDescent="0.75">
      <c r="D37" s="15">
        <v>43726</v>
      </c>
      <c r="E37" s="21">
        <f>+VLOOKUP(D37,Prezzi!$I$12:$J$367,2,0)</f>
        <v>5.215897</v>
      </c>
      <c r="F37" s="21">
        <f>+VLOOKUP(D37,Prezzi!$K$12:$L$367,2,0)/VLOOKUP(D37,Prezzi!$S$12:$T$367,2,0)</f>
        <v>274.00244187098525</v>
      </c>
      <c r="G37" s="1">
        <v>0</v>
      </c>
      <c r="H37" s="21">
        <f>+VLOOKUP(D37,Prezzi!$M$12:$N$367,2,0)/VLOOKUP(D37,Prezzi!$S$12:$T$367,2,0)</f>
        <v>22.987541843843303</v>
      </c>
      <c r="I37" s="1">
        <v>0</v>
      </c>
      <c r="J37" s="21">
        <f>+VLOOKUP(D37,Prezzi!$O$12:$P$367,2,0)/VLOOKUP(D37,Prezzi!$S$12:$T$367,2,0)</f>
        <v>51.759031032298928</v>
      </c>
      <c r="K37" s="1">
        <v>0</v>
      </c>
      <c r="L37" s="21">
        <f>+VLOOKUP(D37,Prezzi!$Q$12:$R$367,2,0)/VLOOKUP(D37,Prezzi!$S$12:$T$367,2,0)</f>
        <v>102.7530218040351</v>
      </c>
      <c r="M37" s="1">
        <v>0</v>
      </c>
      <c r="O37" s="1" t="str">
        <f t="shared" si="40"/>
        <v>201938</v>
      </c>
      <c r="P37" s="35">
        <v>43726</v>
      </c>
      <c r="Q37" s="12">
        <f t="shared" si="39"/>
        <v>2.0700500089045832E-3</v>
      </c>
      <c r="R37" s="12">
        <f t="shared" si="41"/>
        <v>-2.0978274760705524E-3</v>
      </c>
      <c r="S37" s="12">
        <f t="shared" si="42"/>
        <v>-1.0562673191518962E-3</v>
      </c>
      <c r="T37" s="12">
        <f t="shared" si="43"/>
        <v>-2.6283053678801487E-3</v>
      </c>
      <c r="U37" s="12">
        <f t="shared" si="44"/>
        <v>1.1214574175339685E-3</v>
      </c>
      <c r="Y37" s="16">
        <v>201912</v>
      </c>
      <c r="Z37" s="12">
        <f t="shared" si="13"/>
        <v>7.8108190564259916E-3</v>
      </c>
      <c r="AA37" s="12">
        <f t="shared" si="19"/>
        <v>-1.0910465423961239E-2</v>
      </c>
      <c r="AB37" s="12">
        <f t="shared" si="20"/>
        <v>-8.4772083321491241E-3</v>
      </c>
      <c r="AC37" s="12">
        <f t="shared" si="21"/>
        <v>8.4248746794299556E-3</v>
      </c>
      <c r="AD37" s="12">
        <f t="shared" si="22"/>
        <v>7.1351586653630788E-3</v>
      </c>
      <c r="AI37" s="15">
        <v>43726</v>
      </c>
      <c r="AJ37" s="99">
        <f>+VLOOKUP(AI37,benchmark!I$7:$J$362,2,0)</f>
        <v>261.66809999999998</v>
      </c>
      <c r="AK37" s="61">
        <f>+VLOOKUP(AI37,benchmark!K$7:$L$362,2,0)</f>
        <v>254.494</v>
      </c>
      <c r="AP37" s="15">
        <v>43726</v>
      </c>
      <c r="AQ37" s="12">
        <f t="shared" si="45"/>
        <v>6.8789905309785127E-6</v>
      </c>
      <c r="AR37" s="12">
        <f t="shared" si="45"/>
        <v>3.4737966902327333E-3</v>
      </c>
      <c r="AY37" s="15">
        <v>43726</v>
      </c>
      <c r="AZ37" s="12">
        <f t="shared" si="46"/>
        <v>2.0870296103520313E-3</v>
      </c>
      <c r="BA37" s="32"/>
    </row>
    <row r="38" spans="4:53" x14ac:dyDescent="0.75">
      <c r="D38" s="15">
        <v>43725</v>
      </c>
      <c r="E38" s="21">
        <f>+VLOOKUP(D38,Prezzi!$I$12:$J$367,2,0)</f>
        <v>5.2051109999999996</v>
      </c>
      <c r="F38" s="21">
        <f>+VLOOKUP(D38,Prezzi!$K$12:$L$367,2,0)/VLOOKUP(D38,Prezzi!$S$12:$T$367,2,0)</f>
        <v>274.57785506983492</v>
      </c>
      <c r="G38" s="1">
        <v>0</v>
      </c>
      <c r="H38" s="21">
        <f>+VLOOKUP(D38,Prezzi!$M$12:$N$367,2,0)/VLOOKUP(D38,Prezzi!$S$12:$T$367,2,0)</f>
        <v>23.011835661164518</v>
      </c>
      <c r="I38" s="1">
        <v>0</v>
      </c>
      <c r="J38" s="21">
        <f>+VLOOKUP(D38,Prezzi!$O$12:$P$367,2,0)/VLOOKUP(D38,Prezzi!$S$12:$T$367,2,0)</f>
        <v>51.895248503537097</v>
      </c>
      <c r="K38" s="1">
        <v>0</v>
      </c>
      <c r="L38" s="21">
        <f>+VLOOKUP(D38,Prezzi!$Q$12:$R$367,2,0)/VLOOKUP(D38,Prezzi!$S$12:$T$367,2,0)</f>
        <v>102.6378532559405</v>
      </c>
      <c r="M38" s="1">
        <v>0</v>
      </c>
      <c r="O38" s="1" t="str">
        <f t="shared" si="40"/>
        <v>201938</v>
      </c>
      <c r="P38" s="35">
        <v>43725</v>
      </c>
      <c r="Q38" s="12">
        <f t="shared" si="39"/>
        <v>3.7258787495128738E-4</v>
      </c>
      <c r="R38" s="12">
        <f t="shared" si="41"/>
        <v>3.0327115615784565E-3</v>
      </c>
      <c r="S38" s="12">
        <f t="shared" si="42"/>
        <v>1.0733697371618948E-2</v>
      </c>
      <c r="T38" s="12">
        <f t="shared" si="43"/>
        <v>1.7634630000252828E-3</v>
      </c>
      <c r="U38" s="12">
        <f t="shared" si="44"/>
        <v>2.082818591536105E-3</v>
      </c>
      <c r="Y38" s="16">
        <v>201911</v>
      </c>
      <c r="Z38" s="12">
        <f t="shared" si="13"/>
        <v>1.0825104365560401E-3</v>
      </c>
      <c r="AA38" s="12">
        <f t="shared" si="19"/>
        <v>2.1415457890069874E-2</v>
      </c>
      <c r="AB38" s="12">
        <f t="shared" si="20"/>
        <v>2.5755679897345229E-2</v>
      </c>
      <c r="AC38" s="12">
        <f t="shared" si="21"/>
        <v>-4.9746064003688174E-3</v>
      </c>
      <c r="AD38" s="12">
        <f t="shared" si="22"/>
        <v>3.1996792083358529E-3</v>
      </c>
      <c r="AI38" s="15">
        <v>43725</v>
      </c>
      <c r="AJ38" s="99">
        <f>+VLOOKUP(AI38,benchmark!I$7:$J$362,2,0)</f>
        <v>261.66629999999998</v>
      </c>
      <c r="AK38" s="61">
        <f>+VLOOKUP(AI38,benchmark!K$7:$L$362,2,0)</f>
        <v>253.613</v>
      </c>
      <c r="AP38" s="15">
        <v>43725</v>
      </c>
      <c r="AQ38" s="12">
        <f t="shared" si="45"/>
        <v>1.4662251533967829E-3</v>
      </c>
      <c r="AR38" s="12">
        <f t="shared" si="45"/>
        <v>-1.5865142353237438E-3</v>
      </c>
      <c r="AY38" s="15">
        <v>43725</v>
      </c>
      <c r="AZ38" s="12">
        <f t="shared" si="46"/>
        <v>-3.6541847983553302E-4</v>
      </c>
      <c r="BA38" s="32"/>
    </row>
    <row r="39" spans="4:53" x14ac:dyDescent="0.75">
      <c r="D39" s="15">
        <v>43724</v>
      </c>
      <c r="E39" s="21">
        <f>+VLOOKUP(D39,Prezzi!$I$12:$J$367,2,0)</f>
        <v>5.2031720000000004</v>
      </c>
      <c r="F39" s="21">
        <f>+VLOOKUP(D39,Prezzi!$K$12:$L$367,2,0)/VLOOKUP(D39,Prezzi!$S$12:$T$367,2,0)</f>
        <v>273.74640105158193</v>
      </c>
      <c r="G39" s="1">
        <v>0</v>
      </c>
      <c r="H39" s="21">
        <f>+VLOOKUP(D39,Prezzi!$M$12:$N$367,2,0)/VLOOKUP(D39,Prezzi!$S$12:$T$367,2,0)</f>
        <v>22.76615447375578</v>
      </c>
      <c r="I39" s="1">
        <v>0</v>
      </c>
      <c r="J39" s="21">
        <f>+VLOOKUP(D39,Prezzi!$O$12:$P$367,2,0)/VLOOKUP(D39,Prezzi!$S$12:$T$367,2,0)</f>
        <v>51.803813797479833</v>
      </c>
      <c r="K39" s="1">
        <v>0</v>
      </c>
      <c r="L39" s="21">
        <f>+VLOOKUP(D39,Prezzi!$Q$12:$R$367,2,0)/VLOOKUP(D39,Prezzi!$S$12:$T$367,2,0)</f>
        <v>102.42429970084308</v>
      </c>
      <c r="M39" s="1">
        <v>0</v>
      </c>
      <c r="O39" s="1" t="str">
        <f t="shared" si="40"/>
        <v>201938</v>
      </c>
      <c r="P39" s="35">
        <v>43724</v>
      </c>
      <c r="Q39" s="12">
        <f t="shared" si="39"/>
        <v>2.1839369226368602E-3</v>
      </c>
      <c r="R39" s="12">
        <f t="shared" si="41"/>
        <v>2.7670522561697736E-3</v>
      </c>
      <c r="S39" s="12">
        <f t="shared" si="42"/>
        <v>-5.5783779857057972E-3</v>
      </c>
      <c r="T39" s="12">
        <f t="shared" si="43"/>
        <v>1.3921153493045792E-2</v>
      </c>
      <c r="U39" s="12">
        <f t="shared" si="44"/>
        <v>5.177727413047839E-3</v>
      </c>
      <c r="Y39" s="16">
        <v>201910</v>
      </c>
      <c r="Z39" s="12">
        <f t="shared" si="13"/>
        <v>5.9940897747988503E-3</v>
      </c>
      <c r="AA39" s="12">
        <f t="shared" si="19"/>
        <v>-7.1983592329305859E-3</v>
      </c>
      <c r="AB39" s="12">
        <f t="shared" si="20"/>
        <v>4.5002065611689096E-3</v>
      </c>
      <c r="AC39" s="12">
        <f t="shared" si="21"/>
        <v>1.6405005280331626E-2</v>
      </c>
      <c r="AD39" s="12">
        <f t="shared" si="22"/>
        <v>1.4622836582473877E-2</v>
      </c>
      <c r="AI39" s="15">
        <v>43724</v>
      </c>
      <c r="AJ39" s="99">
        <f>+VLOOKUP(AI39,benchmark!I$7:$J$362,2,0)</f>
        <v>261.28319999999997</v>
      </c>
      <c r="AK39" s="61">
        <f>+VLOOKUP(AI39,benchmark!K$7:$L$362,2,0)</f>
        <v>254.01599999999999</v>
      </c>
      <c r="AP39" s="15">
        <v>43724</v>
      </c>
      <c r="AQ39" s="12">
        <f t="shared" si="45"/>
        <v>-3.8943259499355509E-3</v>
      </c>
      <c r="AR39" s="12">
        <f t="shared" si="45"/>
        <v>2.6723086457276501E-3</v>
      </c>
      <c r="AY39" s="15">
        <v>43724</v>
      </c>
      <c r="AZ39" s="12">
        <f t="shared" si="46"/>
        <v>4.5654807462369544E-5</v>
      </c>
      <c r="BA39" s="32"/>
    </row>
    <row r="40" spans="4:53" x14ac:dyDescent="0.75">
      <c r="D40" s="15">
        <v>43721</v>
      </c>
      <c r="E40" s="21">
        <f>+VLOOKUP(D40,Prezzi!$I$12:$J$367,2,0)</f>
        <v>5.191821</v>
      </c>
      <c r="F40" s="21">
        <f>+VLOOKUP(D40,Prezzi!$K$12:$L$367,2,0)/VLOOKUP(D40,Prezzi!$S$12:$T$367,2,0)</f>
        <v>272.98997746935834</v>
      </c>
      <c r="G40" s="1">
        <v>0</v>
      </c>
      <c r="H40" s="21">
        <f>+VLOOKUP(D40,Prezzi!$M$12:$N$367,2,0)/VLOOKUP(D40,Prezzi!$S$12:$T$367,2,0)</f>
        <v>22.893507570295604</v>
      </c>
      <c r="I40" s="1">
        <v>0</v>
      </c>
      <c r="J40" s="21">
        <f>+VLOOKUP(D40,Prezzi!$O$12:$P$367,2,0)/VLOOKUP(D40,Prezzi!$S$12:$T$367,2,0)</f>
        <v>51.087641492429711</v>
      </c>
      <c r="K40" s="1">
        <v>0</v>
      </c>
      <c r="L40" s="21">
        <f>+VLOOKUP(D40,Prezzi!$Q$12:$R$367,2,0)/VLOOKUP(D40,Prezzi!$S$12:$T$367,2,0)</f>
        <v>101.89534516943043</v>
      </c>
      <c r="M40" s="1">
        <v>0</v>
      </c>
      <c r="O40" s="1" t="str">
        <f t="shared" si="40"/>
        <v>201937</v>
      </c>
      <c r="P40" s="35">
        <v>43721</v>
      </c>
      <c r="Q40" s="12">
        <f t="shared" si="39"/>
        <v>-5.2678695307938747E-3</v>
      </c>
      <c r="R40" s="12">
        <f t="shared" si="41"/>
        <v>-1.2515500647063707E-2</v>
      </c>
      <c r="S40" s="12">
        <f t="shared" si="42"/>
        <v>-1.1731176986247477E-2</v>
      </c>
      <c r="T40" s="12">
        <f t="shared" si="43"/>
        <v>-1.7752039364198328E-2</v>
      </c>
      <c r="U40" s="12">
        <f t="shared" si="44"/>
        <v>-2.0612542445892966E-2</v>
      </c>
      <c r="Y40" s="16">
        <v>20199</v>
      </c>
      <c r="Z40" s="12">
        <f t="shared" si="13"/>
        <v>-3.5992777548323317E-3</v>
      </c>
      <c r="AA40" s="12">
        <f t="shared" si="19"/>
        <v>-5.1929697123213317E-4</v>
      </c>
      <c r="AB40" s="12">
        <f t="shared" si="20"/>
        <v>-1.3068902205889748E-4</v>
      </c>
      <c r="AC40" s="12">
        <f t="shared" si="21"/>
        <v>-3.1217522886273118E-2</v>
      </c>
      <c r="AD40" s="12">
        <f t="shared" si="22"/>
        <v>-8.5325296287822646E-3</v>
      </c>
      <c r="AI40" s="15">
        <v>43721</v>
      </c>
      <c r="AJ40" s="99">
        <f>+VLOOKUP(AI40,benchmark!I$7:$J$362,2,0)</f>
        <v>262.30470000000003</v>
      </c>
      <c r="AK40" s="61">
        <f>+VLOOKUP(AI40,benchmark!K$7:$L$362,2,0)</f>
        <v>253.339</v>
      </c>
      <c r="AP40" s="15">
        <v>43721</v>
      </c>
      <c r="AQ40" s="12">
        <f t="shared" si="45"/>
        <v>2.2095592955087007E-3</v>
      </c>
      <c r="AR40" s="12">
        <f t="shared" si="45"/>
        <v>-6.19025015985597E-3</v>
      </c>
      <c r="AY40" s="15">
        <v>43721</v>
      </c>
      <c r="AZ40" s="12">
        <f t="shared" si="46"/>
        <v>-2.8303263777101017E-3</v>
      </c>
      <c r="BA40" s="32"/>
    </row>
    <row r="41" spans="4:53" x14ac:dyDescent="0.75">
      <c r="D41" s="15">
        <v>43720</v>
      </c>
      <c r="E41" s="21">
        <f>+VLOOKUP(D41,Prezzi!$I$12:$J$367,2,0)</f>
        <v>5.2192429999999996</v>
      </c>
      <c r="F41" s="21">
        <f>+VLOOKUP(D41,Prezzi!$K$12:$L$367,2,0)/VLOOKUP(D41,Prezzi!$S$12:$T$367,2,0)</f>
        <v>276.42805345252208</v>
      </c>
      <c r="G41" s="1">
        <v>0</v>
      </c>
      <c r="H41" s="21">
        <f>+VLOOKUP(D41,Prezzi!$M$12:$N$367,2,0)/VLOOKUP(D41,Prezzi!$S$12:$T$367,2,0)</f>
        <v>23.163656845753898</v>
      </c>
      <c r="I41" s="1">
        <v>0</v>
      </c>
      <c r="J41" s="21">
        <f>+VLOOKUP(D41,Prezzi!$O$12:$P$367,2,0)/VLOOKUP(D41,Prezzi!$S$12:$T$367,2,0)</f>
        <v>52.002648909969892</v>
      </c>
      <c r="K41" s="1">
        <v>0</v>
      </c>
      <c r="L41" s="21">
        <f>+VLOOKUP(D41,Prezzi!$Q$12:$R$367,2,0)/VLOOKUP(D41,Prezzi!$S$12:$T$367,2,0)</f>
        <v>104.017463285597</v>
      </c>
      <c r="M41" s="1">
        <v>0</v>
      </c>
      <c r="O41" s="1" t="str">
        <f t="shared" si="40"/>
        <v>201937</v>
      </c>
      <c r="P41" s="35">
        <v>43720</v>
      </c>
      <c r="Q41" s="12">
        <f t="shared" si="39"/>
        <v>-9.1044548021252151E-4</v>
      </c>
      <c r="R41" s="12">
        <f t="shared" si="41"/>
        <v>6.672204898782624E-3</v>
      </c>
      <c r="S41" s="12">
        <f t="shared" si="42"/>
        <v>9.100050675407834E-3</v>
      </c>
      <c r="T41" s="12">
        <f t="shared" si="43"/>
        <v>6.1205037204284411E-3</v>
      </c>
      <c r="U41" s="12">
        <f t="shared" si="44"/>
        <v>5.8910571467280281E-3</v>
      </c>
      <c r="Y41" s="16">
        <v>20198</v>
      </c>
      <c r="Z41" s="12">
        <f t="shared" si="13"/>
        <v>6.1522141625488147E-4</v>
      </c>
      <c r="AA41" s="12">
        <f t="shared" si="19"/>
        <v>7.6236012451006427E-4</v>
      </c>
      <c r="AB41" s="12">
        <f t="shared" si="20"/>
        <v>9.3087939709461005E-3</v>
      </c>
      <c r="AC41" s="12">
        <f t="shared" si="21"/>
        <v>1.9954564006166922E-3</v>
      </c>
      <c r="AD41" s="12">
        <f t="shared" si="22"/>
        <v>-6.3564846308242565E-5</v>
      </c>
      <c r="AI41" s="15">
        <v>43720</v>
      </c>
      <c r="AJ41" s="99">
        <f>+VLOOKUP(AI41,benchmark!I$7:$J$362,2,0)</f>
        <v>261.72640000000001</v>
      </c>
      <c r="AK41" s="61">
        <f>+VLOOKUP(AI41,benchmark!K$7:$L$362,2,0)</f>
        <v>254.917</v>
      </c>
      <c r="AP41" s="15">
        <v>43720</v>
      </c>
      <c r="AQ41" s="12">
        <f t="shared" si="45"/>
        <v>3.6810709964663069E-3</v>
      </c>
      <c r="AR41" s="12">
        <f t="shared" si="45"/>
        <v>1.1467844869905708E-3</v>
      </c>
      <c r="AY41" s="15">
        <v>43720</v>
      </c>
      <c r="AZ41" s="12">
        <f t="shared" si="46"/>
        <v>2.1604990907808652E-3</v>
      </c>
      <c r="BA41" s="32"/>
    </row>
    <row r="42" spans="4:53" x14ac:dyDescent="0.75">
      <c r="D42" s="15">
        <v>43719</v>
      </c>
      <c r="E42" s="21">
        <f>+VLOOKUP(D42,Prezzi!$I$12:$J$367,2,0)</f>
        <v>5.2239969999999998</v>
      </c>
      <c r="F42" s="21">
        <f>+VLOOKUP(D42,Prezzi!$K$12:$L$367,2,0)/VLOOKUP(D42,Prezzi!$S$12:$T$367,2,0)</f>
        <v>274.58980823411798</v>
      </c>
      <c r="G42" s="1">
        <v>0</v>
      </c>
      <c r="H42" s="21">
        <f>+VLOOKUP(D42,Prezzi!$M$12:$N$367,2,0)/VLOOKUP(D42,Prezzi!$S$12:$T$367,2,0)</f>
        <v>22.953822593838044</v>
      </c>
      <c r="I42" s="1">
        <v>0</v>
      </c>
      <c r="J42" s="21">
        <f>+VLOOKUP(D42,Prezzi!$O$12:$P$367,2,0)/VLOOKUP(D42,Prezzi!$S$12:$T$367,2,0)</f>
        <v>51.685338544033442</v>
      </c>
      <c r="K42" s="1">
        <v>0</v>
      </c>
      <c r="L42" s="21">
        <f>+VLOOKUP(D42,Prezzi!$Q$12:$R$367,2,0)/VLOOKUP(D42,Prezzi!$S$12:$T$367,2,0)</f>
        <v>103.40649186585476</v>
      </c>
      <c r="M42" s="1">
        <v>0</v>
      </c>
      <c r="O42" s="1" t="str">
        <f t="shared" si="40"/>
        <v>201937</v>
      </c>
      <c r="P42" s="35">
        <v>43719</v>
      </c>
      <c r="Q42" s="12">
        <f t="shared" si="39"/>
        <v>-6.1217893496096423E-4</v>
      </c>
      <c r="R42" s="12">
        <f t="shared" si="41"/>
        <v>1.0613563348157648E-2</v>
      </c>
      <c r="S42" s="12">
        <f t="shared" si="42"/>
        <v>6.9541586976302585E-3</v>
      </c>
      <c r="T42" s="12">
        <f t="shared" si="43"/>
        <v>6.8881191119539789E-3</v>
      </c>
      <c r="U42" s="12">
        <f t="shared" si="44"/>
        <v>5.1623890497377878E-4</v>
      </c>
      <c r="Y42" s="16">
        <v>20197</v>
      </c>
      <c r="Z42" s="12">
        <f t="shared" si="13"/>
        <v>2.6665324515952836E-4</v>
      </c>
      <c r="AA42" s="12">
        <f t="shared" si="19"/>
        <v>3.2889506914352974E-2</v>
      </c>
      <c r="AB42" s="12">
        <f t="shared" si="20"/>
        <v>1.9323545040333942E-2</v>
      </c>
      <c r="AC42" s="12">
        <f t="shared" si="21"/>
        <v>1.1335758543107116E-2</v>
      </c>
      <c r="AD42" s="12">
        <f t="shared" si="22"/>
        <v>8.0820159697308595E-3</v>
      </c>
      <c r="AI42" s="15">
        <v>43719</v>
      </c>
      <c r="AJ42" s="99">
        <f>+VLOOKUP(AI42,benchmark!I$7:$J$362,2,0)</f>
        <v>260.76650000000001</v>
      </c>
      <c r="AK42" s="61">
        <f>+VLOOKUP(AI42,benchmark!K$7:$L$362,2,0)</f>
        <v>254.625</v>
      </c>
      <c r="AP42" s="15">
        <v>43719</v>
      </c>
      <c r="AQ42" s="12">
        <f t="shared" si="45"/>
        <v>7.1611093172827545E-3</v>
      </c>
      <c r="AR42" s="12">
        <f t="shared" si="45"/>
        <v>1.5143171806166755E-3</v>
      </c>
      <c r="AY42" s="15">
        <v>43719</v>
      </c>
      <c r="AZ42" s="12">
        <f t="shared" si="46"/>
        <v>3.7730340352831074E-3</v>
      </c>
      <c r="BA42" s="32"/>
    </row>
    <row r="43" spans="4:53" x14ac:dyDescent="0.75">
      <c r="D43" s="15">
        <v>43718</v>
      </c>
      <c r="E43" s="21">
        <f>+VLOOKUP(D43,Prezzi!$I$12:$J$367,2,0)</f>
        <v>5.2271960000000002</v>
      </c>
      <c r="F43" s="21">
        <f>+VLOOKUP(D43,Prezzi!$K$12:$L$367,2,0)/VLOOKUP(D43,Prezzi!$S$12:$T$367,2,0)</f>
        <v>271.69084329710142</v>
      </c>
      <c r="G43" s="1">
        <v>0</v>
      </c>
      <c r="H43" s="21">
        <f>+VLOOKUP(D43,Prezzi!$M$12:$N$367,2,0)/VLOOKUP(D43,Prezzi!$S$12:$T$367,2,0)</f>
        <v>22.794751811594203</v>
      </c>
      <c r="I43" s="1">
        <v>0</v>
      </c>
      <c r="J43" s="21">
        <f>+VLOOKUP(D43,Prezzi!$O$12:$P$367,2,0)/VLOOKUP(D43,Prezzi!$S$12:$T$367,2,0)</f>
        <v>51.33054710144927</v>
      </c>
      <c r="K43" s="1">
        <v>0</v>
      </c>
      <c r="L43" s="21">
        <f>+VLOOKUP(D43,Prezzi!$Q$12:$R$367,2,0)/VLOOKUP(D43,Prezzi!$S$12:$T$367,2,0)</f>
        <v>103.35312318840579</v>
      </c>
      <c r="M43" s="1">
        <v>0</v>
      </c>
      <c r="O43" s="1" t="str">
        <f t="shared" si="40"/>
        <v>201937</v>
      </c>
      <c r="P43" s="35">
        <v>43718</v>
      </c>
      <c r="Q43" s="12">
        <f t="shared" si="39"/>
        <v>-3.5613380508363367E-3</v>
      </c>
      <c r="R43" s="12">
        <f t="shared" si="41"/>
        <v>-2.8408221832329554E-4</v>
      </c>
      <c r="S43" s="12">
        <f t="shared" si="42"/>
        <v>-5.4905990834157523E-3</v>
      </c>
      <c r="T43" s="12">
        <f t="shared" si="43"/>
        <v>-8.5472229526472078E-3</v>
      </c>
      <c r="U43" s="12">
        <f t="shared" si="44"/>
        <v>-5.4699892668659119E-3</v>
      </c>
      <c r="Y43" s="16">
        <v>20196</v>
      </c>
      <c r="Z43" s="12">
        <f t="shared" si="13"/>
        <v>2.6660173043179768E-3</v>
      </c>
      <c r="AA43" s="12">
        <f t="shared" si="19"/>
        <v>1.2050414734681337E-2</v>
      </c>
      <c r="AB43" s="12">
        <f t="shared" si="20"/>
        <v>3.7278490325226344E-3</v>
      </c>
      <c r="AC43" s="12">
        <f t="shared" si="21"/>
        <v>8.5954446029550182E-3</v>
      </c>
      <c r="AD43" s="12">
        <f t="shared" si="22"/>
        <v>1.710646240833107E-2</v>
      </c>
      <c r="AI43" s="15">
        <v>43718</v>
      </c>
      <c r="AJ43" s="99">
        <f>+VLOOKUP(AI43,benchmark!I$7:$J$362,2,0)</f>
        <v>258.91239999999999</v>
      </c>
      <c r="AK43" s="61">
        <f>+VLOOKUP(AI43,benchmark!K$7:$L$362,2,0)</f>
        <v>254.24</v>
      </c>
      <c r="AP43" s="15">
        <v>43718</v>
      </c>
      <c r="AQ43" s="12">
        <f t="shared" si="45"/>
        <v>1.6610692495899748E-4</v>
      </c>
      <c r="AR43" s="12">
        <f t="shared" si="45"/>
        <v>-2.1547241050436927E-3</v>
      </c>
      <c r="AY43" s="15">
        <v>43718</v>
      </c>
      <c r="AZ43" s="12">
        <f t="shared" si="46"/>
        <v>-1.2263916930426166E-3</v>
      </c>
      <c r="BA43" s="32"/>
    </row>
    <row r="44" spans="4:53" x14ac:dyDescent="0.75">
      <c r="D44" s="15">
        <v>43717</v>
      </c>
      <c r="E44" s="21">
        <f>+VLOOKUP(D44,Prezzi!$I$12:$J$367,2,0)</f>
        <v>5.2458450000000001</v>
      </c>
      <c r="F44" s="21">
        <f>+VLOOKUP(D44,Prezzi!$K$12:$L$367,2,0)/VLOOKUP(D44,Prezzi!$S$12:$T$367,2,0)</f>
        <v>271.76803679869482</v>
      </c>
      <c r="G44" s="1">
        <v>0</v>
      </c>
      <c r="H44" s="21">
        <f>+VLOOKUP(D44,Prezzi!$M$12:$N$367,2,0)/VLOOKUP(D44,Prezzi!$S$12:$T$367,2,0)</f>
        <v>22.920252877730448</v>
      </c>
      <c r="I44" s="1">
        <v>0</v>
      </c>
      <c r="J44" s="21">
        <f>+VLOOKUP(D44,Prezzi!$O$12:$P$367,2,0)/VLOOKUP(D44,Prezzi!$S$12:$T$367,2,0)</f>
        <v>51.771161062267744</v>
      </c>
      <c r="K44" s="1">
        <v>0</v>
      </c>
      <c r="L44" s="21">
        <f>+VLOOKUP(D44,Prezzi!$Q$12:$R$367,2,0)/VLOOKUP(D44,Prezzi!$S$12:$T$367,2,0)</f>
        <v>103.92001268920512</v>
      </c>
      <c r="M44" s="126">
        <f>0.41/VLOOKUP(D44,Prezzi!$S$12:$T$367,2,0)</f>
        <v>0.37161243542100969</v>
      </c>
      <c r="O44" s="1" t="str">
        <f t="shared" si="40"/>
        <v>201937</v>
      </c>
      <c r="P44" s="35">
        <v>43717</v>
      </c>
      <c r="Q44" s="12">
        <f t="shared" si="39"/>
        <v>-3.2337102641275513E-3</v>
      </c>
      <c r="R44" s="12">
        <f t="shared" si="41"/>
        <v>-5.6583897013491699E-4</v>
      </c>
      <c r="S44" s="12">
        <f t="shared" si="42"/>
        <v>-9.4051307907158446E-3</v>
      </c>
      <c r="T44" s="12">
        <f t="shared" si="43"/>
        <v>-3.8240877147029135E-3</v>
      </c>
      <c r="U44" s="12">
        <f t="shared" si="44"/>
        <v>9.9980095235721904E-4</v>
      </c>
      <c r="Y44" s="16">
        <v>20195</v>
      </c>
      <c r="Z44" s="12">
        <f t="shared" si="13"/>
        <v>2.1219093761705339E-3</v>
      </c>
      <c r="AA44" s="12">
        <f t="shared" si="19"/>
        <v>5.0658489680350822E-3</v>
      </c>
      <c r="AB44" s="12">
        <f t="shared" si="20"/>
        <v>5.9448441099097457E-3</v>
      </c>
      <c r="AC44" s="12">
        <f t="shared" si="21"/>
        <v>2.8642481268251734E-3</v>
      </c>
      <c r="AD44" s="12">
        <f t="shared" si="22"/>
        <v>-7.000436114805374E-3</v>
      </c>
      <c r="AI44" s="15">
        <v>43717</v>
      </c>
      <c r="AJ44" s="99">
        <f>+VLOOKUP(AI44,benchmark!I$7:$J$362,2,0)</f>
        <v>258.86939999999998</v>
      </c>
      <c r="AK44" s="61">
        <f>+VLOOKUP(AI44,benchmark!K$7:$L$362,2,0)</f>
        <v>254.78899999999999</v>
      </c>
      <c r="AP44" s="15">
        <v>43717</v>
      </c>
      <c r="AQ44" s="12">
        <f t="shared" si="45"/>
        <v>1.5570119434005214E-4</v>
      </c>
      <c r="AR44" s="12">
        <f>+AK44/AK45-1</f>
        <v>-5.5074160811865447E-3</v>
      </c>
      <c r="AY44" s="15">
        <v>43717</v>
      </c>
      <c r="AZ44" s="12">
        <f t="shared" si="46"/>
        <v>-3.2421691709759058E-3</v>
      </c>
      <c r="BA44" s="32"/>
    </row>
    <row r="45" spans="4:53" x14ac:dyDescent="0.75">
      <c r="D45" s="15">
        <v>43714</v>
      </c>
      <c r="E45" s="21">
        <f>+VLOOKUP(D45,Prezzi!$I$12:$J$367,2,0)</f>
        <v>5.2628360000000001</v>
      </c>
      <c r="F45" s="21">
        <f>+VLOOKUP(D45,Prezzi!$K$12:$L$367,2,0)/VLOOKUP(D45,Prezzi!$S$12:$T$367,2,0)</f>
        <v>271.92185725945404</v>
      </c>
      <c r="G45" s="1">
        <v>0</v>
      </c>
      <c r="H45" s="21">
        <f>+VLOOKUP(D45,Prezzi!$M$12:$N$367,2,0)/VLOOKUP(D45,Prezzi!$S$12:$T$367,2,0)</f>
        <v>23.136837761857258</v>
      </c>
      <c r="I45" s="1">
        <v>0</v>
      </c>
      <c r="J45" s="21">
        <f>+VLOOKUP(D45,Prezzi!$O$12:$P$367,2,0)/VLOOKUP(D45,Prezzi!$S$12:$T$367,2,0)</f>
        <v>51.969517547837128</v>
      </c>
      <c r="K45" s="1">
        <v>0</v>
      </c>
      <c r="L45" s="21">
        <f>+VLOOKUP(D45,Prezzi!$Q$12:$R$367,2,0)/VLOOKUP(D45,Prezzi!$S$12:$T$367,2,0)</f>
        <v>104.18740636619206</v>
      </c>
      <c r="M45" s="1">
        <v>0</v>
      </c>
      <c r="O45" s="1" t="str">
        <f t="shared" si="40"/>
        <v>201936</v>
      </c>
      <c r="P45" s="35">
        <v>43714</v>
      </c>
      <c r="Q45" s="12">
        <f t="shared" si="39"/>
        <v>1.2335559151187242E-3</v>
      </c>
      <c r="R45" s="12">
        <f t="shared" si="41"/>
        <v>3.7625795914154074E-3</v>
      </c>
      <c r="S45" s="12">
        <f t="shared" si="42"/>
        <v>5.4219317506432659E-3</v>
      </c>
      <c r="T45" s="12">
        <f t="shared" si="43"/>
        <v>-4.0198542932446688E-3</v>
      </c>
      <c r="U45" s="12">
        <f t="shared" si="44"/>
        <v>1.6685228505861317E-3</v>
      </c>
      <c r="Y45" s="16">
        <v>20194</v>
      </c>
      <c r="Z45" s="12">
        <f t="shared" si="13"/>
        <v>1.818670713390688E-3</v>
      </c>
      <c r="AA45" s="12">
        <f t="shared" si="19"/>
        <v>2.790619100619807E-3</v>
      </c>
      <c r="AB45" s="12">
        <f t="shared" si="20"/>
        <v>3.7229130216009888E-3</v>
      </c>
      <c r="AC45" s="12">
        <f t="shared" si="21"/>
        <v>1.7863037413458436E-2</v>
      </c>
      <c r="AD45" s="12">
        <f t="shared" si="22"/>
        <v>1.5567611442296871E-2</v>
      </c>
      <c r="AI45" s="15">
        <v>43714</v>
      </c>
      <c r="AJ45" s="99">
        <f>+VLOOKUP(AI45,benchmark!I$7:$J$362,2,0)</f>
        <v>258.82910000000004</v>
      </c>
      <c r="AK45" s="61">
        <f>+VLOOKUP(AI45,benchmark!K$7:$L$362,2,0)</f>
        <v>256.2</v>
      </c>
      <c r="AP45" s="15">
        <v>43714</v>
      </c>
      <c r="AQ45" s="12">
        <f t="shared" ref="AQ45:AR60" si="47">+AJ45/AJ46-1</f>
        <v>2.4927813529420639E-3</v>
      </c>
      <c r="AR45" s="12">
        <f t="shared" si="47"/>
        <v>3.7375708140381381E-3</v>
      </c>
      <c r="AY45" s="15">
        <v>43714</v>
      </c>
      <c r="AZ45" s="12">
        <f t="shared" si="46"/>
        <v>3.2396550295997082E-3</v>
      </c>
      <c r="BA45" s="32"/>
    </row>
    <row r="46" spans="4:53" x14ac:dyDescent="0.75">
      <c r="D46" s="15">
        <v>43713</v>
      </c>
      <c r="E46" s="21">
        <f>+VLOOKUP(D46,Prezzi!$I$12:$J$367,2,0)</f>
        <v>5.256348</v>
      </c>
      <c r="F46" s="21">
        <f>+VLOOKUP(D46,Prezzi!$K$12:$L$367,2,0)/VLOOKUP(D46,Prezzi!$S$12:$T$367,2,0)</f>
        <v>270.90065201663953</v>
      </c>
      <c r="G46" s="1">
        <v>0</v>
      </c>
      <c r="H46" s="21">
        <f>+VLOOKUP(D46,Prezzi!$M$12:$N$367,2,0)/VLOOKUP(D46,Prezzi!$S$12:$T$367,2,0)</f>
        <v>23.011730873575694</v>
      </c>
      <c r="I46" s="1">
        <v>0</v>
      </c>
      <c r="J46" s="21">
        <f>+VLOOKUP(D46,Prezzi!$O$12:$P$367,2,0)/VLOOKUP(D46,Prezzi!$S$12:$T$367,2,0)</f>
        <v>52.178847892928204</v>
      </c>
      <c r="K46" s="1">
        <v>0</v>
      </c>
      <c r="L46" s="21">
        <f>+VLOOKUP(D46,Prezzi!$Q$12:$R$367,2,0)/VLOOKUP(D46,Prezzi!$S$12:$T$367,2,0)</f>
        <v>104.01371224452885</v>
      </c>
      <c r="M46" s="1">
        <v>0</v>
      </c>
      <c r="O46" s="1" t="str">
        <f t="shared" si="40"/>
        <v>201936</v>
      </c>
      <c r="P46" s="35">
        <v>43713</v>
      </c>
      <c r="Q46" s="12">
        <f t="shared" si="39"/>
        <v>-5.1426151238336939E-3</v>
      </c>
      <c r="R46" s="12">
        <f t="shared" si="41"/>
        <v>9.5223081238740553E-3</v>
      </c>
      <c r="S46" s="12">
        <f t="shared" si="42"/>
        <v>-3.3343747492260906E-3</v>
      </c>
      <c r="T46" s="12">
        <f t="shared" si="43"/>
        <v>-2.6278039764130019E-2</v>
      </c>
      <c r="U46" s="12">
        <f t="shared" si="44"/>
        <v>-3.6156675294298536E-3</v>
      </c>
      <c r="Y46" s="16">
        <v>20193</v>
      </c>
      <c r="Z46" s="12">
        <f t="shared" si="13"/>
        <v>7.5811562728276692E-4</v>
      </c>
      <c r="AA46" s="12">
        <f t="shared" si="19"/>
        <v>3.9967317196788088E-2</v>
      </c>
      <c r="AB46" s="12">
        <f t="shared" si="20"/>
        <v>1.6427128534969009E-2</v>
      </c>
      <c r="AC46" s="12">
        <f t="shared" si="21"/>
        <v>6.363515111377672E-3</v>
      </c>
      <c r="AD46" s="12">
        <f t="shared" si="22"/>
        <v>2.1217795221143608E-2</v>
      </c>
      <c r="AI46" s="15">
        <v>43713</v>
      </c>
      <c r="AJ46" s="99">
        <f>+VLOOKUP(AI46,benchmark!I$7:$J$362,2,0)</f>
        <v>258.18549999999999</v>
      </c>
      <c r="AK46" s="61">
        <f>+VLOOKUP(AI46,benchmark!K$7:$L$362,2,0)</f>
        <v>255.24600000000001</v>
      </c>
      <c r="AP46" s="15">
        <v>43713</v>
      </c>
      <c r="AQ46" s="12">
        <f t="shared" si="47"/>
        <v>1.1747827872514049E-2</v>
      </c>
      <c r="AR46" s="12">
        <f t="shared" si="47"/>
        <v>-7.0837563747971899E-3</v>
      </c>
      <c r="AY46" s="15">
        <v>43713</v>
      </c>
      <c r="AZ46" s="12">
        <f t="shared" si="46"/>
        <v>4.4887732412730603E-4</v>
      </c>
      <c r="BA46" s="32"/>
    </row>
    <row r="47" spans="4:53" x14ac:dyDescent="0.75">
      <c r="D47" s="15">
        <v>43712</v>
      </c>
      <c r="E47" s="21">
        <f>+VLOOKUP(D47,Prezzi!$I$12:$J$367,2,0)</f>
        <v>5.2834490000000001</v>
      </c>
      <c r="F47" s="21">
        <f>+VLOOKUP(D47,Prezzi!$K$12:$L$367,2,0)/VLOOKUP(D47,Prezzi!$S$12:$T$367,2,0)</f>
        <v>268.33329551642771</v>
      </c>
      <c r="G47" s="1">
        <v>0</v>
      </c>
      <c r="H47" s="21">
        <f>+VLOOKUP(D47,Prezzi!$M$12:$N$367,2,0)/VLOOKUP(D47,Prezzi!$S$12:$T$367,2,0)</f>
        <v>23.088588673080416</v>
      </c>
      <c r="I47" s="1">
        <v>0</v>
      </c>
      <c r="J47" s="21">
        <f>+VLOOKUP(D47,Prezzi!$O$12:$P$367,2,0)/VLOOKUP(D47,Prezzi!$S$12:$T$367,2,0)</f>
        <v>53.568180250499182</v>
      </c>
      <c r="K47" s="1">
        <v>0</v>
      </c>
      <c r="L47" s="21">
        <f>+VLOOKUP(D47,Prezzi!$Q$12:$R$367,2,0)/VLOOKUP(D47,Prezzi!$S$12:$T$367,2,0)</f>
        <v>104.39047195498276</v>
      </c>
      <c r="M47" s="1">
        <v>0</v>
      </c>
      <c r="O47" s="1" t="str">
        <f t="shared" si="40"/>
        <v>201936</v>
      </c>
      <c r="P47" s="35">
        <v>43712</v>
      </c>
      <c r="Q47" s="12">
        <f t="shared" si="39"/>
        <v>-7.3977319015106741E-4</v>
      </c>
      <c r="R47" s="12">
        <f t="shared" si="41"/>
        <v>3.4967731840353381E-3</v>
      </c>
      <c r="S47" s="12">
        <f t="shared" si="42"/>
        <v>3.4631602761855591E-3</v>
      </c>
      <c r="T47" s="12">
        <f t="shared" si="43"/>
        <v>-3.708858336274286E-3</v>
      </c>
      <c r="U47" s="12">
        <f t="shared" si="44"/>
        <v>-1.8840549785675393E-3</v>
      </c>
      <c r="Y47" s="16">
        <v>20192</v>
      </c>
      <c r="Z47" s="12">
        <f t="shared" si="13"/>
        <v>1.8107922136235658E-3</v>
      </c>
      <c r="AA47" s="12">
        <f t="shared" si="19"/>
        <v>1.407235422902561E-2</v>
      </c>
      <c r="AB47" s="12">
        <f t="shared" si="20"/>
        <v>4.4263187215472632E-3</v>
      </c>
      <c r="AC47" s="12">
        <f t="shared" si="21"/>
        <v>-8.3846410813919747E-3</v>
      </c>
      <c r="AD47" s="12">
        <f t="shared" si="22"/>
        <v>-3.2536694696551449E-3</v>
      </c>
      <c r="AI47" s="15">
        <v>43712</v>
      </c>
      <c r="AJ47" s="99">
        <f>+VLOOKUP(AI47,benchmark!I$7:$J$362,2,0)</f>
        <v>255.18760000000003</v>
      </c>
      <c r="AK47" s="61">
        <f>+VLOOKUP(AI47,benchmark!K$7:$L$362,2,0)</f>
        <v>257.06700000000001</v>
      </c>
      <c r="AP47" s="15">
        <v>43712</v>
      </c>
      <c r="AQ47" s="12">
        <f t="shared" si="47"/>
        <v>1.1625136617654297E-2</v>
      </c>
      <c r="AR47" s="12">
        <f t="shared" si="47"/>
        <v>-2.5027938163530994E-3</v>
      </c>
      <c r="AY47" s="15">
        <v>43712</v>
      </c>
      <c r="AZ47" s="12">
        <f t="shared" si="46"/>
        <v>3.1483783572498593E-3</v>
      </c>
      <c r="BA47" s="32"/>
    </row>
    <row r="48" spans="4:53" x14ac:dyDescent="0.75">
      <c r="D48" s="15">
        <v>43711</v>
      </c>
      <c r="E48" s="21">
        <f>+VLOOKUP(D48,Prezzi!$I$12:$J$367,2,0)</f>
        <v>5.2873590000000004</v>
      </c>
      <c r="F48" s="21">
        <f>+VLOOKUP(D48,Prezzi!$K$12:$L$367,2,0)/VLOOKUP(D48,Prezzi!$S$12:$T$367,2,0)</f>
        <v>267.39663344610045</v>
      </c>
      <c r="G48" s="1">
        <v>0</v>
      </c>
      <c r="H48" s="21">
        <f>+VLOOKUP(D48,Prezzi!$M$12:$N$367,2,0)/VLOOKUP(D48,Prezzi!$S$12:$T$367,2,0)</f>
        <v>23.008767486513669</v>
      </c>
      <c r="I48" s="1">
        <v>0</v>
      </c>
      <c r="J48" s="21">
        <f>+VLOOKUP(D48,Prezzi!$O$12:$P$367,2,0)/VLOOKUP(D48,Prezzi!$S$12:$T$367,2,0)</f>
        <v>53.767225930328244</v>
      </c>
      <c r="K48" s="1">
        <v>0</v>
      </c>
      <c r="L48" s="21">
        <f>+VLOOKUP(D48,Prezzi!$Q$12:$R$367,2,0)/VLOOKUP(D48,Prezzi!$S$12:$T$367,2,0)</f>
        <v>104.58733473530219</v>
      </c>
      <c r="M48" s="1">
        <v>0</v>
      </c>
      <c r="O48" s="1" t="str">
        <f t="shared" si="40"/>
        <v>201936</v>
      </c>
      <c r="P48" s="35">
        <v>43711</v>
      </c>
      <c r="Q48" s="12">
        <f t="shared" si="39"/>
        <v>1.7917228356200457E-3</v>
      </c>
      <c r="R48" s="12">
        <f t="shared" si="41"/>
        <v>2.1567598787047212E-3</v>
      </c>
      <c r="S48" s="12">
        <f t="shared" si="42"/>
        <v>1.0857352294621187E-2</v>
      </c>
      <c r="T48" s="12">
        <f t="shared" si="43"/>
        <v>2.5868461402244074E-2</v>
      </c>
      <c r="U48" s="12">
        <f t="shared" si="44"/>
        <v>9.3023926368165071E-3</v>
      </c>
      <c r="Y48" s="16">
        <v>20191</v>
      </c>
      <c r="Z48" s="12">
        <f t="shared" si="13"/>
        <v>-4.5761687662972776E-3</v>
      </c>
      <c r="AA48" s="12">
        <f t="shared" si="19"/>
        <v>1.5590274112760007E-2</v>
      </c>
      <c r="AB48" s="12">
        <f t="shared" si="20"/>
        <v>1.6663980605305637E-2</v>
      </c>
      <c r="AC48" s="12">
        <f t="shared" si="21"/>
        <v>7.5859016495214522E-3</v>
      </c>
      <c r="AD48" s="12">
        <f t="shared" si="22"/>
        <v>1.4875113792671342E-2</v>
      </c>
      <c r="AI48" s="15">
        <v>43711</v>
      </c>
      <c r="AJ48" s="99">
        <f>+VLOOKUP(AI48,benchmark!I$7:$J$362,2,0)</f>
        <v>252.2551</v>
      </c>
      <c r="AK48" s="61">
        <f>+VLOOKUP(AI48,benchmark!K$7:$L$362,2,0)</f>
        <v>257.71199999999999</v>
      </c>
      <c r="AP48" s="15">
        <v>43711</v>
      </c>
      <c r="AQ48" s="12">
        <f t="shared" si="47"/>
        <v>-6.0107061023206843E-3</v>
      </c>
      <c r="AR48" s="12">
        <f t="shared" si="47"/>
        <v>2.0023561705617698E-3</v>
      </c>
      <c r="AY48" s="15">
        <v>43711</v>
      </c>
      <c r="AZ48" s="12">
        <f t="shared" si="46"/>
        <v>-1.2028687385912118E-3</v>
      </c>
      <c r="BA48" s="32"/>
    </row>
    <row r="49" spans="4:52" x14ac:dyDescent="0.75">
      <c r="D49" s="15">
        <v>43707</v>
      </c>
      <c r="E49" s="21">
        <f>+VLOOKUP(D49,Prezzi!$I$12:$J$367,2,0)</f>
        <v>5.2778939999999999</v>
      </c>
      <c r="F49" s="21">
        <f>+VLOOKUP(D49,Prezzi!$K$12:$L$367,2,0)/VLOOKUP(D49,Prezzi!$S$12:$T$367,2,0)</f>
        <v>266.82054458137009</v>
      </c>
      <c r="G49" s="1">
        <v>0</v>
      </c>
      <c r="H49" s="21">
        <f>+VLOOKUP(D49,Prezzi!$M$12:$N$367,2,0)/VLOOKUP(D49,Prezzi!$S$12:$T$367,2,0)</f>
        <v>22.760304458137011</v>
      </c>
      <c r="I49" s="1">
        <v>0</v>
      </c>
      <c r="J49" s="21">
        <f>+VLOOKUP(D49,Prezzi!$O$12:$P$367,2,0)/VLOOKUP(D49,Prezzi!$S$12:$T$367,2,0)</f>
        <v>52.39418629938384</v>
      </c>
      <c r="K49" s="1">
        <v>0</v>
      </c>
      <c r="L49" s="21">
        <f>+VLOOKUP(D49,Prezzi!$Q$12:$R$367,2,0)/VLOOKUP(D49,Prezzi!$S$12:$T$367,2,0)</f>
        <v>103.61893349039508</v>
      </c>
      <c r="M49" s="1">
        <v>0</v>
      </c>
      <c r="O49" s="1" t="str">
        <f t="shared" si="40"/>
        <v>201935</v>
      </c>
      <c r="P49" s="35">
        <v>43707</v>
      </c>
      <c r="Q49" s="12">
        <f t="shared" si="39"/>
        <v>-2.6010780885904201E-4</v>
      </c>
      <c r="R49" s="12">
        <f t="shared" si="41"/>
        <v>4.0288960398583047E-3</v>
      </c>
      <c r="S49" s="12">
        <f t="shared" si="42"/>
        <v>4.1574089719264677E-3</v>
      </c>
      <c r="T49" s="12">
        <f t="shared" si="43"/>
        <v>-1.2985158783505267E-3</v>
      </c>
      <c r="U49" s="12">
        <f t="shared" si="44"/>
        <v>5.1457728793773269E-3</v>
      </c>
      <c r="Y49" s="16">
        <v>201853</v>
      </c>
      <c r="Z49" s="12">
        <f t="shared" si="13"/>
        <v>2.3791636206705489E-3</v>
      </c>
      <c r="AA49" s="12">
        <f t="shared" si="19"/>
        <v>8.9288588409000471E-3</v>
      </c>
      <c r="AB49" s="12">
        <f t="shared" si="20"/>
        <v>4.1894568371552594E-3</v>
      </c>
      <c r="AC49" s="12">
        <f t="shared" si="21"/>
        <v>-1.3652719038952861E-4</v>
      </c>
      <c r="AD49" s="12">
        <f t="shared" si="22"/>
        <v>-5.528697445778684E-5</v>
      </c>
      <c r="AI49" s="15">
        <v>43707</v>
      </c>
      <c r="AJ49" s="99">
        <f>+VLOOKUP(AI49,benchmark!I$7:$J$362,2,0)</f>
        <v>253.78049999999999</v>
      </c>
      <c r="AK49" s="61">
        <f>+VLOOKUP(AI49,benchmark!K$7:$L$362,2,0)</f>
        <v>257.197</v>
      </c>
      <c r="AP49" s="15">
        <v>43707</v>
      </c>
      <c r="AQ49" s="12">
        <f t="shared" si="47"/>
        <v>4.0247156231603132E-3</v>
      </c>
      <c r="AR49" s="12">
        <f t="shared" si="47"/>
        <v>-6.178212281819917E-4</v>
      </c>
      <c r="AY49" s="15">
        <v>43707</v>
      </c>
      <c r="AZ49" s="12">
        <f t="shared" si="46"/>
        <v>1.2391935123549304E-3</v>
      </c>
    </row>
    <row r="50" spans="4:52" x14ac:dyDescent="0.75">
      <c r="D50" s="15">
        <v>43706</v>
      </c>
      <c r="E50" s="21">
        <f>+VLOOKUP(D50,Prezzi!$I$12:$J$367,2,0)</f>
        <v>5.2792669999999999</v>
      </c>
      <c r="F50" s="21">
        <f>+VLOOKUP(D50,Prezzi!$K$12:$L$367,2,0)/VLOOKUP(D50,Prezzi!$S$12:$T$367,2,0)</f>
        <v>265.74771495664737</v>
      </c>
      <c r="G50" s="1">
        <v>0</v>
      </c>
      <c r="H50" s="21">
        <f>+VLOOKUP(D50,Prezzi!$M$12:$N$367,2,0)/VLOOKUP(D50,Prezzi!$S$12:$T$367,2,0)</f>
        <v>22.66587698699422</v>
      </c>
      <c r="I50" s="1">
        <v>0</v>
      </c>
      <c r="J50" s="21">
        <f>+VLOOKUP(D50,Prezzi!$O$12:$P$367,2,0)/VLOOKUP(D50,Prezzi!$S$12:$T$367,2,0)</f>
        <v>52.462265173410401</v>
      </c>
      <c r="K50" s="1">
        <v>0</v>
      </c>
      <c r="L50" s="21">
        <f>+VLOOKUP(D50,Prezzi!$Q$12:$R$367,2,0)/VLOOKUP(D50,Prezzi!$S$12:$T$367,2,0)</f>
        <v>103.08710350433526</v>
      </c>
      <c r="M50" s="1">
        <v>0</v>
      </c>
      <c r="O50" s="1" t="str">
        <f t="shared" si="40"/>
        <v>201935</v>
      </c>
      <c r="P50" s="35">
        <v>43706</v>
      </c>
      <c r="Q50" s="12">
        <f t="shared" si="39"/>
        <v>-1.8201628063720541E-4</v>
      </c>
      <c r="R50" s="12">
        <f t="shared" si="41"/>
        <v>1.3765320914483388E-2</v>
      </c>
      <c r="S50" s="12">
        <f t="shared" si="42"/>
        <v>6.4543298071312247E-3</v>
      </c>
      <c r="T50" s="12">
        <f t="shared" si="43"/>
        <v>-6.7808584985398395E-3</v>
      </c>
      <c r="U50" s="12">
        <f t="shared" si="44"/>
        <v>1.2856836229103868E-3</v>
      </c>
      <c r="Y50" s="16">
        <v>201852</v>
      </c>
      <c r="Z50" s="12">
        <f t="shared" si="13"/>
        <v>2.8255504977682576E-3</v>
      </c>
      <c r="AA50" s="12">
        <f t="shared" si="19"/>
        <v>2.3749674533695961E-2</v>
      </c>
      <c r="AB50" s="12">
        <f t="shared" si="20"/>
        <v>3.6094853611241505E-3</v>
      </c>
      <c r="AC50" s="12">
        <f t="shared" si="21"/>
        <v>2.4092249479275237E-2</v>
      </c>
      <c r="AD50" s="12">
        <f t="shared" si="22"/>
        <v>1.0007673435645646E-2</v>
      </c>
      <c r="AI50" s="15">
        <v>43706</v>
      </c>
      <c r="AJ50" s="99">
        <f>+VLOOKUP(AI50,benchmark!I$7:$J$362,2,0)</f>
        <v>252.76320000000001</v>
      </c>
      <c r="AK50" s="61">
        <f>+VLOOKUP(AI50,benchmark!K$7:$L$362,2,0)</f>
        <v>257.35599999999999</v>
      </c>
      <c r="AP50" s="15">
        <v>43706</v>
      </c>
      <c r="AQ50" s="12">
        <f t="shared" si="47"/>
        <v>9.5618790170675094E-3</v>
      </c>
      <c r="AR50" s="12">
        <f t="shared" si="47"/>
        <v>-1.1255754019081632E-3</v>
      </c>
      <c r="AY50" s="15">
        <v>43706</v>
      </c>
      <c r="AZ50" s="12">
        <f t="shared" si="46"/>
        <v>3.1494063656821061E-3</v>
      </c>
    </row>
    <row r="51" spans="4:52" x14ac:dyDescent="0.75">
      <c r="D51" s="15">
        <v>43705</v>
      </c>
      <c r="E51" s="21">
        <f>+VLOOKUP(D51,Prezzi!$I$12:$J$367,2,0)</f>
        <v>5.2802280000000001</v>
      </c>
      <c r="F51" s="21">
        <f>+VLOOKUP(D51,Prezzi!$K$12:$L$367,2,0)/VLOOKUP(D51,Prezzi!$S$12:$T$367,2,0)</f>
        <v>262.11467472705942</v>
      </c>
      <c r="G51" s="1">
        <v>0</v>
      </c>
      <c r="H51" s="21">
        <f>+VLOOKUP(D51,Prezzi!$M$12:$N$367,2,0)/VLOOKUP(D51,Prezzi!$S$12:$T$367,2,0)</f>
        <v>22.5200550392493</v>
      </c>
      <c r="I51" s="1">
        <v>0</v>
      </c>
      <c r="J51" s="21">
        <f>+VLOOKUP(D51,Prezzi!$O$12:$P$367,2,0)/VLOOKUP(D51,Prezzi!$S$12:$T$367,2,0)</f>
        <v>52.819213209419836</v>
      </c>
      <c r="K51" s="1">
        <v>0</v>
      </c>
      <c r="L51" s="21">
        <f>+VLOOKUP(D51,Prezzi!$Q$12:$R$367,2,0)/VLOOKUP(D51,Prezzi!$S$12:$T$367,2,0)</f>
        <v>102.95465126770729</v>
      </c>
      <c r="M51" s="1">
        <v>0</v>
      </c>
      <c r="O51" s="1" t="str">
        <f t="shared" si="40"/>
        <v>201935</v>
      </c>
      <c r="P51" s="35">
        <v>43705</v>
      </c>
      <c r="Q51" s="12">
        <f t="shared" si="39"/>
        <v>-8.5603590961421815E-4</v>
      </c>
      <c r="R51" s="12">
        <f t="shared" si="41"/>
        <v>8.4590401261877297E-3</v>
      </c>
      <c r="S51" s="12">
        <f t="shared" si="42"/>
        <v>-2.2088794841397686E-3</v>
      </c>
      <c r="T51" s="12">
        <f t="shared" si="43"/>
        <v>1.2188794574297794E-4</v>
      </c>
      <c r="U51" s="12">
        <f t="shared" si="44"/>
        <v>4.4009932903306022E-3</v>
      </c>
      <c r="Y51" s="16">
        <v>201851</v>
      </c>
      <c r="Z51" s="12">
        <f t="shared" si="13"/>
        <v>2.7252862920372376E-3</v>
      </c>
      <c r="AA51" s="12">
        <f t="shared" si="19"/>
        <v>-8.3977317372992896E-2</v>
      </c>
      <c r="AB51" s="12">
        <f t="shared" si="20"/>
        <v>-3.7473655931915352E-2</v>
      </c>
      <c r="AC51" s="12">
        <f t="shared" si="21"/>
        <v>-5.5294051142402937E-3</v>
      </c>
      <c r="AD51" s="12">
        <f t="shared" si="22"/>
        <v>-2.5968187662836841E-2</v>
      </c>
      <c r="AI51" s="15">
        <v>43705</v>
      </c>
      <c r="AJ51" s="99">
        <f>+VLOOKUP(AI51,benchmark!I$7:$J$362,2,0)</f>
        <v>250.36920000000001</v>
      </c>
      <c r="AK51" s="61">
        <f>+VLOOKUP(AI51,benchmark!K$7:$L$362,2,0)</f>
        <v>257.64600000000002</v>
      </c>
      <c r="AP51" s="15">
        <v>43705</v>
      </c>
      <c r="AQ51" s="12">
        <f t="shared" si="47"/>
        <v>3.1090590609039737E-3</v>
      </c>
      <c r="AR51" s="12">
        <f t="shared" si="47"/>
        <v>3.7908155513046715E-3</v>
      </c>
      <c r="AY51" s="15">
        <v>43705</v>
      </c>
      <c r="AZ51" s="12">
        <f t="shared" si="46"/>
        <v>3.5181129551443923E-3</v>
      </c>
    </row>
    <row r="52" spans="4:52" x14ac:dyDescent="0.75">
      <c r="D52" s="15">
        <v>43704</v>
      </c>
      <c r="E52" s="21">
        <f>+VLOOKUP(D52,Prezzi!$I$12:$J$367,2,0)</f>
        <v>5.2847499999999998</v>
      </c>
      <c r="F52" s="21">
        <f>+VLOOKUP(D52,Prezzi!$K$12:$L$367,2,0)/VLOOKUP(D52,Prezzi!$S$12:$T$367,2,0)</f>
        <v>259.90678764409222</v>
      </c>
      <c r="G52" s="1">
        <v>0</v>
      </c>
      <c r="H52" s="21">
        <f>+VLOOKUP(D52,Prezzi!$M$12:$N$367,2,0)/VLOOKUP(D52,Prezzi!$S$12:$T$367,2,0)</f>
        <v>22.569854106628242</v>
      </c>
      <c r="I52" s="1">
        <v>0</v>
      </c>
      <c r="J52" s="21">
        <f>+VLOOKUP(D52,Prezzi!$O$12:$P$367,2,0)/VLOOKUP(D52,Prezzi!$S$12:$T$367,2,0)</f>
        <v>52.812775576368878</v>
      </c>
      <c r="K52" s="1">
        <v>0</v>
      </c>
      <c r="L52" s="21">
        <f>+VLOOKUP(D52,Prezzi!$Q$12:$R$367,2,0)/VLOOKUP(D52,Prezzi!$S$12:$T$367,2,0)</f>
        <v>102.50254412824208</v>
      </c>
      <c r="M52" s="1">
        <v>0</v>
      </c>
      <c r="O52" s="1" t="str">
        <f t="shared" si="40"/>
        <v>201935</v>
      </c>
      <c r="P52" s="35">
        <v>43704</v>
      </c>
      <c r="Q52" s="12">
        <f t="shared" si="39"/>
        <v>1.6985892388270073E-3</v>
      </c>
      <c r="R52" s="12">
        <f t="shared" si="41"/>
        <v>-2.1323818897158067E-3</v>
      </c>
      <c r="S52" s="12">
        <f t="shared" si="42"/>
        <v>7.5185859831314499E-3</v>
      </c>
      <c r="T52" s="12">
        <f t="shared" si="43"/>
        <v>1.0421372683049461E-2</v>
      </c>
      <c r="U52" s="12">
        <f t="shared" si="44"/>
        <v>2.0668376026076992E-3</v>
      </c>
      <c r="Y52" s="16">
        <v>201850</v>
      </c>
      <c r="Z52" s="12">
        <f t="shared" si="13"/>
        <v>3.8103411326905422E-4</v>
      </c>
      <c r="AA52" s="12">
        <f t="shared" si="19"/>
        <v>-4.6989958768078009E-3</v>
      </c>
      <c r="AB52" s="12">
        <f t="shared" si="20"/>
        <v>3.8375221582877296E-3</v>
      </c>
      <c r="AC52" s="12">
        <f t="shared" si="21"/>
        <v>-7.616552606887466E-4</v>
      </c>
      <c r="AD52" s="12">
        <f t="shared" si="22"/>
        <v>1.3994928346585118E-2</v>
      </c>
      <c r="AI52" s="15">
        <v>43704</v>
      </c>
      <c r="AJ52" s="99">
        <f>+VLOOKUP(AI52,benchmark!I$7:$J$362,2,0)</f>
        <v>249.59319999999997</v>
      </c>
      <c r="AK52" s="61">
        <f>+VLOOKUP(AI52,benchmark!K$7:$L$362,2,0)</f>
        <v>256.673</v>
      </c>
      <c r="AP52" s="15">
        <v>43704</v>
      </c>
      <c r="AQ52" s="12">
        <f t="shared" si="47"/>
        <v>3.2102522873533879E-4</v>
      </c>
      <c r="AR52" s="12">
        <f t="shared" si="47"/>
        <v>4.4691250768007507E-3</v>
      </c>
      <c r="AY52" s="15">
        <v>43704</v>
      </c>
      <c r="AZ52" s="12">
        <f t="shared" si="46"/>
        <v>2.8098851375745857E-3</v>
      </c>
    </row>
    <row r="53" spans="4:52" x14ac:dyDescent="0.75">
      <c r="D53" s="15">
        <v>43703</v>
      </c>
      <c r="E53" s="21">
        <f>+VLOOKUP(D53,Prezzi!$I$12:$J$367,2,0)</f>
        <v>5.2757810000000003</v>
      </c>
      <c r="F53" s="21">
        <f>+VLOOKUP(D53,Prezzi!$K$12:$L$367,2,0)/VLOOKUP(D53,Prezzi!$S$12:$T$367,2,0)</f>
        <v>260.46159949622165</v>
      </c>
      <c r="G53" s="1">
        <v>0</v>
      </c>
      <c r="H53" s="21">
        <f>+VLOOKUP(D53,Prezzi!$M$12:$N$367,2,0)/VLOOKUP(D53,Prezzi!$S$12:$T$367,2,0)</f>
        <v>22.400797049298308</v>
      </c>
      <c r="I53" s="1">
        <v>0</v>
      </c>
      <c r="J53" s="21">
        <f>+VLOOKUP(D53,Prezzi!$O$12:$P$367,2,0)/VLOOKUP(D53,Prezzi!$S$12:$T$367,2,0)</f>
        <v>52.265251889168766</v>
      </c>
      <c r="K53" s="1">
        <v>0</v>
      </c>
      <c r="L53" s="21">
        <f>+VLOOKUP(D53,Prezzi!$Q$12:$R$367,2,0)/VLOOKUP(D53,Prezzi!$S$12:$T$367,2,0)</f>
        <v>102.29090680100757</v>
      </c>
      <c r="M53" s="1">
        <v>0</v>
      </c>
      <c r="O53" s="1" t="str">
        <f t="shared" si="40"/>
        <v>201935</v>
      </c>
      <c r="P53" s="35">
        <v>43703</v>
      </c>
      <c r="Q53" s="12">
        <f t="shared" si="39"/>
        <v>2.6714165095489532E-3</v>
      </c>
      <c r="R53" s="12">
        <f t="shared" si="41"/>
        <v>6.4403824055231261E-3</v>
      </c>
      <c r="S53" s="12">
        <f t="shared" si="42"/>
        <v>-4.8263772621678818E-3</v>
      </c>
      <c r="T53" s="12">
        <f t="shared" si="43"/>
        <v>-4.6386593981524605E-3</v>
      </c>
      <c r="U53" s="12">
        <f t="shared" si="44"/>
        <v>-4.4459673951722659E-3</v>
      </c>
      <c r="Y53" s="16">
        <v>201849</v>
      </c>
      <c r="Z53" s="12">
        <f t="shared" si="13"/>
        <v>2.8717848011570344E-3</v>
      </c>
      <c r="AA53" s="12">
        <f t="shared" si="19"/>
        <v>-4.7651204763556998E-2</v>
      </c>
      <c r="AB53" s="12">
        <f t="shared" si="20"/>
        <v>-1.7175573017323476E-2</v>
      </c>
      <c r="AC53" s="12">
        <f t="shared" si="21"/>
        <v>2.0634098036136771E-2</v>
      </c>
      <c r="AD53" s="12">
        <f t="shared" si="22"/>
        <v>7.9395048178214807E-3</v>
      </c>
      <c r="AI53" s="15">
        <v>43703</v>
      </c>
      <c r="AJ53" s="99">
        <f>+VLOOKUP(AI53,benchmark!I$7:$J$362,2,0)</f>
        <v>249.51309999999998</v>
      </c>
      <c r="AK53" s="61">
        <f>+VLOOKUP(AI53,benchmark!K$7:$L$362,2,0)</f>
        <v>255.53100000000001</v>
      </c>
      <c r="AP53" s="15">
        <v>43703</v>
      </c>
      <c r="AQ53" s="12">
        <f t="shared" si="47"/>
        <v>3.0512059901723898E-3</v>
      </c>
      <c r="AR53" s="12">
        <f t="shared" si="47"/>
        <v>4.4241204613615359E-4</v>
      </c>
      <c r="AY53" s="15">
        <v>43703</v>
      </c>
      <c r="AZ53" s="12">
        <f t="shared" si="46"/>
        <v>1.4859296237506481E-3</v>
      </c>
    </row>
    <row r="54" spans="4:52" x14ac:dyDescent="0.75">
      <c r="D54" s="15">
        <v>43700</v>
      </c>
      <c r="E54" s="21">
        <f>+VLOOKUP(D54,Prezzi!$I$12:$J$367,2,0)</f>
        <v>5.2617060000000002</v>
      </c>
      <c r="F54" s="21">
        <f>+VLOOKUP(D54,Prezzi!$K$12:$L$367,2,0)/VLOOKUP(D54,Prezzi!$S$12:$T$367,2,0)</f>
        <v>258.78951739719832</v>
      </c>
      <c r="G54" s="1">
        <v>0</v>
      </c>
      <c r="H54" s="21">
        <f>+VLOOKUP(D54,Prezzi!$M$12:$N$367,2,0)/VLOOKUP(D54,Prezzi!$S$12:$T$367,2,0)</f>
        <v>22.509173068233167</v>
      </c>
      <c r="I54" s="1">
        <v>0</v>
      </c>
      <c r="J54" s="21">
        <f>+VLOOKUP(D54,Prezzi!$O$12:$P$367,2,0)/VLOOKUP(D54,Prezzi!$S$12:$T$367,2,0)</f>
        <v>52.508255761409849</v>
      </c>
      <c r="K54" s="1">
        <v>0</v>
      </c>
      <c r="L54" s="21">
        <f>+VLOOKUP(D54,Prezzi!$Q$12:$R$367,2,0)/VLOOKUP(D54,Prezzi!$S$12:$T$367,2,0)</f>
        <v>102.74670131043831</v>
      </c>
      <c r="M54" s="1">
        <v>0</v>
      </c>
      <c r="O54" s="1" t="str">
        <f t="shared" si="40"/>
        <v>201934</v>
      </c>
      <c r="P54" s="35">
        <v>43700</v>
      </c>
      <c r="Q54" s="12">
        <f t="shared" si="39"/>
        <v>1.9863088051600129E-3</v>
      </c>
      <c r="R54" s="12">
        <f t="shared" si="41"/>
        <v>-2.4645317909658938E-2</v>
      </c>
      <c r="S54" s="12">
        <f t="shared" si="42"/>
        <v>1.0761230191854449E-3</v>
      </c>
      <c r="T54" s="12">
        <f t="shared" si="43"/>
        <v>2.0916799639590363E-2</v>
      </c>
      <c r="U54" s="12">
        <f t="shared" si="44"/>
        <v>1.6079255861380576E-3</v>
      </c>
      <c r="Y54" s="16">
        <v>201848</v>
      </c>
      <c r="Z54" s="12">
        <f t="shared" si="13"/>
        <v>4.7383128847245937E-3</v>
      </c>
      <c r="AA54" s="12">
        <f t="shared" si="19"/>
        <v>4.7323115194422026E-2</v>
      </c>
      <c r="AB54" s="12">
        <f t="shared" si="20"/>
        <v>4.7663268364380451E-3</v>
      </c>
      <c r="AC54" s="12">
        <f t="shared" si="21"/>
        <v>-2.6460863774519956E-3</v>
      </c>
      <c r="AD54" s="12">
        <f t="shared" si="22"/>
        <v>4.9150644376389548E-3</v>
      </c>
      <c r="AI54" s="15">
        <v>43700</v>
      </c>
      <c r="AJ54" s="99">
        <f>+VLOOKUP(AI54,benchmark!I$7:$J$362,2,0)</f>
        <v>248.75410000000002</v>
      </c>
      <c r="AK54" s="61">
        <f>+VLOOKUP(AI54,benchmark!K$7:$L$362,2,0)</f>
        <v>255.41800000000001</v>
      </c>
      <c r="AP54" s="15">
        <v>43700</v>
      </c>
      <c r="AQ54" s="12">
        <f t="shared" si="47"/>
        <v>-1.563443540887588E-2</v>
      </c>
      <c r="AR54" s="12">
        <f t="shared" si="47"/>
        <v>1.4310751098791652E-3</v>
      </c>
      <c r="AY54" s="15">
        <v>43700</v>
      </c>
      <c r="AZ54" s="12">
        <f t="shared" si="46"/>
        <v>-5.3951290976228528E-3</v>
      </c>
    </row>
    <row r="55" spans="4:52" x14ac:dyDescent="0.75">
      <c r="D55" s="15">
        <v>43699</v>
      </c>
      <c r="E55" s="21">
        <f>+VLOOKUP(D55,Prezzi!$I$12:$J$367,2,0)</f>
        <v>5.2512650000000001</v>
      </c>
      <c r="F55" s="21">
        <f>+VLOOKUP(D55,Prezzi!$K$12:$L$367,2,0)/VLOOKUP(D55,Prezzi!$S$12:$T$367,2,0)</f>
        <v>265.24671027700083</v>
      </c>
      <c r="G55" s="1">
        <v>0</v>
      </c>
      <c r="H55" s="21">
        <f>+VLOOKUP(D55,Prezzi!$M$12:$N$367,2,0)/VLOOKUP(D55,Prezzi!$S$12:$T$367,2,0)</f>
        <v>22.484963457547593</v>
      </c>
      <c r="I55" s="1">
        <v>0</v>
      </c>
      <c r="J55" s="21">
        <f>+VLOOKUP(D55,Prezzi!$O$12:$P$367,2,0)/VLOOKUP(D55,Prezzi!$S$12:$T$367,2,0)</f>
        <v>51.421357935577007</v>
      </c>
      <c r="K55" s="1">
        <v>0</v>
      </c>
      <c r="L55" s="21">
        <f>+VLOOKUP(D55,Prezzi!$Q$12:$R$367,2,0)/VLOOKUP(D55,Prezzi!$S$12:$T$367,2,0)</f>
        <v>102.58162501127853</v>
      </c>
      <c r="M55" s="1">
        <v>0</v>
      </c>
      <c r="O55" s="1" t="str">
        <f t="shared" si="40"/>
        <v>201934</v>
      </c>
      <c r="P55" s="35">
        <v>43699</v>
      </c>
      <c r="Q55" s="12">
        <f t="shared" si="39"/>
        <v>-1.828362764787E-3</v>
      </c>
      <c r="R55" s="12">
        <f t="shared" si="41"/>
        <v>1.4067784964817381E-3</v>
      </c>
      <c r="S55" s="12">
        <f t="shared" si="42"/>
        <v>-3.970732764375498E-3</v>
      </c>
      <c r="T55" s="12">
        <f t="shared" si="43"/>
        <v>-2.0605324683192375E-3</v>
      </c>
      <c r="U55" s="12">
        <f t="shared" si="44"/>
        <v>3.9223040792214304E-3</v>
      </c>
      <c r="Y55" s="16">
        <v>201847</v>
      </c>
      <c r="Z55" s="12">
        <f t="shared" si="13"/>
        <v>1.0779647380305913E-3</v>
      </c>
      <c r="AA55" s="12">
        <f t="shared" si="19"/>
        <v>-3.8951175782014957E-2</v>
      </c>
      <c r="AB55" s="12">
        <f t="shared" si="20"/>
        <v>-1.0869099849520954E-2</v>
      </c>
      <c r="AC55" s="12">
        <f t="shared" si="21"/>
        <v>2.582557474287428E-4</v>
      </c>
      <c r="AD55" s="12">
        <f t="shared" si="22"/>
        <v>-8.5297224412388181E-3</v>
      </c>
      <c r="AI55" s="15">
        <v>43699</v>
      </c>
      <c r="AJ55" s="99">
        <f>+VLOOKUP(AI55,benchmark!I$7:$J$362,2,0)</f>
        <v>252.70500000000001</v>
      </c>
      <c r="AK55" s="61">
        <f>+VLOOKUP(AI55,benchmark!K$7:$L$362,2,0)</f>
        <v>255.053</v>
      </c>
      <c r="AP55" s="15">
        <v>43699</v>
      </c>
      <c r="AQ55" s="12">
        <f t="shared" si="47"/>
        <v>-2.3730182573573622E-3</v>
      </c>
      <c r="AR55" s="12">
        <f t="shared" si="47"/>
        <v>-2.7565120152645006E-3</v>
      </c>
      <c r="AY55" s="15">
        <v>43699</v>
      </c>
      <c r="AZ55" s="12">
        <f t="shared" si="46"/>
        <v>-2.6031145121016451E-3</v>
      </c>
    </row>
    <row r="56" spans="4:52" x14ac:dyDescent="0.75">
      <c r="D56" s="15">
        <v>43698</v>
      </c>
      <c r="E56" s="21">
        <f>+VLOOKUP(D56,Prezzi!$I$12:$J$367,2,0)</f>
        <v>5.2608750000000004</v>
      </c>
      <c r="F56" s="21">
        <f>+VLOOKUP(D56,Prezzi!$K$12:$L$367,2,0)/VLOOKUP(D56,Prezzi!$S$12:$T$367,2,0)</f>
        <v>264.87382925072046</v>
      </c>
      <c r="G56" s="1">
        <v>0</v>
      </c>
      <c r="H56" s="21">
        <f>+VLOOKUP(D56,Prezzi!$M$12:$N$367,2,0)/VLOOKUP(D56,Prezzi!$S$12:$T$367,2,0)</f>
        <v>22.57442273054755</v>
      </c>
      <c r="I56" s="1">
        <v>0</v>
      </c>
      <c r="J56" s="21">
        <f>+VLOOKUP(D56,Prezzi!$O$12:$P$367,2,0)/VLOOKUP(D56,Prezzi!$S$12:$T$367,2,0)</f>
        <v>51.527422550432277</v>
      </c>
      <c r="K56" s="1">
        <v>0</v>
      </c>
      <c r="L56" s="21">
        <f>+VLOOKUP(D56,Prezzi!$Q$12:$R$367,2,0)/VLOOKUP(D56,Prezzi!$S$12:$T$367,2,0)</f>
        <v>102.18005673631123</v>
      </c>
      <c r="M56" s="1">
        <v>0</v>
      </c>
      <c r="O56" s="1" t="str">
        <f t="shared" si="40"/>
        <v>201934</v>
      </c>
      <c r="P56" s="35">
        <v>43698</v>
      </c>
      <c r="Q56" s="12">
        <f t="shared" si="39"/>
        <v>-4.1657394761368375E-4</v>
      </c>
      <c r="R56" s="12">
        <f t="shared" si="41"/>
        <v>5.7360500587825243E-3</v>
      </c>
      <c r="S56" s="12">
        <f t="shared" si="42"/>
        <v>7.9487661142743655E-3</v>
      </c>
      <c r="T56" s="12">
        <f t="shared" si="43"/>
        <v>-3.4758797387780152E-3</v>
      </c>
      <c r="U56" s="12">
        <f t="shared" si="44"/>
        <v>-1.0314055354543399E-3</v>
      </c>
      <c r="Y56" s="16">
        <v>201846</v>
      </c>
      <c r="Z56" s="12">
        <f t="shared" si="13"/>
        <v>8.3163932028862061E-4</v>
      </c>
      <c r="AA56" s="12">
        <f t="shared" si="19"/>
        <v>-1.5530576587490248E-2</v>
      </c>
      <c r="AB56" s="12">
        <f t="shared" si="20"/>
        <v>-8.3451879467566631E-3</v>
      </c>
      <c r="AC56" s="12">
        <f t="shared" si="21"/>
        <v>1.125803754056112E-2</v>
      </c>
      <c r="AD56" s="12">
        <f t="shared" si="22"/>
        <v>-5.7628979283756397E-3</v>
      </c>
      <c r="AI56" s="15">
        <v>43698</v>
      </c>
      <c r="AJ56" s="99">
        <f>+VLOOKUP(AI56,benchmark!I$7:$J$362,2,0)</f>
        <v>253.30610000000001</v>
      </c>
      <c r="AK56" s="61">
        <f>+VLOOKUP(AI56,benchmark!K$7:$L$362,2,0)</f>
        <v>255.75800000000001</v>
      </c>
      <c r="AP56" s="15">
        <v>43698</v>
      </c>
      <c r="AQ56" s="12">
        <f t="shared" si="47"/>
        <v>7.0575821897029822E-3</v>
      </c>
      <c r="AR56" s="12">
        <f t="shared" si="47"/>
        <v>-8.3993233661361355E-4</v>
      </c>
      <c r="AY56" s="15">
        <v>43698</v>
      </c>
      <c r="AZ56" s="12">
        <f t="shared" si="46"/>
        <v>2.3190734739130252E-3</v>
      </c>
    </row>
    <row r="57" spans="4:52" x14ac:dyDescent="0.75">
      <c r="D57" s="15">
        <v>43697</v>
      </c>
      <c r="E57" s="21">
        <f>+VLOOKUP(D57,Prezzi!$I$12:$J$367,2,0)</f>
        <v>5.2630670000000004</v>
      </c>
      <c r="F57" s="21">
        <f>+VLOOKUP(D57,Prezzi!$K$12:$L$367,2,0)/VLOOKUP(D57,Prezzi!$S$12:$T$367,2,0)</f>
        <v>263.35884886240524</v>
      </c>
      <c r="G57" s="1">
        <v>0</v>
      </c>
      <c r="H57" s="21">
        <f>+VLOOKUP(D57,Prezzi!$M$12:$N$367,2,0)/VLOOKUP(D57,Prezzi!$S$12:$T$367,2,0)</f>
        <v>22.395695196821961</v>
      </c>
      <c r="I57" s="1">
        <v>0</v>
      </c>
      <c r="J57" s="21">
        <f>+VLOOKUP(D57,Prezzi!$O$12:$P$367,2,0)/VLOOKUP(D57,Prezzi!$S$12:$T$367,2,0)</f>
        <v>51.706837305886609</v>
      </c>
      <c r="K57" s="1">
        <v>0</v>
      </c>
      <c r="L57" s="21">
        <f>+VLOOKUP(D57,Prezzi!$Q$12:$R$367,2,0)/VLOOKUP(D57,Prezzi!$S$12:$T$367,2,0)</f>
        <v>102.28550018057061</v>
      </c>
      <c r="M57" s="1">
        <v>0</v>
      </c>
      <c r="O57" s="1" t="str">
        <f t="shared" si="40"/>
        <v>201934</v>
      </c>
      <c r="P57" s="35">
        <v>43697</v>
      </c>
      <c r="Q57" s="12">
        <f t="shared" si="39"/>
        <v>1.7733520583581444E-3</v>
      </c>
      <c r="R57" s="12">
        <f t="shared" si="41"/>
        <v>-5.4395737593255214E-3</v>
      </c>
      <c r="S57" s="12">
        <f t="shared" si="42"/>
        <v>-4.934836453387121E-3</v>
      </c>
      <c r="T57" s="12">
        <f t="shared" si="43"/>
        <v>6.1624051711222884E-3</v>
      </c>
      <c r="U57" s="12">
        <f t="shared" si="44"/>
        <v>2.7297010944840497E-3</v>
      </c>
      <c r="Y57" s="16">
        <v>201845</v>
      </c>
      <c r="Z57" s="12">
        <f t="shared" si="13"/>
        <v>9.8085873505599028E-4</v>
      </c>
      <c r="AA57" s="12">
        <f t="shared" si="19"/>
        <v>2.8111935633216435E-2</v>
      </c>
      <c r="AB57" s="12">
        <f t="shared" si="20"/>
        <v>1.9922480975583082E-2</v>
      </c>
      <c r="AC57" s="12">
        <f t="shared" si="21"/>
        <v>-1.3174623619922986E-2</v>
      </c>
      <c r="AD57" s="12">
        <f t="shared" si="22"/>
        <v>8.894663855911528E-3</v>
      </c>
      <c r="AI57" s="15">
        <v>43697</v>
      </c>
      <c r="AJ57" s="99">
        <f>+VLOOKUP(AI57,benchmark!I$7:$J$362,2,0)</f>
        <v>251.53090000000003</v>
      </c>
      <c r="AK57" s="61">
        <f>+VLOOKUP(AI57,benchmark!K$7:$L$362,2,0)</f>
        <v>255.97300000000001</v>
      </c>
      <c r="AP57" s="15">
        <v>43697</v>
      </c>
      <c r="AQ57" s="12">
        <f t="shared" si="47"/>
        <v>-4.7816050841299473E-3</v>
      </c>
      <c r="AR57" s="12">
        <f t="shared" si="47"/>
        <v>3.1783729552206097E-3</v>
      </c>
      <c r="AY57" s="15">
        <v>43697</v>
      </c>
      <c r="AZ57" s="12">
        <f t="shared" si="46"/>
        <v>-5.6182605196132464E-6</v>
      </c>
    </row>
    <row r="58" spans="4:52" x14ac:dyDescent="0.75">
      <c r="D58" s="15">
        <v>43696</v>
      </c>
      <c r="E58" s="21">
        <f>+VLOOKUP(D58,Prezzi!$I$12:$J$367,2,0)</f>
        <v>5.2537419999999999</v>
      </c>
      <c r="F58" s="21">
        <f>+VLOOKUP(D58,Prezzi!$K$12:$L$367,2,0)/VLOOKUP(D58,Prezzi!$S$12:$T$367,2,0)</f>
        <v>264.79531207781679</v>
      </c>
      <c r="G58" s="1">
        <v>0</v>
      </c>
      <c r="H58" s="21">
        <f>+VLOOKUP(D58,Prezzi!$M$12:$N$367,2,0)/VLOOKUP(D58,Prezzi!$S$12:$T$367,2,0)</f>
        <v>22.506487435828152</v>
      </c>
      <c r="I58" s="1">
        <v>0</v>
      </c>
      <c r="J58" s="21">
        <f>+VLOOKUP(D58,Prezzi!$O$12:$P$367,2,0)/VLOOKUP(D58,Prezzi!$S$12:$T$367,2,0)</f>
        <v>51.389178600378273</v>
      </c>
      <c r="K58" s="1">
        <v>0</v>
      </c>
      <c r="L58" s="21">
        <f>+VLOOKUP(D58,Prezzi!$Q$12:$R$367,2,0)/VLOOKUP(D58,Prezzi!$S$12:$T$367,2,0)</f>
        <v>102.00667207061154</v>
      </c>
      <c r="M58" s="1">
        <v>0</v>
      </c>
      <c r="O58" s="1" t="str">
        <f t="shared" si="40"/>
        <v>201934</v>
      </c>
      <c r="P58" s="35">
        <v>43696</v>
      </c>
      <c r="Q58" s="12">
        <f t="shared" si="39"/>
        <v>-2.7781544369843065E-3</v>
      </c>
      <c r="R58" s="12">
        <f t="shared" si="41"/>
        <v>9.6483417746380667E-3</v>
      </c>
      <c r="S58" s="12">
        <f t="shared" si="42"/>
        <v>5.322205048718982E-3</v>
      </c>
      <c r="T58" s="12">
        <f t="shared" si="43"/>
        <v>-1.123168053509788E-2</v>
      </c>
      <c r="U58" s="12">
        <f t="shared" si="44"/>
        <v>-4.6616341684509047E-3</v>
      </c>
      <c r="Y58" s="16">
        <v>201844</v>
      </c>
      <c r="Z58" s="12">
        <f t="shared" si="13"/>
        <v>-1.6145122928314837E-3</v>
      </c>
      <c r="AA58" s="12">
        <f t="shared" si="19"/>
        <v>1.7834747323897258E-2</v>
      </c>
      <c r="AB58" s="12">
        <f t="shared" si="20"/>
        <v>1.7872471197417045E-2</v>
      </c>
      <c r="AC58" s="12">
        <f t="shared" si="21"/>
        <v>-7.7133872034452662E-3</v>
      </c>
      <c r="AD58" s="12">
        <f t="shared" si="22"/>
        <v>-1.1988054317316012E-2</v>
      </c>
      <c r="AI58" s="15">
        <v>43696</v>
      </c>
      <c r="AJ58" s="99">
        <f>+VLOOKUP(AI58,benchmark!I$7:$J$362,2,0)</f>
        <v>252.73939999999999</v>
      </c>
      <c r="AK58" s="61">
        <f>+VLOOKUP(AI58,benchmark!K$7:$L$362,2,0)</f>
        <v>255.16200000000001</v>
      </c>
      <c r="AP58" s="15">
        <v>43696</v>
      </c>
      <c r="AQ58" s="12">
        <f t="shared" si="47"/>
        <v>1.0729579406885792E-2</v>
      </c>
      <c r="AR58" s="12">
        <f t="shared" si="47"/>
        <v>-3.6976443623611965E-3</v>
      </c>
      <c r="AY58" s="15">
        <v>43696</v>
      </c>
      <c r="AZ58" s="12">
        <f t="shared" si="46"/>
        <v>2.0732451453375988E-3</v>
      </c>
    </row>
    <row r="59" spans="4:52" x14ac:dyDescent="0.75">
      <c r="D59" s="15">
        <v>43693</v>
      </c>
      <c r="E59" s="21">
        <f>+VLOOKUP(D59,Prezzi!$I$12:$J$367,2,0)</f>
        <v>5.2683580000000001</v>
      </c>
      <c r="F59" s="21">
        <f>+VLOOKUP(D59,Prezzi!$K$12:$L$367,2,0)/VLOOKUP(D59,Prezzi!$S$12:$T$367,2,0)</f>
        <v>262.25276182737451</v>
      </c>
      <c r="G59" s="1">
        <v>0</v>
      </c>
      <c r="H59" s="21">
        <f>+VLOOKUP(D59,Prezzi!$M$12:$N$367,2,0)/VLOOKUP(D59,Prezzi!$S$12:$T$367,2,0)</f>
        <v>22.387021487901769</v>
      </c>
      <c r="I59" s="1">
        <v>0</v>
      </c>
      <c r="J59" s="21">
        <f>+VLOOKUP(D59,Prezzi!$O$12:$P$367,2,0)/VLOOKUP(D59,Prezzi!$S$12:$T$367,2,0)</f>
        <v>51.969618996027449</v>
      </c>
      <c r="K59" s="1">
        <v>0</v>
      </c>
      <c r="L59" s="21">
        <f>+VLOOKUP(D59,Prezzi!$Q$12:$R$367,2,0)/VLOOKUP(D59,Prezzi!$S$12:$T$367,2,0)</f>
        <v>102.48329992777177</v>
      </c>
      <c r="M59" s="1">
        <v>0</v>
      </c>
      <c r="O59" s="1" t="str">
        <f t="shared" si="40"/>
        <v>201933</v>
      </c>
      <c r="P59" s="35">
        <v>43693</v>
      </c>
      <c r="Q59" s="12">
        <f t="shared" si="39"/>
        <v>-1.0676943447579274E-3</v>
      </c>
      <c r="R59" s="12">
        <f t="shared" si="41"/>
        <v>2.1144731933852995E-2</v>
      </c>
      <c r="S59" s="12">
        <f t="shared" si="42"/>
        <v>1.8012442915721589E-2</v>
      </c>
      <c r="T59" s="12">
        <f t="shared" si="43"/>
        <v>1.5034419713018069E-3</v>
      </c>
      <c r="U59" s="12">
        <f t="shared" si="44"/>
        <v>1.0399967876497881E-2</v>
      </c>
      <c r="Y59" s="16">
        <v>201843</v>
      </c>
      <c r="Z59" s="12">
        <f t="shared" si="13"/>
        <v>-6.2647837130974486E-4</v>
      </c>
      <c r="AA59" s="12">
        <f t="shared" si="19"/>
        <v>-2.9178286706213339E-2</v>
      </c>
      <c r="AB59" s="12">
        <f t="shared" si="20"/>
        <v>-1.9247177043422967E-2</v>
      </c>
      <c r="AC59" s="12">
        <f t="shared" si="21"/>
        <v>1.7026141425664311E-2</v>
      </c>
      <c r="AD59" s="12">
        <f t="shared" si="22"/>
        <v>9.0712194327754042E-3</v>
      </c>
      <c r="AI59" s="15">
        <v>43693</v>
      </c>
      <c r="AJ59" s="99">
        <f>+VLOOKUP(AI59,benchmark!I$7:$J$362,2,0)</f>
        <v>250.0564</v>
      </c>
      <c r="AK59" s="61">
        <f>+VLOOKUP(AI59,benchmark!K$7:$L$362,2,0)</f>
        <v>256.10899999999998</v>
      </c>
      <c r="AP59" s="15">
        <v>43693</v>
      </c>
      <c r="AQ59" s="12">
        <f t="shared" si="47"/>
        <v>1.1830076784627552E-2</v>
      </c>
      <c r="AR59" s="12">
        <f t="shared" si="47"/>
        <v>-2.7645929623588694E-3</v>
      </c>
      <c r="AY59" s="15">
        <v>43693</v>
      </c>
      <c r="AZ59" s="12">
        <f t="shared" si="46"/>
        <v>3.0732749364356998E-3</v>
      </c>
    </row>
    <row r="60" spans="4:52" x14ac:dyDescent="0.75">
      <c r="D60" s="15">
        <v>43692</v>
      </c>
      <c r="E60" s="21">
        <f>+VLOOKUP(D60,Prezzi!$I$12:$J$367,2,0)</f>
        <v>5.2739859999999998</v>
      </c>
      <c r="F60" s="21">
        <f>+VLOOKUP(D60,Prezzi!$K$12:$L$367,2,0)/VLOOKUP(D60,Prezzi!$S$12:$T$367,2,0)</f>
        <v>256.76571300448433</v>
      </c>
      <c r="G60" s="1">
        <v>0</v>
      </c>
      <c r="H60" s="21">
        <f>+VLOOKUP(D60,Prezzi!$M$12:$N$367,2,0)/VLOOKUP(D60,Prezzi!$S$12:$T$367,2,0)</f>
        <v>21.987386547085201</v>
      </c>
      <c r="I60" s="1">
        <v>0</v>
      </c>
      <c r="J60" s="21">
        <f>+VLOOKUP(D60,Prezzi!$O$12:$P$367,2,0)/VLOOKUP(D60,Prezzi!$S$12:$T$367,2,0)</f>
        <v>51.891544394618833</v>
      </c>
      <c r="K60" s="1">
        <v>0</v>
      </c>
      <c r="L60" s="21">
        <f>+VLOOKUP(D60,Prezzi!$Q$12:$R$367,2,0)/VLOOKUP(D60,Prezzi!$S$12:$T$367,2,0)</f>
        <v>101.423</v>
      </c>
      <c r="M60" s="1">
        <v>0</v>
      </c>
      <c r="O60" s="1" t="str">
        <f t="shared" si="40"/>
        <v>201933</v>
      </c>
      <c r="P60" s="35">
        <v>43692</v>
      </c>
      <c r="Q60" s="12">
        <f t="shared" si="39"/>
        <v>3.6913042196902441E-3</v>
      </c>
      <c r="R60" s="12">
        <f t="shared" si="41"/>
        <v>6.0506974983963371E-3</v>
      </c>
      <c r="S60" s="12">
        <f t="shared" si="42"/>
        <v>1.4828398161137056E-3</v>
      </c>
      <c r="T60" s="12">
        <f t="shared" si="43"/>
        <v>6.7558568425356361E-3</v>
      </c>
      <c r="U60" s="12">
        <f t="shared" si="44"/>
        <v>4.8676171445512879E-3</v>
      </c>
      <c r="Y60" s="16">
        <v>201842</v>
      </c>
      <c r="Z60" s="12">
        <f t="shared" si="13"/>
        <v>1.2360852143328571E-3</v>
      </c>
      <c r="AA60" s="12">
        <f t="shared" si="19"/>
        <v>9.4671167455256649E-3</v>
      </c>
      <c r="AB60" s="12">
        <f t="shared" si="20"/>
        <v>2.1815221601842655E-2</v>
      </c>
      <c r="AC60" s="12">
        <f t="shared" si="21"/>
        <v>1.4890306521483321E-2</v>
      </c>
      <c r="AD60" s="12">
        <f t="shared" si="22"/>
        <v>6.9892731591616871E-3</v>
      </c>
      <c r="AI60" s="15">
        <v>43692</v>
      </c>
      <c r="AJ60" s="99">
        <f>+VLOOKUP(AI60,benchmark!I$7:$J$362,2,0)</f>
        <v>247.1328</v>
      </c>
      <c r="AK60" s="61">
        <f>+VLOOKUP(AI60,benchmark!K$7:$L$362,2,0)</f>
        <v>256.81900000000002</v>
      </c>
      <c r="AP60" s="15">
        <v>43692</v>
      </c>
      <c r="AQ60" s="12">
        <f t="shared" si="47"/>
        <v>-1.2919651246199315E-3</v>
      </c>
      <c r="AR60" s="12">
        <f t="shared" si="47"/>
        <v>6.6990709889851452E-3</v>
      </c>
      <c r="AY60" s="15">
        <v>43692</v>
      </c>
      <c r="AZ60" s="12">
        <f t="shared" si="46"/>
        <v>3.5026565435431144E-3</v>
      </c>
    </row>
    <row r="61" spans="4:52" x14ac:dyDescent="0.75">
      <c r="D61" s="15">
        <v>43691</v>
      </c>
      <c r="E61" s="21">
        <f>+VLOOKUP(D61,Prezzi!$I$12:$J$367,2,0)</f>
        <v>5.2545539999999997</v>
      </c>
      <c r="F61" s="21">
        <f>+VLOOKUP(D61,Prezzi!$K$12:$L$367,2,0)/VLOOKUP(D61,Prezzi!$S$12:$T$367,2,0)</f>
        <v>255.21679209867713</v>
      </c>
      <c r="G61" s="1">
        <v>0</v>
      </c>
      <c r="H61" s="21">
        <f>+VLOOKUP(D61,Prezzi!$M$12:$N$367,2,0)/VLOOKUP(D61,Prezzi!$S$12:$T$367,2,0)</f>
        <v>21.954806936002861</v>
      </c>
      <c r="I61" s="1">
        <v>0</v>
      </c>
      <c r="J61" s="21">
        <f>+VLOOKUP(D61,Prezzi!$O$12:$P$367,2,0)/VLOOKUP(D61,Prezzi!$S$12:$T$367,2,0)</f>
        <v>51.54215409367179</v>
      </c>
      <c r="K61" s="1">
        <v>0</v>
      </c>
      <c r="L61" s="21">
        <f>+VLOOKUP(D61,Prezzi!$Q$12:$R$367,2,0)/VLOOKUP(D61,Prezzi!$S$12:$T$367,2,0)</f>
        <v>100.93051126206649</v>
      </c>
      <c r="M61" s="1">
        <v>0</v>
      </c>
      <c r="O61" s="1" t="str">
        <f t="shared" si="40"/>
        <v>201933</v>
      </c>
      <c r="P61" s="35">
        <v>43691</v>
      </c>
      <c r="Q61" s="12">
        <f t="shared" si="39"/>
        <v>3.1025017092544348E-3</v>
      </c>
      <c r="R61" s="12">
        <f t="shared" si="41"/>
        <v>-2.6404266107850138E-2</v>
      </c>
      <c r="S61" s="12">
        <f t="shared" si="42"/>
        <v>-9.8343789484026094E-3</v>
      </c>
      <c r="T61" s="12">
        <f t="shared" si="43"/>
        <v>1.1622787280292646E-2</v>
      </c>
      <c r="U61" s="12">
        <f t="shared" si="44"/>
        <v>2.9705583867523401E-3</v>
      </c>
      <c r="Y61" s="16">
        <v>201841</v>
      </c>
      <c r="Z61" s="12">
        <f t="shared" si="13"/>
        <v>2.5878224690394341E-3</v>
      </c>
      <c r="AA61" s="12">
        <f t="shared" si="19"/>
        <v>-4.74051305566313E-2</v>
      </c>
      <c r="AB61" s="12">
        <f t="shared" si="20"/>
        <v>-4.2020758975993611E-2</v>
      </c>
      <c r="AC61" s="12">
        <f t="shared" si="21"/>
        <v>7.685771217693118E-3</v>
      </c>
      <c r="AD61" s="12">
        <f t="shared" si="22"/>
        <v>-6.6783636185391683E-3</v>
      </c>
      <c r="AI61" s="15">
        <v>43691</v>
      </c>
      <c r="AJ61" s="99">
        <f>+VLOOKUP(AI61,benchmark!I$7:$J$362,2,0)</f>
        <v>247.45250000000001</v>
      </c>
      <c r="AK61" s="61">
        <f>+VLOOKUP(AI61,benchmark!K$7:$L$362,2,0)</f>
        <v>255.11</v>
      </c>
      <c r="AP61" s="15">
        <v>43691</v>
      </c>
      <c r="AQ61" s="12">
        <f t="shared" ref="AQ61:AR124" si="48">+AJ61/AJ62-1</f>
        <v>-2.0390865835877792E-2</v>
      </c>
      <c r="AR61" s="12">
        <f t="shared" si="48"/>
        <v>4.2356534952014968E-3</v>
      </c>
      <c r="AY61" s="15">
        <v>43691</v>
      </c>
      <c r="AZ61" s="12">
        <f t="shared" si="46"/>
        <v>-5.6149542372302182E-3</v>
      </c>
    </row>
    <row r="62" spans="4:52" x14ac:dyDescent="0.75">
      <c r="D62" s="15">
        <v>43690</v>
      </c>
      <c r="E62" s="21">
        <f>+VLOOKUP(D62,Prezzi!$I$12:$J$367,2,0)</f>
        <v>5.2382770000000001</v>
      </c>
      <c r="F62" s="21">
        <f>+VLOOKUP(D62,Prezzi!$K$12:$L$367,2,0)/VLOOKUP(D62,Prezzi!$S$12:$T$367,2,0)</f>
        <v>262.04535911602204</v>
      </c>
      <c r="G62" s="1">
        <v>0</v>
      </c>
      <c r="H62" s="21">
        <f>+VLOOKUP(D62,Prezzi!$M$12:$N$367,2,0)/VLOOKUP(D62,Prezzi!$S$12:$T$367,2,0)</f>
        <v>22.171783995722684</v>
      </c>
      <c r="I62" s="1">
        <v>0</v>
      </c>
      <c r="J62" s="21">
        <f>+VLOOKUP(D62,Prezzi!$O$12:$P$367,2,0)/VLOOKUP(D62,Prezzi!$S$12:$T$367,2,0)</f>
        <v>50.946558545713771</v>
      </c>
      <c r="K62" s="1">
        <v>0</v>
      </c>
      <c r="L62" s="21">
        <f>+VLOOKUP(D62,Prezzi!$Q$12:$R$367,2,0)/VLOOKUP(D62,Prezzi!$S$12:$T$367,2,0)</f>
        <v>100.6311361611121</v>
      </c>
      <c r="M62" s="1">
        <v>0</v>
      </c>
      <c r="O62" s="1" t="str">
        <f t="shared" si="40"/>
        <v>201933</v>
      </c>
      <c r="P62" s="35">
        <v>43690</v>
      </c>
      <c r="Q62" s="12">
        <f t="shared" si="39"/>
        <v>1.6667174229942588E-4</v>
      </c>
      <c r="R62" s="12">
        <f t="shared" si="41"/>
        <v>1.2201745343803087E-2</v>
      </c>
      <c r="S62" s="12">
        <f t="shared" si="42"/>
        <v>-3.4124661837655564E-3</v>
      </c>
      <c r="T62" s="12">
        <f t="shared" si="43"/>
        <v>-5.3233756810683701E-3</v>
      </c>
      <c r="U62" s="12">
        <f t="shared" si="44"/>
        <v>-4.2466303179313361E-3</v>
      </c>
      <c r="Y62" s="16">
        <v>201840</v>
      </c>
      <c r="Z62" s="12">
        <f t="shared" si="13"/>
        <v>-4.8519925848704067E-3</v>
      </c>
      <c r="AA62" s="12">
        <f t="shared" si="19"/>
        <v>9.048616567861505E-4</v>
      </c>
      <c r="AB62" s="12">
        <f t="shared" si="20"/>
        <v>-2.3300551385964999E-2</v>
      </c>
      <c r="AC62" s="12">
        <f t="shared" si="21"/>
        <v>1.4493597595174625E-2</v>
      </c>
      <c r="AD62" s="12">
        <f t="shared" si="22"/>
        <v>-8.9320784661792822E-3</v>
      </c>
      <c r="AI62" s="15">
        <v>43690</v>
      </c>
      <c r="AJ62" s="99">
        <f>+VLOOKUP(AI62,benchmark!I$7:$J$362,2,0)</f>
        <v>252.60329999999999</v>
      </c>
      <c r="AK62" s="61">
        <f>+VLOOKUP(AI62,benchmark!K$7:$L$362,2,0)</f>
        <v>254.03399999999999</v>
      </c>
      <c r="AP62" s="15">
        <v>43690</v>
      </c>
      <c r="AQ62" s="12">
        <f t="shared" si="48"/>
        <v>6.4714551928823916E-3</v>
      </c>
      <c r="AR62" s="12">
        <f t="shared" si="48"/>
        <v>2.8700351747090735E-3</v>
      </c>
      <c r="AY62" s="15">
        <v>43690</v>
      </c>
      <c r="AZ62" s="12">
        <f t="shared" si="46"/>
        <v>4.3106031819784008E-3</v>
      </c>
    </row>
    <row r="63" spans="4:52" x14ac:dyDescent="0.75">
      <c r="D63" s="15">
        <v>43689</v>
      </c>
      <c r="E63" s="21">
        <f>+VLOOKUP(D63,Prezzi!$I$12:$J$367,2,0)</f>
        <v>5.2374039999999997</v>
      </c>
      <c r="F63" s="21">
        <f>+VLOOKUP(D63,Prezzi!$K$12:$L$367,2,0)/VLOOKUP(D63,Prezzi!$S$12:$T$367,2,0)</f>
        <v>258.8673762730034</v>
      </c>
      <c r="G63" s="1">
        <v>0</v>
      </c>
      <c r="H63" s="21">
        <f>+VLOOKUP(D63,Prezzi!$M$12:$N$367,2,0)/VLOOKUP(D63,Prezzi!$S$12:$T$367,2,0)</f>
        <v>22.247573700196533</v>
      </c>
      <c r="I63" s="1">
        <v>0</v>
      </c>
      <c r="J63" s="21">
        <f>+VLOOKUP(D63,Prezzi!$O$12:$P$367,2,0)/VLOOKUP(D63,Prezzi!$S$12:$T$367,2,0)</f>
        <v>51.218489369304983</v>
      </c>
      <c r="K63" s="1">
        <v>0</v>
      </c>
      <c r="L63" s="21">
        <f>+VLOOKUP(D63,Prezzi!$Q$12:$R$367,2,0)/VLOOKUP(D63,Prezzi!$S$12:$T$367,2,0)</f>
        <v>101.05938806503484</v>
      </c>
      <c r="M63" s="1">
        <v>0</v>
      </c>
      <c r="O63" s="1" t="str">
        <f t="shared" si="40"/>
        <v>201933</v>
      </c>
      <c r="P63" s="35">
        <v>43689</v>
      </c>
      <c r="Q63" s="12">
        <f t="shared" si="39"/>
        <v>2.4743210896664503E-3</v>
      </c>
      <c r="R63" s="12">
        <f t="shared" si="41"/>
        <v>-1.1507027344953178E-2</v>
      </c>
      <c r="S63" s="12">
        <f t="shared" si="42"/>
        <v>2.6202752028450112E-3</v>
      </c>
      <c r="T63" s="12">
        <f t="shared" si="43"/>
        <v>6.9125488602465339E-3</v>
      </c>
      <c r="U63" s="12">
        <f t="shared" si="44"/>
        <v>-1.0764774909785103E-2</v>
      </c>
      <c r="Y63" s="16">
        <v>201839</v>
      </c>
      <c r="Z63" s="12">
        <f t="shared" si="13"/>
        <v>-3.1169734927987899E-3</v>
      </c>
      <c r="AA63" s="12">
        <f t="shared" si="19"/>
        <v>6.2447382153968537E-3</v>
      </c>
      <c r="AB63" s="12">
        <f t="shared" si="20"/>
        <v>1.1182744704344966E-2</v>
      </c>
      <c r="AC63" s="12">
        <f t="shared" si="21"/>
        <v>1.139233695013123E-2</v>
      </c>
      <c r="AD63" s="12">
        <f t="shared" si="22"/>
        <v>2.3650156983142843E-2</v>
      </c>
      <c r="AI63" s="15">
        <v>43689</v>
      </c>
      <c r="AJ63" s="99">
        <f>+VLOOKUP(AI63,benchmark!I$7:$J$362,2,0)</f>
        <v>250.97910000000002</v>
      </c>
      <c r="AK63" s="61">
        <f>+VLOOKUP(AI63,benchmark!K$7:$L$362,2,0)</f>
        <v>253.30699999999999</v>
      </c>
      <c r="AP63" s="15">
        <v>43689</v>
      </c>
      <c r="AQ63" s="12">
        <f t="shared" si="48"/>
        <v>-8.0375411985247336E-3</v>
      </c>
      <c r="AR63" s="12">
        <f t="shared" si="48"/>
        <v>2.0808525957249913E-3</v>
      </c>
      <c r="AY63" s="15">
        <v>43689</v>
      </c>
      <c r="AZ63" s="12">
        <f t="shared" si="46"/>
        <v>-1.9665049219748988E-3</v>
      </c>
    </row>
    <row r="64" spans="4:52" x14ac:dyDescent="0.75">
      <c r="D64" s="15">
        <v>43686</v>
      </c>
      <c r="E64" s="21">
        <f>+VLOOKUP(D64,Prezzi!$I$12:$J$367,2,0)</f>
        <v>5.2244609999999998</v>
      </c>
      <c r="F64" s="21">
        <f>+VLOOKUP(D64,Prezzi!$K$12:$L$367,2,0)/VLOOKUP(D64,Prezzi!$S$12:$T$367,2,0)</f>
        <v>261.86337470976963</v>
      </c>
      <c r="G64" s="1">
        <v>0</v>
      </c>
      <c r="H64" s="21">
        <f>+VLOOKUP(D64,Prezzi!$M$12:$N$367,2,0)/VLOOKUP(D64,Prezzi!$S$12:$T$367,2,0)</f>
        <v>22.189355242007501</v>
      </c>
      <c r="I64" s="1">
        <v>0</v>
      </c>
      <c r="J64" s="21">
        <f>+VLOOKUP(D64,Prezzi!$O$12:$P$367,2,0)/VLOOKUP(D64,Prezzi!$S$12:$T$367,2,0)</f>
        <v>50.865659939274877</v>
      </c>
      <c r="K64" s="1">
        <v>0</v>
      </c>
      <c r="L64" s="21">
        <f>+VLOOKUP(D64,Prezzi!$Q$12:$R$367,2,0)/VLOOKUP(D64,Prezzi!$S$12:$T$367,2,0)</f>
        <v>102.15314609751742</v>
      </c>
      <c r="M64" s="1">
        <v>0</v>
      </c>
      <c r="O64" s="1" t="str">
        <f t="shared" si="40"/>
        <v>201932</v>
      </c>
      <c r="P64" s="35">
        <v>43686</v>
      </c>
      <c r="Q64" s="12">
        <f t="shared" si="39"/>
        <v>-3.8599402887024985E-4</v>
      </c>
      <c r="R64" s="12">
        <f t="shared" si="41"/>
        <v>-6.9280002611378537E-3</v>
      </c>
      <c r="S64" s="12">
        <f t="shared" si="42"/>
        <v>-3.8366707158506252E-3</v>
      </c>
      <c r="T64" s="12">
        <f t="shared" si="43"/>
        <v>-1.8174704462692712E-3</v>
      </c>
      <c r="U64" s="12">
        <f t="shared" si="44"/>
        <v>3.1773125171734328E-3</v>
      </c>
      <c r="Y64" s="16">
        <v>201838</v>
      </c>
      <c r="Z64" s="12">
        <f t="shared" si="13"/>
        <v>2.109857766207419E-4</v>
      </c>
      <c r="AA64" s="12">
        <f t="shared" si="19"/>
        <v>2.6042615239907181E-3</v>
      </c>
      <c r="AB64" s="12">
        <f t="shared" si="20"/>
        <v>7.9200846190834381E-3</v>
      </c>
      <c r="AC64" s="12">
        <f t="shared" si="21"/>
        <v>-4.901396634731007E-3</v>
      </c>
      <c r="AD64" s="12">
        <f t="shared" si="22"/>
        <v>-5.225948578886125E-4</v>
      </c>
      <c r="AI64" s="15">
        <v>43686</v>
      </c>
      <c r="AJ64" s="99">
        <f>+VLOOKUP(AI64,benchmark!I$7:$J$362,2,0)</f>
        <v>253.0127</v>
      </c>
      <c r="AK64" s="61">
        <f>+VLOOKUP(AI64,benchmark!K$7:$L$362,2,0)</f>
        <v>252.78100000000001</v>
      </c>
      <c r="AP64" s="15">
        <v>43686</v>
      </c>
      <c r="AQ64" s="12">
        <f t="shared" si="48"/>
        <v>-5.0546976166948587E-3</v>
      </c>
      <c r="AR64" s="12">
        <f t="shared" si="48"/>
        <v>-3.5516906993794395E-3</v>
      </c>
      <c r="AY64" s="15">
        <v>43686</v>
      </c>
      <c r="AZ64" s="12">
        <f t="shared" si="46"/>
        <v>-4.1528934663056065E-3</v>
      </c>
    </row>
    <row r="65" spans="4:52" x14ac:dyDescent="0.75">
      <c r="D65" s="15">
        <v>43685</v>
      </c>
      <c r="E65" s="21">
        <f>+VLOOKUP(D65,Prezzi!$I$12:$J$367,2,0)</f>
        <v>5.2264780000000002</v>
      </c>
      <c r="F65" s="21">
        <f>+VLOOKUP(D65,Prezzi!$K$12:$L$367,2,0)/VLOOKUP(D65,Prezzi!$S$12:$T$367,2,0)</f>
        <v>263.68386312874117</v>
      </c>
      <c r="G65" s="1">
        <v>0</v>
      </c>
      <c r="H65" s="21">
        <f>+VLOOKUP(D65,Prezzi!$M$12:$N$367,2,0)/VLOOKUP(D65,Prezzi!$S$12:$T$367,2,0)</f>
        <v>22.274652014652016</v>
      </c>
      <c r="I65" s="1">
        <v>0</v>
      </c>
      <c r="J65" s="21">
        <f>+VLOOKUP(D65,Prezzi!$O$12:$P$367,2,0)/VLOOKUP(D65,Prezzi!$S$12:$T$367,2,0)</f>
        <v>50.958190833556692</v>
      </c>
      <c r="K65" s="1">
        <v>0</v>
      </c>
      <c r="L65" s="21">
        <f>+VLOOKUP(D65,Prezzi!$Q$12:$R$367,2,0)/VLOOKUP(D65,Prezzi!$S$12:$T$367,2,0)</f>
        <v>101.82908871616189</v>
      </c>
      <c r="M65" s="1">
        <v>0</v>
      </c>
      <c r="O65" s="1" t="str">
        <f t="shared" si="40"/>
        <v>201932</v>
      </c>
      <c r="P65" s="35">
        <v>43685</v>
      </c>
      <c r="Q65" s="12">
        <f t="shared" si="39"/>
        <v>-1.7654050472841313E-3</v>
      </c>
      <c r="R65" s="12">
        <f t="shared" si="41"/>
        <v>1.9644048377674E-2</v>
      </c>
      <c r="S65" s="12">
        <f t="shared" si="42"/>
        <v>1.3208618031420734E-2</v>
      </c>
      <c r="T65" s="12">
        <f t="shared" si="43"/>
        <v>-2.8403222374459663E-3</v>
      </c>
      <c r="U65" s="12">
        <f t="shared" si="44"/>
        <v>2.6891302467806247E-3</v>
      </c>
      <c r="Y65" s="16">
        <v>201837</v>
      </c>
      <c r="Z65" s="12">
        <f t="shared" si="13"/>
        <v>-3.5782733618116933E-3</v>
      </c>
      <c r="AA65" s="12">
        <f t="shared" si="19"/>
        <v>5.6556059286982669E-3</v>
      </c>
      <c r="AB65" s="12">
        <f t="shared" si="20"/>
        <v>6.7808177411809722E-3</v>
      </c>
      <c r="AC65" s="12">
        <f t="shared" si="21"/>
        <v>-5.6458625971424169E-3</v>
      </c>
      <c r="AD65" s="12">
        <f t="shared" si="22"/>
        <v>5.1751632011558368E-3</v>
      </c>
      <c r="AI65" s="15">
        <v>43685</v>
      </c>
      <c r="AJ65" s="99">
        <f>+VLOOKUP(AI65,benchmark!I$7:$J$362,2,0)</f>
        <v>254.29810000000003</v>
      </c>
      <c r="AK65" s="61">
        <f>+VLOOKUP(AI65,benchmark!K$7:$L$362,2,0)</f>
        <v>253.68199999999999</v>
      </c>
      <c r="AP65" s="15">
        <v>43685</v>
      </c>
      <c r="AQ65" s="12">
        <f t="shared" si="48"/>
        <v>1.5540724565566766E-2</v>
      </c>
      <c r="AR65" s="12">
        <f t="shared" si="48"/>
        <v>-4.2118898549586836E-3</v>
      </c>
      <c r="AY65" s="15">
        <v>43685</v>
      </c>
      <c r="AZ65" s="12">
        <f t="shared" si="46"/>
        <v>3.6891559132514965E-3</v>
      </c>
    </row>
    <row r="66" spans="4:52" x14ac:dyDescent="0.75">
      <c r="D66" s="15">
        <v>43684</v>
      </c>
      <c r="E66" s="21">
        <f>+VLOOKUP(D66,Prezzi!$I$12:$J$367,2,0)</f>
        <v>5.2357129999999996</v>
      </c>
      <c r="F66" s="21">
        <f>+VLOOKUP(D66,Prezzi!$K$12:$L$367,2,0)/VLOOKUP(D66,Prezzi!$S$12:$T$367,2,0)</f>
        <v>258.55458935904301</v>
      </c>
      <c r="G66" s="1">
        <v>0</v>
      </c>
      <c r="H66" s="21">
        <f>+VLOOKUP(D66,Prezzi!$M$12:$N$367,2,0)/VLOOKUP(D66,Prezzi!$S$12:$T$367,2,0)</f>
        <v>21.982369219782179</v>
      </c>
      <c r="I66" s="1">
        <v>0</v>
      </c>
      <c r="J66" s="21">
        <f>+VLOOKUP(D66,Prezzi!$O$12:$P$367,2,0)/VLOOKUP(D66,Prezzi!$S$12:$T$367,2,0)</f>
        <v>51.103134261738973</v>
      </c>
      <c r="K66" s="1">
        <v>0</v>
      </c>
      <c r="L66" s="21">
        <f>+VLOOKUP(D66,Prezzi!$Q$12:$R$367,2,0)/VLOOKUP(D66,Prezzi!$S$12:$T$367,2,0)</f>
        <v>101.55562488841278</v>
      </c>
      <c r="M66" s="126">
        <f>0.42/VLOOKUP(D66,Prezzi!$S$12:$T$367,2,0)</f>
        <v>0.37493304767005886</v>
      </c>
      <c r="O66" s="1" t="str">
        <f t="shared" si="40"/>
        <v>201932</v>
      </c>
      <c r="P66" s="35">
        <v>43684</v>
      </c>
      <c r="Q66" s="12">
        <f t="shared" si="39"/>
        <v>3.245698944586629E-3</v>
      </c>
      <c r="R66" s="12">
        <f t="shared" si="41"/>
        <v>-5.4327363008157062E-4</v>
      </c>
      <c r="S66" s="12">
        <f t="shared" si="42"/>
        <v>7.08189494344914E-3</v>
      </c>
      <c r="T66" s="12">
        <f t="shared" si="43"/>
        <v>2.0121404582952158E-2</v>
      </c>
      <c r="U66" s="12">
        <f t="shared" si="44"/>
        <v>8.1351358160513011E-3</v>
      </c>
      <c r="Y66" s="16">
        <v>201836</v>
      </c>
      <c r="Z66" s="12">
        <f t="shared" si="13"/>
        <v>-4.5585462326934662E-4</v>
      </c>
      <c r="AA66" s="12">
        <f t="shared" si="19"/>
        <v>-6.7681071264658549E-3</v>
      </c>
      <c r="AB66" s="12">
        <f t="shared" si="20"/>
        <v>-1.735637888362189E-2</v>
      </c>
      <c r="AC66" s="12">
        <f t="shared" si="21"/>
        <v>-1.416911744073354E-3</v>
      </c>
      <c r="AD66" s="12">
        <f t="shared" si="22"/>
        <v>-4.2446632415116562E-3</v>
      </c>
      <c r="AI66" s="15">
        <v>43684</v>
      </c>
      <c r="AJ66" s="99">
        <f>+VLOOKUP(AI66,benchmark!I$7:$J$362,2,0)</f>
        <v>250.40659999999997</v>
      </c>
      <c r="AK66" s="61">
        <f>+VLOOKUP(AI66,benchmark!K$7:$L$362,2,0)</f>
        <v>254.755</v>
      </c>
      <c r="AP66" s="15">
        <v>43684</v>
      </c>
      <c r="AQ66" s="12">
        <f t="shared" si="48"/>
        <v>2.0532746950199243E-3</v>
      </c>
      <c r="AR66" s="12">
        <f t="shared" si="48"/>
        <v>5.4028241497161567E-3</v>
      </c>
      <c r="AY66" s="15">
        <v>43684</v>
      </c>
      <c r="AZ66" s="12">
        <f t="shared" si="46"/>
        <v>4.0630043678376634E-3</v>
      </c>
    </row>
    <row r="67" spans="4:52" x14ac:dyDescent="0.75">
      <c r="D67" s="15">
        <v>43683</v>
      </c>
      <c r="E67" s="21">
        <f>+VLOOKUP(D67,Prezzi!$I$12:$J$367,2,0)</f>
        <v>5.2187469999999996</v>
      </c>
      <c r="F67" s="21">
        <f>+VLOOKUP(D67,Prezzi!$K$12:$L$367,2,0)/VLOOKUP(D67,Prezzi!$S$12:$T$367,2,0)</f>
        <v>258.69509341199603</v>
      </c>
      <c r="G67" s="1">
        <v>0</v>
      </c>
      <c r="H67" s="21">
        <f>+VLOOKUP(D67,Prezzi!$M$12:$N$367,2,0)/VLOOKUP(D67,Prezzi!$S$12:$T$367,2,0)</f>
        <v>21.827242334852954</v>
      </c>
      <c r="I67" s="1">
        <v>0</v>
      </c>
      <c r="J67" s="21">
        <f>+VLOOKUP(D67,Prezzi!$O$12:$P$367,2,0)/VLOOKUP(D67,Prezzi!$S$12:$T$367,2,0)</f>
        <v>50.085143470099226</v>
      </c>
      <c r="K67" s="1">
        <v>0</v>
      </c>
      <c r="L67" s="21">
        <f>+VLOOKUP(D67,Prezzi!$Q$12:$R$367,2,0)/VLOOKUP(D67,Prezzi!$S$12:$T$367,2,0)</f>
        <v>101.1047027800125</v>
      </c>
      <c r="M67" s="1">
        <v>0</v>
      </c>
      <c r="O67" s="1" t="str">
        <f t="shared" si="40"/>
        <v>201932</v>
      </c>
      <c r="P67" s="35">
        <v>43683</v>
      </c>
      <c r="Q67" s="12">
        <f t="shared" si="39"/>
        <v>4.1091099582983218E-4</v>
      </c>
      <c r="R67" s="12">
        <f t="shared" si="41"/>
        <v>1.2562503320106083E-2</v>
      </c>
      <c r="S67" s="12">
        <f t="shared" si="42"/>
        <v>-4.489420730958457E-3</v>
      </c>
      <c r="T67" s="12">
        <f t="shared" si="43"/>
        <v>5.5972490274777001E-3</v>
      </c>
      <c r="U67" s="12">
        <f t="shared" si="44"/>
        <v>1.1560465559250976E-3</v>
      </c>
      <c r="Y67" s="16">
        <v>201835</v>
      </c>
      <c r="Z67" s="12">
        <f t="shared" si="13"/>
        <v>-2.259297267632424E-3</v>
      </c>
      <c r="AA67" s="12">
        <f t="shared" si="19"/>
        <v>4.3335485173910211E-3</v>
      </c>
      <c r="AB67" s="12">
        <f t="shared" si="20"/>
        <v>-5.0662551441102346E-3</v>
      </c>
      <c r="AC67" s="12">
        <f t="shared" si="21"/>
        <v>-1.0528176608712742E-2</v>
      </c>
      <c r="AD67" s="12">
        <f t="shared" si="22"/>
        <v>-1.2531126679236199E-2</v>
      </c>
      <c r="AI67" s="15">
        <v>43683</v>
      </c>
      <c r="AJ67" s="99">
        <f>+VLOOKUP(AI67,benchmark!I$7:$J$362,2,0)</f>
        <v>249.89349999999999</v>
      </c>
      <c r="AK67" s="61">
        <f>+VLOOKUP(AI67,benchmark!K$7:$L$362,2,0)</f>
        <v>253.386</v>
      </c>
      <c r="AP67" s="15">
        <v>43683</v>
      </c>
      <c r="AQ67" s="12">
        <f t="shared" si="48"/>
        <v>5.0183855984640147E-3</v>
      </c>
      <c r="AR67" s="12">
        <f t="shared" si="48"/>
        <v>1.7909881272906159E-3</v>
      </c>
      <c r="AY67" s="15">
        <v>43683</v>
      </c>
      <c r="AZ67" s="12">
        <f t="shared" si="46"/>
        <v>3.0819471157599752E-3</v>
      </c>
    </row>
    <row r="68" spans="4:52" x14ac:dyDescent="0.75">
      <c r="D68" s="15">
        <v>43682</v>
      </c>
      <c r="E68" s="21">
        <f>+VLOOKUP(D68,Prezzi!$I$12:$J$367,2,0)</f>
        <v>5.2166030000000001</v>
      </c>
      <c r="F68" s="21">
        <f>+VLOOKUP(D68,Prezzi!$K$12:$L$367,2,0)/VLOOKUP(D68,Prezzi!$S$12:$T$367,2,0)</f>
        <v>255.46556340547303</v>
      </c>
      <c r="G68" s="1">
        <v>0</v>
      </c>
      <c r="H68" s="21">
        <f>+VLOOKUP(D68,Prezzi!$M$12:$N$367,2,0)/VLOOKUP(D68,Prezzi!$S$12:$T$367,2,0)</f>
        <v>21.925454301556073</v>
      </c>
      <c r="I68" s="1">
        <v>0</v>
      </c>
      <c r="J68" s="21">
        <f>+VLOOKUP(D68,Prezzi!$O$12:$P$367,2,0)/VLOOKUP(D68,Prezzi!$S$12:$T$367,2,0)</f>
        <v>49.805587551421922</v>
      </c>
      <c r="K68" s="1">
        <v>0</v>
      </c>
      <c r="L68" s="21">
        <f>+VLOOKUP(D68,Prezzi!$Q$12:$R$367,2,0)/VLOOKUP(D68,Prezzi!$S$12:$T$367,2,0)</f>
        <v>100.98788857091753</v>
      </c>
      <c r="M68" s="1">
        <v>0</v>
      </c>
      <c r="O68" s="1" t="str">
        <f t="shared" si="40"/>
        <v>201932</v>
      </c>
      <c r="P68" s="35">
        <v>43682</v>
      </c>
      <c r="Q68" s="12">
        <f t="shared" si="39"/>
        <v>3.0879954715009299E-3</v>
      </c>
      <c r="R68" s="12">
        <f t="shared" si="41"/>
        <v>-3.7007938940963617E-2</v>
      </c>
      <c r="S68" s="12">
        <f t="shared" si="42"/>
        <v>-1.8932523256992087E-2</v>
      </c>
      <c r="T68" s="12">
        <f t="shared" si="43"/>
        <v>6.3734144521873206E-3</v>
      </c>
      <c r="U68" s="12">
        <f t="shared" si="44"/>
        <v>-1.0685180869747979E-2</v>
      </c>
      <c r="Y68" s="16">
        <v>201834</v>
      </c>
      <c r="Z68" s="12">
        <f t="shared" si="13"/>
        <v>-1.713187974078612E-3</v>
      </c>
      <c r="AA68" s="12">
        <f t="shared" si="19"/>
        <v>-8.4005969481246098E-3</v>
      </c>
      <c r="AB68" s="12">
        <f t="shared" si="20"/>
        <v>5.362836922907956E-3</v>
      </c>
      <c r="AC68" s="12">
        <f t="shared" si="21"/>
        <v>5.921425713983788E-3</v>
      </c>
      <c r="AD68" s="12">
        <f t="shared" si="22"/>
        <v>-1.2102757620179186E-2</v>
      </c>
      <c r="AI68" s="15">
        <v>43682</v>
      </c>
      <c r="AJ68" s="99">
        <f>+VLOOKUP(AI68,benchmark!I$7:$J$362,2,0)</f>
        <v>248.64569999999998</v>
      </c>
      <c r="AK68" s="61">
        <f>+VLOOKUP(AI68,benchmark!K$7:$L$362,2,0)</f>
        <v>252.93299999999999</v>
      </c>
      <c r="AP68" s="15">
        <v>43682</v>
      </c>
      <c r="AQ68" s="12">
        <f t="shared" si="48"/>
        <v>-2.5150111444147583E-2</v>
      </c>
      <c r="AR68" s="12">
        <f t="shared" si="48"/>
        <v>1.1399394407172192E-3</v>
      </c>
      <c r="AY68" s="15">
        <v>43682</v>
      </c>
      <c r="AZ68" s="12">
        <f t="shared" si="46"/>
        <v>-9.3760809132287029E-3</v>
      </c>
    </row>
    <row r="69" spans="4:52" x14ac:dyDescent="0.75">
      <c r="D69" s="15">
        <v>43679</v>
      </c>
      <c r="E69" s="21">
        <f>+VLOOKUP(D69,Prezzi!$I$12:$J$367,2,0)</f>
        <v>5.2005189999999999</v>
      </c>
      <c r="F69" s="21">
        <f>+VLOOKUP(D69,Prezzi!$K$12:$L$367,2,0)/VLOOKUP(D69,Prezzi!$S$12:$T$367,2,0)</f>
        <v>265.09693679092379</v>
      </c>
      <c r="G69" s="1">
        <v>0</v>
      </c>
      <c r="H69" s="21">
        <f>+VLOOKUP(D69,Prezzi!$M$12:$N$367,2,0)/VLOOKUP(D69,Prezzi!$S$12:$T$367,2,0)</f>
        <v>22.344512875922927</v>
      </c>
      <c r="I69" s="1">
        <v>0</v>
      </c>
      <c r="J69" s="21">
        <f>+VLOOKUP(D69,Prezzi!$O$12:$P$367,2,0)/VLOOKUP(D69,Prezzi!$S$12:$T$367,2,0)</f>
        <v>49.48916531604538</v>
      </c>
      <c r="K69" s="1">
        <v>0</v>
      </c>
      <c r="L69" s="21">
        <f>+VLOOKUP(D69,Prezzi!$Q$12:$R$367,2,0)/VLOOKUP(D69,Prezzi!$S$12:$T$367,2,0)</f>
        <v>102.07274806410949</v>
      </c>
      <c r="M69" s="1">
        <v>0</v>
      </c>
      <c r="O69" s="1" t="str">
        <f t="shared" si="40"/>
        <v>201931</v>
      </c>
      <c r="P69" s="35">
        <v>43679</v>
      </c>
      <c r="Q69" s="12">
        <f t="shared" si="39"/>
        <v>1.6791261098440483E-3</v>
      </c>
      <c r="R69" s="12">
        <f t="shared" si="41"/>
        <v>-1.3452792717628316E-2</v>
      </c>
      <c r="S69" s="12">
        <f t="shared" si="42"/>
        <v>-1.5303065462341033E-2</v>
      </c>
      <c r="T69" s="12">
        <f t="shared" si="43"/>
        <v>6.5227282996105189E-3</v>
      </c>
      <c r="U69" s="12">
        <f t="shared" si="44"/>
        <v>-5.7363581187132211E-3</v>
      </c>
      <c r="Y69" s="16">
        <v>201833</v>
      </c>
      <c r="Z69" s="12">
        <f t="shared" si="13"/>
        <v>1.0559057675561666E-3</v>
      </c>
      <c r="AA69" s="12">
        <f t="shared" si="19"/>
        <v>1.2278940201159199E-2</v>
      </c>
      <c r="AB69" s="12">
        <f t="shared" si="20"/>
        <v>1.4467521763011568E-3</v>
      </c>
      <c r="AC69" s="12">
        <f t="shared" si="21"/>
        <v>-2.1499557956874422E-2</v>
      </c>
      <c r="AD69" s="12">
        <f t="shared" si="22"/>
        <v>5.6357246258336487E-3</v>
      </c>
      <c r="AI69" s="15">
        <v>43679</v>
      </c>
      <c r="AJ69" s="99">
        <f>+VLOOKUP(AI69,benchmark!I$7:$J$362,2,0)</f>
        <v>255.06049999999999</v>
      </c>
      <c r="AK69" s="61">
        <f>+VLOOKUP(AI69,benchmark!K$7:$L$362,2,0)</f>
        <v>252.64500000000001</v>
      </c>
      <c r="AP69" s="15">
        <v>43679</v>
      </c>
      <c r="AQ69" s="12">
        <f t="shared" si="48"/>
        <v>-1.1737004615062108E-2</v>
      </c>
      <c r="AR69" s="12">
        <f t="shared" si="48"/>
        <v>2.213521522331563E-3</v>
      </c>
      <c r="AY69" s="15">
        <v>43679</v>
      </c>
      <c r="AZ69" s="12">
        <f t="shared" si="46"/>
        <v>-3.3666889326259058E-3</v>
      </c>
    </row>
    <row r="70" spans="4:52" x14ac:dyDescent="0.75">
      <c r="D70" s="15">
        <v>43678</v>
      </c>
      <c r="E70" s="21">
        <f>+VLOOKUP(D70,Prezzi!$I$12:$J$367,2,0)</f>
        <v>5.1917939999999998</v>
      </c>
      <c r="F70" s="21">
        <f>+VLOOKUP(D70,Prezzi!$K$12:$L$367,2,0)/VLOOKUP(D70,Prezzi!$S$12:$T$367,2,0)</f>
        <v>268.68732717223884</v>
      </c>
      <c r="G70" s="1">
        <v>0</v>
      </c>
      <c r="H70" s="21">
        <f>+VLOOKUP(D70,Prezzi!$M$12:$N$367,2,0)/VLOOKUP(D70,Prezzi!$S$12:$T$367,2,0)</f>
        <v>22.689082178128118</v>
      </c>
      <c r="I70" s="1">
        <v>0</v>
      </c>
      <c r="J70" s="21">
        <f>+VLOOKUP(D70,Prezzi!$O$12:$P$367,2,0)/VLOOKUP(D70,Prezzi!$S$12:$T$367,2,0)</f>
        <v>49.167411434266562</v>
      </c>
      <c r="K70" s="1">
        <v>0</v>
      </c>
      <c r="L70" s="21">
        <f>+VLOOKUP(D70,Prezzi!$Q$12:$R$367,2,0)/VLOOKUP(D70,Prezzi!$S$12:$T$367,2,0)</f>
        <v>102.65995650992119</v>
      </c>
      <c r="M70" s="1">
        <v>0</v>
      </c>
      <c r="O70" s="1" t="str">
        <f t="shared" si="40"/>
        <v>201931</v>
      </c>
      <c r="P70" s="35">
        <v>43678</v>
      </c>
      <c r="Q70" s="12">
        <f t="shared" si="39"/>
        <v>3.1418036045433558E-3</v>
      </c>
      <c r="R70" s="12">
        <f t="shared" si="41"/>
        <v>1.3381774238101565E-3</v>
      </c>
      <c r="S70" s="12">
        <f t="shared" si="42"/>
        <v>1.063897213589573E-2</v>
      </c>
      <c r="T70" s="12">
        <f t="shared" si="43"/>
        <v>1.2123211872311921E-2</v>
      </c>
      <c r="U70" s="12">
        <f t="shared" si="44"/>
        <v>5.2792404239145252E-3</v>
      </c>
      <c r="Y70" s="16">
        <v>201832</v>
      </c>
      <c r="Z70" s="12">
        <f t="shared" si="13"/>
        <v>1.5581923248411378E-3</v>
      </c>
      <c r="AA70" s="12">
        <f t="shared" si="19"/>
        <v>9.6561050608889223E-3</v>
      </c>
      <c r="AB70" s="12">
        <f t="shared" si="20"/>
        <v>-9.2218866684712075E-3</v>
      </c>
      <c r="AC70" s="12">
        <f t="shared" si="21"/>
        <v>8.4728628978802505E-3</v>
      </c>
      <c r="AD70" s="12">
        <f t="shared" si="22"/>
        <v>2.2383879076422588E-4</v>
      </c>
      <c r="AI70" s="15">
        <v>43678</v>
      </c>
      <c r="AJ70" s="99">
        <f>+VLOOKUP(AI70,benchmark!I$7:$J$362,2,0)</f>
        <v>258.08969999999999</v>
      </c>
      <c r="AK70" s="61">
        <f>+VLOOKUP(AI70,benchmark!K$7:$L$362,2,0)</f>
        <v>252.08699999999999</v>
      </c>
      <c r="AP70" s="15">
        <v>43678</v>
      </c>
      <c r="AQ70" s="12">
        <f t="shared" si="48"/>
        <v>-7.145299947566186E-3</v>
      </c>
      <c r="AR70" s="12">
        <f t="shared" si="48"/>
        <v>1.5176496295266073E-3</v>
      </c>
      <c r="AY70" s="15">
        <v>43678</v>
      </c>
      <c r="AZ70" s="12">
        <f t="shared" si="46"/>
        <v>-1.9475302013105102E-3</v>
      </c>
    </row>
    <row r="71" spans="4:52" x14ac:dyDescent="0.75">
      <c r="D71" s="15">
        <v>43677</v>
      </c>
      <c r="E71" s="21">
        <f>+VLOOKUP(D71,Prezzi!$I$12:$J$367,2,0)</f>
        <v>5.1755079999999998</v>
      </c>
      <c r="F71" s="21">
        <f>+VLOOKUP(D71,Prezzi!$K$12:$L$367,2,0)/VLOOKUP(D71,Prezzi!$S$12:$T$367,2,0)</f>
        <v>268.32801632140615</v>
      </c>
      <c r="G71" s="1">
        <v>0</v>
      </c>
      <c r="H71" s="21">
        <f>+VLOOKUP(D71,Prezzi!$M$12:$N$367,2,0)/VLOOKUP(D71,Prezzi!$S$12:$T$367,2,0)</f>
        <v>22.448973186261323</v>
      </c>
      <c r="I71" s="1">
        <v>0</v>
      </c>
      <c r="J71" s="21">
        <f>+VLOOKUP(D71,Prezzi!$O$12:$P$367,2,0)/VLOOKUP(D71,Prezzi!$S$12:$T$367,2,0)</f>
        <v>48.574943054434584</v>
      </c>
      <c r="K71" s="1">
        <v>0</v>
      </c>
      <c r="L71" s="21">
        <f>+VLOOKUP(D71,Prezzi!$Q$12:$R$367,2,0)/VLOOKUP(D71,Prezzi!$S$12:$T$367,2,0)</f>
        <v>102.11941798941798</v>
      </c>
      <c r="M71" s="1">
        <v>0</v>
      </c>
      <c r="O71" s="1" t="str">
        <f t="shared" si="40"/>
        <v>201931</v>
      </c>
      <c r="P71" s="35">
        <v>43677</v>
      </c>
      <c r="Q71" s="12">
        <f t="shared" si="39"/>
        <v>1.6963440629543479E-3</v>
      </c>
      <c r="R71" s="12">
        <f t="shared" si="41"/>
        <v>-1.0651000688280714E-2</v>
      </c>
      <c r="S71" s="12">
        <f t="shared" si="42"/>
        <v>7.7238337935299094E-4</v>
      </c>
      <c r="T71" s="12">
        <f t="shared" si="43"/>
        <v>-4.40783021463656E-3</v>
      </c>
      <c r="U71" s="12">
        <f t="shared" si="44"/>
        <v>9.7672725142119977E-4</v>
      </c>
      <c r="Y71" s="16">
        <v>201831</v>
      </c>
      <c r="Z71" s="12">
        <f t="shared" si="13"/>
        <v>2.2645971329840323E-3</v>
      </c>
      <c r="AA71" s="12">
        <f t="shared" si="19"/>
        <v>1.1143481951142752E-2</v>
      </c>
      <c r="AB71" s="12">
        <f t="shared" si="20"/>
        <v>-2.697089737216038E-3</v>
      </c>
      <c r="AC71" s="12">
        <f t="shared" si="21"/>
        <v>-4.205502654808204E-3</v>
      </c>
      <c r="AD71" s="12">
        <f t="shared" si="22"/>
        <v>-6.6427777348438072E-3</v>
      </c>
      <c r="AI71" s="15">
        <v>43677</v>
      </c>
      <c r="AJ71" s="99">
        <f>+VLOOKUP(AI71,benchmark!I$7:$J$362,2,0)</f>
        <v>259.94709999999998</v>
      </c>
      <c r="AK71" s="61">
        <f>+VLOOKUP(AI71,benchmark!K$7:$L$362,2,0)</f>
        <v>251.70500000000001</v>
      </c>
      <c r="AP71" s="15">
        <v>43677</v>
      </c>
      <c r="AQ71" s="12">
        <f t="shared" si="48"/>
        <v>-6.997508202532865E-3</v>
      </c>
      <c r="AR71" s="12">
        <f t="shared" si="48"/>
        <v>3.1684667809175338E-3</v>
      </c>
      <c r="AY71" s="15">
        <v>43677</v>
      </c>
      <c r="AZ71" s="12">
        <f t="shared" si="46"/>
        <v>-8.9792321246262618E-4</v>
      </c>
    </row>
    <row r="72" spans="4:52" x14ac:dyDescent="0.75">
      <c r="D72" s="15">
        <v>43676</v>
      </c>
      <c r="E72" s="21">
        <f>+VLOOKUP(D72,Prezzi!$I$12:$J$367,2,0)</f>
        <v>5.1667360000000002</v>
      </c>
      <c r="F72" s="21">
        <f>+VLOOKUP(D72,Prezzi!$K$12:$L$367,2,0)/VLOOKUP(D72,Prezzi!$S$12:$T$367,2,0)</f>
        <v>271.20125246548326</v>
      </c>
      <c r="G72" s="1">
        <v>0</v>
      </c>
      <c r="H72" s="21">
        <f>+VLOOKUP(D72,Prezzi!$M$12:$N$367,2,0)/VLOOKUP(D72,Prezzi!$S$12:$T$367,2,0)</f>
        <v>22.431640667025285</v>
      </c>
      <c r="I72" s="1">
        <v>0</v>
      </c>
      <c r="J72" s="21">
        <f>+VLOOKUP(D72,Prezzi!$O$12:$P$367,2,0)/VLOOKUP(D72,Prezzi!$S$12:$T$367,2,0)</f>
        <v>48.789525730679578</v>
      </c>
      <c r="K72" s="1">
        <v>0</v>
      </c>
      <c r="L72" s="21">
        <f>+VLOOKUP(D72,Prezzi!$Q$12:$R$367,2,0)/VLOOKUP(D72,Prezzi!$S$12:$T$367,2,0)</f>
        <v>102.01972386587772</v>
      </c>
      <c r="M72" s="1">
        <v>0</v>
      </c>
      <c r="O72" s="1" t="str">
        <f t="shared" si="40"/>
        <v>201931</v>
      </c>
      <c r="P72" s="35">
        <v>43676</v>
      </c>
      <c r="Q72" s="12">
        <f t="shared" si="39"/>
        <v>-3.0672303257273142E-4</v>
      </c>
      <c r="R72" s="12">
        <f t="shared" si="41"/>
        <v>-5.6278872157557421E-3</v>
      </c>
      <c r="S72" s="12">
        <f t="shared" si="42"/>
        <v>-1.4643464378248598E-2</v>
      </c>
      <c r="T72" s="12">
        <f t="shared" si="43"/>
        <v>2.3401521538391236E-3</v>
      </c>
      <c r="U72" s="12">
        <f t="shared" si="44"/>
        <v>-4.6763815611971602E-3</v>
      </c>
      <c r="Y72" s="16">
        <v>201830</v>
      </c>
      <c r="Z72" s="12">
        <f t="shared" si="13"/>
        <v>-2.3276384622903778E-3</v>
      </c>
      <c r="AA72" s="12">
        <f t="shared" si="19"/>
        <v>9.9586762630496165E-3</v>
      </c>
      <c r="AB72" s="12">
        <f t="shared" si="20"/>
        <v>1.0366320626565496E-2</v>
      </c>
      <c r="AC72" s="12">
        <f t="shared" si="21"/>
        <v>-2.4137652068313541E-3</v>
      </c>
      <c r="AD72" s="12">
        <f t="shared" si="22"/>
        <v>1.073289935071786E-2</v>
      </c>
      <c r="AI72" s="15">
        <v>43676</v>
      </c>
      <c r="AJ72" s="99">
        <f>+VLOOKUP(AI72,benchmark!I$7:$J$362,2,0)</f>
        <v>261.77890000000002</v>
      </c>
      <c r="AK72" s="61">
        <f>+VLOOKUP(AI72,benchmark!K$7:$L$362,2,0)</f>
        <v>250.91</v>
      </c>
      <c r="AP72" s="15">
        <v>43676</v>
      </c>
      <c r="AQ72" s="12">
        <f t="shared" si="48"/>
        <v>-3.863479483184773E-3</v>
      </c>
      <c r="AR72" s="12">
        <f t="shared" si="48"/>
        <v>1.1957908163262587E-4</v>
      </c>
      <c r="AY72" s="15">
        <v>43676</v>
      </c>
      <c r="AZ72" s="12">
        <f t="shared" si="46"/>
        <v>-1.4736443442943338E-3</v>
      </c>
    </row>
    <row r="73" spans="4:52" x14ac:dyDescent="0.75">
      <c r="D73" s="15">
        <v>43675</v>
      </c>
      <c r="E73" s="21">
        <f>+VLOOKUP(D73,Prezzi!$I$12:$J$367,2,0)</f>
        <v>5.1683209999999997</v>
      </c>
      <c r="F73" s="21">
        <f>+VLOOKUP(D73,Prezzi!$K$12:$L$367,2,0)/VLOOKUP(D73,Prezzi!$S$12:$T$367,2,0)</f>
        <v>272.73184548970227</v>
      </c>
      <c r="G73" s="1">
        <v>0</v>
      </c>
      <c r="H73" s="21">
        <f>+VLOOKUP(D73,Prezzi!$M$12:$N$367,2,0)/VLOOKUP(D73,Prezzi!$S$12:$T$367,2,0)</f>
        <v>22.762534400575589</v>
      </c>
      <c r="I73" s="1">
        <v>0</v>
      </c>
      <c r="J73" s="21">
        <f>+VLOOKUP(D73,Prezzi!$O$12:$P$367,2,0)/VLOOKUP(D73,Prezzi!$S$12:$T$367,2,0)</f>
        <v>48.675484306142629</v>
      </c>
      <c r="K73" s="1">
        <v>0</v>
      </c>
      <c r="L73" s="21">
        <f>+VLOOKUP(D73,Prezzi!$Q$12:$R$367,2,0)/VLOOKUP(D73,Prezzi!$S$12:$T$367,2,0)</f>
        <v>102.49792427376562</v>
      </c>
      <c r="M73" s="1">
        <v>0</v>
      </c>
      <c r="O73" s="1" t="str">
        <f t="shared" si="40"/>
        <v>201931</v>
      </c>
      <c r="P73" s="35">
        <v>43675</v>
      </c>
      <c r="Q73" s="12">
        <f t="shared" si="39"/>
        <v>7.132518128590106E-4</v>
      </c>
      <c r="R73" s="12">
        <f t="shared" si="41"/>
        <v>9.1591983837693616E-5</v>
      </c>
      <c r="S73" s="12">
        <f t="shared" si="42"/>
        <v>5.5930312297235935E-3</v>
      </c>
      <c r="T73" s="12">
        <f t="shared" si="43"/>
        <v>3.866959228772544E-3</v>
      </c>
      <c r="U73" s="12">
        <f t="shared" si="44"/>
        <v>2.8175421044763366E-3</v>
      </c>
      <c r="Y73" s="16">
        <v>201829</v>
      </c>
      <c r="Z73" s="12">
        <f t="shared" ref="Z73:Z79" si="49">+SUMIF($O$5:$O$359,$Y73,Q$5:Q$359)</f>
        <v>-4.9199937531632012E-3</v>
      </c>
      <c r="AA73" s="12">
        <f t="shared" si="19"/>
        <v>-1.9307448063626493E-3</v>
      </c>
      <c r="AB73" s="12">
        <f t="shared" si="20"/>
        <v>3.1270495871715039E-4</v>
      </c>
      <c r="AC73" s="12">
        <f t="shared" si="21"/>
        <v>-9.9982166919376451E-3</v>
      </c>
      <c r="AD73" s="12">
        <f t="shared" si="22"/>
        <v>-4.8765990867574178E-3</v>
      </c>
      <c r="AI73" s="15">
        <v>43675</v>
      </c>
      <c r="AJ73" s="99">
        <f>+VLOOKUP(AI73,benchmark!I$7:$J$362,2,0)</f>
        <v>262.79419999999999</v>
      </c>
      <c r="AK73" s="61">
        <f>+VLOOKUP(AI73,benchmark!K$7:$L$362,2,0)</f>
        <v>250.88</v>
      </c>
      <c r="AP73" s="15">
        <v>43675</v>
      </c>
      <c r="AQ73" s="12">
        <f t="shared" si="48"/>
        <v>-1.5869343293369864E-3</v>
      </c>
      <c r="AR73" s="12">
        <f t="shared" si="48"/>
        <v>1.0094682536199162E-3</v>
      </c>
      <c r="AY73" s="15">
        <v>43675</v>
      </c>
      <c r="AZ73" s="12">
        <f t="shared" si="46"/>
        <v>-2.9092779562844926E-5</v>
      </c>
    </row>
    <row r="74" spans="4:52" x14ac:dyDescent="0.75">
      <c r="D74" s="15">
        <v>43672</v>
      </c>
      <c r="E74" s="21">
        <f>+VLOOKUP(D74,Prezzi!$I$12:$J$367,2,0)</f>
        <v>5.1646359999999998</v>
      </c>
      <c r="F74" s="21">
        <f>+VLOOKUP(D74,Prezzi!$K$12:$L$367,2,0)/VLOOKUP(D74,Prezzi!$S$12:$T$367,2,0)</f>
        <v>272.70686658286945</v>
      </c>
      <c r="G74" s="1">
        <v>0</v>
      </c>
      <c r="H74" s="21">
        <f>+VLOOKUP(D74,Prezzi!$M$12:$N$367,2,0)/VLOOKUP(D74,Prezzi!$S$12:$T$367,2,0)</f>
        <v>22.635578200754178</v>
      </c>
      <c r="I74" s="1">
        <v>0</v>
      </c>
      <c r="J74" s="21">
        <f>+VLOOKUP(D74,Prezzi!$O$12:$P$367,2,0)/VLOOKUP(D74,Prezzi!$S$12:$T$367,2,0)</f>
        <v>48.487621655593472</v>
      </c>
      <c r="K74" s="1">
        <v>0</v>
      </c>
      <c r="L74" s="21">
        <f>+VLOOKUP(D74,Prezzi!$Q$12:$R$367,2,0)/VLOOKUP(D74,Prezzi!$S$12:$T$367,2,0)</f>
        <v>102.20953851678938</v>
      </c>
      <c r="M74" s="1">
        <v>0</v>
      </c>
      <c r="O74" s="1" t="str">
        <f t="shared" si="40"/>
        <v>201930</v>
      </c>
      <c r="P74" s="35">
        <v>43672</v>
      </c>
      <c r="Q74" s="12">
        <f t="shared" si="39"/>
        <v>4.1242866369494574E-5</v>
      </c>
      <c r="R74" s="12">
        <f t="shared" si="41"/>
        <v>5.3028801990279116E-3</v>
      </c>
      <c r="S74" s="12">
        <f t="shared" si="42"/>
        <v>-1.6616057530061963E-3</v>
      </c>
      <c r="T74" s="12">
        <f t="shared" si="43"/>
        <v>8.7650153605277022E-4</v>
      </c>
      <c r="U74" s="12">
        <f t="shared" si="44"/>
        <v>-2.4104261695429225E-3</v>
      </c>
      <c r="Y74" s="16">
        <v>201828</v>
      </c>
      <c r="Z74" s="12">
        <f t="shared" si="49"/>
        <v>1.3050270901319508E-3</v>
      </c>
      <c r="AA74" s="12">
        <f t="shared" ref="AA74:AA79" si="50">+SUMIF($O$5:$O$359,$Y74,R$5:R$359)</f>
        <v>2.2258089187947333E-2</v>
      </c>
      <c r="AB74" s="12">
        <f t="shared" ref="AB74:AB79" si="51">+SUMIF($O$5:$O$359,$Y74,S$5:S$359)</f>
        <v>6.9284347970642417E-3</v>
      </c>
      <c r="AC74" s="12">
        <f t="shared" ref="AC74:AC79" si="52">+SUMIF($O$5:$O$359,$Y74,T$5:T$359)</f>
        <v>-4.1966866628008366E-3</v>
      </c>
      <c r="AD74" s="12">
        <f t="shared" ref="AD74:AD79" si="53">+SUMIF($O$5:$O$359,$Y74,U$5:U$359)</f>
        <v>2.0912791871178719E-2</v>
      </c>
      <c r="AI74" s="15">
        <v>43672</v>
      </c>
      <c r="AJ74" s="99">
        <f>+VLOOKUP(AI74,benchmark!I$7:$J$362,2,0)</f>
        <v>263.21190000000001</v>
      </c>
      <c r="AK74" s="61">
        <f>+VLOOKUP(AI74,benchmark!K$7:$L$362,2,0)</f>
        <v>250.62700000000001</v>
      </c>
      <c r="AP74" s="15">
        <v>43672</v>
      </c>
      <c r="AQ74" s="12">
        <f t="shared" si="48"/>
        <v>2.9171681978370501E-3</v>
      </c>
      <c r="AR74" s="12">
        <f t="shared" si="48"/>
        <v>2.0353106442771995E-4</v>
      </c>
      <c r="AY74" s="15">
        <v>43672</v>
      </c>
      <c r="AZ74" s="12">
        <f t="shared" si="46"/>
        <v>1.2889859177914521E-3</v>
      </c>
    </row>
    <row r="75" spans="4:52" x14ac:dyDescent="0.75">
      <c r="D75" s="15">
        <v>43671</v>
      </c>
      <c r="E75" s="21">
        <f>+VLOOKUP(D75,Prezzi!$I$12:$J$367,2,0)</f>
        <v>5.1644230000000002</v>
      </c>
      <c r="F75" s="21">
        <f>+VLOOKUP(D75,Prezzi!$K$12:$L$367,2,0)/VLOOKUP(D75,Prezzi!$S$12:$T$367,2,0)</f>
        <v>271.26456230319388</v>
      </c>
      <c r="G75" s="1">
        <v>0</v>
      </c>
      <c r="H75" s="21">
        <f>+VLOOKUP(D75,Prezzi!$M$12:$N$367,2,0)/VLOOKUP(D75,Prezzi!$S$12:$T$367,2,0)</f>
        <v>22.673220872694557</v>
      </c>
      <c r="I75" s="1">
        <v>0</v>
      </c>
      <c r="J75" s="21">
        <f>+VLOOKUP(D75,Prezzi!$O$12:$P$367,2,0)/VLOOKUP(D75,Prezzi!$S$12:$T$367,2,0)</f>
        <v>48.445140800719756</v>
      </c>
      <c r="K75" s="1">
        <v>0</v>
      </c>
      <c r="L75" s="21">
        <f>+VLOOKUP(D75,Prezzi!$Q$12:$R$367,2,0)/VLOOKUP(D75,Prezzi!$S$12:$T$367,2,0)</f>
        <v>102.45620422852002</v>
      </c>
      <c r="M75" s="1">
        <v>0</v>
      </c>
      <c r="O75" s="1" t="str">
        <f t="shared" si="40"/>
        <v>201930</v>
      </c>
      <c r="P75" s="35">
        <v>43671</v>
      </c>
      <c r="Q75" s="12">
        <f t="shared" si="39"/>
        <v>-7.9106294662523126E-4</v>
      </c>
      <c r="R75" s="12">
        <f t="shared" si="41"/>
        <v>-3.0251145016662769E-3</v>
      </c>
      <c r="S75" s="12">
        <f t="shared" si="42"/>
        <v>-7.7323698483790422E-4</v>
      </c>
      <c r="T75" s="12">
        <f t="shared" si="43"/>
        <v>-4.0703553399178026E-3</v>
      </c>
      <c r="U75" s="12">
        <f t="shared" si="44"/>
        <v>2.1875476673556969E-3</v>
      </c>
      <c r="Y75" s="16">
        <v>201827</v>
      </c>
      <c r="Z75" s="12">
        <f t="shared" si="49"/>
        <v>4.9237612318278265E-5</v>
      </c>
      <c r="AA75" s="12">
        <f t="shared" si="50"/>
        <v>1.450435887106161E-2</v>
      </c>
      <c r="AB75" s="12">
        <f t="shared" si="51"/>
        <v>1.2314919699770629E-2</v>
      </c>
      <c r="AC75" s="12">
        <f t="shared" si="52"/>
        <v>-4.4499668956840587E-3</v>
      </c>
      <c r="AD75" s="12">
        <f t="shared" si="53"/>
        <v>5.0300643857973532E-3</v>
      </c>
      <c r="AI75" s="15">
        <v>43671</v>
      </c>
      <c r="AJ75" s="99">
        <f>+VLOOKUP(AI75,benchmark!I$7:$J$362,2,0)</f>
        <v>262.44630000000001</v>
      </c>
      <c r="AK75" s="61">
        <f>+VLOOKUP(AI75,benchmark!K$7:$L$362,2,0)</f>
        <v>250.57599999999999</v>
      </c>
      <c r="AP75" s="15">
        <v>43671</v>
      </c>
      <c r="AQ75" s="12">
        <f t="shared" si="48"/>
        <v>-4.3510227122701695E-3</v>
      </c>
      <c r="AR75" s="12">
        <f t="shared" si="48"/>
        <v>-1.116178205823215E-3</v>
      </c>
      <c r="AY75" s="15">
        <v>43671</v>
      </c>
      <c r="AZ75" s="12">
        <f t="shared" si="46"/>
        <v>-2.4101160084019969E-3</v>
      </c>
    </row>
    <row r="76" spans="4:52" x14ac:dyDescent="0.75">
      <c r="D76" s="15">
        <v>43670</v>
      </c>
      <c r="E76" s="21">
        <f>+VLOOKUP(D76,Prezzi!$I$12:$J$367,2,0)</f>
        <v>5.1685100000000004</v>
      </c>
      <c r="F76" s="21">
        <f>+VLOOKUP(D76,Prezzi!$K$12:$L$367,2,0)/VLOOKUP(D76,Prezzi!$S$12:$T$367,2,0)</f>
        <v>272.08641113105921</v>
      </c>
      <c r="G76" s="1">
        <v>0</v>
      </c>
      <c r="H76" s="21">
        <f>+VLOOKUP(D76,Prezzi!$M$12:$N$367,2,0)/VLOOKUP(D76,Prezzi!$S$12:$T$367,2,0)</f>
        <v>22.690759425493713</v>
      </c>
      <c r="I76" s="1">
        <v>0</v>
      </c>
      <c r="J76" s="21">
        <f>+VLOOKUP(D76,Prezzi!$O$12:$P$367,2,0)/VLOOKUP(D76,Prezzi!$S$12:$T$367,2,0)</f>
        <v>48.642731597845597</v>
      </c>
      <c r="K76" s="1">
        <v>0</v>
      </c>
      <c r="L76" s="21">
        <f>+VLOOKUP(D76,Prezzi!$Q$12:$R$367,2,0)/VLOOKUP(D76,Prezzi!$S$12:$T$367,2,0)</f>
        <v>102.23232136445242</v>
      </c>
      <c r="M76" s="1">
        <v>0</v>
      </c>
      <c r="O76" s="1" t="str">
        <f t="shared" si="40"/>
        <v>201930</v>
      </c>
      <c r="P76" s="35">
        <v>43670</v>
      </c>
      <c r="Q76" s="12">
        <f t="shared" si="39"/>
        <v>1.5527158165831519E-3</v>
      </c>
      <c r="R76" s="12">
        <f t="shared" si="41"/>
        <v>7.67331785223682E-3</v>
      </c>
      <c r="S76" s="12">
        <f t="shared" si="42"/>
        <v>2.4915656676207164E-3</v>
      </c>
      <c r="T76" s="12">
        <f t="shared" si="43"/>
        <v>5.0645875882559671E-3</v>
      </c>
      <c r="U76" s="12">
        <f t="shared" si="44"/>
        <v>5.0184791845983585E-3</v>
      </c>
      <c r="Y76" s="16">
        <v>201826</v>
      </c>
      <c r="Z76" s="12">
        <f t="shared" si="49"/>
        <v>1.5379196264386718E-3</v>
      </c>
      <c r="AA76" s="12">
        <f t="shared" si="50"/>
        <v>-1.8677184161031816E-2</v>
      </c>
      <c r="AB76" s="12">
        <f t="shared" si="51"/>
        <v>1.5551775879686282E-2</v>
      </c>
      <c r="AC76" s="12">
        <f t="shared" si="52"/>
        <v>-1.3371176883775218E-2</v>
      </c>
      <c r="AD76" s="12">
        <f t="shared" si="53"/>
        <v>-5.6760567824360522E-3</v>
      </c>
      <c r="AI76" s="15">
        <v>43670</v>
      </c>
      <c r="AJ76" s="99">
        <f>+VLOOKUP(AI76,benchmark!I$7:$J$362,2,0)</f>
        <v>263.59319999999997</v>
      </c>
      <c r="AK76" s="61">
        <f>+VLOOKUP(AI76,benchmark!K$7:$L$362,2,0)</f>
        <v>250.85599999999999</v>
      </c>
      <c r="AP76" s="15">
        <v>43670</v>
      </c>
      <c r="AQ76" s="12">
        <f t="shared" si="48"/>
        <v>3.2889390630879145E-3</v>
      </c>
      <c r="AR76" s="12">
        <f t="shared" si="48"/>
        <v>3.1110293588401117E-3</v>
      </c>
      <c r="AY76" s="15">
        <v>43670</v>
      </c>
      <c r="AZ76" s="12">
        <f t="shared" si="46"/>
        <v>3.1821932405392329E-3</v>
      </c>
    </row>
    <row r="77" spans="4:52" x14ac:dyDescent="0.75">
      <c r="D77" s="15">
        <v>43669</v>
      </c>
      <c r="E77" s="21">
        <f>+VLOOKUP(D77,Prezzi!$I$12:$J$367,2,0)</f>
        <v>5.1604910000000004</v>
      </c>
      <c r="F77" s="21">
        <f>+VLOOKUP(D77,Prezzi!$K$12:$L$367,2,0)/VLOOKUP(D77,Prezzi!$S$12:$T$367,2,0)</f>
        <v>270.00659536382346</v>
      </c>
      <c r="G77" s="1">
        <v>0</v>
      </c>
      <c r="H77" s="21">
        <f>+VLOOKUP(D77,Prezzi!$M$12:$N$367,2,0)/VLOOKUP(D77,Prezzi!$S$12:$T$367,2,0)</f>
        <v>22.634294280855634</v>
      </c>
      <c r="I77" s="1">
        <v>0</v>
      </c>
      <c r="J77" s="21">
        <f>+VLOOKUP(D77,Prezzi!$O$12:$P$367,2,0)/VLOOKUP(D77,Prezzi!$S$12:$T$367,2,0)</f>
        <v>48.396999015483757</v>
      </c>
      <c r="K77" s="1">
        <v>0</v>
      </c>
      <c r="L77" s="21">
        <f>+VLOOKUP(D77,Prezzi!$Q$12:$R$367,2,0)/VLOOKUP(D77,Prezzi!$S$12:$T$367,2,0)</f>
        <v>101.72055580417077</v>
      </c>
      <c r="M77" s="1">
        <v>0</v>
      </c>
      <c r="O77" s="1" t="str">
        <f t="shared" si="40"/>
        <v>201930</v>
      </c>
      <c r="P77" s="35">
        <v>43669</v>
      </c>
      <c r="Q77" s="12">
        <f t="shared" si="39"/>
        <v>-1.3641182285366785E-4</v>
      </c>
      <c r="R77" s="12">
        <f t="shared" si="41"/>
        <v>1.0591914264355816E-2</v>
      </c>
      <c r="S77" s="12">
        <f t="shared" si="42"/>
        <v>2.0524237121829284E-3</v>
      </c>
      <c r="T77" s="12">
        <f t="shared" si="43"/>
        <v>-2.0875089825348413E-4</v>
      </c>
      <c r="U77" s="12">
        <f t="shared" si="44"/>
        <v>5.303885019231412E-3</v>
      </c>
      <c r="Y77" s="16">
        <v>201825</v>
      </c>
      <c r="Z77" s="12">
        <f t="shared" si="49"/>
        <v>1.7193709247601289E-3</v>
      </c>
      <c r="AA77" s="12">
        <f t="shared" si="50"/>
        <v>-1.3241664183983733E-2</v>
      </c>
      <c r="AB77" s="12">
        <f t="shared" si="51"/>
        <v>-2.9842629274337271E-2</v>
      </c>
      <c r="AC77" s="12">
        <f t="shared" si="52"/>
        <v>-1.0992549627387693E-2</v>
      </c>
      <c r="AD77" s="12">
        <f t="shared" si="53"/>
        <v>-7.2737361163506889E-4</v>
      </c>
      <c r="AI77" s="15">
        <v>43669</v>
      </c>
      <c r="AJ77" s="99">
        <f>+VLOOKUP(AI77,benchmark!I$7:$J$362,2,0)</f>
        <v>262.72910000000002</v>
      </c>
      <c r="AK77" s="61">
        <f>+VLOOKUP(AI77,benchmark!K$7:$L$362,2,0)</f>
        <v>250.078</v>
      </c>
      <c r="AP77" s="15">
        <v>43669</v>
      </c>
      <c r="AQ77" s="12">
        <f t="shared" si="48"/>
        <v>4.9834312768075595E-3</v>
      </c>
      <c r="AR77" s="12">
        <f t="shared" si="48"/>
        <v>8.965235697646623E-4</v>
      </c>
      <c r="AY77" s="15">
        <v>43669</v>
      </c>
      <c r="AZ77" s="12">
        <f t="shared" si="46"/>
        <v>2.5312866525818213E-3</v>
      </c>
    </row>
    <row r="78" spans="4:52" x14ac:dyDescent="0.75">
      <c r="D78" s="15">
        <v>43668</v>
      </c>
      <c r="E78" s="21">
        <f>+VLOOKUP(D78,Prezzi!$I$12:$J$367,2,0)</f>
        <v>5.1611950000000002</v>
      </c>
      <c r="F78" s="21">
        <f>+VLOOKUP(D78,Prezzi!$K$12:$L$367,2,0)/VLOOKUP(D78,Prezzi!$S$12:$T$367,2,0)</f>
        <v>267.16180115916183</v>
      </c>
      <c r="G78" s="1">
        <v>0</v>
      </c>
      <c r="H78" s="21">
        <f>+VLOOKUP(D78,Prezzi!$M$12:$N$367,2,0)/VLOOKUP(D78,Prezzi!$S$12:$T$367,2,0)</f>
        <v>22.587886758805173</v>
      </c>
      <c r="I78" s="1">
        <v>0</v>
      </c>
      <c r="J78" s="21">
        <f>+VLOOKUP(D78,Prezzi!$O$12:$P$367,2,0)/VLOOKUP(D78,Prezzi!$S$12:$T$367,2,0)</f>
        <v>48.407102987070893</v>
      </c>
      <c r="K78" s="1">
        <v>0</v>
      </c>
      <c r="L78" s="21">
        <f>+VLOOKUP(D78,Prezzi!$Q$12:$R$367,2,0)/VLOOKUP(D78,Prezzi!$S$12:$T$367,2,0)</f>
        <v>101.1824699063754</v>
      </c>
      <c r="M78" s="1">
        <v>0</v>
      </c>
      <c r="O78" s="1" t="str">
        <f t="shared" si="40"/>
        <v>201930</v>
      </c>
      <c r="P78" s="35">
        <v>43668</v>
      </c>
      <c r="Q78" s="12">
        <f t="shared" si="39"/>
        <v>6.1865274836412135E-4</v>
      </c>
      <c r="R78" s="12">
        <f t="shared" si="41"/>
        <v>3.828203411428921E-3</v>
      </c>
      <c r="S78" s="12">
        <f t="shared" si="42"/>
        <v>4.2749232938790315E-4</v>
      </c>
      <c r="T78" s="12">
        <f t="shared" si="43"/>
        <v>7.9990325636663856E-4</v>
      </c>
      <c r="U78" s="12">
        <f t="shared" si="44"/>
        <v>2.8253533222531457E-3</v>
      </c>
      <c r="Y78" s="16">
        <v>201824</v>
      </c>
      <c r="Z78" s="12">
        <f t="shared" si="49"/>
        <v>1.2360796205518787E-4</v>
      </c>
      <c r="AA78" s="12">
        <f t="shared" si="50"/>
        <v>1.4247652606060507E-2</v>
      </c>
      <c r="AB78" s="12">
        <f t="shared" si="51"/>
        <v>1.4324973411147617E-2</v>
      </c>
      <c r="AC78" s="12">
        <f t="shared" si="52"/>
        <v>-3.4508472758847412E-3</v>
      </c>
      <c r="AD78" s="12">
        <f t="shared" si="53"/>
        <v>6.2073659418271634E-3</v>
      </c>
      <c r="AI78" s="15">
        <v>43668</v>
      </c>
      <c r="AJ78" s="99">
        <f>+VLOOKUP(AI78,benchmark!I$7:$J$362,2,0)</f>
        <v>261.42629999999997</v>
      </c>
      <c r="AK78" s="61">
        <f>+VLOOKUP(AI78,benchmark!K$7:$L$362,2,0)</f>
        <v>249.85400000000001</v>
      </c>
      <c r="AP78" s="15">
        <v>43668</v>
      </c>
      <c r="AQ78" s="12">
        <f t="shared" si="48"/>
        <v>8.5833919405686743E-4</v>
      </c>
      <c r="AR78" s="12">
        <f t="shared" si="48"/>
        <v>1.9214910770748439E-4</v>
      </c>
      <c r="AY78" s="15">
        <v>43668</v>
      </c>
      <c r="AZ78" s="12">
        <f t="shared" si="46"/>
        <v>4.5862514224723758E-4</v>
      </c>
    </row>
    <row r="79" spans="4:52" x14ac:dyDescent="0.75">
      <c r="D79" s="15">
        <v>43665</v>
      </c>
      <c r="E79" s="21">
        <f>+VLOOKUP(D79,Prezzi!$I$12:$J$367,2,0)</f>
        <v>5.1580029999999999</v>
      </c>
      <c r="F79" s="21">
        <f>+VLOOKUP(D79,Prezzi!$K$12:$L$367,2,0)/VLOOKUP(D79,Prezzi!$S$12:$T$367,2,0)</f>
        <v>266.14100659184038</v>
      </c>
      <c r="G79" s="1">
        <v>0</v>
      </c>
      <c r="H79" s="21">
        <f>+VLOOKUP(D79,Prezzi!$M$12:$N$367,2,0)/VLOOKUP(D79,Prezzi!$S$12:$T$367,2,0)</f>
        <v>22.578232674149294</v>
      </c>
      <c r="I79" s="1">
        <v>0</v>
      </c>
      <c r="J79" s="21">
        <f>+VLOOKUP(D79,Prezzi!$O$12:$P$367,2,0)/VLOOKUP(D79,Prezzi!$S$12:$T$367,2,0)</f>
        <v>48.368397470158563</v>
      </c>
      <c r="K79" s="1">
        <v>0</v>
      </c>
      <c r="L79" s="21">
        <f>+VLOOKUP(D79,Prezzi!$Q$12:$R$367,2,0)/VLOOKUP(D79,Prezzi!$S$12:$T$367,2,0)</f>
        <v>100.89699714947443</v>
      </c>
      <c r="M79" s="1">
        <v>0</v>
      </c>
      <c r="O79" s="1" t="str">
        <f t="shared" si="40"/>
        <v>201929</v>
      </c>
      <c r="P79" s="35">
        <v>43665</v>
      </c>
      <c r="Q79" s="12">
        <f t="shared" si="39"/>
        <v>-7.9487811563672327E-6</v>
      </c>
      <c r="R79" s="12">
        <f t="shared" si="41"/>
        <v>-7.0467429887688332E-3</v>
      </c>
      <c r="S79" s="12">
        <f t="shared" si="42"/>
        <v>-7.8599779024516757E-4</v>
      </c>
      <c r="T79" s="12">
        <f t="shared" si="43"/>
        <v>-4.6736774227037411E-3</v>
      </c>
      <c r="U79" s="12">
        <f t="shared" si="44"/>
        <v>1.0217289459892686E-3</v>
      </c>
      <c r="Y79" s="16">
        <v>201823</v>
      </c>
      <c r="Z79" s="12">
        <f t="shared" si="49"/>
        <v>1.2843528728631304E-3</v>
      </c>
      <c r="AA79" s="12">
        <f t="shared" si="50"/>
        <v>3.5594911502675464E-3</v>
      </c>
      <c r="AB79" s="12">
        <f t="shared" si="51"/>
        <v>-1.9913445763611094E-3</v>
      </c>
      <c r="AC79" s="12">
        <f t="shared" si="52"/>
        <v>2.0282765969244099E-3</v>
      </c>
      <c r="AD79" s="12">
        <f t="shared" si="53"/>
        <v>2.912787545771383E-3</v>
      </c>
      <c r="AI79" s="15">
        <v>43665</v>
      </c>
      <c r="AJ79" s="99">
        <f>+VLOOKUP(AI79,benchmark!I$7:$J$362,2,0)</f>
        <v>261.20210000000003</v>
      </c>
      <c r="AK79" s="61">
        <f>+VLOOKUP(AI79,benchmark!K$7:$L$362,2,0)</f>
        <v>249.80600000000001</v>
      </c>
      <c r="AP79" s="15">
        <v>43665</v>
      </c>
      <c r="AQ79" s="12">
        <f t="shared" si="48"/>
        <v>-8.4613728003590793E-4</v>
      </c>
      <c r="AR79" s="12">
        <f t="shared" si="48"/>
        <v>-6.4045600467466102E-5</v>
      </c>
      <c r="AY79" s="15">
        <v>43665</v>
      </c>
      <c r="AZ79" s="12">
        <f t="shared" si="46"/>
        <v>-3.7688227229484286E-4</v>
      </c>
    </row>
    <row r="80" spans="4:52" x14ac:dyDescent="0.75">
      <c r="D80" s="15">
        <v>43664</v>
      </c>
      <c r="E80" s="21">
        <f>+VLOOKUP(D80,Prezzi!$I$12:$J$367,2,0)</f>
        <v>5.1580440000000003</v>
      </c>
      <c r="F80" s="21">
        <f>+VLOOKUP(D80,Prezzi!$K$12:$L$367,2,0)/VLOOKUP(D80,Prezzi!$S$12:$T$367,2,0)</f>
        <v>268.02305723965765</v>
      </c>
      <c r="G80" s="1">
        <v>0</v>
      </c>
      <c r="H80" s="21">
        <f>+VLOOKUP(D80,Prezzi!$M$12:$N$367,2,0)/VLOOKUP(D80,Prezzi!$S$12:$T$367,2,0)</f>
        <v>22.595986091298148</v>
      </c>
      <c r="I80" s="1">
        <v>0</v>
      </c>
      <c r="J80" s="21">
        <f>+VLOOKUP(D80,Prezzi!$O$12:$P$367,2,0)/VLOOKUP(D80,Prezzi!$S$12:$T$367,2,0)</f>
        <v>48.594984843081313</v>
      </c>
      <c r="K80" s="1">
        <v>0</v>
      </c>
      <c r="L80" s="21">
        <f>+VLOOKUP(D80,Prezzi!$Q$12:$R$367,2,0)/VLOOKUP(D80,Prezzi!$S$12:$T$367,2,0)</f>
        <v>100.79396041369473</v>
      </c>
      <c r="M80" s="1">
        <v>0</v>
      </c>
      <c r="O80" s="1" t="str">
        <f t="shared" si="40"/>
        <v>201929</v>
      </c>
      <c r="P80" s="35">
        <v>43664</v>
      </c>
      <c r="Q80" s="12">
        <f t="shared" si="39"/>
        <v>1.166237898035966E-3</v>
      </c>
      <c r="R80" s="12">
        <f t="shared" si="41"/>
        <v>3.5939496795590856E-3</v>
      </c>
      <c r="S80" s="12">
        <f t="shared" si="42"/>
        <v>-3.8536613191104621E-4</v>
      </c>
      <c r="T80" s="12">
        <f t="shared" si="43"/>
        <v>5.81772882367056E-3</v>
      </c>
      <c r="U80" s="12">
        <f t="shared" si="44"/>
        <v>-1.097477236520439E-3</v>
      </c>
      <c r="Y80" s="34"/>
      <c r="AI80" s="15">
        <v>43664</v>
      </c>
      <c r="AJ80" s="99">
        <f>+VLOOKUP(AI80,benchmark!I$7:$J$362,2,0)</f>
        <v>261.42330000000004</v>
      </c>
      <c r="AK80" s="61">
        <f>+VLOOKUP(AI80,benchmark!K$7:$L$362,2,0)</f>
        <v>249.822</v>
      </c>
      <c r="AP80" s="15">
        <v>43664</v>
      </c>
      <c r="AQ80" s="12">
        <f t="shared" si="48"/>
        <v>-1.2162700211226785E-4</v>
      </c>
      <c r="AR80" s="12">
        <f t="shared" si="48"/>
        <v>1.6438663737110559E-3</v>
      </c>
      <c r="AY80" s="15">
        <v>43664</v>
      </c>
      <c r="AZ80" s="12">
        <f t="shared" si="46"/>
        <v>9.3766902338172648E-4</v>
      </c>
    </row>
    <row r="81" spans="4:52" x14ac:dyDescent="0.75">
      <c r="D81" s="15">
        <v>43663</v>
      </c>
      <c r="E81" s="21">
        <f>+VLOOKUP(D81,Prezzi!$I$12:$J$367,2,0)</f>
        <v>5.1520320000000002</v>
      </c>
      <c r="F81" s="21">
        <f>+VLOOKUP(D81,Prezzi!$K$12:$L$367,2,0)/VLOOKUP(D81,Prezzi!$S$12:$T$367,2,0)</f>
        <v>267.06152474364694</v>
      </c>
      <c r="G81" s="1">
        <v>0</v>
      </c>
      <c r="H81" s="21">
        <f>+VLOOKUP(D81,Prezzi!$M$12:$N$367,2,0)/VLOOKUP(D81,Prezzi!$S$12:$T$367,2,0)</f>
        <v>22.604695497102096</v>
      </c>
      <c r="I81" s="1">
        <v>0</v>
      </c>
      <c r="J81" s="21">
        <f>+VLOOKUP(D81,Prezzi!$O$12:$P$367,2,0)/VLOOKUP(D81,Prezzi!$S$12:$T$367,2,0)</f>
        <v>48.313093178778423</v>
      </c>
      <c r="K81" s="1">
        <v>0</v>
      </c>
      <c r="L81" s="21">
        <f>+VLOOKUP(D81,Prezzi!$Q$12:$R$367,2,0)/VLOOKUP(D81,Prezzi!$S$12:$T$367,2,0)</f>
        <v>100.90464021399912</v>
      </c>
      <c r="M81" s="1">
        <v>0</v>
      </c>
      <c r="O81" s="1" t="str">
        <f t="shared" si="40"/>
        <v>201929</v>
      </c>
      <c r="P81" s="35">
        <v>43663</v>
      </c>
      <c r="Q81" s="12">
        <f t="shared" si="39"/>
        <v>2.2782001120873591E-3</v>
      </c>
      <c r="R81" s="12">
        <f t="shared" si="41"/>
        <v>-5.8264682892140186E-3</v>
      </c>
      <c r="S81" s="12">
        <f t="shared" si="42"/>
        <v>1.8573860180657144E-3</v>
      </c>
      <c r="T81" s="12">
        <f t="shared" si="43"/>
        <v>1.0945800330045134E-2</v>
      </c>
      <c r="U81" s="12">
        <f t="shared" si="44"/>
        <v>2.305132350231714E-3</v>
      </c>
      <c r="Y81" s="34"/>
      <c r="AI81" s="15">
        <v>43663</v>
      </c>
      <c r="AJ81" s="99">
        <f>+VLOOKUP(AI81,benchmark!I$7:$J$362,2,0)</f>
        <v>261.45510000000002</v>
      </c>
      <c r="AK81" s="61">
        <f>+VLOOKUP(AI81,benchmark!K$7:$L$362,2,0)</f>
        <v>249.41200000000001</v>
      </c>
      <c r="AP81" s="15">
        <v>43663</v>
      </c>
      <c r="AQ81" s="12">
        <f t="shared" si="48"/>
        <v>-4.5812355515755243E-3</v>
      </c>
      <c r="AR81" s="12">
        <f t="shared" si="48"/>
        <v>2.3107496071725908E-3</v>
      </c>
      <c r="AY81" s="15">
        <v>43663</v>
      </c>
      <c r="AZ81" s="12">
        <f t="shared" si="46"/>
        <v>-4.4604445632665554E-4</v>
      </c>
    </row>
    <row r="82" spans="4:52" x14ac:dyDescent="0.75">
      <c r="D82" s="15">
        <v>43662</v>
      </c>
      <c r="E82" s="21">
        <f>+VLOOKUP(D82,Prezzi!$I$12:$J$367,2,0)</f>
        <v>5.1403080000000001</v>
      </c>
      <c r="F82" s="21">
        <f>+VLOOKUP(D82,Prezzi!$K$12:$L$367,2,0)/VLOOKUP(D82,Prezzi!$S$12:$T$367,2,0)</f>
        <v>268.62209213222843</v>
      </c>
      <c r="G82" s="1">
        <v>0</v>
      </c>
      <c r="H82" s="21">
        <f>+VLOOKUP(D82,Prezzi!$M$12:$N$367,2,0)/VLOOKUP(D82,Prezzi!$S$12:$T$367,2,0)</f>
        <v>22.562748819388752</v>
      </c>
      <c r="I82" s="1">
        <v>0</v>
      </c>
      <c r="J82" s="21">
        <f>+VLOOKUP(D82,Prezzi!$O$12:$P$367,2,0)/VLOOKUP(D82,Prezzi!$S$12:$T$367,2,0)</f>
        <v>47.787151385547531</v>
      </c>
      <c r="K82" s="1">
        <v>0</v>
      </c>
      <c r="L82" s="21">
        <f>+VLOOKUP(D82,Prezzi!$Q$12:$R$367,2,0)/VLOOKUP(D82,Prezzi!$S$12:$T$367,2,0)</f>
        <v>100.67230954290297</v>
      </c>
      <c r="M82" s="1">
        <v>0</v>
      </c>
      <c r="O82" s="1" t="str">
        <f t="shared" si="40"/>
        <v>201929</v>
      </c>
      <c r="P82" s="35">
        <v>43662</v>
      </c>
      <c r="Q82" s="12">
        <f t="shared" si="39"/>
        <v>-3.5322383243207884E-4</v>
      </c>
      <c r="R82" s="12">
        <f t="shared" si="41"/>
        <v>7.1075583520275958E-4</v>
      </c>
      <c r="S82" s="12">
        <f t="shared" si="42"/>
        <v>5.831428150422026E-4</v>
      </c>
      <c r="T82" s="12">
        <f t="shared" si="43"/>
        <v>9.6169919169485064E-4</v>
      </c>
      <c r="U82" s="12">
        <f t="shared" si="44"/>
        <v>4.482284678734438E-3</v>
      </c>
      <c r="Y82" s="34"/>
      <c r="AI82" s="15">
        <v>43662</v>
      </c>
      <c r="AJ82" s="99">
        <f>+VLOOKUP(AI82,benchmark!I$7:$J$362,2,0)</f>
        <v>262.65839999999997</v>
      </c>
      <c r="AK82" s="61">
        <f>+VLOOKUP(AI82,benchmark!K$7:$L$362,2,0)</f>
        <v>248.83699999999999</v>
      </c>
      <c r="AP82" s="15">
        <v>43662</v>
      </c>
      <c r="AQ82" s="12">
        <f t="shared" si="48"/>
        <v>-2.1809616973587076E-3</v>
      </c>
      <c r="AR82" s="12">
        <f t="shared" si="48"/>
        <v>1.4085243896058142E-3</v>
      </c>
      <c r="AY82" s="15">
        <v>43662</v>
      </c>
      <c r="AZ82" s="12">
        <f t="shared" si="46"/>
        <v>-2.727004517999454E-5</v>
      </c>
    </row>
    <row r="83" spans="4:52" x14ac:dyDescent="0.75">
      <c r="D83" s="15">
        <v>43661</v>
      </c>
      <c r="E83" s="21">
        <f>+VLOOKUP(D83,Prezzi!$I$12:$J$367,2,0)</f>
        <v>5.1421239999999999</v>
      </c>
      <c r="F83" s="21">
        <f>+VLOOKUP(D83,Prezzi!$K$12:$L$367,2,0)/VLOOKUP(D83,Prezzi!$S$12:$T$367,2,0)</f>
        <v>268.43123524713815</v>
      </c>
      <c r="G83" s="1">
        <v>0</v>
      </c>
      <c r="H83" s="21">
        <f>+VLOOKUP(D83,Prezzi!$M$12:$N$367,2,0)/VLOOKUP(D83,Prezzi!$S$12:$T$367,2,0)</f>
        <v>22.549595350075428</v>
      </c>
      <c r="I83" s="1">
        <v>0</v>
      </c>
      <c r="J83" s="21">
        <f>+VLOOKUP(D83,Prezzi!$O$12:$P$367,2,0)/VLOOKUP(D83,Prezzi!$S$12:$T$367,2,0)</f>
        <v>47.741216611944267</v>
      </c>
      <c r="K83" s="1">
        <v>0</v>
      </c>
      <c r="L83" s="21">
        <f>+VLOOKUP(D83,Prezzi!$Q$12:$R$367,2,0)/VLOOKUP(D83,Prezzi!$S$12:$T$367,2,0)</f>
        <v>100.22207738042417</v>
      </c>
      <c r="M83" s="1">
        <v>0</v>
      </c>
      <c r="O83" s="1" t="str">
        <f t="shared" si="40"/>
        <v>201929</v>
      </c>
      <c r="P83" s="35">
        <v>43661</v>
      </c>
      <c r="Q83" s="12">
        <f t="shared" si="39"/>
        <v>1.3558062812983286E-3</v>
      </c>
      <c r="R83" s="12">
        <f t="shared" si="41"/>
        <v>-1.2482899367602229E-3</v>
      </c>
      <c r="S83" s="12">
        <f t="shared" si="42"/>
        <v>7.8843291601209098E-4</v>
      </c>
      <c r="T83" s="12">
        <f t="shared" si="43"/>
        <v>-6.555716245789364E-4</v>
      </c>
      <c r="U83" s="12">
        <f t="shared" si="44"/>
        <v>8.9842405695073492E-4</v>
      </c>
      <c r="Y83" s="34"/>
      <c r="AI83" s="15">
        <v>43661</v>
      </c>
      <c r="AJ83" s="99">
        <f>+VLOOKUP(AI83,benchmark!I$7:$J$362,2,0)</f>
        <v>263.23249999999996</v>
      </c>
      <c r="AK83" s="61">
        <f>+VLOOKUP(AI83,benchmark!K$7:$L$362,2,0)</f>
        <v>248.48699999999999</v>
      </c>
      <c r="AP83" s="15">
        <v>43661</v>
      </c>
      <c r="AQ83" s="12">
        <f t="shared" si="48"/>
        <v>1.4479636631881121E-3</v>
      </c>
      <c r="AR83" s="12">
        <f t="shared" si="48"/>
        <v>3.7202200625288118E-3</v>
      </c>
      <c r="AY83" s="15">
        <v>43661</v>
      </c>
      <c r="AZ83" s="12">
        <f t="shared" si="46"/>
        <v>2.8113175027925318E-3</v>
      </c>
    </row>
    <row r="84" spans="4:52" x14ac:dyDescent="0.75">
      <c r="D84" s="15">
        <v>43658</v>
      </c>
      <c r="E84" s="21">
        <f>+VLOOKUP(D84,Prezzi!$I$12:$J$367,2,0)</f>
        <v>5.1351570000000004</v>
      </c>
      <c r="F84" s="21">
        <f>+VLOOKUP(D84,Prezzi!$K$12:$L$367,2,0)/VLOOKUP(D84,Prezzi!$S$12:$T$367,2,0)</f>
        <v>268.7665244823603</v>
      </c>
      <c r="G84" s="1">
        <v>0</v>
      </c>
      <c r="H84" s="21">
        <f>+VLOOKUP(D84,Prezzi!$M$12:$N$367,2,0)/VLOOKUP(D84,Prezzi!$S$12:$T$367,2,0)</f>
        <v>22.531823513729673</v>
      </c>
      <c r="I84" s="1">
        <v>0</v>
      </c>
      <c r="J84" s="21">
        <f>+VLOOKUP(D84,Prezzi!$O$12:$P$367,2,0)/VLOOKUP(D84,Prezzi!$S$12:$T$367,2,0)</f>
        <v>47.772524660090646</v>
      </c>
      <c r="K84" s="1">
        <v>0</v>
      </c>
      <c r="L84" s="21">
        <f>+VLOOKUP(D84,Prezzi!$Q$12:$R$367,2,0)/VLOOKUP(D84,Prezzi!$S$12:$T$367,2,0)</f>
        <v>100.13207589087355</v>
      </c>
      <c r="M84" s="1">
        <v>0</v>
      </c>
      <c r="O84" s="1" t="str">
        <f t="shared" si="40"/>
        <v>201928</v>
      </c>
      <c r="P84" s="35">
        <v>43658</v>
      </c>
      <c r="Q84" s="12">
        <f t="shared" si="39"/>
        <v>-5.6515891317574787E-4</v>
      </c>
      <c r="R84" s="12">
        <f t="shared" si="41"/>
        <v>7.5398308732400393E-3</v>
      </c>
      <c r="S84" s="12">
        <f t="shared" si="42"/>
        <v>8.590504143464921E-4</v>
      </c>
      <c r="T84" s="12">
        <f t="shared" si="43"/>
        <v>7.3169587299826274E-3</v>
      </c>
      <c r="U84" s="12">
        <f t="shared" si="44"/>
        <v>2.185676427748133E-3</v>
      </c>
      <c r="Y84" s="34"/>
      <c r="AI84" s="15">
        <v>43658</v>
      </c>
      <c r="AJ84" s="99">
        <f>+VLOOKUP(AI84,benchmark!I$7:$J$362,2,0)</f>
        <v>262.8519</v>
      </c>
      <c r="AK84" s="61">
        <f>+VLOOKUP(AI84,benchmark!K$7:$L$362,2,0)</f>
        <v>247.566</v>
      </c>
      <c r="AP84" s="15">
        <v>43658</v>
      </c>
      <c r="AQ84" s="12">
        <f t="shared" si="48"/>
        <v>2.5015637156935444E-3</v>
      </c>
      <c r="AR84" s="12">
        <f t="shared" si="48"/>
        <v>-2.204640627456067E-3</v>
      </c>
      <c r="AY84" s="15">
        <v>43658</v>
      </c>
      <c r="AZ84" s="12">
        <f t="shared" si="46"/>
        <v>-3.2215889019622241E-4</v>
      </c>
    </row>
    <row r="85" spans="4:52" x14ac:dyDescent="0.75">
      <c r="D85" s="15">
        <v>43657</v>
      </c>
      <c r="E85" s="21">
        <f>+VLOOKUP(D85,Prezzi!$I$12:$J$367,2,0)</f>
        <v>5.1380600000000003</v>
      </c>
      <c r="F85" s="21">
        <f>+VLOOKUP(D85,Prezzi!$K$12:$L$367,2,0)/VLOOKUP(D85,Prezzi!$S$12:$T$367,2,0)</f>
        <v>266.74769073992024</v>
      </c>
      <c r="G85" s="1">
        <v>0</v>
      </c>
      <c r="H85" s="21">
        <f>+VLOOKUP(D85,Prezzi!$M$12:$N$367,2,0)/VLOOKUP(D85,Prezzi!$S$12:$T$367,2,0)</f>
        <v>22.512475852902078</v>
      </c>
      <c r="I85" s="1">
        <v>0</v>
      </c>
      <c r="J85" s="21">
        <f>+VLOOKUP(D85,Prezzi!$O$12:$P$367,2,0)/VLOOKUP(D85,Prezzi!$S$12:$T$367,2,0)</f>
        <v>47.424250775365529</v>
      </c>
      <c r="K85" s="1">
        <v>0</v>
      </c>
      <c r="L85" s="21">
        <f>+VLOOKUP(D85,Prezzi!$Q$12:$R$367,2,0)/VLOOKUP(D85,Prezzi!$S$12:$T$367,2,0)</f>
        <v>99.913458573327418</v>
      </c>
      <c r="M85" s="1">
        <v>0</v>
      </c>
      <c r="O85" s="1" t="str">
        <f t="shared" si="40"/>
        <v>201928</v>
      </c>
      <c r="P85" s="35">
        <v>43657</v>
      </c>
      <c r="Q85" s="12">
        <f t="shared" si="39"/>
        <v>-1.9585483608809519E-3</v>
      </c>
      <c r="R85" s="12">
        <f t="shared" si="41"/>
        <v>-3.4934324636983166E-3</v>
      </c>
      <c r="S85" s="12">
        <f t="shared" si="42"/>
        <v>-7.2133647079797832E-3</v>
      </c>
      <c r="T85" s="12">
        <f t="shared" si="43"/>
        <v>-1.079979771098211E-2</v>
      </c>
      <c r="U85" s="12">
        <f t="shared" si="44"/>
        <v>-6.3349501739806708E-3</v>
      </c>
      <c r="Y85" s="34"/>
      <c r="AI85" s="15">
        <v>43657</v>
      </c>
      <c r="AJ85" s="99">
        <f>+VLOOKUP(AI85,benchmark!I$7:$J$362,2,0)</f>
        <v>262.19600000000003</v>
      </c>
      <c r="AK85" s="61">
        <f>+VLOOKUP(AI85,benchmark!K$7:$L$362,2,0)</f>
        <v>248.113</v>
      </c>
      <c r="AP85" s="15">
        <v>43657</v>
      </c>
      <c r="AQ85" s="12">
        <f t="shared" si="48"/>
        <v>2.4101028575622685E-3</v>
      </c>
      <c r="AR85" s="12">
        <f t="shared" si="48"/>
        <v>-2.6209474805538591E-3</v>
      </c>
      <c r="AY85" s="15">
        <v>43657</v>
      </c>
      <c r="AZ85" s="12">
        <f t="shared" si="46"/>
        <v>-6.0852734530740798E-4</v>
      </c>
    </row>
    <row r="86" spans="4:52" x14ac:dyDescent="0.75">
      <c r="D86" s="15">
        <v>43656</v>
      </c>
      <c r="E86" s="21">
        <f>+VLOOKUP(D86,Prezzi!$I$12:$J$367,2,0)</f>
        <v>5.1481329999999996</v>
      </c>
      <c r="F86" s="21">
        <f>+VLOOKUP(D86,Prezzi!$K$12:$L$367,2,0)/VLOOKUP(D86,Prezzi!$S$12:$T$367,2,0)</f>
        <v>267.68118538324416</v>
      </c>
      <c r="G86" s="1">
        <v>0</v>
      </c>
      <c r="H86" s="21">
        <f>+VLOOKUP(D86,Prezzi!$M$12:$N$367,2,0)/VLOOKUP(D86,Prezzi!$S$12:$T$367,2,0)</f>
        <v>22.675453654188946</v>
      </c>
      <c r="I86" s="1">
        <v>0</v>
      </c>
      <c r="J86" s="21">
        <f>+VLOOKUP(D86,Prezzi!$O$12:$P$367,2,0)/VLOOKUP(D86,Prezzi!$S$12:$T$367,2,0)</f>
        <v>47.939198752228158</v>
      </c>
      <c r="K86" s="1">
        <v>0</v>
      </c>
      <c r="L86" s="21">
        <f>+VLOOKUP(D86,Prezzi!$Q$12:$R$367,2,0)/VLOOKUP(D86,Prezzi!$S$12:$T$367,2,0)</f>
        <v>100.54841443850266</v>
      </c>
      <c r="M86" s="1">
        <v>0</v>
      </c>
      <c r="O86" s="1" t="str">
        <f t="shared" si="40"/>
        <v>201928</v>
      </c>
      <c r="P86" s="35">
        <v>43656</v>
      </c>
      <c r="Q86" s="12">
        <f t="shared" si="39"/>
        <v>-1.0320745826950324E-3</v>
      </c>
      <c r="R86" s="12">
        <f t="shared" si="41"/>
        <v>3.1779304399358397E-3</v>
      </c>
      <c r="S86" s="12">
        <f t="shared" si="42"/>
        <v>-1.3559910317817627E-3</v>
      </c>
      <c r="T86" s="12">
        <f t="shared" si="43"/>
        <v>8.9162296647357555E-3</v>
      </c>
      <c r="U86" s="12">
        <f t="shared" si="44"/>
        <v>-1.0713928299284849E-3</v>
      </c>
      <c r="Y86" s="34"/>
      <c r="AI86" s="15">
        <v>43656</v>
      </c>
      <c r="AJ86" s="99">
        <f>+VLOOKUP(AI86,benchmark!I$7:$J$362,2,0)</f>
        <v>261.56560000000002</v>
      </c>
      <c r="AK86" s="61">
        <f>+VLOOKUP(AI86,benchmark!K$7:$L$362,2,0)</f>
        <v>248.76499999999999</v>
      </c>
      <c r="AP86" s="15">
        <v>43656</v>
      </c>
      <c r="AQ86" s="12">
        <f t="shared" si="48"/>
        <v>3.7542121200841994E-3</v>
      </c>
      <c r="AR86" s="12">
        <f t="shared" si="48"/>
        <v>-2.1019780255044918E-3</v>
      </c>
      <c r="AY86" s="15">
        <v>43656</v>
      </c>
      <c r="AZ86" s="12">
        <f t="shared" si="46"/>
        <v>2.4049803273098482E-4</v>
      </c>
    </row>
    <row r="87" spans="4:52" x14ac:dyDescent="0.75">
      <c r="D87" s="15">
        <v>43655</v>
      </c>
      <c r="E87" s="21">
        <f>+VLOOKUP(D87,Prezzi!$I$12:$J$367,2,0)</f>
        <v>5.1534490000000002</v>
      </c>
      <c r="F87" s="21">
        <f>+VLOOKUP(D87,Prezzi!$K$12:$L$367,2,0)/VLOOKUP(D87,Prezzi!$S$12:$T$367,2,0)</f>
        <v>266.83186345381523</v>
      </c>
      <c r="G87" s="1">
        <v>0</v>
      </c>
      <c r="H87" s="21">
        <f>+VLOOKUP(D87,Prezzi!$M$12:$N$367,2,0)/VLOOKUP(D87,Prezzi!$S$12:$T$367,2,0)</f>
        <v>22.706222222222223</v>
      </c>
      <c r="I87" s="1">
        <v>0</v>
      </c>
      <c r="J87" s="21">
        <f>+VLOOKUP(D87,Prezzi!$O$12:$P$367,2,0)/VLOOKUP(D87,Prezzi!$S$12:$T$367,2,0)</f>
        <v>47.513661758143684</v>
      </c>
      <c r="K87" s="1">
        <v>0</v>
      </c>
      <c r="L87" s="21">
        <f>+VLOOKUP(D87,Prezzi!$Q$12:$R$367,2,0)/VLOOKUP(D87,Prezzi!$S$12:$T$367,2,0)</f>
        <v>100.6561990182954</v>
      </c>
      <c r="M87" s="1">
        <v>0</v>
      </c>
      <c r="O87" s="1" t="str">
        <f t="shared" si="40"/>
        <v>201928</v>
      </c>
      <c r="P87" s="35">
        <v>43655</v>
      </c>
      <c r="Q87" s="12">
        <f t="shared" si="39"/>
        <v>-1.040508855144216E-3</v>
      </c>
      <c r="R87" s="12">
        <f t="shared" si="41"/>
        <v>2.4373443640326471E-3</v>
      </c>
      <c r="S87" s="12">
        <f t="shared" si="42"/>
        <v>-6.4749343310124808E-4</v>
      </c>
      <c r="T87" s="12">
        <f t="shared" si="43"/>
        <v>1.9222111627951186E-3</v>
      </c>
      <c r="U87" s="12">
        <f t="shared" si="44"/>
        <v>-1.6321729404833256E-3</v>
      </c>
      <c r="Y87" s="34"/>
      <c r="AI87" s="15">
        <v>43655</v>
      </c>
      <c r="AJ87" s="99">
        <f>+VLOOKUP(AI87,benchmark!I$7:$J$362,2,0)</f>
        <v>260.58730000000003</v>
      </c>
      <c r="AK87" s="61">
        <f>+VLOOKUP(AI87,benchmark!K$7:$L$362,2,0)</f>
        <v>249.28899999999999</v>
      </c>
      <c r="AP87" s="15">
        <v>43655</v>
      </c>
      <c r="AQ87" s="12">
        <f t="shared" si="48"/>
        <v>-6.7187574900517966E-4</v>
      </c>
      <c r="AR87" s="12">
        <f t="shared" si="48"/>
        <v>-1.2339891905752687E-3</v>
      </c>
      <c r="AY87" s="15">
        <v>43655</v>
      </c>
      <c r="AZ87" s="12">
        <f t="shared" si="46"/>
        <v>-1.0091438139472331E-3</v>
      </c>
    </row>
    <row r="88" spans="4:52" x14ac:dyDescent="0.75">
      <c r="D88" s="15">
        <v>43654</v>
      </c>
      <c r="E88" s="21">
        <f>+VLOOKUP(D88,Prezzi!$I$12:$J$367,2,0)</f>
        <v>5.1588139999999996</v>
      </c>
      <c r="F88" s="21">
        <f>+VLOOKUP(D88,Prezzi!$K$12:$L$367,2,0)/VLOOKUP(D88,Prezzi!$S$12:$T$367,2,0)</f>
        <v>266.18229424877399</v>
      </c>
      <c r="G88" s="1">
        <v>0</v>
      </c>
      <c r="H88" s="21">
        <f>+VLOOKUP(D88,Prezzi!$M$12:$N$367,2,0)/VLOOKUP(D88,Prezzi!$S$12:$T$367,2,0)</f>
        <v>22.720929112795364</v>
      </c>
      <c r="I88" s="1">
        <v>0</v>
      </c>
      <c r="J88" s="21">
        <f>+VLOOKUP(D88,Prezzi!$O$12:$P$367,2,0)/VLOOKUP(D88,Prezzi!$S$12:$T$367,2,0)</f>
        <v>47.422418189924208</v>
      </c>
      <c r="K88" s="1">
        <v>0</v>
      </c>
      <c r="L88" s="21">
        <f>+VLOOKUP(D88,Prezzi!$Q$12:$R$367,2,0)/VLOOKUP(D88,Prezzi!$S$12:$T$367,2,0)</f>
        <v>100.82062148907714</v>
      </c>
      <c r="M88" s="126">
        <f>0.44/VLOOKUP(D88,Prezzi!$S$12:$T$367,2,0)</f>
        <v>0.39233169861792244</v>
      </c>
      <c r="O88" s="1" t="str">
        <f t="shared" si="40"/>
        <v>201928</v>
      </c>
      <c r="P88" s="35">
        <v>43654</v>
      </c>
      <c r="Q88" s="12">
        <f t="shared" si="39"/>
        <v>1.880453927730401E-4</v>
      </c>
      <c r="R88" s="12">
        <f t="shared" si="41"/>
        <v>-8.2776564095419082E-4</v>
      </c>
      <c r="S88" s="12">
        <f t="shared" si="42"/>
        <v>3.892105124834839E-3</v>
      </c>
      <c r="T88" s="12">
        <f t="shared" si="43"/>
        <v>2.5960445831004508E-3</v>
      </c>
      <c r="U88" s="12">
        <f t="shared" si="44"/>
        <v>6.2532262924586881E-3</v>
      </c>
      <c r="Y88" s="34"/>
      <c r="AI88" s="15">
        <v>43654</v>
      </c>
      <c r="AJ88" s="99">
        <f>+VLOOKUP(AI88,benchmark!I$7:$J$362,2,0)</f>
        <v>260.76249999999999</v>
      </c>
      <c r="AK88" s="61">
        <f>+VLOOKUP(AI88,benchmark!K$7:$L$362,2,0)</f>
        <v>249.59700000000001</v>
      </c>
      <c r="AP88" s="15">
        <v>43654</v>
      </c>
      <c r="AQ88" s="12">
        <f t="shared" si="48"/>
        <v>-5.8346985373985971E-3</v>
      </c>
      <c r="AR88" s="12">
        <f t="shared" si="48"/>
        <v>-1.241847869628554E-4</v>
      </c>
      <c r="AY88" s="15">
        <v>43654</v>
      </c>
      <c r="AZ88" s="12">
        <f t="shared" si="46"/>
        <v>-2.408390287137152E-3</v>
      </c>
    </row>
    <row r="89" spans="4:52" x14ac:dyDescent="0.75">
      <c r="D89" s="15">
        <v>43651</v>
      </c>
      <c r="E89" s="21">
        <f>+VLOOKUP(D89,Prezzi!$I$12:$J$367,2,0)</f>
        <v>5.1578439999999999</v>
      </c>
      <c r="F89" s="21">
        <f>+VLOOKUP(D89,Prezzi!$K$12:$L$367,2,0)/VLOOKUP(D89,Prezzi!$S$12:$T$367,2,0)</f>
        <v>266.40272202486682</v>
      </c>
      <c r="G89" s="1">
        <v>0</v>
      </c>
      <c r="H89" s="21">
        <f>+VLOOKUP(D89,Prezzi!$M$12:$N$367,2,0)/VLOOKUP(D89,Prezzi!$S$12:$T$367,2,0)</f>
        <v>22.632668738898758</v>
      </c>
      <c r="I89" s="1">
        <v>0</v>
      </c>
      <c r="J89" s="21">
        <f>+VLOOKUP(D89,Prezzi!$O$12:$P$367,2,0)/VLOOKUP(D89,Prezzi!$S$12:$T$367,2,0)</f>
        <v>47.29946714031972</v>
      </c>
      <c r="K89" s="1">
        <v>0</v>
      </c>
      <c r="L89" s="21">
        <f>+VLOOKUP(D89,Prezzi!$Q$12:$R$367,2,0)/VLOOKUP(D89,Prezzi!$S$12:$T$367,2,0)</f>
        <v>100.58202042628776</v>
      </c>
      <c r="M89" s="1">
        <v>0</v>
      </c>
      <c r="O89" s="1" t="str">
        <f t="shared" si="40"/>
        <v>201927</v>
      </c>
      <c r="P89" s="35">
        <v>43651</v>
      </c>
      <c r="Q89" s="12">
        <f t="shared" ref="Q89:Q152" si="54">+LN(E89/E90)</f>
        <v>-3.258452272271237E-3</v>
      </c>
      <c r="R89" s="12">
        <f t="shared" si="41"/>
        <v>1.2208303286371854E-3</v>
      </c>
      <c r="S89" s="12">
        <f t="shared" si="42"/>
        <v>-1.0377766467707153E-2</v>
      </c>
      <c r="T89" s="12">
        <f t="shared" si="43"/>
        <v>-1.0987002881707808E-2</v>
      </c>
      <c r="U89" s="12">
        <f t="shared" si="44"/>
        <v>8.1098000895688037E-4</v>
      </c>
      <c r="Y89" s="34"/>
      <c r="AI89" s="15">
        <v>43651</v>
      </c>
      <c r="AJ89" s="99">
        <f>+VLOOKUP(AI89,benchmark!I$7:$J$362,2,0)</f>
        <v>262.29290000000003</v>
      </c>
      <c r="AK89" s="61">
        <f>+VLOOKUP(AI89,benchmark!K$7:$L$362,2,0)</f>
        <v>249.62799999999999</v>
      </c>
      <c r="AP89" s="15">
        <v>43651</v>
      </c>
      <c r="AQ89" s="12">
        <f t="shared" si="48"/>
        <v>-2.9641996299880624E-3</v>
      </c>
      <c r="AR89" s="12">
        <f t="shared" si="48"/>
        <v>-3.2184128353179853E-3</v>
      </c>
      <c r="AY89" s="15">
        <v>43651</v>
      </c>
      <c r="AZ89" s="12">
        <f t="shared" si="46"/>
        <v>-3.1167275531860162E-3</v>
      </c>
    </row>
    <row r="90" spans="4:52" x14ac:dyDescent="0.75">
      <c r="D90" s="15">
        <v>43649</v>
      </c>
      <c r="E90" s="21">
        <f>+VLOOKUP(D90,Prezzi!$I$12:$J$367,2,0)</f>
        <v>5.1746780000000001</v>
      </c>
      <c r="F90" s="21">
        <f>+VLOOKUP(D90,Prezzi!$K$12:$L$367,2,0)/VLOOKUP(D90,Prezzi!$S$12:$T$367,2,0)</f>
        <v>266.07768794828655</v>
      </c>
      <c r="G90" s="1">
        <v>0</v>
      </c>
      <c r="H90" s="21">
        <f>+VLOOKUP(D90,Prezzi!$M$12:$N$367,2,0)/VLOOKUP(D90,Prezzi!$S$12:$T$367,2,0)</f>
        <v>22.868768263526078</v>
      </c>
      <c r="I90" s="1">
        <v>0</v>
      </c>
      <c r="J90" s="21">
        <f>+VLOOKUP(D90,Prezzi!$O$12:$P$367,2,0)/VLOOKUP(D90,Prezzi!$S$12:$T$367,2,0)</f>
        <v>47.822011865757553</v>
      </c>
      <c r="K90" s="1">
        <v>0</v>
      </c>
      <c r="L90" s="21">
        <f>+VLOOKUP(D90,Prezzi!$Q$12:$R$367,2,0)/VLOOKUP(D90,Prezzi!$S$12:$T$367,2,0)</f>
        <v>100.50048348534492</v>
      </c>
      <c r="M90" s="1">
        <v>0</v>
      </c>
      <c r="O90" s="1" t="str">
        <f t="shared" ref="O90:O153" si="55">+YEAR( P90) &amp; WEEKNUM(P90,2)</f>
        <v>201927</v>
      </c>
      <c r="P90" s="35">
        <v>43649</v>
      </c>
      <c r="Q90" s="12">
        <f t="shared" si="54"/>
        <v>3.8367234041379464E-4</v>
      </c>
      <c r="R90" s="12">
        <f t="shared" ref="R90:R153" si="56">+LN((F90+G90)/F91)</f>
        <v>8.5887603520043796E-3</v>
      </c>
      <c r="S90" s="12">
        <f t="shared" ref="S90:S153" si="57">+LN((H90+I90)/H91)</f>
        <v>9.6149530689670949E-3</v>
      </c>
      <c r="T90" s="12">
        <f t="shared" ref="T90:T153" si="58">+LN((J90+K90)/J91)</f>
        <v>8.2515033055014265E-3</v>
      </c>
      <c r="U90" s="12">
        <f t="shared" ref="U90:U153" si="59">+LN((L90+M90)/L91)</f>
        <v>3.4729956468549754E-3</v>
      </c>
      <c r="Y90" s="34"/>
      <c r="AI90" s="15">
        <v>43649</v>
      </c>
      <c r="AJ90" s="99">
        <f>+VLOOKUP(AI90,benchmark!I$7:$J$362,2,0)</f>
        <v>263.0727</v>
      </c>
      <c r="AK90" s="61">
        <f>+VLOOKUP(AI90,benchmark!K$7:$L$362,2,0)</f>
        <v>250.434</v>
      </c>
      <c r="AP90" s="15">
        <v>43649</v>
      </c>
      <c r="AQ90" s="12">
        <f t="shared" si="48"/>
        <v>5.6161328116788312E-3</v>
      </c>
      <c r="AR90" s="12">
        <f t="shared" si="48"/>
        <v>5.6055702342614477E-3</v>
      </c>
      <c r="AY90" s="15">
        <v>43649</v>
      </c>
      <c r="AZ90" s="12">
        <f t="shared" ref="AZ90:AZ153" si="60">+SUMPRODUCT($AV$4:$AW$4,AQ90:AR90)</f>
        <v>5.6097952652284008E-3</v>
      </c>
    </row>
    <row r="91" spans="4:52" x14ac:dyDescent="0.75">
      <c r="D91" s="15">
        <v>43648</v>
      </c>
      <c r="E91" s="21">
        <f>+VLOOKUP(D91,Prezzi!$I$12:$J$367,2,0)</f>
        <v>5.1726929999999998</v>
      </c>
      <c r="F91" s="21">
        <f>+VLOOKUP(D91,Prezzi!$K$12:$L$367,2,0)/VLOOKUP(D91,Prezzi!$S$12:$T$367,2,0)</f>
        <v>263.80219626581714</v>
      </c>
      <c r="G91" s="1">
        <v>0</v>
      </c>
      <c r="H91" s="21">
        <f>+VLOOKUP(D91,Prezzi!$M$12:$N$367,2,0)/VLOOKUP(D91,Prezzi!$S$12:$T$367,2,0)</f>
        <v>22.649939828333771</v>
      </c>
      <c r="I91" s="1">
        <v>0</v>
      </c>
      <c r="J91" s="21">
        <f>+VLOOKUP(D91,Prezzi!$O$12:$P$367,2,0)/VLOOKUP(D91,Prezzi!$S$12:$T$367,2,0)</f>
        <v>47.429031944075746</v>
      </c>
      <c r="K91" s="1">
        <v>0</v>
      </c>
      <c r="L91" s="21">
        <f>+VLOOKUP(D91,Prezzi!$Q$12:$R$367,2,0)/VLOOKUP(D91,Prezzi!$S$12:$T$367,2,0)</f>
        <v>100.15205114591627</v>
      </c>
      <c r="M91" s="1">
        <v>0</v>
      </c>
      <c r="O91" s="1" t="str">
        <f t="shared" si="55"/>
        <v>201927</v>
      </c>
      <c r="P91" s="35">
        <v>43648</v>
      </c>
      <c r="Q91" s="12">
        <f t="shared" si="54"/>
        <v>2.5524103595899097E-3</v>
      </c>
      <c r="R91" s="12">
        <f t="shared" si="56"/>
        <v>7.2046982372623173E-3</v>
      </c>
      <c r="S91" s="12">
        <f t="shared" si="57"/>
        <v>9.236176619483694E-3</v>
      </c>
      <c r="T91" s="12">
        <f t="shared" si="58"/>
        <v>1.9420675854611977E-2</v>
      </c>
      <c r="U91" s="12">
        <f t="shared" si="59"/>
        <v>5.3387215085189555E-3</v>
      </c>
      <c r="Y91" s="34"/>
      <c r="AI91" s="15">
        <v>43648</v>
      </c>
      <c r="AJ91" s="99">
        <f>+VLOOKUP(AI91,benchmark!I$7:$J$362,2,0)</f>
        <v>261.6035</v>
      </c>
      <c r="AK91" s="61">
        <f>+VLOOKUP(AI91,benchmark!K$7:$L$362,2,0)</f>
        <v>249.03800000000001</v>
      </c>
      <c r="AP91" s="15">
        <v>43648</v>
      </c>
      <c r="AQ91" s="12">
        <f t="shared" si="48"/>
        <v>2.62072967276894E-3</v>
      </c>
      <c r="AR91" s="12">
        <f t="shared" si="48"/>
        <v>9.7670773126479205E-4</v>
      </c>
      <c r="AY91" s="15">
        <v>43648</v>
      </c>
      <c r="AZ91" s="12">
        <f t="shared" si="60"/>
        <v>1.6343165078664514E-3</v>
      </c>
    </row>
    <row r="92" spans="4:52" x14ac:dyDescent="0.75">
      <c r="D92" s="15">
        <v>43647</v>
      </c>
      <c r="E92" s="21">
        <f>+VLOOKUP(D92,Prezzi!$I$12:$J$367,2,0)</f>
        <v>5.1595069999999996</v>
      </c>
      <c r="F92" s="21">
        <f>+VLOOKUP(D92,Prezzi!$K$12:$L$367,2,0)/VLOOKUP(D92,Prezzi!$S$12:$T$367,2,0)</f>
        <v>261.90841131377209</v>
      </c>
      <c r="G92" s="1">
        <v>0</v>
      </c>
      <c r="H92" s="21">
        <f>+VLOOKUP(D92,Prezzi!$M$12:$N$367,2,0)/VLOOKUP(D92,Prezzi!$S$12:$T$367,2,0)</f>
        <v>22.441704114899991</v>
      </c>
      <c r="I92" s="1">
        <v>0</v>
      </c>
      <c r="J92" s="21">
        <f>+VLOOKUP(D92,Prezzi!$O$12:$P$367,2,0)/VLOOKUP(D92,Prezzi!$S$12:$T$367,2,0)</f>
        <v>46.516814697330162</v>
      </c>
      <c r="K92" s="1">
        <v>0</v>
      </c>
      <c r="L92" s="21">
        <f>+VLOOKUP(D92,Prezzi!$Q$12:$R$367,2,0)/VLOOKUP(D92,Prezzi!$S$12:$T$367,2,0)</f>
        <v>99.618791964049692</v>
      </c>
      <c r="M92" s="1">
        <v>0</v>
      </c>
      <c r="O92" s="1" t="str">
        <f t="shared" si="55"/>
        <v>201927</v>
      </c>
      <c r="P92" s="35">
        <v>43647</v>
      </c>
      <c r="Q92" s="12">
        <f t="shared" si="54"/>
        <v>1.7614084333815469E-3</v>
      </c>
      <c r="R92" s="12">
        <f t="shared" si="56"/>
        <v>1.0373707849146728E-2</v>
      </c>
      <c r="S92" s="12">
        <f t="shared" si="57"/>
        <v>1.4907064743728171E-3</v>
      </c>
      <c r="T92" s="12">
        <f t="shared" si="58"/>
        <v>-1.4939343359673656E-2</v>
      </c>
      <c r="U92" s="12">
        <f t="shared" si="59"/>
        <v>4.1234757637679835E-3</v>
      </c>
      <c r="Y92" s="34"/>
      <c r="AI92" s="15">
        <v>43647</v>
      </c>
      <c r="AJ92" s="99">
        <f>+VLOOKUP(AI92,benchmark!I$7:$J$362,2,0)</f>
        <v>260.91970000000003</v>
      </c>
      <c r="AK92" s="61">
        <f>+VLOOKUP(AI92,benchmark!K$7:$L$362,2,0)</f>
        <v>248.79499999999999</v>
      </c>
      <c r="AP92" s="15">
        <v>43647</v>
      </c>
      <c r="AQ92" s="12">
        <f t="shared" si="48"/>
        <v>6.6828042699573764E-3</v>
      </c>
      <c r="AR92" s="12">
        <f t="shared" si="48"/>
        <v>3.8087399284247869E-3</v>
      </c>
      <c r="AY92" s="15">
        <v>43647</v>
      </c>
      <c r="AZ92" s="12">
        <f t="shared" si="60"/>
        <v>4.9583656650378227E-3</v>
      </c>
    </row>
    <row r="93" spans="4:52" x14ac:dyDescent="0.75">
      <c r="D93" s="15">
        <v>43644</v>
      </c>
      <c r="E93" s="21">
        <f>+VLOOKUP(D93,Prezzi!$I$12:$J$367,2,0)</f>
        <v>5.1504269999999996</v>
      </c>
      <c r="F93" s="21">
        <f>+VLOOKUP(D93,Prezzi!$K$12:$L$367,2,0)/VLOOKUP(D93,Prezzi!$S$12:$T$367,2,0)</f>
        <v>259.20549384885766</v>
      </c>
      <c r="G93" s="1">
        <v>0</v>
      </c>
      <c r="H93" s="21">
        <f>+VLOOKUP(D93,Prezzi!$M$12:$N$367,2,0)/VLOOKUP(D93,Prezzi!$S$12:$T$367,2,0)</f>
        <v>22.408275043936733</v>
      </c>
      <c r="I93" s="1">
        <v>0</v>
      </c>
      <c r="J93" s="21">
        <f>+VLOOKUP(D93,Prezzi!$O$12:$P$367,2,0)/VLOOKUP(D93,Prezzi!$S$12:$T$367,2,0)</f>
        <v>47.216962214411254</v>
      </c>
      <c r="K93" s="1">
        <v>0</v>
      </c>
      <c r="L93" s="21">
        <f>+VLOOKUP(D93,Prezzi!$Q$12:$R$367,2,0)/VLOOKUP(D93,Prezzi!$S$12:$T$367,2,0)</f>
        <v>99.208862038664336</v>
      </c>
      <c r="M93" s="1">
        <v>0</v>
      </c>
      <c r="O93" s="1" t="str">
        <f t="shared" si="55"/>
        <v>201926</v>
      </c>
      <c r="P93" s="35">
        <v>43644</v>
      </c>
      <c r="Q93" s="12">
        <f t="shared" si="54"/>
        <v>3.7770991531707311E-4</v>
      </c>
      <c r="R93" s="12">
        <f t="shared" si="56"/>
        <v>4.9079864995684661E-3</v>
      </c>
      <c r="S93" s="12">
        <f t="shared" si="57"/>
        <v>6.1621073264934486E-3</v>
      </c>
      <c r="T93" s="12">
        <f t="shared" si="58"/>
        <v>4.8712064847340378E-4</v>
      </c>
      <c r="U93" s="12">
        <f t="shared" si="59"/>
        <v>3.4014628319131165E-4</v>
      </c>
      <c r="Y93" s="34"/>
      <c r="AI93" s="15">
        <v>43644</v>
      </c>
      <c r="AJ93" s="99">
        <f>+VLOOKUP(AI93,benchmark!I$7:$J$362,2,0)</f>
        <v>259.18760000000003</v>
      </c>
      <c r="AK93" s="61">
        <f>+VLOOKUP(AI93,benchmark!K$7:$L$362,2,0)</f>
        <v>247.851</v>
      </c>
      <c r="AP93" s="15">
        <v>43644</v>
      </c>
      <c r="AQ93" s="12">
        <f t="shared" si="48"/>
        <v>4.874572704331559E-3</v>
      </c>
      <c r="AR93" s="12">
        <f t="shared" si="48"/>
        <v>8.6820979179114133E-4</v>
      </c>
      <c r="AY93" s="15">
        <v>43644</v>
      </c>
      <c r="AZ93" s="12">
        <f t="shared" si="60"/>
        <v>2.4707549568073082E-3</v>
      </c>
    </row>
    <row r="94" spans="4:52" x14ac:dyDescent="0.75">
      <c r="D94" s="15">
        <v>43643</v>
      </c>
      <c r="E94" s="21">
        <f>+VLOOKUP(D94,Prezzi!$I$12:$J$367,2,0)</f>
        <v>5.1484819999999996</v>
      </c>
      <c r="F94" s="21">
        <f>+VLOOKUP(D94,Prezzi!$K$12:$L$367,2,0)/VLOOKUP(D94,Prezzi!$S$12:$T$367,2,0)</f>
        <v>257.93643359718561</v>
      </c>
      <c r="G94" s="1">
        <v>0</v>
      </c>
      <c r="H94" s="21">
        <f>+VLOOKUP(D94,Prezzi!$M$12:$N$367,2,0)/VLOOKUP(D94,Prezzi!$S$12:$T$367,2,0)</f>
        <v>22.270617414248019</v>
      </c>
      <c r="I94" s="1">
        <v>0</v>
      </c>
      <c r="J94" s="21">
        <f>+VLOOKUP(D94,Prezzi!$O$12:$P$367,2,0)/VLOOKUP(D94,Prezzi!$S$12:$T$367,2,0)</f>
        <v>47.193967458223391</v>
      </c>
      <c r="K94" s="1">
        <v>0</v>
      </c>
      <c r="L94" s="21">
        <f>+VLOOKUP(D94,Prezzi!$Q$12:$R$367,2,0)/VLOOKUP(D94,Prezzi!$S$12:$T$367,2,0)</f>
        <v>99.175122251539136</v>
      </c>
      <c r="M94" s="1">
        <v>0</v>
      </c>
      <c r="O94" s="1" t="str">
        <f t="shared" si="55"/>
        <v>201926</v>
      </c>
      <c r="P94" s="35">
        <v>43643</v>
      </c>
      <c r="Q94" s="12">
        <f t="shared" si="54"/>
        <v>6.0793671092828868E-4</v>
      </c>
      <c r="R94" s="12">
        <f t="shared" si="56"/>
        <v>3.2646174563681729E-3</v>
      </c>
      <c r="S94" s="12">
        <f t="shared" si="57"/>
        <v>-5.2118194586411159E-3</v>
      </c>
      <c r="T94" s="12">
        <f t="shared" si="58"/>
        <v>-2.4957586342700447E-3</v>
      </c>
      <c r="U94" s="12">
        <f t="shared" si="59"/>
        <v>5.8540630809204603E-4</v>
      </c>
      <c r="Y94" s="34"/>
      <c r="AI94" s="15">
        <v>43643</v>
      </c>
      <c r="AJ94" s="99">
        <f>+VLOOKUP(AI94,benchmark!I$7:$J$362,2,0)</f>
        <v>257.93029999999999</v>
      </c>
      <c r="AK94" s="61">
        <f>+VLOOKUP(AI94,benchmark!K$7:$L$362,2,0)</f>
        <v>247.636</v>
      </c>
      <c r="AP94" s="15">
        <v>43643</v>
      </c>
      <c r="AQ94" s="12">
        <f t="shared" si="48"/>
        <v>4.3244346130766331E-3</v>
      </c>
      <c r="AR94" s="12">
        <f t="shared" si="48"/>
        <v>3.3932264736291629E-4</v>
      </c>
      <c r="AY94" s="15">
        <v>43643</v>
      </c>
      <c r="AZ94" s="12">
        <f t="shared" si="60"/>
        <v>1.9333674336484031E-3</v>
      </c>
    </row>
    <row r="95" spans="4:52" x14ac:dyDescent="0.75">
      <c r="D95" s="15">
        <v>43642</v>
      </c>
      <c r="E95" s="21">
        <f>+VLOOKUP(D95,Prezzi!$I$12:$J$367,2,0)</f>
        <v>5.1453530000000001</v>
      </c>
      <c r="F95" s="21">
        <f>+VLOOKUP(D95,Prezzi!$K$12:$L$367,2,0)/VLOOKUP(D95,Prezzi!$S$12:$T$367,2,0)</f>
        <v>257.09574282696707</v>
      </c>
      <c r="G95" s="1">
        <v>0</v>
      </c>
      <c r="H95" s="21">
        <f>+VLOOKUP(D95,Prezzi!$M$12:$N$367,2,0)/VLOOKUP(D95,Prezzi!$S$12:$T$367,2,0)</f>
        <v>22.386990846681918</v>
      </c>
      <c r="I95" s="1">
        <v>0</v>
      </c>
      <c r="J95" s="21">
        <f>+VLOOKUP(D95,Prezzi!$O$12:$P$367,2,0)/VLOOKUP(D95,Prezzi!$S$12:$T$367,2,0)</f>
        <v>47.311899313501144</v>
      </c>
      <c r="K95" s="1">
        <v>0</v>
      </c>
      <c r="L95" s="21">
        <f>+VLOOKUP(D95,Prezzi!$Q$12:$R$367,2,0)/VLOOKUP(D95,Prezzi!$S$12:$T$367,2,0)</f>
        <v>99.117081499735946</v>
      </c>
      <c r="M95" s="1">
        <v>0</v>
      </c>
      <c r="O95" s="1" t="str">
        <f t="shared" si="55"/>
        <v>201926</v>
      </c>
      <c r="P95" s="35">
        <v>43642</v>
      </c>
      <c r="Q95" s="12">
        <f t="shared" si="54"/>
        <v>9.9070447379862514E-4</v>
      </c>
      <c r="R95" s="12">
        <f t="shared" si="56"/>
        <v>1.0474958663690714E-3</v>
      </c>
      <c r="S95" s="12">
        <f t="shared" si="57"/>
        <v>-4.9411071939375406E-3</v>
      </c>
      <c r="T95" s="12">
        <f t="shared" si="58"/>
        <v>-1.9025943445296284E-3</v>
      </c>
      <c r="U95" s="12">
        <f t="shared" si="59"/>
        <v>1.0365671394817319E-3</v>
      </c>
      <c r="Y95" s="34"/>
      <c r="AI95" s="15">
        <v>43642</v>
      </c>
      <c r="AJ95" s="99">
        <f>+VLOOKUP(AI95,benchmark!I$7:$J$362,2,0)</f>
        <v>256.81970000000001</v>
      </c>
      <c r="AK95" s="61">
        <f>+VLOOKUP(AI95,benchmark!K$7:$L$362,2,0)</f>
        <v>247.55199999999999</v>
      </c>
      <c r="AP95" s="15">
        <v>43642</v>
      </c>
      <c r="AQ95" s="12">
        <f t="shared" si="48"/>
        <v>-1.7549574145881985E-3</v>
      </c>
      <c r="AR95" s="12">
        <f t="shared" si="48"/>
        <v>-7.8306006958750451E-4</v>
      </c>
      <c r="AY95" s="15">
        <v>43642</v>
      </c>
      <c r="AZ95" s="12">
        <f t="shared" si="60"/>
        <v>-1.1718190075877821E-3</v>
      </c>
    </row>
    <row r="96" spans="4:52" x14ac:dyDescent="0.75">
      <c r="D96" s="15">
        <v>43641</v>
      </c>
      <c r="E96" s="21">
        <f>+VLOOKUP(D96,Prezzi!$I$12:$J$367,2,0)</f>
        <v>5.1402580000000002</v>
      </c>
      <c r="F96" s="21">
        <f>+VLOOKUP(D96,Prezzi!$K$12:$L$367,2,0)/VLOOKUP(D96,Prezzi!$S$12:$T$367,2,0)</f>
        <v>256.8265770987004</v>
      </c>
      <c r="G96" s="1">
        <v>0</v>
      </c>
      <c r="H96" s="21">
        <f>+VLOOKUP(D96,Prezzi!$M$12:$N$367,2,0)/VLOOKUP(D96,Prezzi!$S$12:$T$367,2,0)</f>
        <v>22.49788110291535</v>
      </c>
      <c r="I96" s="1">
        <v>0</v>
      </c>
      <c r="J96" s="21">
        <f>+VLOOKUP(D96,Prezzi!$O$12:$P$367,2,0)/VLOOKUP(D96,Prezzi!$S$12:$T$367,2,0)</f>
        <v>47.402000351246926</v>
      </c>
      <c r="K96" s="1">
        <v>0</v>
      </c>
      <c r="L96" s="21">
        <f>+VLOOKUP(D96,Prezzi!$Q$12:$R$367,2,0)/VLOOKUP(D96,Prezzi!$S$12:$T$367,2,0)</f>
        <v>99.014393220934323</v>
      </c>
      <c r="M96" s="1">
        <v>0</v>
      </c>
      <c r="O96" s="1" t="str">
        <f t="shared" si="55"/>
        <v>201926</v>
      </c>
      <c r="P96" s="35">
        <v>43641</v>
      </c>
      <c r="Q96" s="12">
        <f t="shared" si="54"/>
        <v>-1.863732736568906E-3</v>
      </c>
      <c r="R96" s="12">
        <f t="shared" si="56"/>
        <v>-9.0189048533714598E-3</v>
      </c>
      <c r="S96" s="12">
        <f t="shared" si="57"/>
        <v>-5.3797749266990273E-4</v>
      </c>
      <c r="T96" s="12">
        <f t="shared" si="58"/>
        <v>1.3611262256319483E-3</v>
      </c>
      <c r="U96" s="12">
        <f t="shared" si="59"/>
        <v>-7.9005066630369596E-4</v>
      </c>
      <c r="Y96" s="34"/>
      <c r="AI96" s="15">
        <v>43641</v>
      </c>
      <c r="AJ96" s="99">
        <f>+VLOOKUP(AI96,benchmark!I$7:$J$362,2,0)</f>
        <v>257.27120000000002</v>
      </c>
      <c r="AK96" s="61">
        <f>+VLOOKUP(AI96,benchmark!K$7:$L$362,2,0)</f>
        <v>247.74600000000001</v>
      </c>
      <c r="AP96" s="15">
        <v>43641</v>
      </c>
      <c r="AQ96" s="12">
        <f t="shared" si="48"/>
        <v>-6.6392345362207283E-3</v>
      </c>
      <c r="AR96" s="12">
        <f t="shared" si="48"/>
        <v>1.6576640683119148E-3</v>
      </c>
      <c r="AY96" s="15">
        <v>43641</v>
      </c>
      <c r="AZ96" s="12">
        <f t="shared" si="60"/>
        <v>-1.6610953735011428E-3</v>
      </c>
    </row>
    <row r="97" spans="4:52" x14ac:dyDescent="0.75">
      <c r="D97" s="15">
        <v>43640</v>
      </c>
      <c r="E97" s="21">
        <f>+VLOOKUP(D97,Prezzi!$I$12:$J$367,2,0)</f>
        <v>5.1498470000000003</v>
      </c>
      <c r="F97" s="21">
        <f>+VLOOKUP(D97,Prezzi!$K$12:$L$367,2,0)/VLOOKUP(D97,Prezzi!$S$12:$T$367,2,0)</f>
        <v>259.15334825346673</v>
      </c>
      <c r="G97" s="1">
        <v>0</v>
      </c>
      <c r="H97" s="21">
        <f>+VLOOKUP(D97,Prezzi!$M$12:$N$367,2,0)/VLOOKUP(D97,Prezzi!$S$12:$T$367,2,0)</f>
        <v>22.509987712831315</v>
      </c>
      <c r="I97" s="1">
        <v>0</v>
      </c>
      <c r="J97" s="21">
        <f>+VLOOKUP(D97,Prezzi!$O$12:$P$367,2,0)/VLOOKUP(D97,Prezzi!$S$12:$T$367,2,0)</f>
        <v>47.337524135509916</v>
      </c>
      <c r="K97" s="1">
        <v>0</v>
      </c>
      <c r="L97" s="21">
        <f>+VLOOKUP(D97,Prezzi!$Q$12:$R$367,2,0)/VLOOKUP(D97,Prezzi!$S$12:$T$367,2,0)</f>
        <v>99.092650517816395</v>
      </c>
      <c r="M97" s="1">
        <v>0</v>
      </c>
      <c r="O97" s="1" t="str">
        <f t="shared" si="55"/>
        <v>201926</v>
      </c>
      <c r="P97" s="35">
        <v>43640</v>
      </c>
      <c r="Q97" s="12">
        <f t="shared" si="54"/>
        <v>7.787728942012694E-4</v>
      </c>
      <c r="R97" s="12">
        <f t="shared" si="56"/>
        <v>-8.6034791239819122E-3</v>
      </c>
      <c r="S97" s="12">
        <f t="shared" si="57"/>
        <v>1.4134373319897852E-4</v>
      </c>
      <c r="T97" s="12">
        <f t="shared" si="58"/>
        <v>6.5301590831057495E-3</v>
      </c>
      <c r="U97" s="12">
        <f t="shared" si="59"/>
        <v>-6.3275804744124748E-3</v>
      </c>
      <c r="Y97" s="34"/>
      <c r="AI97" s="15">
        <v>43640</v>
      </c>
      <c r="AJ97" s="99">
        <f>+VLOOKUP(AI97,benchmark!I$7:$J$362,2,0)</f>
        <v>258.9907</v>
      </c>
      <c r="AK97" s="61">
        <f>+VLOOKUP(AI97,benchmark!K$7:$L$362,2,0)</f>
        <v>247.33600000000001</v>
      </c>
      <c r="AP97" s="15">
        <v>43640</v>
      </c>
      <c r="AQ97" s="12">
        <f t="shared" si="48"/>
        <v>1.2318561871627054E-4</v>
      </c>
      <c r="AR97" s="12">
        <f t="shared" si="48"/>
        <v>1.8064725181254904E-3</v>
      </c>
      <c r="AY97" s="15">
        <v>43640</v>
      </c>
      <c r="AZ97" s="12">
        <f t="shared" si="60"/>
        <v>1.1331577583618025E-3</v>
      </c>
    </row>
    <row r="98" spans="4:52" x14ac:dyDescent="0.75">
      <c r="D98" s="15">
        <v>43637</v>
      </c>
      <c r="E98" s="21">
        <f>+VLOOKUP(D98,Prezzi!$I$12:$J$367,2,0)</f>
        <v>5.1458380000000004</v>
      </c>
      <c r="F98" s="21">
        <f>+VLOOKUP(D98,Prezzi!$K$12:$L$367,2,0)/VLOOKUP(D98,Prezzi!$S$12:$T$367,2,0)</f>
        <v>261.39258748674445</v>
      </c>
      <c r="G98" s="126">
        <f>1.78/VLOOKUP(D98,Prezzi!$S$12:$T$367,2,0)</f>
        <v>1.5729939908094734</v>
      </c>
      <c r="H98" s="21">
        <f>+VLOOKUP(D98,Prezzi!$M$12:$N$367,2,0)/VLOOKUP(D98,Prezzi!$S$12:$T$367,2,0)</f>
        <v>22.506806291975966</v>
      </c>
      <c r="I98" s="126">
        <f>0.62/VLOOKUP(D98,Prezzi!$S$12:$T$367,2,0)</f>
        <v>0.54789678331565927</v>
      </c>
      <c r="J98" s="21">
        <f>+VLOOKUP(D98,Prezzi!$O$12:$P$367,2,0)/VLOOKUP(D98,Prezzi!$S$12:$T$367,2,0)</f>
        <v>47.029409685401205</v>
      </c>
      <c r="K98" s="1">
        <v>0</v>
      </c>
      <c r="L98" s="21">
        <f>+VLOOKUP(D98,Prezzi!$Q$12:$R$367,2,0)/VLOOKUP(D98,Prezzi!$S$12:$T$367,2,0)</f>
        <v>99.721655178508314</v>
      </c>
      <c r="M98" s="1">
        <v>0</v>
      </c>
      <c r="O98" s="1" t="str">
        <f t="shared" si="55"/>
        <v>201925</v>
      </c>
      <c r="P98" s="35">
        <v>43637</v>
      </c>
      <c r="Q98" s="12">
        <f t="shared" si="54"/>
        <v>1.3721461963743275E-3</v>
      </c>
      <c r="R98" s="12">
        <f t="shared" si="56"/>
        <v>3.9970986118409435E-3</v>
      </c>
      <c r="S98" s="12">
        <f t="shared" si="57"/>
        <v>2.2233834157607043E-2</v>
      </c>
      <c r="T98" s="12">
        <f t="shared" si="58"/>
        <v>2.8155497505909337E-3</v>
      </c>
      <c r="U98" s="12">
        <f t="shared" si="59"/>
        <v>-5.0487836365412627E-3</v>
      </c>
      <c r="Y98" s="34"/>
      <c r="AI98" s="15">
        <v>43637</v>
      </c>
      <c r="AJ98" s="99">
        <f>+VLOOKUP(AI98,benchmark!I$7:$J$362,2,0)</f>
        <v>258.9588</v>
      </c>
      <c r="AK98" s="61">
        <f>+VLOOKUP(AI98,benchmark!K$7:$L$362,2,0)</f>
        <v>246.89</v>
      </c>
      <c r="AP98" s="15">
        <v>43637</v>
      </c>
      <c r="AQ98" s="12">
        <f t="shared" si="48"/>
        <v>-2.1355384894014007E-3</v>
      </c>
      <c r="AR98" s="12">
        <f t="shared" si="48"/>
        <v>-2.8393371379643595E-3</v>
      </c>
      <c r="AY98" s="15">
        <v>43637</v>
      </c>
      <c r="AZ98" s="12">
        <f t="shared" si="60"/>
        <v>-2.5578176785391758E-3</v>
      </c>
    </row>
    <row r="99" spans="4:52" x14ac:dyDescent="0.75">
      <c r="D99" s="15">
        <v>43636</v>
      </c>
      <c r="E99" s="21">
        <f>+VLOOKUP(D99,Prezzi!$I$12:$J$367,2,0)</f>
        <v>5.138782</v>
      </c>
      <c r="F99" s="21">
        <f>+VLOOKUP(D99,Prezzi!$K$12:$L$367,2,0)/VLOOKUP(D99,Prezzi!$S$12:$T$367,2,0)</f>
        <v>261.91657999469351</v>
      </c>
      <c r="G99" s="1">
        <v>0</v>
      </c>
      <c r="H99" s="21">
        <f>+VLOOKUP(D99,Prezzi!$M$12:$N$367,2,0)/VLOOKUP(D99,Prezzi!$S$12:$T$367,2,0)</f>
        <v>22.547765101264702</v>
      </c>
      <c r="I99" s="1">
        <v>0</v>
      </c>
      <c r="J99" s="21">
        <f>+VLOOKUP(D99,Prezzi!$O$12:$P$367,2,0)/VLOOKUP(D99,Prezzi!$S$12:$T$367,2,0)</f>
        <v>46.897182276465905</v>
      </c>
      <c r="K99" s="1">
        <v>0</v>
      </c>
      <c r="L99" s="21">
        <f>+VLOOKUP(D99,Prezzi!$Q$12:$R$367,2,0)/VLOOKUP(D99,Prezzi!$S$12:$T$367,2,0)</f>
        <v>100.22640134429999</v>
      </c>
      <c r="M99" s="1">
        <v>0</v>
      </c>
      <c r="O99" s="1" t="str">
        <f t="shared" si="55"/>
        <v>201925</v>
      </c>
      <c r="P99" s="35">
        <v>43636</v>
      </c>
      <c r="Q99" s="12">
        <f t="shared" si="54"/>
        <v>-2.4640832382284454E-3</v>
      </c>
      <c r="R99" s="12">
        <f t="shared" si="56"/>
        <v>6.3723926480318009E-4</v>
      </c>
      <c r="S99" s="12">
        <f t="shared" si="57"/>
        <v>-5.3238830164164738E-4</v>
      </c>
      <c r="T99" s="12">
        <f t="shared" si="58"/>
        <v>2.3615407944537946E-2</v>
      </c>
      <c r="U99" s="12">
        <f t="shared" si="59"/>
        <v>1.6505051965555642E-3</v>
      </c>
      <c r="Y99" s="34"/>
      <c r="AI99" s="15">
        <v>43636</v>
      </c>
      <c r="AJ99" s="99">
        <f>+VLOOKUP(AI99,benchmark!I$7:$J$362,2,0)</f>
        <v>259.51300000000003</v>
      </c>
      <c r="AK99" s="61">
        <f>+VLOOKUP(AI99,benchmark!K$7:$L$362,2,0)</f>
        <v>247.59299999999999</v>
      </c>
      <c r="AP99" s="15">
        <v>43636</v>
      </c>
      <c r="AQ99" s="12">
        <f t="shared" si="48"/>
        <v>1.0727192496301274E-2</v>
      </c>
      <c r="AR99" s="12">
        <f t="shared" si="48"/>
        <v>2.7255791349425351E-3</v>
      </c>
      <c r="AY99" s="15">
        <v>43636</v>
      </c>
      <c r="AZ99" s="12">
        <f t="shared" si="60"/>
        <v>5.9262244794860315E-3</v>
      </c>
    </row>
    <row r="100" spans="4:52" x14ac:dyDescent="0.75">
      <c r="D100" s="15">
        <v>43635</v>
      </c>
      <c r="E100" s="21">
        <f>+VLOOKUP(D100,Prezzi!$I$12:$J$367,2,0)</f>
        <v>5.1514600000000002</v>
      </c>
      <c r="F100" s="21">
        <f>+VLOOKUP(D100,Prezzi!$K$12:$L$367,2,0)/VLOOKUP(D100,Prezzi!$S$12:$T$367,2,0)</f>
        <v>261.74972963326491</v>
      </c>
      <c r="G100" s="1">
        <v>0</v>
      </c>
      <c r="H100" s="21">
        <f>+VLOOKUP(D100,Prezzi!$M$12:$N$367,2,0)/VLOOKUP(D100,Prezzi!$S$12:$T$367,2,0)</f>
        <v>22.559772463638797</v>
      </c>
      <c r="I100" s="1">
        <v>0</v>
      </c>
      <c r="J100" s="21">
        <f>+VLOOKUP(D100,Prezzi!$O$12:$P$367,2,0)/VLOOKUP(D100,Prezzi!$S$12:$T$367,2,0)</f>
        <v>45.802660836976884</v>
      </c>
      <c r="K100" s="1">
        <v>0</v>
      </c>
      <c r="L100" s="21">
        <f>+VLOOKUP(D100,Prezzi!$Q$12:$R$367,2,0)/VLOOKUP(D100,Prezzi!$S$12:$T$367,2,0)</f>
        <v>100.0611135897207</v>
      </c>
      <c r="M100" s="1">
        <v>0</v>
      </c>
      <c r="O100" s="1" t="str">
        <f t="shared" si="55"/>
        <v>201925</v>
      </c>
      <c r="P100" s="35">
        <v>43635</v>
      </c>
      <c r="Q100" s="12">
        <f t="shared" si="54"/>
        <v>2.8044941967538418E-3</v>
      </c>
      <c r="R100" s="12">
        <f t="shared" si="56"/>
        <v>1.1944643011444177E-3</v>
      </c>
      <c r="S100" s="12">
        <f t="shared" si="57"/>
        <v>-2.349106688623447E-3</v>
      </c>
      <c r="T100" s="12">
        <f t="shared" si="58"/>
        <v>-1.1567267846814451E-3</v>
      </c>
      <c r="U100" s="12">
        <f t="shared" si="59"/>
        <v>1.1003332832201667E-3</v>
      </c>
      <c r="Y100" s="34"/>
      <c r="AI100" s="15">
        <v>43635</v>
      </c>
      <c r="AJ100" s="99">
        <f>+VLOOKUP(AI100,benchmark!I$7:$J$362,2,0)</f>
        <v>256.75869999999998</v>
      </c>
      <c r="AK100" s="61">
        <f>+VLOOKUP(AI100,benchmark!K$7:$L$362,2,0)</f>
        <v>246.92</v>
      </c>
      <c r="AP100" s="15">
        <v>43635</v>
      </c>
      <c r="AQ100" s="12">
        <f t="shared" si="48"/>
        <v>6.0557212557970086E-3</v>
      </c>
      <c r="AR100" s="12">
        <f t="shared" si="48"/>
        <v>-2.2628091158881647E-3</v>
      </c>
      <c r="AY100" s="15">
        <v>43635</v>
      </c>
      <c r="AZ100" s="12">
        <f t="shared" si="60"/>
        <v>1.0646030327859048E-3</v>
      </c>
    </row>
    <row r="101" spans="4:52" x14ac:dyDescent="0.75">
      <c r="D101" s="15">
        <v>43634</v>
      </c>
      <c r="E101" s="21">
        <f>+VLOOKUP(D101,Prezzi!$I$12:$J$367,2,0)</f>
        <v>5.1370329999999997</v>
      </c>
      <c r="F101" s="21">
        <f>+VLOOKUP(D101,Prezzi!$K$12:$L$367,2,0)/VLOOKUP(D101,Prezzi!$S$12:$T$367,2,0)</f>
        <v>261.43726557611512</v>
      </c>
      <c r="G101" s="1">
        <v>0</v>
      </c>
      <c r="H101" s="21">
        <f>+VLOOKUP(D101,Prezzi!$M$12:$N$367,2,0)/VLOOKUP(D101,Prezzi!$S$12:$T$367,2,0)</f>
        <v>22.612830070617683</v>
      </c>
      <c r="I101" s="1">
        <v>0</v>
      </c>
      <c r="J101" s="21">
        <f>+VLOOKUP(D101,Prezzi!$O$12:$P$367,2,0)/VLOOKUP(D101,Prezzi!$S$12:$T$367,2,0)</f>
        <v>45.855672655761147</v>
      </c>
      <c r="K101" s="1">
        <v>0</v>
      </c>
      <c r="L101" s="21">
        <f>+VLOOKUP(D101,Prezzi!$Q$12:$R$367,2,0)/VLOOKUP(D101,Prezzi!$S$12:$T$367,2,0)</f>
        <v>99.95107356753374</v>
      </c>
      <c r="M101" s="1">
        <v>0</v>
      </c>
      <c r="O101" s="1" t="str">
        <f t="shared" si="55"/>
        <v>201925</v>
      </c>
      <c r="P101" s="35">
        <v>43634</v>
      </c>
      <c r="Q101" s="12">
        <f t="shared" si="54"/>
        <v>6.5448284610897733E-4</v>
      </c>
      <c r="R101" s="12">
        <f t="shared" si="56"/>
        <v>1.3888838181971652E-2</v>
      </c>
      <c r="S101" s="12">
        <f t="shared" si="57"/>
        <v>1.3544324825308367E-2</v>
      </c>
      <c r="T101" s="12">
        <f t="shared" si="58"/>
        <v>9.7718215000719422E-3</v>
      </c>
      <c r="U101" s="12">
        <f t="shared" si="59"/>
        <v>1.1098360512966143E-2</v>
      </c>
      <c r="Y101" s="34"/>
      <c r="AI101" s="15">
        <v>43634</v>
      </c>
      <c r="AJ101" s="99">
        <f>+VLOOKUP(AI101,benchmark!I$7:$J$362,2,0)</f>
        <v>255.2132</v>
      </c>
      <c r="AK101" s="61">
        <f>+VLOOKUP(AI101,benchmark!K$7:$L$362,2,0)</f>
        <v>247.48</v>
      </c>
      <c r="AP101" s="15">
        <v>43634</v>
      </c>
      <c r="AQ101" s="12">
        <f t="shared" si="48"/>
        <v>9.8654637543527102E-3</v>
      </c>
      <c r="AR101" s="12">
        <f t="shared" si="48"/>
        <v>8.2048022944114507E-3</v>
      </c>
      <c r="AY101" s="15">
        <v>43634</v>
      </c>
      <c r="AZ101" s="12">
        <f t="shared" si="60"/>
        <v>8.8690668783879545E-3</v>
      </c>
    </row>
    <row r="102" spans="4:52" x14ac:dyDescent="0.75">
      <c r="D102" s="15">
        <v>43633</v>
      </c>
      <c r="E102" s="21">
        <f>+VLOOKUP(D102,Prezzi!$I$12:$J$367,2,0)</f>
        <v>5.1336719999999998</v>
      </c>
      <c r="F102" s="21">
        <f>+VLOOKUP(D102,Prezzi!$K$12:$L$367,2,0)/VLOOKUP(D102,Prezzi!$S$12:$T$367,2,0)</f>
        <v>257.83130496706428</v>
      </c>
      <c r="G102" s="1">
        <v>0</v>
      </c>
      <c r="H102" s="21">
        <f>+VLOOKUP(D102,Prezzi!$M$12:$N$367,2,0)/VLOOKUP(D102,Prezzi!$S$12:$T$367,2,0)</f>
        <v>22.308619369770341</v>
      </c>
      <c r="I102" s="1">
        <v>0</v>
      </c>
      <c r="J102" s="21">
        <f>+VLOOKUP(D102,Prezzi!$O$12:$P$367,2,0)/VLOOKUP(D102,Prezzi!$S$12:$T$367,2,0)</f>
        <v>45.4097614384903</v>
      </c>
      <c r="K102" s="1">
        <v>0</v>
      </c>
      <c r="L102" s="21">
        <f>+VLOOKUP(D102,Prezzi!$Q$12:$R$367,2,0)/VLOOKUP(D102,Prezzi!$S$12:$T$367,2,0)</f>
        <v>98.847913476944981</v>
      </c>
      <c r="M102" s="1">
        <v>0</v>
      </c>
      <c r="O102" s="1" t="str">
        <f t="shared" si="55"/>
        <v>201925</v>
      </c>
      <c r="P102" s="35">
        <v>43633</v>
      </c>
      <c r="Q102" s="12">
        <f t="shared" si="54"/>
        <v>3.0906715153663092E-3</v>
      </c>
      <c r="R102" s="12">
        <f t="shared" si="56"/>
        <v>-2.4286041873009226E-3</v>
      </c>
      <c r="S102" s="12">
        <f t="shared" si="57"/>
        <v>-2.255288291202345E-2</v>
      </c>
      <c r="T102" s="12">
        <f t="shared" si="58"/>
        <v>1.8278039253451631E-3</v>
      </c>
      <c r="U102" s="12">
        <f t="shared" si="59"/>
        <v>2.8656765293806666E-3</v>
      </c>
      <c r="AI102" s="15">
        <v>43633</v>
      </c>
      <c r="AJ102" s="99">
        <f>+VLOOKUP(AI102,benchmark!I$7:$J$362,2,0)</f>
        <v>252.71999999999997</v>
      </c>
      <c r="AK102" s="61">
        <f>+VLOOKUP(AI102,benchmark!K$7:$L$362,2,0)</f>
        <v>245.46600000000001</v>
      </c>
      <c r="AP102" s="15">
        <v>43633</v>
      </c>
      <c r="AQ102" s="12">
        <f t="shared" si="48"/>
        <v>-4.8646788718698097E-4</v>
      </c>
      <c r="AR102" s="12">
        <f t="shared" si="48"/>
        <v>-9.1578446096929333E-4</v>
      </c>
      <c r="AY102" s="15">
        <v>43633</v>
      </c>
      <c r="AZ102" s="12">
        <f t="shared" si="60"/>
        <v>-7.4405783145636839E-4</v>
      </c>
    </row>
    <row r="103" spans="4:52" x14ac:dyDescent="0.75">
      <c r="D103" s="15">
        <v>43630</v>
      </c>
      <c r="E103" s="21">
        <f>+VLOOKUP(D103,Prezzi!$I$12:$J$367,2,0)</f>
        <v>5.1178299999999997</v>
      </c>
      <c r="F103" s="21">
        <f>+VLOOKUP(D103,Prezzi!$K$12:$L$367,2,0)/VLOOKUP(D103,Prezzi!$S$12:$T$367,2,0)</f>
        <v>258.45823612960498</v>
      </c>
      <c r="G103" s="1">
        <v>0</v>
      </c>
      <c r="H103" s="21">
        <f>+VLOOKUP(D103,Prezzi!$M$12:$N$367,2,0)/VLOOKUP(D103,Prezzi!$S$12:$T$367,2,0)</f>
        <v>22.817459387483353</v>
      </c>
      <c r="I103" s="1">
        <v>0</v>
      </c>
      <c r="J103" s="21">
        <f>+VLOOKUP(D103,Prezzi!$O$12:$P$367,2,0)/VLOOKUP(D103,Prezzi!$S$12:$T$367,2,0)</f>
        <v>45.326837106080781</v>
      </c>
      <c r="K103" s="1">
        <v>0</v>
      </c>
      <c r="L103" s="21">
        <f>+VLOOKUP(D103,Prezzi!$Q$12:$R$367,2,0)/VLOOKUP(D103,Prezzi!$S$12:$T$367,2,0)</f>
        <v>98.565052818464252</v>
      </c>
      <c r="M103" s="1">
        <v>0</v>
      </c>
      <c r="O103" s="1" t="str">
        <f t="shared" si="55"/>
        <v>201924</v>
      </c>
      <c r="P103" s="35">
        <v>43630</v>
      </c>
      <c r="Q103" s="12">
        <f t="shared" si="54"/>
        <v>-1.764264045153697E-4</v>
      </c>
      <c r="R103" s="12">
        <f t="shared" si="56"/>
        <v>6.5401467987724062E-4</v>
      </c>
      <c r="S103" s="12">
        <f t="shared" si="57"/>
        <v>-3.154507901835048E-3</v>
      </c>
      <c r="T103" s="12">
        <f t="shared" si="58"/>
        <v>2.6715707982896881E-3</v>
      </c>
      <c r="U103" s="12">
        <f t="shared" si="59"/>
        <v>1.845018735287406E-3</v>
      </c>
      <c r="AI103" s="15">
        <v>43630</v>
      </c>
      <c r="AJ103" s="99">
        <f>+VLOOKUP(AI103,benchmark!I$7:$J$362,2,0)</f>
        <v>252.84299999999999</v>
      </c>
      <c r="AK103" s="61">
        <f>+VLOOKUP(AI103,benchmark!K$7:$L$362,2,0)</f>
        <v>245.691</v>
      </c>
      <c r="AP103" s="15">
        <v>43630</v>
      </c>
      <c r="AQ103" s="12">
        <f t="shared" si="48"/>
        <v>-3.2153453500097795E-3</v>
      </c>
      <c r="AR103" s="12">
        <f t="shared" si="48"/>
        <v>2.6239757108812434E-3</v>
      </c>
      <c r="AY103" s="15">
        <v>43630</v>
      </c>
      <c r="AZ103" s="12">
        <f t="shared" si="60"/>
        <v>2.8824728652483396E-4</v>
      </c>
    </row>
    <row r="104" spans="4:52" x14ac:dyDescent="0.75">
      <c r="D104" s="15">
        <v>43629</v>
      </c>
      <c r="E104" s="21">
        <f>+VLOOKUP(D104,Prezzi!$I$12:$J$367,2,0)</f>
        <v>5.1187329999999998</v>
      </c>
      <c r="F104" s="21">
        <f>+VLOOKUP(D104,Prezzi!$K$12:$L$367,2,0)/VLOOKUP(D104,Prezzi!$S$12:$T$367,2,0)</f>
        <v>258.28925591283547</v>
      </c>
      <c r="G104" s="1">
        <v>0</v>
      </c>
      <c r="H104" s="21">
        <f>+VLOOKUP(D104,Prezzi!$M$12:$N$367,2,0)/VLOOKUP(D104,Prezzi!$S$12:$T$367,2,0)</f>
        <v>22.889550890247143</v>
      </c>
      <c r="I104" s="1">
        <v>0</v>
      </c>
      <c r="J104" s="21">
        <f>+VLOOKUP(D104,Prezzi!$O$12:$P$367,2,0)/VLOOKUP(D104,Prezzi!$S$12:$T$367,2,0)</f>
        <v>45.205904863141114</v>
      </c>
      <c r="K104" s="1">
        <v>0</v>
      </c>
      <c r="L104" s="21">
        <f>+VLOOKUP(D104,Prezzi!$Q$12:$R$367,2,0)/VLOOKUP(D104,Prezzi!$S$12:$T$367,2,0)</f>
        <v>98.383366108601294</v>
      </c>
      <c r="M104" s="1">
        <v>0</v>
      </c>
      <c r="O104" s="1" t="str">
        <f t="shared" si="55"/>
        <v>201924</v>
      </c>
      <c r="P104" s="35">
        <v>43629</v>
      </c>
      <c r="Q104" s="12">
        <f t="shared" si="54"/>
        <v>4.7132141064424872E-4</v>
      </c>
      <c r="R104" s="12">
        <f t="shared" si="56"/>
        <v>7.3929126221343342E-3</v>
      </c>
      <c r="S104" s="12">
        <f t="shared" si="57"/>
        <v>1.7766802501718024E-5</v>
      </c>
      <c r="T104" s="12">
        <f t="shared" si="58"/>
        <v>8.2815847976518524E-3</v>
      </c>
      <c r="U104" s="12">
        <f t="shared" si="59"/>
        <v>2.8975145116035082E-3</v>
      </c>
      <c r="AI104" s="15">
        <v>43629</v>
      </c>
      <c r="AJ104" s="99">
        <f>+VLOOKUP(AI104,benchmark!I$7:$J$362,2,0)</f>
        <v>253.65859999999998</v>
      </c>
      <c r="AK104" s="61">
        <f>+VLOOKUP(AI104,benchmark!K$7:$L$362,2,0)</f>
        <v>245.048</v>
      </c>
      <c r="AP104" s="15">
        <v>43629</v>
      </c>
      <c r="AQ104" s="12">
        <f t="shared" si="48"/>
        <v>7.7210510887382178E-4</v>
      </c>
      <c r="AR104" s="12">
        <f t="shared" si="48"/>
        <v>7.2282957148872562E-4</v>
      </c>
      <c r="AY104" s="15">
        <v>43629</v>
      </c>
      <c r="AZ104" s="12">
        <f t="shared" si="60"/>
        <v>7.4253978644276406E-4</v>
      </c>
    </row>
    <row r="105" spans="4:52" x14ac:dyDescent="0.75">
      <c r="D105" s="15">
        <v>43628</v>
      </c>
      <c r="E105" s="21">
        <f>+VLOOKUP(D105,Prezzi!$I$12:$J$367,2,0)</f>
        <v>5.1163210000000001</v>
      </c>
      <c r="F105" s="21">
        <f>+VLOOKUP(D105,Prezzi!$K$12:$L$367,2,0)/VLOOKUP(D105,Prezzi!$S$12:$T$367,2,0)</f>
        <v>256.38678707056431</v>
      </c>
      <c r="G105" s="1">
        <v>0</v>
      </c>
      <c r="H105" s="21">
        <f>+VLOOKUP(D105,Prezzi!$M$12:$N$367,2,0)/VLOOKUP(D105,Prezzi!$S$12:$T$367,2,0)</f>
        <v>22.889144219729751</v>
      </c>
      <c r="I105" s="1">
        <v>0</v>
      </c>
      <c r="J105" s="21">
        <f>+VLOOKUP(D105,Prezzi!$O$12:$P$367,2,0)/VLOOKUP(D105,Prezzi!$S$12:$T$367,2,0)</f>
        <v>44.833074273602399</v>
      </c>
      <c r="K105" s="1">
        <v>0</v>
      </c>
      <c r="L105" s="21">
        <f>+VLOOKUP(D105,Prezzi!$Q$12:$R$367,2,0)/VLOOKUP(D105,Prezzi!$S$12:$T$367,2,0)</f>
        <v>98.098711472224679</v>
      </c>
      <c r="M105" s="1">
        <v>0</v>
      </c>
      <c r="O105" s="1" t="str">
        <f t="shared" si="55"/>
        <v>201924</v>
      </c>
      <c r="P105" s="35">
        <v>43628</v>
      </c>
      <c r="Q105" s="12">
        <f t="shared" si="54"/>
        <v>1.2092163579593587E-3</v>
      </c>
      <c r="R105" s="12">
        <f t="shared" si="56"/>
        <v>-2.2875184070687287E-3</v>
      </c>
      <c r="S105" s="12">
        <f t="shared" si="57"/>
        <v>1.5614832061269547E-3</v>
      </c>
      <c r="T105" s="12">
        <f t="shared" si="58"/>
        <v>4.3091252551387274E-3</v>
      </c>
      <c r="U105" s="12">
        <f t="shared" si="59"/>
        <v>1.9743355842425118E-4</v>
      </c>
      <c r="AI105" s="15">
        <v>43628</v>
      </c>
      <c r="AJ105" s="99">
        <f>+VLOOKUP(AI105,benchmark!I$7:$J$362,2,0)</f>
        <v>253.46289999999999</v>
      </c>
      <c r="AK105" s="61">
        <f>+VLOOKUP(AI105,benchmark!K$7:$L$362,2,0)</f>
        <v>244.87100000000001</v>
      </c>
      <c r="AP105" s="15">
        <v>43628</v>
      </c>
      <c r="AQ105" s="12">
        <f t="shared" si="48"/>
        <v>-2.8125981104565323E-3</v>
      </c>
      <c r="AR105" s="12">
        <f t="shared" si="48"/>
        <v>-6.12192424322755E-4</v>
      </c>
      <c r="AY105" s="15">
        <v>43628</v>
      </c>
      <c r="AZ105" s="12">
        <f t="shared" si="60"/>
        <v>-1.492354698776266E-3</v>
      </c>
    </row>
    <row r="106" spans="4:52" x14ac:dyDescent="0.75">
      <c r="D106" s="15">
        <v>43627</v>
      </c>
      <c r="E106" s="21">
        <f>+VLOOKUP(D106,Prezzi!$I$12:$J$367,2,0)</f>
        <v>5.1101380000000001</v>
      </c>
      <c r="F106" s="21">
        <f>+VLOOKUP(D106,Prezzi!$K$12:$L$367,2,0)/VLOOKUP(D106,Prezzi!$S$12:$T$367,2,0)</f>
        <v>256.97394787985871</v>
      </c>
      <c r="G106" s="1">
        <v>0</v>
      </c>
      <c r="H106" s="21">
        <f>+VLOOKUP(D106,Prezzi!$M$12:$N$367,2,0)/VLOOKUP(D106,Prezzi!$S$12:$T$367,2,0)</f>
        <v>22.853431095406361</v>
      </c>
      <c r="I106" s="1">
        <v>0</v>
      </c>
      <c r="J106" s="21">
        <f>+VLOOKUP(D106,Prezzi!$O$12:$P$367,2,0)/VLOOKUP(D106,Prezzi!$S$12:$T$367,2,0)</f>
        <v>44.640298586572442</v>
      </c>
      <c r="K106" s="1">
        <v>0</v>
      </c>
      <c r="L106" s="21">
        <f>+VLOOKUP(D106,Prezzi!$Q$12:$R$367,2,0)/VLOOKUP(D106,Prezzi!$S$12:$T$367,2,0)</f>
        <v>98.079345406360432</v>
      </c>
      <c r="M106" s="1">
        <v>0</v>
      </c>
      <c r="O106" s="1" t="str">
        <f t="shared" si="55"/>
        <v>201924</v>
      </c>
      <c r="P106" s="35">
        <v>43627</v>
      </c>
      <c r="Q106" s="12">
        <f t="shared" si="54"/>
        <v>9.6283835427593355E-5</v>
      </c>
      <c r="R106" s="12">
        <f t="shared" si="56"/>
        <v>-1.9844177193165447E-3</v>
      </c>
      <c r="S106" s="12">
        <f t="shared" si="57"/>
        <v>1.7982274235060311E-3</v>
      </c>
      <c r="T106" s="12">
        <f t="shared" si="58"/>
        <v>-1.0964801108408286E-3</v>
      </c>
      <c r="U106" s="12">
        <f t="shared" si="59"/>
        <v>-1.8949173751024177E-3</v>
      </c>
      <c r="AI106" s="15">
        <v>43627</v>
      </c>
      <c r="AJ106" s="99">
        <f>+VLOOKUP(AI106,benchmark!I$7:$J$362,2,0)</f>
        <v>254.17779999999999</v>
      </c>
      <c r="AK106" s="61">
        <f>+VLOOKUP(AI106,benchmark!K$7:$L$362,2,0)</f>
        <v>245.02099999999999</v>
      </c>
      <c r="AP106" s="15">
        <v>43627</v>
      </c>
      <c r="AQ106" s="12">
        <f t="shared" si="48"/>
        <v>2.9962295570371555E-3</v>
      </c>
      <c r="AR106" s="12">
        <f t="shared" si="48"/>
        <v>1.4796103965111218E-3</v>
      </c>
      <c r="AY106" s="15">
        <v>43627</v>
      </c>
      <c r="AZ106" s="12">
        <f t="shared" si="60"/>
        <v>2.0862580607215351E-3</v>
      </c>
    </row>
    <row r="107" spans="4:52" x14ac:dyDescent="0.75">
      <c r="D107" s="15">
        <v>43626</v>
      </c>
      <c r="E107" s="21">
        <f>+VLOOKUP(D107,Prezzi!$I$12:$J$367,2,0)</f>
        <v>5.1096459999999997</v>
      </c>
      <c r="F107" s="21">
        <f>+VLOOKUP(D107,Prezzi!$K$12:$L$367,2,0)/VLOOKUP(D107,Prezzi!$S$12:$T$367,2,0)</f>
        <v>257.48439784089902</v>
      </c>
      <c r="G107" s="1">
        <v>0</v>
      </c>
      <c r="H107" s="21">
        <f>+VLOOKUP(D107,Prezzi!$M$12:$N$367,2,0)/VLOOKUP(D107,Prezzi!$S$12:$T$367,2,0)</f>
        <v>22.812372356428632</v>
      </c>
      <c r="I107" s="1">
        <v>0</v>
      </c>
      <c r="J107" s="21">
        <f>+VLOOKUP(D107,Prezzi!$O$12:$P$367,2,0)/VLOOKUP(D107,Prezzi!$S$12:$T$367,2,0)</f>
        <v>44.689272630740639</v>
      </c>
      <c r="K107" s="1">
        <v>0</v>
      </c>
      <c r="L107" s="21">
        <f>+VLOOKUP(D107,Prezzi!$Q$12:$R$367,2,0)/VLOOKUP(D107,Prezzi!$S$12:$T$367,2,0)</f>
        <v>98.265373860720288</v>
      </c>
      <c r="M107" s="1">
        <v>0</v>
      </c>
      <c r="O107" s="1" t="str">
        <f t="shared" si="55"/>
        <v>201924</v>
      </c>
      <c r="P107" s="35">
        <v>43626</v>
      </c>
      <c r="Q107" s="12">
        <f t="shared" si="54"/>
        <v>2.3566052779573372E-4</v>
      </c>
      <c r="R107" s="12">
        <f t="shared" si="56"/>
        <v>2.1735517733922623E-3</v>
      </c>
      <c r="S107" s="12">
        <f t="shared" si="57"/>
        <v>-5.1906824957511253E-3</v>
      </c>
      <c r="T107" s="12">
        <f t="shared" si="58"/>
        <v>-1.4025499342876481E-2</v>
      </c>
      <c r="U107" s="12">
        <f t="shared" si="59"/>
        <v>1.1800295020995476E-4</v>
      </c>
      <c r="AI107" s="15">
        <v>43626</v>
      </c>
      <c r="AJ107" s="99">
        <f>+VLOOKUP(AI107,benchmark!I$7:$J$362,2,0)</f>
        <v>253.41849999999999</v>
      </c>
      <c r="AK107" s="61">
        <f>+VLOOKUP(AI107,benchmark!K$7:$L$362,2,0)</f>
        <v>244.65899999999999</v>
      </c>
      <c r="AP107" s="15">
        <v>43626</v>
      </c>
      <c r="AQ107" s="12">
        <f t="shared" si="48"/>
        <v>5.2930727114193221E-3</v>
      </c>
      <c r="AR107" s="12">
        <f t="shared" si="48"/>
        <v>-3.2267132747473282E-3</v>
      </c>
      <c r="AY107" s="15">
        <v>43626</v>
      </c>
      <c r="AZ107" s="12">
        <f t="shared" si="60"/>
        <v>1.812011197193323E-4</v>
      </c>
    </row>
    <row r="108" spans="4:52" x14ac:dyDescent="0.75">
      <c r="D108" s="15">
        <v>43623</v>
      </c>
      <c r="E108" s="21">
        <f>+VLOOKUP(D108,Prezzi!$I$12:$J$367,2,0)</f>
        <v>5.1084420000000001</v>
      </c>
      <c r="F108" s="21">
        <f>+VLOOKUP(D108,Prezzi!$K$12:$L$367,2,0)/VLOOKUP(D108,Prezzi!$S$12:$T$367,2,0)</f>
        <v>256.92534995121088</v>
      </c>
      <c r="G108" s="1">
        <v>0</v>
      </c>
      <c r="H108" s="21">
        <f>+VLOOKUP(D108,Prezzi!$M$12:$N$367,2,0)/VLOOKUP(D108,Prezzi!$S$12:$T$367,2,0)</f>
        <v>22.931091989709927</v>
      </c>
      <c r="I108" s="1">
        <v>0</v>
      </c>
      <c r="J108" s="21">
        <f>+VLOOKUP(D108,Prezzi!$O$12:$P$367,2,0)/VLOOKUP(D108,Prezzi!$S$12:$T$367,2,0)</f>
        <v>45.320478133593546</v>
      </c>
      <c r="K108" s="1">
        <v>0</v>
      </c>
      <c r="L108" s="21">
        <f>+VLOOKUP(D108,Prezzi!$Q$12:$R$367,2,0)/VLOOKUP(D108,Prezzi!$S$12:$T$367,2,0)</f>
        <v>98.253778940832078</v>
      </c>
      <c r="M108" s="126">
        <f>0.46/VLOOKUP(D108,Prezzi!$S$12:$T$367,2,0)</f>
        <v>0.40805464383926199</v>
      </c>
      <c r="O108" s="1" t="str">
        <f t="shared" si="55"/>
        <v>201923</v>
      </c>
      <c r="P108" s="35">
        <v>43623</v>
      </c>
      <c r="Q108" s="12">
        <f t="shared" si="54"/>
        <v>-1.5782960909457406E-3</v>
      </c>
      <c r="R108" s="12">
        <f t="shared" si="56"/>
        <v>9.9143663609593292E-3</v>
      </c>
      <c r="S108" s="12">
        <f t="shared" si="57"/>
        <v>1.3009317775816648E-2</v>
      </c>
      <c r="T108" s="12">
        <f t="shared" si="58"/>
        <v>2.717141961735484E-3</v>
      </c>
      <c r="U108" s="12">
        <f t="shared" si="59"/>
        <v>6.9615929030527697E-3</v>
      </c>
      <c r="AI108" s="15">
        <v>43623</v>
      </c>
      <c r="AJ108" s="99">
        <f>+VLOOKUP(AI108,benchmark!I$7:$J$362,2,0)</f>
        <v>252.08420000000001</v>
      </c>
      <c r="AK108" s="61">
        <f>+VLOOKUP(AI108,benchmark!K$7:$L$362,2,0)</f>
        <v>245.45099999999999</v>
      </c>
      <c r="AP108" s="15">
        <v>43623</v>
      </c>
      <c r="AQ108" s="12">
        <f t="shared" si="48"/>
        <v>1.0117839775091397E-2</v>
      </c>
      <c r="AR108" s="12">
        <f t="shared" si="48"/>
        <v>4.0497257231213446E-3</v>
      </c>
      <c r="AY108" s="15">
        <v>43623</v>
      </c>
      <c r="AZ108" s="12">
        <f t="shared" si="60"/>
        <v>6.476971343909366E-3</v>
      </c>
    </row>
    <row r="109" spans="4:52" x14ac:dyDescent="0.75">
      <c r="D109" s="15">
        <v>43622</v>
      </c>
      <c r="E109" s="21">
        <f>+VLOOKUP(D109,Prezzi!$I$12:$J$367,2,0)</f>
        <v>5.116511</v>
      </c>
      <c r="F109" s="21">
        <f>+VLOOKUP(D109,Prezzi!$K$12:$L$367,2,0)/VLOOKUP(D109,Prezzi!$S$12:$T$367,2,0)</f>
        <v>254.39068347239481</v>
      </c>
      <c r="G109" s="1">
        <v>0</v>
      </c>
      <c r="H109" s="21">
        <f>+VLOOKUP(D109,Prezzi!$M$12:$N$367,2,0)/VLOOKUP(D109,Prezzi!$S$12:$T$367,2,0)</f>
        <v>22.634706195632877</v>
      </c>
      <c r="I109" s="1">
        <v>0</v>
      </c>
      <c r="J109" s="21">
        <f>+VLOOKUP(D109,Prezzi!$O$12:$P$367,2,0)/VLOOKUP(D109,Prezzi!$S$12:$T$367,2,0)</f>
        <v>45.197503106692707</v>
      </c>
      <c r="K109" s="1">
        <v>0</v>
      </c>
      <c r="L109" s="21">
        <f>+VLOOKUP(D109,Prezzi!$Q$12:$R$367,2,0)/VLOOKUP(D109,Prezzi!$S$12:$T$367,2,0)</f>
        <v>97.977375288478598</v>
      </c>
      <c r="M109" s="1">
        <v>0</v>
      </c>
      <c r="O109" s="1" t="str">
        <f t="shared" si="55"/>
        <v>201923</v>
      </c>
      <c r="P109" s="35">
        <v>43622</v>
      </c>
      <c r="Q109" s="12">
        <f t="shared" si="54"/>
        <v>2.1028596886867681E-3</v>
      </c>
      <c r="R109" s="12">
        <f t="shared" si="56"/>
        <v>5.5894923635738357E-3</v>
      </c>
      <c r="S109" s="12">
        <f t="shared" si="57"/>
        <v>4.288863809521622E-3</v>
      </c>
      <c r="T109" s="12">
        <f t="shared" si="58"/>
        <v>5.0285638781924118E-3</v>
      </c>
      <c r="U109" s="12">
        <f t="shared" si="59"/>
        <v>1.4249870966129151E-3</v>
      </c>
      <c r="AI109" s="15">
        <v>43622</v>
      </c>
      <c r="AJ109" s="99">
        <f>+VLOOKUP(AI109,benchmark!I$7:$J$362,2,0)</f>
        <v>249.5592</v>
      </c>
      <c r="AK109" s="61">
        <f>+VLOOKUP(AI109,benchmark!K$7:$L$362,2,0)</f>
        <v>244.46100000000001</v>
      </c>
      <c r="AP109" s="15">
        <v>43622</v>
      </c>
      <c r="AQ109" s="12">
        <f t="shared" si="48"/>
        <v>3.457589144802542E-3</v>
      </c>
      <c r="AR109" s="12">
        <f t="shared" si="48"/>
        <v>1.790807461561128E-3</v>
      </c>
      <c r="AY109" s="15">
        <v>43622</v>
      </c>
      <c r="AZ109" s="12">
        <f t="shared" si="60"/>
        <v>2.4575201348576935E-3</v>
      </c>
    </row>
    <row r="110" spans="4:52" x14ac:dyDescent="0.75">
      <c r="D110" s="15">
        <v>43621</v>
      </c>
      <c r="E110" s="21">
        <f>+VLOOKUP(D110,Prezzi!$I$12:$J$367,2,0)</f>
        <v>5.1057629999999996</v>
      </c>
      <c r="F110" s="21">
        <f>+VLOOKUP(D110,Prezzi!$K$12:$L$367,2,0)/VLOOKUP(D110,Prezzi!$S$12:$T$367,2,0)</f>
        <v>252.97273518699478</v>
      </c>
      <c r="G110" s="1">
        <v>0</v>
      </c>
      <c r="H110" s="21">
        <f>+VLOOKUP(D110,Prezzi!$M$12:$N$367,2,0)/VLOOKUP(D110,Prezzi!$S$12:$T$367,2,0)</f>
        <v>22.537836901483523</v>
      </c>
      <c r="I110" s="1">
        <v>0</v>
      </c>
      <c r="J110" s="21">
        <f>+VLOOKUP(D110,Prezzi!$O$12:$P$367,2,0)/VLOOKUP(D110,Prezzi!$S$12:$T$367,2,0)</f>
        <v>44.970795060851032</v>
      </c>
      <c r="K110" s="1">
        <v>0</v>
      </c>
      <c r="L110" s="21">
        <f>+VLOOKUP(D110,Prezzi!$Q$12:$R$367,2,0)/VLOOKUP(D110,Prezzi!$S$12:$T$367,2,0)</f>
        <v>97.837858221551045</v>
      </c>
      <c r="M110" s="1">
        <v>0</v>
      </c>
      <c r="O110" s="1" t="str">
        <f t="shared" si="55"/>
        <v>201923</v>
      </c>
      <c r="P110" s="35">
        <v>43621</v>
      </c>
      <c r="Q110" s="12">
        <f t="shared" si="54"/>
        <v>3.9139909807907807E-4</v>
      </c>
      <c r="R110" s="12">
        <f t="shared" si="56"/>
        <v>7.0942953232263628E-3</v>
      </c>
      <c r="S110" s="12">
        <f t="shared" si="57"/>
        <v>8.8044021294738182E-3</v>
      </c>
      <c r="T110" s="12">
        <f t="shared" si="58"/>
        <v>2.2655249084465663E-3</v>
      </c>
      <c r="U110" s="12">
        <f t="shared" si="59"/>
        <v>4.1086593780253373E-3</v>
      </c>
      <c r="AI110" s="15">
        <v>43621</v>
      </c>
      <c r="AJ110" s="99">
        <f>+VLOOKUP(AI110,benchmark!I$7:$J$362,2,0)</f>
        <v>248.69929999999999</v>
      </c>
      <c r="AK110" s="61">
        <f>+VLOOKUP(AI110,benchmark!K$7:$L$362,2,0)</f>
        <v>244.024</v>
      </c>
      <c r="AP110" s="15">
        <v>43621</v>
      </c>
      <c r="AQ110" s="12">
        <f t="shared" si="48"/>
        <v>7.7275537881666967E-3</v>
      </c>
      <c r="AR110" s="12">
        <f t="shared" si="48"/>
        <v>1.6007617984354905E-3</v>
      </c>
      <c r="AY110" s="15">
        <v>43621</v>
      </c>
      <c r="AZ110" s="12">
        <f t="shared" si="60"/>
        <v>4.051478594327973E-3</v>
      </c>
    </row>
    <row r="111" spans="4:52" x14ac:dyDescent="0.75">
      <c r="D111" s="15">
        <v>43620</v>
      </c>
      <c r="E111" s="21">
        <f>+VLOOKUP(D111,Prezzi!$I$12:$J$367,2,0)</f>
        <v>5.1037650000000001</v>
      </c>
      <c r="F111" s="21">
        <f>+VLOOKUP(D111,Prezzi!$K$12:$L$367,2,0)/VLOOKUP(D111,Prezzi!$S$12:$T$367,2,0)</f>
        <v>251.18442280327284</v>
      </c>
      <c r="G111" s="1">
        <v>0</v>
      </c>
      <c r="H111" s="21">
        <f>+VLOOKUP(D111,Prezzi!$M$12:$N$367,2,0)/VLOOKUP(D111,Prezzi!$S$12:$T$367,2,0)</f>
        <v>22.340275702596941</v>
      </c>
      <c r="I111" s="1">
        <v>0</v>
      </c>
      <c r="J111" s="21">
        <f>+VLOOKUP(D111,Prezzi!$O$12:$P$367,2,0)/VLOOKUP(D111,Prezzi!$S$12:$T$367,2,0)</f>
        <v>44.869027926004982</v>
      </c>
      <c r="K111" s="1">
        <v>0</v>
      </c>
      <c r="L111" s="21">
        <f>+VLOOKUP(D111,Prezzi!$Q$12:$R$367,2,0)/VLOOKUP(D111,Prezzi!$S$12:$T$367,2,0)</f>
        <v>97.436700462468878</v>
      </c>
      <c r="M111" s="1">
        <v>0</v>
      </c>
      <c r="O111" s="1" t="str">
        <f t="shared" si="55"/>
        <v>201923</v>
      </c>
      <c r="P111" s="35">
        <v>43620</v>
      </c>
      <c r="Q111" s="12">
        <f t="shared" si="54"/>
        <v>1.1425545725613762E-3</v>
      </c>
      <c r="R111" s="12">
        <f t="shared" si="56"/>
        <v>1.5986108169035375E-2</v>
      </c>
      <c r="S111" s="12">
        <f t="shared" si="57"/>
        <v>-3.2304865434894872E-3</v>
      </c>
      <c r="T111" s="12">
        <f t="shared" si="58"/>
        <v>-4.3780647849230416E-3</v>
      </c>
      <c r="U111" s="12">
        <f t="shared" si="59"/>
        <v>-1.5309985890491519E-3</v>
      </c>
      <c r="AI111" s="15">
        <v>43620</v>
      </c>
      <c r="AJ111" s="99">
        <f>+VLOOKUP(AI111,benchmark!I$7:$J$362,2,0)</f>
        <v>246.79220000000001</v>
      </c>
      <c r="AK111" s="61">
        <f>+VLOOKUP(AI111,benchmark!K$7:$L$362,2,0)</f>
        <v>243.63399999999999</v>
      </c>
      <c r="AP111" s="15">
        <v>43620</v>
      </c>
      <c r="AQ111" s="12">
        <f t="shared" si="48"/>
        <v>1.3742227764845349E-2</v>
      </c>
      <c r="AR111" s="12">
        <f t="shared" si="48"/>
        <v>1.7968971656721067E-3</v>
      </c>
      <c r="AY111" s="15">
        <v>43620</v>
      </c>
      <c r="AZ111" s="12">
        <f t="shared" si="60"/>
        <v>6.5750294053414041E-3</v>
      </c>
    </row>
    <row r="112" spans="4:52" x14ac:dyDescent="0.75">
      <c r="D112" s="15">
        <v>43619</v>
      </c>
      <c r="E112" s="21">
        <f>+VLOOKUP(D112,Prezzi!$I$12:$J$367,2,0)</f>
        <v>5.0979369999999999</v>
      </c>
      <c r="F112" s="21">
        <f>+VLOOKUP(D112,Prezzi!$K$12:$L$367,2,0)/VLOOKUP(D112,Prezzi!$S$12:$T$367,2,0)</f>
        <v>247.20088690210102</v>
      </c>
      <c r="G112" s="1">
        <v>0</v>
      </c>
      <c r="H112" s="21">
        <f>+VLOOKUP(D112,Prezzi!$M$12:$N$367,2,0)/VLOOKUP(D112,Prezzi!$S$12:$T$367,2,0)</f>
        <v>22.412562360303976</v>
      </c>
      <c r="I112" s="1">
        <v>0</v>
      </c>
      <c r="J112" s="21">
        <f>+VLOOKUP(D112,Prezzi!$O$12:$P$367,2,0)/VLOOKUP(D112,Prezzi!$S$12:$T$367,2,0)</f>
        <v>45.065898077782748</v>
      </c>
      <c r="K112" s="1">
        <v>0</v>
      </c>
      <c r="L112" s="21">
        <f>+VLOOKUP(D112,Prezzi!$Q$12:$R$367,2,0)/VLOOKUP(D112,Prezzi!$S$12:$T$367,2,0)</f>
        <v>97.585990165400077</v>
      </c>
      <c r="M112" s="1">
        <v>0</v>
      </c>
      <c r="O112" s="1" t="str">
        <f t="shared" si="55"/>
        <v>201923</v>
      </c>
      <c r="P112" s="35">
        <v>43619</v>
      </c>
      <c r="Q112" s="12">
        <f t="shared" si="54"/>
        <v>-4.2400321638210912E-4</v>
      </c>
      <c r="R112" s="12">
        <f t="shared" si="56"/>
        <v>-5.8010929597550297E-3</v>
      </c>
      <c r="S112" s="12">
        <f t="shared" si="57"/>
        <v>7.9460721605163747E-3</v>
      </c>
      <c r="T112" s="12">
        <f t="shared" si="58"/>
        <v>9.9726936868791E-3</v>
      </c>
      <c r="U112" s="12">
        <f t="shared" si="59"/>
        <v>-5.885160451893909E-3</v>
      </c>
      <c r="AI112" s="15">
        <v>43619</v>
      </c>
      <c r="AJ112" s="99">
        <f>+VLOOKUP(AI112,benchmark!I$7:$J$362,2,0)</f>
        <v>243.44670000000002</v>
      </c>
      <c r="AK112" s="61">
        <f>+VLOOKUP(AI112,benchmark!K$7:$L$362,2,0)</f>
        <v>243.197</v>
      </c>
      <c r="AP112" s="15">
        <v>43619</v>
      </c>
      <c r="AQ112" s="12">
        <f t="shared" si="48"/>
        <v>7.7119417115345534E-4</v>
      </c>
      <c r="AR112" s="12">
        <f t="shared" si="48"/>
        <v>1.2969260793307402E-3</v>
      </c>
      <c r="AY112" s="15">
        <v>43619</v>
      </c>
      <c r="AZ112" s="12">
        <f t="shared" si="60"/>
        <v>1.0866333160598264E-3</v>
      </c>
    </row>
    <row r="113" spans="4:52" x14ac:dyDescent="0.75">
      <c r="D113" s="15">
        <v>43616</v>
      </c>
      <c r="E113" s="21">
        <f>+VLOOKUP(D113,Prezzi!$I$12:$J$367,2,0)</f>
        <v>5.1000990000000002</v>
      </c>
      <c r="F113" s="21">
        <f>+VLOOKUP(D113,Prezzi!$K$12:$L$367,2,0)/VLOOKUP(D113,Prezzi!$S$12:$T$367,2,0)</f>
        <v>248.63908976773385</v>
      </c>
      <c r="G113" s="1">
        <v>0</v>
      </c>
      <c r="H113" s="21">
        <f>+VLOOKUP(D113,Prezzi!$M$12:$N$367,2,0)/VLOOKUP(D113,Prezzi!$S$12:$T$367,2,0)</f>
        <v>22.235176217379607</v>
      </c>
      <c r="I113" s="1">
        <v>0</v>
      </c>
      <c r="J113" s="21">
        <f>+VLOOKUP(D113,Prezzi!$O$12:$P$367,2,0)/VLOOKUP(D113,Prezzi!$S$12:$T$367,2,0)</f>
        <v>44.618703255313427</v>
      </c>
      <c r="K113" s="1">
        <v>0</v>
      </c>
      <c r="L113" s="21">
        <f>+VLOOKUP(D113,Prezzi!$Q$12:$R$367,2,0)/VLOOKUP(D113,Prezzi!$S$12:$T$367,2,0)</f>
        <v>98.161992646399426</v>
      </c>
      <c r="M113" s="1">
        <v>0</v>
      </c>
      <c r="O113" s="1" t="str">
        <f t="shared" si="55"/>
        <v>201922</v>
      </c>
      <c r="P113" s="35">
        <v>43616</v>
      </c>
      <c r="Q113" s="12">
        <f t="shared" si="54"/>
        <v>1.676077206968911E-3</v>
      </c>
      <c r="R113" s="12">
        <f t="shared" si="56"/>
        <v>-1.4615238969217204E-2</v>
      </c>
      <c r="S113" s="12">
        <f t="shared" si="57"/>
        <v>-2.7614533241345366E-3</v>
      </c>
      <c r="T113" s="12">
        <f t="shared" si="58"/>
        <v>1.2984682412391492E-2</v>
      </c>
      <c r="U113" s="12">
        <f t="shared" si="59"/>
        <v>-2.7817569642031971E-3</v>
      </c>
      <c r="AI113" s="15">
        <v>43616</v>
      </c>
      <c r="AJ113" s="99">
        <f>+VLOOKUP(AI113,benchmark!I$7:$J$362,2,0)</f>
        <v>243.25909999999999</v>
      </c>
      <c r="AK113" s="61">
        <f>+VLOOKUP(AI113,benchmark!K$7:$L$362,2,0)</f>
        <v>242.88200000000001</v>
      </c>
      <c r="AP113" s="15">
        <v>43616</v>
      </c>
      <c r="AQ113" s="12">
        <f t="shared" si="48"/>
        <v>-8.1566633885076234E-3</v>
      </c>
      <c r="AR113" s="12">
        <f t="shared" si="48"/>
        <v>1.9677811926321898E-3</v>
      </c>
      <c r="AY113" s="15">
        <v>43616</v>
      </c>
      <c r="AZ113" s="12">
        <f t="shared" si="60"/>
        <v>-2.0819966398237357E-3</v>
      </c>
    </row>
    <row r="114" spans="4:52" x14ac:dyDescent="0.75">
      <c r="D114" s="15">
        <v>43615</v>
      </c>
      <c r="E114" s="21">
        <f>+VLOOKUP(D114,Prezzi!$I$12:$J$367,2,0)</f>
        <v>5.091558</v>
      </c>
      <c r="F114" s="21">
        <f>+VLOOKUP(D114,Prezzi!$K$12:$L$367,2,0)/VLOOKUP(D114,Prezzi!$S$12:$T$367,2,0)</f>
        <v>252.29969462906413</v>
      </c>
      <c r="G114" s="1">
        <v>0</v>
      </c>
      <c r="H114" s="21">
        <f>+VLOOKUP(D114,Prezzi!$M$12:$N$367,2,0)/VLOOKUP(D114,Prezzi!$S$12:$T$367,2,0)</f>
        <v>22.296662475300881</v>
      </c>
      <c r="I114" s="1">
        <v>0</v>
      </c>
      <c r="J114" s="21">
        <f>+VLOOKUP(D114,Prezzi!$O$12:$P$367,2,0)/VLOOKUP(D114,Prezzi!$S$12:$T$367,2,0)</f>
        <v>44.043088737201366</v>
      </c>
      <c r="K114" s="1">
        <v>0</v>
      </c>
      <c r="L114" s="21">
        <f>+VLOOKUP(D114,Prezzi!$Q$12:$R$367,2,0)/VLOOKUP(D114,Prezzi!$S$12:$T$367,2,0)</f>
        <v>98.435435602658529</v>
      </c>
      <c r="M114" s="1">
        <v>0</v>
      </c>
      <c r="O114" s="1" t="str">
        <f t="shared" si="55"/>
        <v>201922</v>
      </c>
      <c r="P114" s="35">
        <v>43615</v>
      </c>
      <c r="Q114" s="12">
        <f t="shared" si="54"/>
        <v>2.7747070415238715E-3</v>
      </c>
      <c r="R114" s="12">
        <f t="shared" si="56"/>
        <v>4.2130907108447035E-3</v>
      </c>
      <c r="S114" s="12">
        <f t="shared" si="57"/>
        <v>3.8154250244319351E-3</v>
      </c>
      <c r="T114" s="12">
        <f t="shared" si="58"/>
        <v>7.1659127235715291E-3</v>
      </c>
      <c r="U114" s="12">
        <f t="shared" si="59"/>
        <v>3.8100134148290146E-3</v>
      </c>
      <c r="AI114" s="15">
        <v>43615</v>
      </c>
      <c r="AJ114" s="99">
        <f>+VLOOKUP(AI114,benchmark!I$7:$J$362,2,0)</f>
        <v>245.25960000000001</v>
      </c>
      <c r="AK114" s="61">
        <f>+VLOOKUP(AI114,benchmark!K$7:$L$362,2,0)</f>
        <v>242.405</v>
      </c>
      <c r="AP114" s="15">
        <v>43615</v>
      </c>
      <c r="AQ114" s="12">
        <f t="shared" si="48"/>
        <v>1.9740465175563937E-3</v>
      </c>
      <c r="AR114" s="12">
        <f t="shared" si="48"/>
        <v>-4.535801909160142E-4</v>
      </c>
      <c r="AY114" s="15">
        <v>43615</v>
      </c>
      <c r="AZ114" s="12">
        <f t="shared" si="60"/>
        <v>5.1747049247294905E-4</v>
      </c>
    </row>
    <row r="115" spans="4:52" x14ac:dyDescent="0.75">
      <c r="D115" s="15">
        <v>43614</v>
      </c>
      <c r="E115" s="21">
        <f>+VLOOKUP(D115,Prezzi!$I$12:$J$367,2,0)</f>
        <v>5.0774499999999998</v>
      </c>
      <c r="F115" s="21">
        <f>+VLOOKUP(D115,Prezzi!$K$12:$L$367,2,0)/VLOOKUP(D115,Prezzi!$S$12:$T$367,2,0)</f>
        <v>251.23896916457514</v>
      </c>
      <c r="G115" s="1">
        <v>0</v>
      </c>
      <c r="H115" s="21">
        <f>+VLOOKUP(D115,Prezzi!$M$12:$N$367,2,0)/VLOOKUP(D115,Prezzi!$S$12:$T$367,2,0)</f>
        <v>22.211753316600934</v>
      </c>
      <c r="I115" s="1">
        <v>0</v>
      </c>
      <c r="J115" s="21">
        <f>+VLOOKUP(D115,Prezzi!$O$12:$P$367,2,0)/VLOOKUP(D115,Prezzi!$S$12:$T$367,2,0)</f>
        <v>43.728607923987092</v>
      </c>
      <c r="K115" s="1">
        <v>0</v>
      </c>
      <c r="L115" s="21">
        <f>+VLOOKUP(D115,Prezzi!$Q$12:$R$367,2,0)/VLOOKUP(D115,Prezzi!$S$12:$T$367,2,0)</f>
        <v>98.061108820365732</v>
      </c>
      <c r="M115" s="1">
        <v>0</v>
      </c>
      <c r="O115" s="1" t="str">
        <f t="shared" si="55"/>
        <v>201922</v>
      </c>
      <c r="P115" s="35">
        <v>43614</v>
      </c>
      <c r="Q115" s="12">
        <f t="shared" si="54"/>
        <v>1.6446615259630776E-4</v>
      </c>
      <c r="R115" s="12">
        <f t="shared" si="56"/>
        <v>-3.6978882070205633E-3</v>
      </c>
      <c r="S115" s="12">
        <f t="shared" si="57"/>
        <v>-1.1327936605775291E-2</v>
      </c>
      <c r="T115" s="12">
        <f t="shared" si="58"/>
        <v>5.7507277676450133E-3</v>
      </c>
      <c r="U115" s="12">
        <f t="shared" si="59"/>
        <v>3.088939106517175E-3</v>
      </c>
      <c r="AI115" s="15">
        <v>43614</v>
      </c>
      <c r="AJ115" s="99">
        <f>+VLOOKUP(AI115,benchmark!I$7:$J$362,2,0)</f>
        <v>244.77640000000002</v>
      </c>
      <c r="AK115" s="61">
        <f>+VLOOKUP(AI115,benchmark!K$7:$L$362,2,0)</f>
        <v>242.51499999999999</v>
      </c>
      <c r="AP115" s="15">
        <v>43614</v>
      </c>
      <c r="AQ115" s="12">
        <f t="shared" si="48"/>
        <v>-8.6155082388429394E-3</v>
      </c>
      <c r="AR115" s="12">
        <f t="shared" si="48"/>
        <v>2.0618471506015368E-3</v>
      </c>
      <c r="AY115" s="15">
        <v>43614</v>
      </c>
      <c r="AZ115" s="12">
        <f t="shared" si="60"/>
        <v>-2.2090950051762539E-3</v>
      </c>
    </row>
    <row r="116" spans="4:52" x14ac:dyDescent="0.75">
      <c r="D116" s="15">
        <v>43613</v>
      </c>
      <c r="E116" s="21">
        <f>+VLOOKUP(D116,Prezzi!$I$12:$J$367,2,0)</f>
        <v>5.0766150000000003</v>
      </c>
      <c r="F116" s="21">
        <f>+VLOOKUP(D116,Prezzi!$K$12:$L$367,2,0)/VLOOKUP(D116,Prezzi!$S$12:$T$367,2,0)</f>
        <v>252.16974267333813</v>
      </c>
      <c r="G116" s="1">
        <v>0</v>
      </c>
      <c r="H116" s="21">
        <f>+VLOOKUP(D116,Prezzi!$M$12:$N$367,2,0)/VLOOKUP(D116,Prezzi!$S$12:$T$367,2,0)</f>
        <v>22.464797176554683</v>
      </c>
      <c r="I116" s="1">
        <v>0</v>
      </c>
      <c r="J116" s="21">
        <f>+VLOOKUP(D116,Prezzi!$O$12:$P$367,2,0)/VLOOKUP(D116,Prezzi!$S$12:$T$367,2,0)</f>
        <v>43.477858291636885</v>
      </c>
      <c r="K116" s="1">
        <v>0</v>
      </c>
      <c r="L116" s="21">
        <f>+VLOOKUP(D116,Prezzi!$Q$12:$R$367,2,0)/VLOOKUP(D116,Prezzi!$S$12:$T$367,2,0)</f>
        <v>97.75867137240887</v>
      </c>
      <c r="M116" s="1">
        <v>0</v>
      </c>
      <c r="O116" s="1" t="str">
        <f t="shared" si="55"/>
        <v>201922</v>
      </c>
      <c r="P116" s="35">
        <v>43613</v>
      </c>
      <c r="Q116" s="12">
        <f t="shared" si="54"/>
        <v>1.3518134451130368E-3</v>
      </c>
      <c r="R116" s="12">
        <f t="shared" si="56"/>
        <v>-8.8606582280643803E-3</v>
      </c>
      <c r="S116" s="12">
        <f t="shared" si="57"/>
        <v>-3.2873837862380084E-3</v>
      </c>
      <c r="T116" s="12">
        <f t="shared" si="58"/>
        <v>-5.1681755710985501E-3</v>
      </c>
      <c r="U116" s="12">
        <f t="shared" si="59"/>
        <v>1.2851917451629155E-3</v>
      </c>
      <c r="AI116" s="15">
        <v>43613</v>
      </c>
      <c r="AJ116" s="99">
        <f>+VLOOKUP(AI116,benchmark!I$7:$J$362,2,0)</f>
        <v>246.90360000000001</v>
      </c>
      <c r="AK116" s="61">
        <f>+VLOOKUP(AI116,benchmark!K$7:$L$362,2,0)</f>
        <v>242.01599999999999</v>
      </c>
      <c r="AP116" s="15">
        <v>43613</v>
      </c>
      <c r="AQ116" s="12">
        <f t="shared" si="48"/>
        <v>-4.1535347799044331E-3</v>
      </c>
      <c r="AR116" s="12">
        <f t="shared" si="48"/>
        <v>4.3817948823932085E-4</v>
      </c>
      <c r="AY116" s="15">
        <v>43613</v>
      </c>
      <c r="AZ116" s="12">
        <f t="shared" si="60"/>
        <v>-1.3985062190181809E-3</v>
      </c>
    </row>
    <row r="117" spans="4:52" x14ac:dyDescent="0.75">
      <c r="D117" s="15">
        <v>43609</v>
      </c>
      <c r="E117" s="21">
        <f>+VLOOKUP(D117,Prezzi!$I$12:$J$367,2,0)</f>
        <v>5.0697570000000001</v>
      </c>
      <c r="F117" s="21">
        <f>+VLOOKUP(D117,Prezzi!$K$12:$L$367,2,0)/VLOOKUP(D117,Prezzi!$S$12:$T$367,2,0)</f>
        <v>254.41406096361845</v>
      </c>
      <c r="G117" s="1">
        <v>0</v>
      </c>
      <c r="H117" s="21">
        <f>+VLOOKUP(D117,Prezzi!$M$12:$N$367,2,0)/VLOOKUP(D117,Prezzi!$S$12:$T$367,2,0)</f>
        <v>22.538769106999194</v>
      </c>
      <c r="I117" s="1">
        <v>0</v>
      </c>
      <c r="J117" s="21">
        <f>+VLOOKUP(D117,Prezzi!$O$12:$P$367,2,0)/VLOOKUP(D117,Prezzi!$S$12:$T$367,2,0)</f>
        <v>43.703141145972999</v>
      </c>
      <c r="K117" s="1">
        <v>0</v>
      </c>
      <c r="L117" s="21">
        <f>+VLOOKUP(D117,Prezzi!$Q$12:$R$367,2,0)/VLOOKUP(D117,Prezzi!$S$12:$T$367,2,0)</f>
        <v>97.633113435237334</v>
      </c>
      <c r="M117" s="1">
        <v>0</v>
      </c>
      <c r="O117" s="1" t="str">
        <f t="shared" si="55"/>
        <v>201921</v>
      </c>
      <c r="P117" s="35">
        <v>43609</v>
      </c>
      <c r="Q117" s="12">
        <f t="shared" si="54"/>
        <v>1.4610974132183178E-3</v>
      </c>
      <c r="R117" s="12">
        <f t="shared" si="56"/>
        <v>-2.7836143406744854E-3</v>
      </c>
      <c r="S117" s="12">
        <f t="shared" si="57"/>
        <v>6.0660111419707542E-3</v>
      </c>
      <c r="T117" s="12">
        <f t="shared" si="58"/>
        <v>-5.0504005426416842E-3</v>
      </c>
      <c r="U117" s="12">
        <f t="shared" si="59"/>
        <v>-3.9253897515302404E-3</v>
      </c>
      <c r="AI117" s="15">
        <v>43609</v>
      </c>
      <c r="AJ117" s="99">
        <f>+VLOOKUP(AI117,benchmark!I$7:$J$362,2,0)</f>
        <v>247.93339999999998</v>
      </c>
      <c r="AK117" s="61">
        <f>+VLOOKUP(AI117,benchmark!K$7:$L$362,2,0)</f>
        <v>241.91</v>
      </c>
      <c r="AP117" s="15">
        <v>43609</v>
      </c>
      <c r="AQ117" s="12">
        <f t="shared" si="48"/>
        <v>3.5307055623081673E-3</v>
      </c>
      <c r="AR117" s="12">
        <f t="shared" si="48"/>
        <v>1.5111055910908E-3</v>
      </c>
      <c r="AY117" s="15">
        <v>43609</v>
      </c>
      <c r="AZ117" s="12">
        <f t="shared" si="60"/>
        <v>2.3189455795777471E-3</v>
      </c>
    </row>
    <row r="118" spans="4:52" x14ac:dyDescent="0.75">
      <c r="D118" s="15">
        <v>43608</v>
      </c>
      <c r="E118" s="21">
        <f>+VLOOKUP(D118,Prezzi!$I$12:$J$367,2,0)</f>
        <v>5.0623550000000002</v>
      </c>
      <c r="F118" s="21">
        <f>+VLOOKUP(D118,Prezzi!$K$12:$L$367,2,0)/VLOOKUP(D118,Prezzi!$S$12:$T$367,2,0)</f>
        <v>255.12323817218785</v>
      </c>
      <c r="G118" s="1">
        <v>0</v>
      </c>
      <c r="H118" s="21">
        <f>+VLOOKUP(D118,Prezzi!$M$12:$N$367,2,0)/VLOOKUP(D118,Prezzi!$S$12:$T$367,2,0)</f>
        <v>22.402462519077119</v>
      </c>
      <c r="I118" s="1">
        <v>0</v>
      </c>
      <c r="J118" s="21">
        <f>+VLOOKUP(D118,Prezzi!$O$12:$P$367,2,0)/VLOOKUP(D118,Prezzi!$S$12:$T$367,2,0)</f>
        <v>43.924417811293658</v>
      </c>
      <c r="K118" s="1">
        <v>0</v>
      </c>
      <c r="L118" s="21">
        <f>+VLOOKUP(D118,Prezzi!$Q$12:$R$367,2,0)/VLOOKUP(D118,Prezzi!$S$12:$T$367,2,0)</f>
        <v>98.017114642247961</v>
      </c>
      <c r="M118" s="1">
        <v>0</v>
      </c>
      <c r="O118" s="1" t="str">
        <f t="shared" si="55"/>
        <v>201921</v>
      </c>
      <c r="P118" s="35">
        <v>43608</v>
      </c>
      <c r="Q118" s="12">
        <f t="shared" si="54"/>
        <v>-1.8724709105722727E-4</v>
      </c>
      <c r="R118" s="12">
        <f t="shared" si="56"/>
        <v>-9.0191599923096829E-3</v>
      </c>
      <c r="S118" s="12">
        <f t="shared" si="57"/>
        <v>-6.0204955003497623E-3</v>
      </c>
      <c r="T118" s="12">
        <f t="shared" si="58"/>
        <v>1.1376988663696396E-2</v>
      </c>
      <c r="U118" s="12">
        <f t="shared" si="59"/>
        <v>9.4798875668717817E-4</v>
      </c>
      <c r="AI118" s="15">
        <v>43608</v>
      </c>
      <c r="AJ118" s="99">
        <f>+VLOOKUP(AI118,benchmark!I$7:$J$362,2,0)</f>
        <v>247.06109999999998</v>
      </c>
      <c r="AK118" s="61">
        <f>+VLOOKUP(AI118,benchmark!K$7:$L$362,2,0)</f>
        <v>241.54499999999999</v>
      </c>
      <c r="AP118" s="15">
        <v>43608</v>
      </c>
      <c r="AQ118" s="12">
        <f t="shared" si="48"/>
        <v>-1.1501358149316077E-2</v>
      </c>
      <c r="AR118" s="12">
        <f t="shared" si="48"/>
        <v>9.9044366903422443E-4</v>
      </c>
      <c r="AY118" s="15">
        <v>43608</v>
      </c>
      <c r="AZ118" s="12">
        <f t="shared" si="60"/>
        <v>-4.0062770583058965E-3</v>
      </c>
    </row>
    <row r="119" spans="4:52" x14ac:dyDescent="0.75">
      <c r="D119" s="15">
        <v>43607</v>
      </c>
      <c r="E119" s="21">
        <f>+VLOOKUP(D119,Prezzi!$I$12:$J$367,2,0)</f>
        <v>5.0633030000000003</v>
      </c>
      <c r="F119" s="21">
        <f>+VLOOKUP(D119,Prezzi!$K$12:$L$367,2,0)/VLOOKUP(D119,Prezzi!$S$12:$T$367,2,0)</f>
        <v>257.43464327275984</v>
      </c>
      <c r="G119" s="1">
        <v>0</v>
      </c>
      <c r="H119" s="21">
        <f>+VLOOKUP(D119,Prezzi!$M$12:$N$367,2,0)/VLOOKUP(D119,Prezzi!$S$12:$T$367,2,0)</f>
        <v>22.537743263808075</v>
      </c>
      <c r="I119" s="1">
        <v>0</v>
      </c>
      <c r="J119" s="21">
        <f>+VLOOKUP(D119,Prezzi!$O$12:$P$367,2,0)/VLOOKUP(D119,Prezzi!$S$12:$T$367,2,0)</f>
        <v>43.427522155581414</v>
      </c>
      <c r="K119" s="1">
        <v>0</v>
      </c>
      <c r="L119" s="21">
        <f>+VLOOKUP(D119,Prezzi!$Q$12:$R$367,2,0)/VLOOKUP(D119,Prezzi!$S$12:$T$367,2,0)</f>
        <v>97.924239548831792</v>
      </c>
      <c r="M119" s="1">
        <v>0</v>
      </c>
      <c r="O119" s="1" t="str">
        <f t="shared" si="55"/>
        <v>201921</v>
      </c>
      <c r="P119" s="35">
        <v>43607</v>
      </c>
      <c r="Q119" s="12">
        <f t="shared" si="54"/>
        <v>2.8050664612803192E-3</v>
      </c>
      <c r="R119" s="12">
        <f t="shared" si="56"/>
        <v>-3.7029339297100913E-3</v>
      </c>
      <c r="S119" s="12">
        <f t="shared" si="57"/>
        <v>-2.3014713369980937E-3</v>
      </c>
      <c r="T119" s="12">
        <f t="shared" si="58"/>
        <v>-2.4271149321181698E-4</v>
      </c>
      <c r="U119" s="12">
        <f t="shared" si="59"/>
        <v>4.1757894461821017E-5</v>
      </c>
      <c r="AI119" s="15">
        <v>43607</v>
      </c>
      <c r="AJ119" s="99">
        <f>+VLOOKUP(AI119,benchmark!I$7:$J$362,2,0)</f>
        <v>249.9357</v>
      </c>
      <c r="AK119" s="61">
        <f>+VLOOKUP(AI119,benchmark!K$7:$L$362,2,0)</f>
        <v>241.30600000000001</v>
      </c>
      <c r="AP119" s="15">
        <v>43607</v>
      </c>
      <c r="AQ119" s="12">
        <f t="shared" si="48"/>
        <v>-2.5318264230249632E-3</v>
      </c>
      <c r="AR119" s="12">
        <f t="shared" si="48"/>
        <v>8.1705784520691438E-4</v>
      </c>
      <c r="AY119" s="15">
        <v>43607</v>
      </c>
      <c r="AZ119" s="12">
        <f t="shared" si="60"/>
        <v>-5.2249586208583663E-4</v>
      </c>
    </row>
    <row r="120" spans="4:52" x14ac:dyDescent="0.75">
      <c r="D120" s="15">
        <v>43606</v>
      </c>
      <c r="E120" s="21">
        <f>+VLOOKUP(D120,Prezzi!$I$12:$J$367,2,0)</f>
        <v>5.0491200000000003</v>
      </c>
      <c r="F120" s="21">
        <f>+VLOOKUP(D120,Prezzi!$K$12:$L$367,2,0)/VLOOKUP(D120,Prezzi!$S$12:$T$367,2,0)</f>
        <v>258.38967386434905</v>
      </c>
      <c r="G120" s="1">
        <v>0</v>
      </c>
      <c r="H120" s="21">
        <f>+VLOOKUP(D120,Prezzi!$M$12:$N$367,2,0)/VLOOKUP(D120,Prezzi!$S$12:$T$367,2,0)</f>
        <v>22.589672968372007</v>
      </c>
      <c r="I120" s="1">
        <v>0</v>
      </c>
      <c r="J120" s="21">
        <f>+VLOOKUP(D120,Prezzi!$O$12:$P$367,2,0)/VLOOKUP(D120,Prezzi!$S$12:$T$367,2,0)</f>
        <v>43.438063793566883</v>
      </c>
      <c r="K120" s="1">
        <v>0</v>
      </c>
      <c r="L120" s="21">
        <f>+VLOOKUP(D120,Prezzi!$Q$12:$R$367,2,0)/VLOOKUP(D120,Prezzi!$S$12:$T$367,2,0)</f>
        <v>97.920150524146578</v>
      </c>
      <c r="M120" s="1">
        <v>0</v>
      </c>
      <c r="O120" s="1" t="str">
        <f t="shared" si="55"/>
        <v>201921</v>
      </c>
      <c r="P120" s="35">
        <v>43606</v>
      </c>
      <c r="Q120" s="12">
        <f t="shared" si="54"/>
        <v>1.1501684310581406E-3</v>
      </c>
      <c r="R120" s="12">
        <f t="shared" si="56"/>
        <v>9.0175904955210277E-3</v>
      </c>
      <c r="S120" s="12">
        <f t="shared" si="57"/>
        <v>5.1290184435481955E-3</v>
      </c>
      <c r="T120" s="12">
        <f t="shared" si="58"/>
        <v>-2.4729422710246564E-3</v>
      </c>
      <c r="U120" s="12">
        <f t="shared" si="59"/>
        <v>2.0788618799791429E-3</v>
      </c>
      <c r="AI120" s="15">
        <v>43606</v>
      </c>
      <c r="AJ120" s="99">
        <f>+VLOOKUP(AI120,benchmark!I$7:$J$362,2,0)</f>
        <v>250.5701</v>
      </c>
      <c r="AK120" s="61">
        <f>+VLOOKUP(AI120,benchmark!K$7:$L$362,2,0)</f>
        <v>241.10900000000001</v>
      </c>
      <c r="AP120" s="15">
        <v>43606</v>
      </c>
      <c r="AQ120" s="12">
        <f t="shared" si="48"/>
        <v>6.2001533172628687E-3</v>
      </c>
      <c r="AR120" s="12">
        <f t="shared" si="48"/>
        <v>-5.6374225372546327E-4</v>
      </c>
      <c r="AY120" s="15">
        <v>43606</v>
      </c>
      <c r="AZ120" s="12">
        <f t="shared" si="60"/>
        <v>2.1418159746698696E-3</v>
      </c>
    </row>
    <row r="121" spans="4:52" x14ac:dyDescent="0.75">
      <c r="D121" s="15">
        <v>43605</v>
      </c>
      <c r="E121" s="21">
        <f>+VLOOKUP(D121,Prezzi!$I$12:$J$367,2,0)</f>
        <v>5.0433159999999999</v>
      </c>
      <c r="F121" s="21">
        <f>+VLOOKUP(D121,Prezzi!$K$12:$L$367,2,0)/VLOOKUP(D121,Prezzi!$S$12:$T$367,2,0)</f>
        <v>256.07009581803527</v>
      </c>
      <c r="G121" s="1">
        <v>0</v>
      </c>
      <c r="H121" s="21">
        <f>+VLOOKUP(D121,Prezzi!$M$12:$N$367,2,0)/VLOOKUP(D121,Prezzi!$S$12:$T$367,2,0)</f>
        <v>22.474106743082295</v>
      </c>
      <c r="I121" s="1">
        <v>0</v>
      </c>
      <c r="J121" s="21">
        <f>+VLOOKUP(D121,Prezzi!$O$12:$P$367,2,0)/VLOOKUP(D121,Prezzi!$S$12:$T$367,2,0)</f>
        <v>43.545616548759739</v>
      </c>
      <c r="K121" s="1">
        <v>0</v>
      </c>
      <c r="L121" s="21">
        <f>+VLOOKUP(D121,Prezzi!$Q$12:$R$367,2,0)/VLOOKUP(D121,Prezzi!$S$12:$T$367,2,0)</f>
        <v>97.716799498522434</v>
      </c>
      <c r="M121" s="1">
        <v>0</v>
      </c>
      <c r="O121" s="1" t="str">
        <f t="shared" si="55"/>
        <v>201921</v>
      </c>
      <c r="P121" s="35">
        <v>43605</v>
      </c>
      <c r="Q121" s="12">
        <f t="shared" si="54"/>
        <v>-6.6541204829181206E-4</v>
      </c>
      <c r="R121" s="12">
        <f t="shared" si="56"/>
        <v>-6.309584199641268E-3</v>
      </c>
      <c r="S121" s="12">
        <f t="shared" si="57"/>
        <v>-3.210338990715619E-3</v>
      </c>
      <c r="T121" s="12">
        <f t="shared" si="58"/>
        <v>1.4891875100974798E-3</v>
      </c>
      <c r="U121" s="12">
        <f t="shared" si="59"/>
        <v>1.2507625427860074E-3</v>
      </c>
      <c r="AI121" s="15">
        <v>43605</v>
      </c>
      <c r="AJ121" s="99">
        <f>+VLOOKUP(AI121,benchmark!I$7:$J$362,2,0)</f>
        <v>249.02609999999999</v>
      </c>
      <c r="AK121" s="61">
        <f>+VLOOKUP(AI121,benchmark!K$7:$L$362,2,0)</f>
        <v>241.245</v>
      </c>
      <c r="AP121" s="15">
        <v>43605</v>
      </c>
      <c r="AQ121" s="12">
        <f t="shared" si="48"/>
        <v>-5.0159520380052003E-3</v>
      </c>
      <c r="AR121" s="12">
        <f t="shared" si="48"/>
        <v>-1.4983009598231734E-3</v>
      </c>
      <c r="AY121" s="15">
        <v>43605</v>
      </c>
      <c r="AZ121" s="12">
        <f t="shared" si="60"/>
        <v>-2.9053613910959841E-3</v>
      </c>
    </row>
    <row r="122" spans="4:52" x14ac:dyDescent="0.75">
      <c r="D122" s="15">
        <v>43602</v>
      </c>
      <c r="E122" s="21">
        <f>+VLOOKUP(D122,Prezzi!$I$12:$J$367,2,0)</f>
        <v>5.0466730000000002</v>
      </c>
      <c r="F122" s="21">
        <f>+VLOOKUP(D122,Prezzi!$K$12:$L$367,2,0)/VLOOKUP(D122,Prezzi!$S$12:$T$367,2,0)</f>
        <v>257.69089957035447</v>
      </c>
      <c r="G122" s="1">
        <v>0</v>
      </c>
      <c r="H122" s="21">
        <f>+VLOOKUP(D122,Prezzi!$M$12:$N$367,2,0)/VLOOKUP(D122,Prezzi!$S$12:$T$367,2,0)</f>
        <v>22.546372180451129</v>
      </c>
      <c r="I122" s="1">
        <v>0</v>
      </c>
      <c r="J122" s="21">
        <f>+VLOOKUP(D122,Prezzi!$O$12:$P$367,2,0)/VLOOKUP(D122,Prezzi!$S$12:$T$367,2,0)</f>
        <v>43.480817221625493</v>
      </c>
      <c r="K122" s="1">
        <v>0</v>
      </c>
      <c r="L122" s="21">
        <f>+VLOOKUP(D122,Prezzi!$Q$12:$R$367,2,0)/VLOOKUP(D122,Prezzi!$S$12:$T$367,2,0)</f>
        <v>97.594655388471182</v>
      </c>
      <c r="M122" s="1">
        <v>0</v>
      </c>
      <c r="O122" s="1" t="str">
        <f t="shared" si="55"/>
        <v>201920</v>
      </c>
      <c r="P122" s="35">
        <v>43602</v>
      </c>
      <c r="Q122" s="12">
        <f t="shared" si="54"/>
        <v>-1.1806750903294663E-3</v>
      </c>
      <c r="R122" s="12">
        <f t="shared" si="56"/>
        <v>-2.9833657675874714E-3</v>
      </c>
      <c r="S122" s="12">
        <f t="shared" si="57"/>
        <v>-1.2067375722723819E-4</v>
      </c>
      <c r="T122" s="12">
        <f t="shared" si="58"/>
        <v>-5.3174764591755125E-3</v>
      </c>
      <c r="U122" s="12">
        <f t="shared" si="59"/>
        <v>2.0521873643629309E-3</v>
      </c>
      <c r="AI122" s="15">
        <v>43602</v>
      </c>
      <c r="AJ122" s="99">
        <f>+VLOOKUP(AI122,benchmark!I$7:$J$362,2,0)</f>
        <v>250.28149999999999</v>
      </c>
      <c r="AK122" s="61">
        <f>+VLOOKUP(AI122,benchmark!K$7:$L$362,2,0)</f>
        <v>241.607</v>
      </c>
      <c r="AP122" s="15">
        <v>43602</v>
      </c>
      <c r="AQ122" s="12">
        <f t="shared" si="48"/>
        <v>-5.5100326541056566E-3</v>
      </c>
      <c r="AR122" s="12">
        <f t="shared" si="48"/>
        <v>7.1655193551856122E-4</v>
      </c>
      <c r="AY122" s="15">
        <v>43602</v>
      </c>
      <c r="AZ122" s="12">
        <f t="shared" si="60"/>
        <v>-1.7740819003311261E-3</v>
      </c>
    </row>
    <row r="123" spans="4:52" x14ac:dyDescent="0.75">
      <c r="D123" s="15">
        <v>43601</v>
      </c>
      <c r="E123" s="21">
        <f>+VLOOKUP(D123,Prezzi!$I$12:$J$367,2,0)</f>
        <v>5.0526350000000004</v>
      </c>
      <c r="F123" s="21">
        <f>+VLOOKUP(D123,Prezzi!$K$12:$L$367,2,0)/VLOOKUP(D123,Prezzi!$S$12:$T$367,2,0)</f>
        <v>258.46083370525753</v>
      </c>
      <c r="G123" s="1">
        <v>0</v>
      </c>
      <c r="H123" s="21">
        <f>+VLOOKUP(D123,Prezzi!$M$12:$N$367,2,0)/VLOOKUP(D123,Prezzi!$S$12:$T$367,2,0)</f>
        <v>22.549093100062482</v>
      </c>
      <c r="I123" s="1">
        <v>0</v>
      </c>
      <c r="J123" s="21">
        <f>+VLOOKUP(D123,Prezzi!$O$12:$P$367,2,0)/VLOOKUP(D123,Prezzi!$S$12:$T$367,2,0)</f>
        <v>43.712641256806208</v>
      </c>
      <c r="K123" s="1">
        <v>0</v>
      </c>
      <c r="L123" s="21">
        <f>+VLOOKUP(D123,Prezzi!$Q$12:$R$367,2,0)/VLOOKUP(D123,Prezzi!$S$12:$T$367,2,0)</f>
        <v>97.39457823797197</v>
      </c>
      <c r="M123" s="1">
        <v>0</v>
      </c>
      <c r="O123" s="1" t="str">
        <f t="shared" si="55"/>
        <v>201920</v>
      </c>
      <c r="P123" s="35">
        <v>43601</v>
      </c>
      <c r="Q123" s="12">
        <f t="shared" si="54"/>
        <v>3.3651472025099778E-4</v>
      </c>
      <c r="R123" s="12">
        <f t="shared" si="56"/>
        <v>7.3535806856647179E-3</v>
      </c>
      <c r="S123" s="12">
        <f t="shared" si="57"/>
        <v>7.9666772157716958E-3</v>
      </c>
      <c r="T123" s="12">
        <f t="shared" si="58"/>
        <v>-1.0114695994502803E-2</v>
      </c>
      <c r="U123" s="12">
        <f t="shared" si="59"/>
        <v>-5.763694610848917E-4</v>
      </c>
      <c r="AI123" s="15">
        <v>43601</v>
      </c>
      <c r="AJ123" s="99">
        <f>+VLOOKUP(AI123,benchmark!I$7:$J$362,2,0)</f>
        <v>251.66819999999998</v>
      </c>
      <c r="AK123" s="61">
        <f>+VLOOKUP(AI123,benchmark!K$7:$L$362,2,0)</f>
        <v>241.434</v>
      </c>
      <c r="AP123" s="15">
        <v>43601</v>
      </c>
      <c r="AQ123" s="12">
        <f t="shared" si="48"/>
        <v>6.4348787946528763E-3</v>
      </c>
      <c r="AR123" s="12">
        <f t="shared" si="48"/>
        <v>9.618494042338277E-4</v>
      </c>
      <c r="AY123" s="15">
        <v>43601</v>
      </c>
      <c r="AZ123" s="12">
        <f t="shared" si="60"/>
        <v>3.1510611604014475E-3</v>
      </c>
    </row>
    <row r="124" spans="4:52" x14ac:dyDescent="0.75">
      <c r="D124" s="15">
        <v>43600</v>
      </c>
      <c r="E124" s="21">
        <f>+VLOOKUP(D124,Prezzi!$I$12:$J$367,2,0)</f>
        <v>5.050935</v>
      </c>
      <c r="F124" s="21">
        <f>+VLOOKUP(D124,Prezzi!$K$12:$L$367,2,0)/VLOOKUP(D124,Prezzi!$S$12:$T$367,2,0)</f>
        <v>256.56719216668154</v>
      </c>
      <c r="G124" s="1">
        <v>0</v>
      </c>
      <c r="H124" s="21">
        <f>+VLOOKUP(D124,Prezzi!$M$12:$N$367,2,0)/VLOOKUP(D124,Prezzi!$S$12:$T$367,2,0)</f>
        <v>22.370165429670035</v>
      </c>
      <c r="I124" s="1">
        <v>0</v>
      </c>
      <c r="J124" s="21">
        <f>+VLOOKUP(D124,Prezzi!$O$12:$P$367,2,0)/VLOOKUP(D124,Prezzi!$S$12:$T$367,2,0)</f>
        <v>44.157024948582666</v>
      </c>
      <c r="K124" s="1">
        <v>0</v>
      </c>
      <c r="L124" s="21">
        <f>+VLOOKUP(D124,Prezzi!$Q$12:$R$367,2,0)/VLOOKUP(D124,Prezzi!$S$12:$T$367,2,0)</f>
        <v>97.450729678977012</v>
      </c>
      <c r="M124" s="1">
        <v>0</v>
      </c>
      <c r="O124" s="1" t="str">
        <f t="shared" si="55"/>
        <v>201920</v>
      </c>
      <c r="P124" s="35">
        <v>43600</v>
      </c>
      <c r="Q124" s="12">
        <f t="shared" si="54"/>
        <v>-3.4646450301468605E-5</v>
      </c>
      <c r="R124" s="12">
        <f t="shared" si="56"/>
        <v>9.8580313887698702E-3</v>
      </c>
      <c r="S124" s="12">
        <f t="shared" si="57"/>
        <v>7.8758618823654841E-3</v>
      </c>
      <c r="T124" s="12">
        <f t="shared" si="58"/>
        <v>4.3806371086992117E-3</v>
      </c>
      <c r="U124" s="12">
        <f t="shared" si="59"/>
        <v>5.8974820234783806E-3</v>
      </c>
      <c r="AI124" s="15">
        <v>43600</v>
      </c>
      <c r="AJ124" s="99">
        <f>+VLOOKUP(AI124,benchmark!I$7:$J$362,2,0)</f>
        <v>250.0591</v>
      </c>
      <c r="AK124" s="61">
        <f>+VLOOKUP(AI124,benchmark!K$7:$L$362,2,0)</f>
        <v>241.202</v>
      </c>
      <c r="AP124" s="15">
        <v>43600</v>
      </c>
      <c r="AQ124" s="12">
        <f t="shared" si="48"/>
        <v>5.198461686268141E-3</v>
      </c>
      <c r="AR124" s="12">
        <f t="shared" si="48"/>
        <v>1.2120708978455852E-3</v>
      </c>
      <c r="AY124" s="15">
        <v>43600</v>
      </c>
      <c r="AZ124" s="12">
        <f t="shared" si="60"/>
        <v>2.8066272132146078E-3</v>
      </c>
    </row>
    <row r="125" spans="4:52" x14ac:dyDescent="0.75">
      <c r="D125" s="15">
        <v>43599</v>
      </c>
      <c r="E125" s="21">
        <f>+VLOOKUP(D125,Prezzi!$I$12:$J$367,2,0)</f>
        <v>5.0511100000000004</v>
      </c>
      <c r="F125" s="21">
        <f>+VLOOKUP(D125,Prezzi!$K$12:$L$367,2,0)/VLOOKUP(D125,Prezzi!$S$12:$T$367,2,0)</f>
        <v>254.05037056832356</v>
      </c>
      <c r="G125" s="1">
        <v>0</v>
      </c>
      <c r="H125" s="21">
        <f>+VLOOKUP(D125,Prezzi!$M$12:$N$367,2,0)/VLOOKUP(D125,Prezzi!$S$12:$T$367,2,0)</f>
        <v>22.194673080349187</v>
      </c>
      <c r="I125" s="1">
        <v>0</v>
      </c>
      <c r="J125" s="21">
        <f>+VLOOKUP(D125,Prezzi!$O$12:$P$367,2,0)/VLOOKUP(D125,Prezzi!$S$12:$T$367,2,0)</f>
        <v>43.964012114733649</v>
      </c>
      <c r="K125" s="1">
        <v>0</v>
      </c>
      <c r="L125" s="21">
        <f>+VLOOKUP(D125,Prezzi!$Q$12:$R$367,2,0)/VLOOKUP(D125,Prezzi!$S$12:$T$367,2,0)</f>
        <v>96.877707108498129</v>
      </c>
      <c r="M125" s="1">
        <v>0</v>
      </c>
      <c r="O125" s="1" t="str">
        <f t="shared" si="55"/>
        <v>201920</v>
      </c>
      <c r="P125" s="35">
        <v>43599</v>
      </c>
      <c r="Q125" s="12">
        <f t="shared" si="54"/>
        <v>1.3493264182539541E-3</v>
      </c>
      <c r="R125" s="12">
        <f t="shared" si="56"/>
        <v>9.80126142222984E-3</v>
      </c>
      <c r="S125" s="12">
        <f t="shared" si="57"/>
        <v>5.0979688677899645E-3</v>
      </c>
      <c r="T125" s="12">
        <f t="shared" si="58"/>
        <v>-1.9035487541117107E-3</v>
      </c>
      <c r="U125" s="12">
        <f t="shared" si="59"/>
        <v>2.9951611108660148E-3</v>
      </c>
      <c r="AI125" s="15">
        <v>43599</v>
      </c>
      <c r="AJ125" s="99">
        <f>+VLOOKUP(AI125,benchmark!I$7:$J$362,2,0)</f>
        <v>248.76590000000002</v>
      </c>
      <c r="AK125" s="61">
        <f>+VLOOKUP(AI125,benchmark!K$7:$L$362,2,0)</f>
        <v>240.91</v>
      </c>
      <c r="AP125" s="15">
        <v>43599</v>
      </c>
      <c r="AQ125" s="12">
        <f t="shared" ref="AQ125:AR188" si="61">+AJ125/AJ126-1</f>
        <v>5.1184024507564541E-3</v>
      </c>
      <c r="AR125" s="12">
        <f t="shared" si="61"/>
        <v>2.6988311984887936E-4</v>
      </c>
      <c r="AY125" s="15">
        <v>43599</v>
      </c>
      <c r="AZ125" s="12">
        <f t="shared" si="60"/>
        <v>2.2092908522119092E-3</v>
      </c>
    </row>
    <row r="126" spans="4:52" x14ac:dyDescent="0.75">
      <c r="D126" s="15">
        <v>43598</v>
      </c>
      <c r="E126" s="21">
        <f>+VLOOKUP(D126,Prezzi!$I$12:$J$367,2,0)</f>
        <v>5.0442989999999996</v>
      </c>
      <c r="F126" s="21">
        <f>+VLOOKUP(D126,Prezzi!$K$12:$L$367,2,0)/VLOOKUP(D126,Prezzi!$S$12:$T$367,2,0)</f>
        <v>251.57251934192973</v>
      </c>
      <c r="G126" s="1">
        <v>0</v>
      </c>
      <c r="H126" s="21">
        <f>+VLOOKUP(D126,Prezzi!$M$12:$N$367,2,0)/VLOOKUP(D126,Prezzi!$S$12:$T$367,2,0)</f>
        <v>22.081813250333479</v>
      </c>
      <c r="I126" s="1">
        <v>0</v>
      </c>
      <c r="J126" s="21">
        <f>+VLOOKUP(D126,Prezzi!$O$12:$P$367,2,0)/VLOOKUP(D126,Prezzi!$S$12:$T$367,2,0)</f>
        <v>44.047779457536684</v>
      </c>
      <c r="K126" s="1">
        <v>0</v>
      </c>
      <c r="L126" s="21">
        <f>+VLOOKUP(D126,Prezzi!$Q$12:$R$367,2,0)/VLOOKUP(D126,Prezzi!$S$12:$T$367,2,0)</f>
        <v>96.587976878612707</v>
      </c>
      <c r="M126" s="1">
        <v>0</v>
      </c>
      <c r="O126" s="1" t="str">
        <f t="shared" si="55"/>
        <v>201920</v>
      </c>
      <c r="P126" s="35">
        <v>43598</v>
      </c>
      <c r="Q126" s="12">
        <f t="shared" si="54"/>
        <v>-6.4030633228469492E-5</v>
      </c>
      <c r="R126" s="12">
        <f t="shared" si="56"/>
        <v>-2.5737834213013306E-2</v>
      </c>
      <c r="S126" s="12">
        <f t="shared" si="57"/>
        <v>-7.6909181249574026E-3</v>
      </c>
      <c r="T126" s="12">
        <f t="shared" si="58"/>
        <v>9.5219538444257512E-3</v>
      </c>
      <c r="U126" s="12">
        <f t="shared" si="59"/>
        <v>-4.7871692066299215E-3</v>
      </c>
      <c r="AI126" s="15">
        <v>43598</v>
      </c>
      <c r="AJ126" s="99">
        <f>+VLOOKUP(AI126,benchmark!I$7:$J$362,2,0)</f>
        <v>247.4991</v>
      </c>
      <c r="AK126" s="61">
        <f>+VLOOKUP(AI126,benchmark!K$7:$L$362,2,0)</f>
        <v>240.845</v>
      </c>
      <c r="AP126" s="15">
        <v>43598</v>
      </c>
      <c r="AQ126" s="12">
        <f t="shared" si="61"/>
        <v>-1.836088278829362E-2</v>
      </c>
      <c r="AR126" s="12">
        <f t="shared" si="61"/>
        <v>5.3174474590478304E-4</v>
      </c>
      <c r="AY126" s="15">
        <v>43598</v>
      </c>
      <c r="AZ126" s="12">
        <f t="shared" si="60"/>
        <v>-7.0253062677745779E-3</v>
      </c>
    </row>
    <row r="127" spans="4:52" x14ac:dyDescent="0.75">
      <c r="D127" s="15">
        <v>43595</v>
      </c>
      <c r="E127" s="21">
        <f>+VLOOKUP(D127,Prezzi!$I$12:$J$367,2,0)</f>
        <v>5.0446220000000004</v>
      </c>
      <c r="F127" s="21">
        <f>+VLOOKUP(D127,Prezzi!$K$12:$L$367,2,0)/VLOOKUP(D127,Prezzi!$S$12:$T$367,2,0)</f>
        <v>258.13149599287624</v>
      </c>
      <c r="G127" s="1">
        <v>0</v>
      </c>
      <c r="H127" s="21">
        <f>+VLOOKUP(D127,Prezzi!$M$12:$N$367,2,0)/VLOOKUP(D127,Prezzi!$S$12:$T$367,2,0)</f>
        <v>22.252297417631343</v>
      </c>
      <c r="I127" s="1">
        <v>0</v>
      </c>
      <c r="J127" s="21">
        <f>+VLOOKUP(D127,Prezzi!$O$12:$P$367,2,0)/VLOOKUP(D127,Prezzi!$S$12:$T$367,2,0)</f>
        <v>43.630349065004452</v>
      </c>
      <c r="K127" s="1">
        <v>0</v>
      </c>
      <c r="L127" s="21">
        <f>+VLOOKUP(D127,Prezzi!$Q$12:$R$367,2,0)/VLOOKUP(D127,Prezzi!$S$12:$T$367,2,0)</f>
        <v>97.051468388245766</v>
      </c>
      <c r="M127" s="1">
        <v>0</v>
      </c>
      <c r="O127" s="1" t="str">
        <f t="shared" si="55"/>
        <v>201919</v>
      </c>
      <c r="P127" s="35">
        <v>43595</v>
      </c>
      <c r="Q127" s="12">
        <f t="shared" si="54"/>
        <v>1.1019778799674345E-3</v>
      </c>
      <c r="R127" s="12">
        <f t="shared" si="56"/>
        <v>7.6207366882345511E-4</v>
      </c>
      <c r="S127" s="12">
        <f t="shared" si="57"/>
        <v>1.1370135831602235E-3</v>
      </c>
      <c r="T127" s="12">
        <f t="shared" si="58"/>
        <v>-1.4854247866915677E-3</v>
      </c>
      <c r="U127" s="12">
        <f t="shared" si="59"/>
        <v>-1.6527337782646645E-3</v>
      </c>
      <c r="AI127" s="15">
        <v>43595</v>
      </c>
      <c r="AJ127" s="99">
        <f>+VLOOKUP(AI127,benchmark!I$7:$J$362,2,0)</f>
        <v>252.1284</v>
      </c>
      <c r="AK127" s="61">
        <f>+VLOOKUP(AI127,benchmark!K$7:$L$362,2,0)</f>
        <v>240.71700000000001</v>
      </c>
      <c r="AP127" s="15">
        <v>43595</v>
      </c>
      <c r="AQ127" s="12">
        <f t="shared" si="61"/>
        <v>3.6579030649717126E-3</v>
      </c>
      <c r="AR127" s="12">
        <f t="shared" si="61"/>
        <v>-2.8656151105121985E-4</v>
      </c>
      <c r="AY127" s="15">
        <v>43595</v>
      </c>
      <c r="AZ127" s="12">
        <f t="shared" si="60"/>
        <v>1.2912243193579532E-3</v>
      </c>
    </row>
    <row r="128" spans="4:52" x14ac:dyDescent="0.75">
      <c r="D128" s="15">
        <v>43594</v>
      </c>
      <c r="E128" s="21">
        <f>+VLOOKUP(D128,Prezzi!$I$12:$J$367,2,0)</f>
        <v>5.039066</v>
      </c>
      <c r="F128" s="21">
        <f>+VLOOKUP(D128,Prezzi!$K$12:$L$367,2,0)/VLOOKUP(D128,Prezzi!$S$12:$T$367,2,0)</f>
        <v>257.93485571339232</v>
      </c>
      <c r="G128" s="1">
        <v>0</v>
      </c>
      <c r="H128" s="21">
        <f>+VLOOKUP(D128,Prezzi!$M$12:$N$367,2,0)/VLOOKUP(D128,Prezzi!$S$12:$T$367,2,0)</f>
        <v>22.227010631644777</v>
      </c>
      <c r="I128" s="1">
        <v>0</v>
      </c>
      <c r="J128" s="21">
        <f>+VLOOKUP(D128,Prezzi!$O$12:$P$367,2,0)/VLOOKUP(D128,Prezzi!$S$12:$T$367,2,0)</f>
        <v>43.695206825694633</v>
      </c>
      <c r="K128" s="1">
        <v>0</v>
      </c>
      <c r="L128" s="21">
        <f>+VLOOKUP(D128,Prezzi!$Q$12:$R$367,2,0)/VLOOKUP(D128,Prezzi!$S$12:$T$367,2,0)</f>
        <v>97.212001250781739</v>
      </c>
      <c r="M128" s="1">
        <v>0</v>
      </c>
      <c r="O128" s="1" t="str">
        <f t="shared" si="55"/>
        <v>201919</v>
      </c>
      <c r="P128" s="35">
        <v>43594</v>
      </c>
      <c r="Q128" s="12">
        <f t="shared" si="54"/>
        <v>-8.6520227927537174E-5</v>
      </c>
      <c r="R128" s="12">
        <f t="shared" si="56"/>
        <v>-1.8821351251593421E-3</v>
      </c>
      <c r="S128" s="12">
        <f t="shared" si="57"/>
        <v>-5.8475416535760426E-3</v>
      </c>
      <c r="T128" s="12">
        <f t="shared" si="58"/>
        <v>3.8889595968699966E-3</v>
      </c>
      <c r="U128" s="12">
        <f t="shared" si="59"/>
        <v>-1.673983045863711E-3</v>
      </c>
      <c r="AI128" s="15">
        <v>43594</v>
      </c>
      <c r="AJ128" s="99">
        <f>+VLOOKUP(AI128,benchmark!I$7:$J$362,2,0)</f>
        <v>251.20949999999999</v>
      </c>
      <c r="AK128" s="61">
        <f>+VLOOKUP(AI128,benchmark!K$7:$L$362,2,0)</f>
        <v>240.786</v>
      </c>
      <c r="AP128" s="15">
        <v>43594</v>
      </c>
      <c r="AQ128" s="12">
        <f t="shared" si="61"/>
        <v>-7.3403457027799712E-3</v>
      </c>
      <c r="AR128" s="12">
        <f t="shared" si="61"/>
        <v>-1.3562105734655772E-3</v>
      </c>
      <c r="AY128" s="15">
        <v>43594</v>
      </c>
      <c r="AZ128" s="12">
        <f t="shared" si="60"/>
        <v>-3.7498646251913348E-3</v>
      </c>
    </row>
    <row r="129" spans="4:52" x14ac:dyDescent="0.75">
      <c r="D129" s="15">
        <v>43593</v>
      </c>
      <c r="E129" s="21">
        <f>+VLOOKUP(D129,Prezzi!$I$12:$J$367,2,0)</f>
        <v>5.0395019999999997</v>
      </c>
      <c r="F129" s="21">
        <f>+VLOOKUP(D129,Prezzi!$K$12:$L$367,2,0)/VLOOKUP(D129,Prezzi!$S$12:$T$367,2,0)</f>
        <v>258.42078111051597</v>
      </c>
      <c r="G129" s="1">
        <v>0</v>
      </c>
      <c r="H129" s="21">
        <f>+VLOOKUP(D129,Prezzi!$M$12:$N$367,2,0)/VLOOKUP(D129,Prezzi!$S$12:$T$367,2,0)</f>
        <v>22.357364756293517</v>
      </c>
      <c r="I129" s="1">
        <v>0</v>
      </c>
      <c r="J129" s="21">
        <f>+VLOOKUP(D129,Prezzi!$O$12:$P$367,2,0)/VLOOKUP(D129,Prezzi!$S$12:$T$367,2,0)</f>
        <v>43.52560792715586</v>
      </c>
      <c r="K129" s="1">
        <v>0</v>
      </c>
      <c r="L129" s="21">
        <f>+VLOOKUP(D129,Prezzi!$Q$12:$R$367,2,0)/VLOOKUP(D129,Prezzi!$S$12:$T$367,2,0)</f>
        <v>97.374868773433306</v>
      </c>
      <c r="M129" s="1">
        <v>0</v>
      </c>
      <c r="O129" s="1" t="str">
        <f t="shared" si="55"/>
        <v>201919</v>
      </c>
      <c r="P129" s="35">
        <v>43593</v>
      </c>
      <c r="Q129" s="12">
        <f t="shared" si="54"/>
        <v>6.0722129007999852E-5</v>
      </c>
      <c r="R129" s="12">
        <f t="shared" si="56"/>
        <v>-3.0984022310547982E-3</v>
      </c>
      <c r="S129" s="12">
        <f t="shared" si="57"/>
        <v>-8.4168040543140387E-4</v>
      </c>
      <c r="T129" s="12">
        <f t="shared" si="58"/>
        <v>-4.5433421989645346E-3</v>
      </c>
      <c r="U129" s="12">
        <f t="shared" si="59"/>
        <v>-2.9538468790024515E-3</v>
      </c>
      <c r="AI129" s="15">
        <v>43593</v>
      </c>
      <c r="AJ129" s="99">
        <f>+VLOOKUP(AI129,benchmark!I$7:$J$362,2,0)</f>
        <v>253.06709999999998</v>
      </c>
      <c r="AK129" s="61">
        <f>+VLOOKUP(AI129,benchmark!K$7:$L$362,2,0)</f>
        <v>241.113</v>
      </c>
      <c r="AP129" s="15">
        <v>43593</v>
      </c>
      <c r="AQ129" s="12">
        <f t="shared" si="61"/>
        <v>-2.1084235206533242E-3</v>
      </c>
      <c r="AR129" s="12">
        <f t="shared" si="61"/>
        <v>3.7328289866467301E-5</v>
      </c>
      <c r="AY129" s="15">
        <v>43593</v>
      </c>
      <c r="AZ129" s="12">
        <f t="shared" si="60"/>
        <v>-8.2097243434144942E-4</v>
      </c>
    </row>
    <row r="130" spans="4:52" x14ac:dyDescent="0.75">
      <c r="D130" s="15">
        <v>43592</v>
      </c>
      <c r="E130" s="21">
        <f>+VLOOKUP(D130,Prezzi!$I$12:$J$367,2,0)</f>
        <v>5.0391959999999996</v>
      </c>
      <c r="F130" s="21">
        <f>+VLOOKUP(D130,Prezzi!$K$12:$L$367,2,0)/VLOOKUP(D130,Prezzi!$S$12:$T$367,2,0)</f>
        <v>259.22271434957531</v>
      </c>
      <c r="G130" s="1">
        <v>0</v>
      </c>
      <c r="H130" s="21">
        <f>+VLOOKUP(D130,Prezzi!$M$12:$N$367,2,0)/VLOOKUP(D130,Prezzi!$S$12:$T$367,2,0)</f>
        <v>22.376190433616451</v>
      </c>
      <c r="I130" s="1">
        <v>0</v>
      </c>
      <c r="J130" s="21">
        <f>+VLOOKUP(D130,Prezzi!$O$12:$P$367,2,0)/VLOOKUP(D130,Prezzi!$S$12:$T$367,2,0)</f>
        <v>43.723809566383551</v>
      </c>
      <c r="K130" s="1">
        <v>0</v>
      </c>
      <c r="L130" s="21">
        <f>+VLOOKUP(D130,Prezzi!$Q$12:$R$367,2,0)/VLOOKUP(D130,Prezzi!$S$12:$T$367,2,0)</f>
        <v>97.662924452391593</v>
      </c>
      <c r="M130" s="126">
        <f>0.45/VLOOKUP(D130,Prezzi!$S$12:$T$367,2,0)</f>
        <v>0.40232454179704963</v>
      </c>
      <c r="O130" s="1" t="str">
        <f t="shared" si="55"/>
        <v>201919</v>
      </c>
      <c r="P130" s="35">
        <v>43592</v>
      </c>
      <c r="Q130" s="12">
        <f t="shared" si="54"/>
        <v>-5.9396596619204424E-4</v>
      </c>
      <c r="R130" s="12">
        <f t="shared" si="56"/>
        <v>-1.5384699936903149E-2</v>
      </c>
      <c r="S130" s="12">
        <f t="shared" si="57"/>
        <v>-5.4519219709502145E-3</v>
      </c>
      <c r="T130" s="12">
        <f t="shared" si="58"/>
        <v>3.1476683235030591E-3</v>
      </c>
      <c r="U130" s="12">
        <f t="shared" si="59"/>
        <v>4.0377086279795452E-3</v>
      </c>
      <c r="AI130" s="15">
        <v>43592</v>
      </c>
      <c r="AJ130" s="99">
        <f>+VLOOKUP(AI130,benchmark!I$7:$J$362,2,0)</f>
        <v>253.6018</v>
      </c>
      <c r="AK130" s="61">
        <f>+VLOOKUP(AI130,benchmark!K$7:$L$362,2,0)</f>
        <v>241.10400000000001</v>
      </c>
      <c r="AP130" s="15">
        <v>43592</v>
      </c>
      <c r="AQ130" s="12">
        <f t="shared" si="61"/>
        <v>-1.3245605160968954E-2</v>
      </c>
      <c r="AR130" s="12">
        <f t="shared" si="61"/>
        <v>1.5619288159249844E-3</v>
      </c>
      <c r="AY130" s="15">
        <v>43592</v>
      </c>
      <c r="AZ130" s="12">
        <f t="shared" si="60"/>
        <v>-4.3610847748325916E-3</v>
      </c>
    </row>
    <row r="131" spans="4:52" x14ac:dyDescent="0.75">
      <c r="D131" s="15">
        <v>43591</v>
      </c>
      <c r="E131" s="21">
        <f>+VLOOKUP(D131,Prezzi!$I$12:$J$367,2,0)</f>
        <v>5.0421899999999997</v>
      </c>
      <c r="F131" s="21">
        <f>+VLOOKUP(D131,Prezzi!$K$12:$L$367,2,0)/VLOOKUP(D131,Prezzi!$S$12:$T$367,2,0)</f>
        <v>263.24161353692296</v>
      </c>
      <c r="G131" s="1">
        <v>0</v>
      </c>
      <c r="H131" s="21">
        <f>+VLOOKUP(D131,Prezzi!$M$12:$N$367,2,0)/VLOOKUP(D131,Prezzi!$S$12:$T$367,2,0)</f>
        <v>22.498516831859991</v>
      </c>
      <c r="I131" s="1">
        <v>0</v>
      </c>
      <c r="J131" s="21">
        <f>+VLOOKUP(D131,Prezzi!$O$12:$P$367,2,0)/VLOOKUP(D131,Prezzi!$S$12:$T$367,2,0)</f>
        <v>43.586397892668991</v>
      </c>
      <c r="K131" s="1">
        <v>0</v>
      </c>
      <c r="L131" s="21">
        <f>+VLOOKUP(D131,Prezzi!$Q$12:$R$367,2,0)/VLOOKUP(D131,Prezzi!$S$12:$T$367,2,0)</f>
        <v>97.670088400750075</v>
      </c>
      <c r="M131" s="1">
        <v>0</v>
      </c>
      <c r="O131" s="1" t="str">
        <f t="shared" si="55"/>
        <v>201919</v>
      </c>
      <c r="P131" s="35">
        <v>43591</v>
      </c>
      <c r="Q131" s="12">
        <f t="shared" si="54"/>
        <v>2.217764660576819E-3</v>
      </c>
      <c r="R131" s="12">
        <f t="shared" si="56"/>
        <v>-8.3381779482918552E-3</v>
      </c>
      <c r="S131" s="12">
        <f t="shared" si="57"/>
        <v>-8.1077649207831112E-3</v>
      </c>
      <c r="T131" s="12">
        <f t="shared" si="58"/>
        <v>-1.9784592731208472E-3</v>
      </c>
      <c r="U131" s="12">
        <f t="shared" si="59"/>
        <v>-3.2542694041310955E-3</v>
      </c>
      <c r="AI131" s="15">
        <v>43591</v>
      </c>
      <c r="AJ131" s="99">
        <f>+VLOOKUP(AI131,benchmark!I$7:$J$362,2,0)</f>
        <v>257.00599999999997</v>
      </c>
      <c r="AK131" s="61">
        <f>+VLOOKUP(AI131,benchmark!K$7:$L$362,2,0)</f>
        <v>240.72800000000001</v>
      </c>
      <c r="AP131" s="15">
        <v>43591</v>
      </c>
      <c r="AQ131" s="12">
        <f t="shared" si="61"/>
        <v>-6.4755407333587645E-3</v>
      </c>
      <c r="AR131" s="12">
        <f t="shared" si="61"/>
        <v>-4.9846307219381103E-5</v>
      </c>
      <c r="AY131" s="15">
        <v>43591</v>
      </c>
      <c r="AZ131" s="12">
        <f t="shared" si="60"/>
        <v>-2.6201240776751347E-3</v>
      </c>
    </row>
    <row r="132" spans="4:52" x14ac:dyDescent="0.75">
      <c r="D132" s="15">
        <v>43588</v>
      </c>
      <c r="E132" s="21">
        <f>+VLOOKUP(D132,Prezzi!$I$12:$J$367,2,0)</f>
        <v>5.0310199999999998</v>
      </c>
      <c r="F132" s="21">
        <f>+VLOOKUP(D132,Prezzi!$K$12:$L$367,2,0)/VLOOKUP(D132,Prezzi!$S$12:$T$367,2,0)</f>
        <v>265.4457454056477</v>
      </c>
      <c r="G132" s="1">
        <v>0</v>
      </c>
      <c r="H132" s="21">
        <f>+VLOOKUP(D132,Prezzi!$M$12:$N$367,2,0)/VLOOKUP(D132,Prezzi!$S$12:$T$367,2,0)</f>
        <v>22.681670999551773</v>
      </c>
      <c r="I132" s="1">
        <v>0</v>
      </c>
      <c r="J132" s="21">
        <f>+VLOOKUP(D132,Prezzi!$O$12:$P$367,2,0)/VLOOKUP(D132,Prezzi!$S$12:$T$367,2,0)</f>
        <v>43.672717167189603</v>
      </c>
      <c r="K132" s="1">
        <v>0</v>
      </c>
      <c r="L132" s="21">
        <f>+VLOOKUP(D132,Prezzi!$Q$12:$R$367,2,0)/VLOOKUP(D132,Prezzi!$S$12:$T$367,2,0)</f>
        <v>97.98845091887047</v>
      </c>
      <c r="M132" s="1">
        <v>0</v>
      </c>
      <c r="O132" s="1" t="str">
        <f t="shared" si="55"/>
        <v>201918</v>
      </c>
      <c r="P132" s="35">
        <v>43588</v>
      </c>
      <c r="Q132" s="12">
        <f t="shared" si="54"/>
        <v>4.1888947586612041E-4</v>
      </c>
      <c r="R132" s="12">
        <f t="shared" si="56"/>
        <v>1.4788523828230427E-2</v>
      </c>
      <c r="S132" s="12">
        <f t="shared" si="57"/>
        <v>9.4681194627189436E-3</v>
      </c>
      <c r="T132" s="12">
        <f t="shared" si="58"/>
        <v>1.1939808961611302E-2</v>
      </c>
      <c r="U132" s="12">
        <f t="shared" si="59"/>
        <v>6.8895279794518307E-3</v>
      </c>
      <c r="AI132" s="15">
        <v>43588</v>
      </c>
      <c r="AJ132" s="99">
        <f>+VLOOKUP(AI132,benchmark!I$7:$J$362,2,0)</f>
        <v>258.68110000000001</v>
      </c>
      <c r="AK132" s="61">
        <f>+VLOOKUP(AI132,benchmark!K$7:$L$362,2,0)</f>
        <v>240.74</v>
      </c>
      <c r="AP132" s="15">
        <v>43588</v>
      </c>
      <c r="AQ132" s="12">
        <f t="shared" si="61"/>
        <v>7.3106423310880242E-3</v>
      </c>
      <c r="AR132" s="12">
        <f t="shared" si="61"/>
        <v>2.4098187650101188E-4</v>
      </c>
      <c r="AY132" s="15">
        <v>43588</v>
      </c>
      <c r="AZ132" s="12">
        <f t="shared" si="60"/>
        <v>3.0688460583358172E-3</v>
      </c>
    </row>
    <row r="133" spans="4:52" x14ac:dyDescent="0.75">
      <c r="D133" s="15">
        <v>43587</v>
      </c>
      <c r="E133" s="21">
        <f>+VLOOKUP(D133,Prezzi!$I$12:$J$367,2,0)</f>
        <v>5.0289130000000002</v>
      </c>
      <c r="F133" s="21">
        <f>+VLOOKUP(D133,Prezzi!$K$12:$L$367,2,0)/VLOOKUP(D133,Prezzi!$S$12:$T$367,2,0)</f>
        <v>261.54907866571534</v>
      </c>
      <c r="G133" s="1">
        <v>0</v>
      </c>
      <c r="H133" s="21">
        <f>+VLOOKUP(D133,Prezzi!$M$12:$N$367,2,0)/VLOOKUP(D133,Prezzi!$S$12:$T$367,2,0)</f>
        <v>22.467931680342488</v>
      </c>
      <c r="I133" s="1">
        <v>0</v>
      </c>
      <c r="J133" s="21">
        <f>+VLOOKUP(D133,Prezzi!$O$12:$P$367,2,0)/VLOOKUP(D133,Prezzi!$S$12:$T$367,2,0)</f>
        <v>43.154373885123086</v>
      </c>
      <c r="K133" s="1">
        <v>0</v>
      </c>
      <c r="L133" s="21">
        <f>+VLOOKUP(D133,Prezzi!$Q$12:$R$367,2,0)/VLOOKUP(D133,Prezzi!$S$12:$T$367,2,0)</f>
        <v>97.315676953264358</v>
      </c>
      <c r="M133" s="1">
        <v>0</v>
      </c>
      <c r="O133" s="1" t="str">
        <f t="shared" si="55"/>
        <v>201918</v>
      </c>
      <c r="P133" s="35">
        <v>43587</v>
      </c>
      <c r="Q133" s="12">
        <f t="shared" si="54"/>
        <v>-1.3161179426734676E-3</v>
      </c>
      <c r="R133" s="12">
        <f t="shared" si="56"/>
        <v>-1.5534335727541793E-3</v>
      </c>
      <c r="S133" s="12">
        <f t="shared" si="57"/>
        <v>-7.9571500145222997E-3</v>
      </c>
      <c r="T133" s="12">
        <f t="shared" si="58"/>
        <v>-7.4835999393534644E-3</v>
      </c>
      <c r="U133" s="12">
        <f t="shared" si="59"/>
        <v>-6.8036262587146024E-4</v>
      </c>
      <c r="AI133" s="15">
        <v>43587</v>
      </c>
      <c r="AJ133" s="99">
        <f>+VLOOKUP(AI133,benchmark!I$7:$J$362,2,0)</f>
        <v>256.80369999999999</v>
      </c>
      <c r="AK133" s="61">
        <f>+VLOOKUP(AI133,benchmark!K$7:$L$362,2,0)</f>
        <v>240.68199999999999</v>
      </c>
      <c r="AP133" s="15">
        <v>43587</v>
      </c>
      <c r="AQ133" s="12">
        <f t="shared" si="61"/>
        <v>-3.5886587674012205E-3</v>
      </c>
      <c r="AR133" s="12">
        <f t="shared" si="61"/>
        <v>3.0339679729340929E-4</v>
      </c>
      <c r="AY133" s="15">
        <v>43587</v>
      </c>
      <c r="AZ133" s="12">
        <f t="shared" si="60"/>
        <v>-1.2534254285844427E-3</v>
      </c>
    </row>
    <row r="134" spans="4:52" x14ac:dyDescent="0.75">
      <c r="D134" s="15">
        <v>43586</v>
      </c>
      <c r="E134" s="21">
        <f>+VLOOKUP(D134,Prezzi!$I$12:$J$367,2,0)</f>
        <v>5.0355359999999996</v>
      </c>
      <c r="F134" s="21">
        <f>+VLOOKUP(D134,Prezzi!$K$12:$L$367,2,0)/VLOOKUP(D134,Prezzi!$S$12:$T$367,2,0)</f>
        <v>261.95569352825817</v>
      </c>
      <c r="G134" s="1">
        <v>0</v>
      </c>
      <c r="H134" s="21">
        <f>+VLOOKUP(D134,Prezzi!$M$12:$N$367,2,0)/VLOOKUP(D134,Prezzi!$S$12:$T$367,2,0)</f>
        <v>22.647425566054554</v>
      </c>
      <c r="I134" s="1">
        <v>0</v>
      </c>
      <c r="J134" s="21">
        <f>+VLOOKUP(D134,Prezzi!$O$12:$P$367,2,0)/VLOOKUP(D134,Prezzi!$S$12:$T$367,2,0)</f>
        <v>43.478535389552505</v>
      </c>
      <c r="K134" s="1">
        <v>0</v>
      </c>
      <c r="L134" s="21">
        <f>+VLOOKUP(D134,Prezzi!$Q$12:$R$367,2,0)/VLOOKUP(D134,Prezzi!$S$12:$T$367,2,0)</f>
        <v>97.381909431271183</v>
      </c>
      <c r="M134" s="1">
        <v>0</v>
      </c>
      <c r="O134" s="1" t="str">
        <f t="shared" si="55"/>
        <v>201918</v>
      </c>
      <c r="P134" s="35">
        <v>43586</v>
      </c>
      <c r="Q134" s="12">
        <f t="shared" si="54"/>
        <v>3.924880695082721E-4</v>
      </c>
      <c r="R134" s="12">
        <f t="shared" si="56"/>
        <v>-7.5240754552621291E-3</v>
      </c>
      <c r="S134" s="12">
        <f t="shared" si="57"/>
        <v>2.1683436320670277E-3</v>
      </c>
      <c r="T134" s="12">
        <f t="shared" si="58"/>
        <v>-2.1895582664560711E-3</v>
      </c>
      <c r="U134" s="12">
        <f t="shared" si="59"/>
        <v>-2.684710998693063E-3</v>
      </c>
      <c r="AI134" s="15">
        <v>43586</v>
      </c>
      <c r="AJ134" s="99">
        <f>+VLOOKUP(AI134,benchmark!I$7:$J$362,2,0)</f>
        <v>257.72860000000003</v>
      </c>
      <c r="AK134" s="61">
        <f>+VLOOKUP(AI134,benchmark!K$7:$L$362,2,0)</f>
        <v>240.60900000000001</v>
      </c>
      <c r="AP134" s="15">
        <v>43586</v>
      </c>
      <c r="AQ134" s="12">
        <f t="shared" si="61"/>
        <v>-3.3654435498371438E-3</v>
      </c>
      <c r="AR134" s="12">
        <f t="shared" si="61"/>
        <v>-4.1561032376735696E-6</v>
      </c>
      <c r="AY134" s="15">
        <v>43586</v>
      </c>
      <c r="AZ134" s="12">
        <f t="shared" si="60"/>
        <v>-1.3486710818774617E-3</v>
      </c>
    </row>
    <row r="135" spans="4:52" x14ac:dyDescent="0.75">
      <c r="D135" s="15">
        <v>43585</v>
      </c>
      <c r="E135" s="21">
        <f>+VLOOKUP(D135,Prezzi!$I$12:$J$367,2,0)</f>
        <v>5.0335599999999996</v>
      </c>
      <c r="F135" s="21">
        <f>+VLOOKUP(D135,Prezzi!$K$12:$L$367,2,0)/VLOOKUP(D135,Prezzi!$S$12:$T$367,2,0)</f>
        <v>263.93410144410768</v>
      </c>
      <c r="G135" s="1">
        <v>0</v>
      </c>
      <c r="H135" s="21">
        <f>+VLOOKUP(D135,Prezzi!$M$12:$N$367,2,0)/VLOOKUP(D135,Prezzi!$S$12:$T$367,2,0)</f>
        <v>22.598371367445178</v>
      </c>
      <c r="I135" s="1">
        <v>0</v>
      </c>
      <c r="J135" s="21">
        <f>+VLOOKUP(D135,Prezzi!$O$12:$P$367,2,0)/VLOOKUP(D135,Prezzi!$S$12:$T$367,2,0)</f>
        <v>43.573838473881267</v>
      </c>
      <c r="K135" s="1">
        <v>0</v>
      </c>
      <c r="L135" s="21">
        <f>+VLOOKUP(D135,Prezzi!$Q$12:$R$367,2,0)/VLOOKUP(D135,Prezzi!$S$12:$T$367,2,0)</f>
        <v>97.643702977357819</v>
      </c>
      <c r="M135" s="1">
        <v>0</v>
      </c>
      <c r="O135" s="1" t="str">
        <f t="shared" si="55"/>
        <v>201918</v>
      </c>
      <c r="P135" s="35">
        <v>43585</v>
      </c>
      <c r="Q135" s="12">
        <f t="shared" si="54"/>
        <v>5.3316446087460381E-4</v>
      </c>
      <c r="R135" s="12">
        <f t="shared" si="56"/>
        <v>-5.0948541652499763E-3</v>
      </c>
      <c r="S135" s="12">
        <f t="shared" si="57"/>
        <v>-1.0568581106284035E-3</v>
      </c>
      <c r="T135" s="12">
        <f t="shared" si="58"/>
        <v>-2.8483341428929511E-3</v>
      </c>
      <c r="U135" s="12">
        <f t="shared" si="59"/>
        <v>-4.633946818093689E-3</v>
      </c>
      <c r="AI135" s="15">
        <v>43585</v>
      </c>
      <c r="AJ135" s="99">
        <f>+VLOOKUP(AI135,benchmark!I$7:$J$362,2,0)</f>
        <v>258.59890000000001</v>
      </c>
      <c r="AK135" s="61">
        <f>+VLOOKUP(AI135,benchmark!K$7:$L$362,2,0)</f>
        <v>240.61</v>
      </c>
      <c r="AP135" s="15">
        <v>43585</v>
      </c>
      <c r="AQ135" s="12">
        <f t="shared" si="61"/>
        <v>9.3513904968034467E-4</v>
      </c>
      <c r="AR135" s="12">
        <f t="shared" si="61"/>
        <v>8.312897460416302E-5</v>
      </c>
      <c r="AY135" s="15">
        <v>43585</v>
      </c>
      <c r="AZ135" s="12">
        <f t="shared" si="60"/>
        <v>4.239330046346357E-4</v>
      </c>
    </row>
    <row r="136" spans="4:52" x14ac:dyDescent="0.75">
      <c r="D136" s="15">
        <v>43584</v>
      </c>
      <c r="E136" s="21">
        <f>+VLOOKUP(D136,Prezzi!$I$12:$J$367,2,0)</f>
        <v>5.0308770000000003</v>
      </c>
      <c r="F136" s="21">
        <f>+VLOOKUP(D136,Prezzi!$K$12:$L$367,2,0)/VLOOKUP(D136,Prezzi!$S$12:$T$367,2,0)</f>
        <v>265.2822385650224</v>
      </c>
      <c r="G136" s="1">
        <v>0</v>
      </c>
      <c r="H136" s="21">
        <f>+VLOOKUP(D136,Prezzi!$M$12:$N$367,2,0)/VLOOKUP(D136,Prezzi!$S$12:$T$367,2,0)</f>
        <v>22.622267264573992</v>
      </c>
      <c r="I136" s="1">
        <v>0</v>
      </c>
      <c r="J136" s="21">
        <f>+VLOOKUP(D136,Prezzi!$O$12:$P$367,2,0)/VLOOKUP(D136,Prezzi!$S$12:$T$367,2,0)</f>
        <v>43.698128251121076</v>
      </c>
      <c r="K136" s="1">
        <v>0</v>
      </c>
      <c r="L136" s="21">
        <f>+VLOOKUP(D136,Prezzi!$Q$12:$R$367,2,0)/VLOOKUP(D136,Prezzi!$S$12:$T$367,2,0)</f>
        <v>98.097228699551579</v>
      </c>
      <c r="M136" s="1">
        <v>0</v>
      </c>
      <c r="O136" s="1" t="str">
        <f t="shared" si="55"/>
        <v>201918</v>
      </c>
      <c r="P136" s="35">
        <v>43584</v>
      </c>
      <c r="Q136" s="12">
        <f t="shared" si="54"/>
        <v>-9.9078746695899765E-4</v>
      </c>
      <c r="R136" s="12">
        <f t="shared" si="56"/>
        <v>-4.1458980226601245E-4</v>
      </c>
      <c r="S136" s="12">
        <f t="shared" si="57"/>
        <v>-1.8239531598172641E-3</v>
      </c>
      <c r="T136" s="12">
        <f t="shared" si="58"/>
        <v>-6.6345640005194056E-3</v>
      </c>
      <c r="U136" s="12">
        <f t="shared" si="59"/>
        <v>-1.2718233928665471E-3</v>
      </c>
      <c r="AI136" s="15">
        <v>43584</v>
      </c>
      <c r="AJ136" s="99">
        <f>+VLOOKUP(AI136,benchmark!I$7:$J$362,2,0)</f>
        <v>258.35730000000001</v>
      </c>
      <c r="AK136" s="61">
        <f>+VLOOKUP(AI136,benchmark!K$7:$L$362,2,0)</f>
        <v>240.59</v>
      </c>
      <c r="AP136" s="15">
        <v>43584</v>
      </c>
      <c r="AQ136" s="12">
        <f t="shared" si="61"/>
        <v>1.3860481233118893E-3</v>
      </c>
      <c r="AR136" s="12">
        <f t="shared" si="61"/>
        <v>1.6626071342340509E-5</v>
      </c>
      <c r="AY136" s="15">
        <v>43584</v>
      </c>
      <c r="AZ136" s="12">
        <f t="shared" si="60"/>
        <v>5.6439489213016007E-4</v>
      </c>
    </row>
    <row r="137" spans="4:52" x14ac:dyDescent="0.75">
      <c r="D137" s="15">
        <v>43581</v>
      </c>
      <c r="E137" s="21">
        <f>+VLOOKUP(D137,Prezzi!$I$12:$J$367,2,0)</f>
        <v>5.0358640000000001</v>
      </c>
      <c r="F137" s="21">
        <f>+VLOOKUP(D137,Prezzi!$K$12:$L$367,2,0)/VLOOKUP(D137,Prezzi!$S$12:$T$367,2,0)</f>
        <v>265.39224467798437</v>
      </c>
      <c r="G137" s="1">
        <v>0</v>
      </c>
      <c r="H137" s="21">
        <f>+VLOOKUP(D137,Prezzi!$M$12:$N$367,2,0)/VLOOKUP(D137,Prezzi!$S$12:$T$367,2,0)</f>
        <v>22.663566873259679</v>
      </c>
      <c r="I137" s="1">
        <v>0</v>
      </c>
      <c r="J137" s="21">
        <f>+VLOOKUP(D137,Prezzi!$O$12:$P$367,2,0)/VLOOKUP(D137,Prezzi!$S$12:$T$367,2,0)</f>
        <v>43.989010150004496</v>
      </c>
      <c r="K137" s="1">
        <v>0</v>
      </c>
      <c r="L137" s="21">
        <f>+VLOOKUP(D137,Prezzi!$Q$12:$R$367,2,0)/VLOOKUP(D137,Prezzi!$S$12:$T$367,2,0)</f>
        <v>98.222070421270104</v>
      </c>
      <c r="M137" s="1">
        <v>0</v>
      </c>
      <c r="O137" s="1" t="str">
        <f t="shared" si="55"/>
        <v>201917</v>
      </c>
      <c r="P137" s="35">
        <v>43581</v>
      </c>
      <c r="Q137" s="12">
        <f t="shared" si="54"/>
        <v>1.4617904246538047E-3</v>
      </c>
      <c r="R137" s="12">
        <f t="shared" si="56"/>
        <v>3.8025209675945104E-3</v>
      </c>
      <c r="S137" s="12">
        <f t="shared" si="57"/>
        <v>5.0771705154912666E-3</v>
      </c>
      <c r="T137" s="12">
        <f t="shared" si="58"/>
        <v>5.9716285102511509E-3</v>
      </c>
      <c r="U137" s="12">
        <f t="shared" si="59"/>
        <v>1.6787069963909802E-3</v>
      </c>
      <c r="AI137" s="15">
        <v>43581</v>
      </c>
      <c r="AJ137" s="99">
        <f>+VLOOKUP(AI137,benchmark!I$7:$J$362,2,0)</f>
        <v>257.99969999999996</v>
      </c>
      <c r="AK137" s="61">
        <f>+VLOOKUP(AI137,benchmark!K$7:$L$362,2,0)</f>
        <v>240.58600000000001</v>
      </c>
      <c r="AP137" s="15">
        <v>43581</v>
      </c>
      <c r="AQ137" s="12">
        <f t="shared" si="61"/>
        <v>3.6758698923340383E-3</v>
      </c>
      <c r="AR137" s="12">
        <f t="shared" si="61"/>
        <v>2.0283299805496924E-3</v>
      </c>
      <c r="AY137" s="15">
        <v>43581</v>
      </c>
      <c r="AZ137" s="12">
        <f t="shared" si="60"/>
        <v>2.6873459452634307E-3</v>
      </c>
    </row>
    <row r="138" spans="4:52" x14ac:dyDescent="0.75">
      <c r="D138" s="15">
        <v>43580</v>
      </c>
      <c r="E138" s="21">
        <f>+VLOOKUP(D138,Prezzi!$I$12:$J$367,2,0)</f>
        <v>5.0285080000000004</v>
      </c>
      <c r="F138" s="21">
        <f>+VLOOKUP(D138,Prezzi!$K$12:$L$367,2,0)/VLOOKUP(D138,Prezzi!$S$12:$T$367,2,0)</f>
        <v>264.38500134855707</v>
      </c>
      <c r="G138" s="1">
        <v>0</v>
      </c>
      <c r="H138" s="21">
        <f>+VLOOKUP(D138,Prezzi!$M$12:$N$367,2,0)/VLOOKUP(D138,Prezzi!$S$12:$T$367,2,0)</f>
        <v>22.548791692888607</v>
      </c>
      <c r="I138" s="1">
        <v>0</v>
      </c>
      <c r="J138" s="21">
        <f>+VLOOKUP(D138,Prezzi!$O$12:$P$367,2,0)/VLOOKUP(D138,Prezzi!$S$12:$T$367,2,0)</f>
        <v>43.727106895621681</v>
      </c>
      <c r="K138" s="1">
        <v>0</v>
      </c>
      <c r="L138" s="21">
        <f>+VLOOKUP(D138,Prezzi!$Q$12:$R$367,2,0)/VLOOKUP(D138,Prezzi!$S$12:$T$367,2,0)</f>
        <v>98.05732266474871</v>
      </c>
      <c r="M138" s="1">
        <v>0</v>
      </c>
      <c r="O138" s="1" t="str">
        <f t="shared" si="55"/>
        <v>201917</v>
      </c>
      <c r="P138" s="35">
        <v>43580</v>
      </c>
      <c r="Q138" s="12">
        <f t="shared" si="54"/>
        <v>-5.3242177411386247E-4</v>
      </c>
      <c r="R138" s="12">
        <f t="shared" si="56"/>
        <v>7.3285369656084275E-3</v>
      </c>
      <c r="S138" s="12">
        <f t="shared" si="57"/>
        <v>4.2018463681026972E-3</v>
      </c>
      <c r="T138" s="12">
        <f t="shared" si="58"/>
        <v>8.1186268462649525E-3</v>
      </c>
      <c r="U138" s="12">
        <f t="shared" si="59"/>
        <v>4.0350984711327318E-3</v>
      </c>
      <c r="AI138" s="15">
        <v>43580</v>
      </c>
      <c r="AJ138" s="99">
        <f>+VLOOKUP(AI138,benchmark!I$7:$J$362,2,0)</f>
        <v>257.0548</v>
      </c>
      <c r="AK138" s="61">
        <f>+VLOOKUP(AI138,benchmark!K$7:$L$362,2,0)</f>
        <v>240.09899999999999</v>
      </c>
      <c r="AP138" s="15">
        <v>43580</v>
      </c>
      <c r="AQ138" s="12">
        <f t="shared" si="61"/>
        <v>-2.1207207577916831E-3</v>
      </c>
      <c r="AR138" s="12">
        <f t="shared" si="61"/>
        <v>-1.1191173533915411E-3</v>
      </c>
      <c r="AY138" s="15">
        <v>43580</v>
      </c>
      <c r="AZ138" s="12">
        <f t="shared" si="60"/>
        <v>-1.5197587151515978E-3</v>
      </c>
    </row>
    <row r="139" spans="4:52" x14ac:dyDescent="0.75">
      <c r="D139" s="15">
        <v>43579</v>
      </c>
      <c r="E139" s="21">
        <f>+VLOOKUP(D139,Prezzi!$I$12:$J$367,2,0)</f>
        <v>5.0311859999999999</v>
      </c>
      <c r="F139" s="21">
        <f>+VLOOKUP(D139,Prezzi!$K$12:$L$367,2,0)/VLOOKUP(D139,Prezzi!$S$12:$T$367,2,0)</f>
        <v>262.45452850388079</v>
      </c>
      <c r="G139" s="1">
        <v>0</v>
      </c>
      <c r="H139" s="21">
        <f>+VLOOKUP(D139,Prezzi!$M$12:$N$367,2,0)/VLOOKUP(D139,Prezzi!$S$12:$T$367,2,0)</f>
        <v>22.454243911142832</v>
      </c>
      <c r="I139" s="1">
        <v>0</v>
      </c>
      <c r="J139" s="21">
        <f>+VLOOKUP(D139,Prezzi!$O$12:$P$367,2,0)/VLOOKUP(D139,Prezzi!$S$12:$T$367,2,0)</f>
        <v>43.373540012489961</v>
      </c>
      <c r="K139" s="1">
        <v>0</v>
      </c>
      <c r="L139" s="21">
        <f>+VLOOKUP(D139,Prezzi!$Q$12:$R$367,2,0)/VLOOKUP(D139,Prezzi!$S$12:$T$367,2,0)</f>
        <v>97.662448924971002</v>
      </c>
      <c r="M139" s="1">
        <v>0</v>
      </c>
      <c r="O139" s="1" t="str">
        <f t="shared" si="55"/>
        <v>201917</v>
      </c>
      <c r="P139" s="35">
        <v>43579</v>
      </c>
      <c r="Q139" s="12">
        <f t="shared" si="54"/>
        <v>2.5671011969899816E-3</v>
      </c>
      <c r="R139" s="12">
        <f t="shared" si="56"/>
        <v>1.0102861444733749E-3</v>
      </c>
      <c r="S139" s="12">
        <f t="shared" si="57"/>
        <v>2.9852388146404422E-3</v>
      </c>
      <c r="T139" s="12">
        <f t="shared" si="58"/>
        <v>7.7393944119062358E-3</v>
      </c>
      <c r="U139" s="12">
        <f t="shared" si="59"/>
        <v>2.7690906291602132E-3</v>
      </c>
      <c r="AI139" s="15">
        <v>43579</v>
      </c>
      <c r="AJ139" s="99">
        <f>+VLOOKUP(AI139,benchmark!I$7:$J$362,2,0)</f>
        <v>257.60109999999997</v>
      </c>
      <c r="AK139" s="61">
        <f>+VLOOKUP(AI139,benchmark!K$7:$L$362,2,0)</f>
        <v>240.36799999999999</v>
      </c>
      <c r="AP139" s="15">
        <v>43579</v>
      </c>
      <c r="AQ139" s="12">
        <f t="shared" si="61"/>
        <v>-2.7945633954390425E-3</v>
      </c>
      <c r="AR139" s="12">
        <f t="shared" si="61"/>
        <v>3.2388393602456045E-3</v>
      </c>
      <c r="AY139" s="15">
        <v>43579</v>
      </c>
      <c r="AZ139" s="12">
        <f t="shared" si="60"/>
        <v>8.2547825797174568E-4</v>
      </c>
    </row>
    <row r="140" spans="4:52" x14ac:dyDescent="0.75">
      <c r="D140" s="15">
        <v>43578</v>
      </c>
      <c r="E140" s="21">
        <f>+VLOOKUP(D140,Prezzi!$I$12:$J$367,2,0)</f>
        <v>5.0182869999999999</v>
      </c>
      <c r="F140" s="21">
        <f>+VLOOKUP(D140,Prezzi!$K$12:$L$367,2,0)/VLOOKUP(D140,Prezzi!$S$12:$T$367,2,0)</f>
        <v>262.18950822587817</v>
      </c>
      <c r="G140" s="1">
        <v>0</v>
      </c>
      <c r="H140" s="21">
        <f>+VLOOKUP(D140,Prezzi!$M$12:$N$367,2,0)/VLOOKUP(D140,Prezzi!$S$12:$T$367,2,0)</f>
        <v>22.387312583370385</v>
      </c>
      <c r="I140" s="1">
        <v>0</v>
      </c>
      <c r="J140" s="21">
        <f>+VLOOKUP(D140,Prezzi!$O$12:$P$367,2,0)/VLOOKUP(D140,Prezzi!$S$12:$T$367,2,0)</f>
        <v>43.039150733659405</v>
      </c>
      <c r="K140" s="1">
        <v>0</v>
      </c>
      <c r="L140" s="21">
        <f>+VLOOKUP(D140,Prezzi!$Q$12:$R$367,2,0)/VLOOKUP(D140,Prezzi!$S$12:$T$367,2,0)</f>
        <v>97.392386838594931</v>
      </c>
      <c r="M140" s="1">
        <v>0</v>
      </c>
      <c r="O140" s="1" t="str">
        <f t="shared" si="55"/>
        <v>201917</v>
      </c>
      <c r="P140" s="35">
        <v>43578</v>
      </c>
      <c r="Q140" s="12">
        <f t="shared" si="54"/>
        <v>-8.7720544401208951E-4</v>
      </c>
      <c r="R140" s="12">
        <f t="shared" si="56"/>
        <v>9.2924213330735517E-3</v>
      </c>
      <c r="S140" s="12">
        <f t="shared" si="57"/>
        <v>2.4163736038986462E-3</v>
      </c>
      <c r="T140" s="12">
        <f t="shared" si="58"/>
        <v>-2.7248062647431391E-3</v>
      </c>
      <c r="U140" s="12">
        <f t="shared" si="59"/>
        <v>1.8437334953012986E-3</v>
      </c>
      <c r="AI140" s="15">
        <v>43578</v>
      </c>
      <c r="AJ140" s="99">
        <f>+VLOOKUP(AI140,benchmark!I$7:$J$362,2,0)</f>
        <v>258.32299999999998</v>
      </c>
      <c r="AK140" s="61">
        <f>+VLOOKUP(AI140,benchmark!K$7:$L$362,2,0)</f>
        <v>239.59200000000001</v>
      </c>
      <c r="AP140" s="15">
        <v>43578</v>
      </c>
      <c r="AQ140" s="12">
        <f t="shared" si="61"/>
        <v>5.4267973955419713E-3</v>
      </c>
      <c r="AR140" s="12">
        <f t="shared" si="61"/>
        <v>-2.1157850895459074E-3</v>
      </c>
      <c r="AY140" s="15">
        <v>43578</v>
      </c>
      <c r="AZ140" s="12">
        <f t="shared" si="60"/>
        <v>9.0124790448924434E-4</v>
      </c>
    </row>
    <row r="141" spans="4:52" x14ac:dyDescent="0.75">
      <c r="D141" s="15">
        <v>43577</v>
      </c>
      <c r="E141" s="21">
        <f>+VLOOKUP(D141,Prezzi!$I$12:$J$367,2,0)</f>
        <v>5.022691</v>
      </c>
      <c r="F141" s="21">
        <f>+VLOOKUP(D141,Prezzi!$K$12:$L$367,2,0)/VLOOKUP(D141,Prezzi!$S$12:$T$367,2,0)</f>
        <v>259.76441777777774</v>
      </c>
      <c r="G141" s="1">
        <v>0</v>
      </c>
      <c r="H141" s="21">
        <f>+VLOOKUP(D141,Prezzi!$M$12:$N$367,2,0)/VLOOKUP(D141,Prezzi!$S$12:$T$367,2,0)</f>
        <v>22.333281777777778</v>
      </c>
      <c r="I141" s="1">
        <v>0</v>
      </c>
      <c r="J141" s="21">
        <f>+VLOOKUP(D141,Prezzi!$O$12:$P$367,2,0)/VLOOKUP(D141,Prezzi!$S$12:$T$367,2,0)</f>
        <v>43.156584000000002</v>
      </c>
      <c r="K141" s="1">
        <v>0</v>
      </c>
      <c r="L141" s="21">
        <f>+VLOOKUP(D141,Prezzi!$Q$12:$R$367,2,0)/VLOOKUP(D141,Prezzi!$S$12:$T$367,2,0)</f>
        <v>97.212986666666666</v>
      </c>
      <c r="M141" s="1">
        <v>0</v>
      </c>
      <c r="O141" s="1" t="str">
        <f t="shared" si="55"/>
        <v>201917</v>
      </c>
      <c r="P141" s="35">
        <v>43577</v>
      </c>
      <c r="Q141" s="12">
        <f t="shared" si="54"/>
        <v>1.9181418902587937E-3</v>
      </c>
      <c r="R141" s="12">
        <f t="shared" si="56"/>
        <v>1.0408516294296683E-3</v>
      </c>
      <c r="S141" s="12">
        <f t="shared" si="57"/>
        <v>-6.3502367676662361E-4</v>
      </c>
      <c r="T141" s="12">
        <f t="shared" si="58"/>
        <v>8.7018269353182447E-4</v>
      </c>
      <c r="U141" s="12">
        <f t="shared" si="59"/>
        <v>-2.2599821715864682E-4</v>
      </c>
      <c r="AI141" s="15">
        <v>43577</v>
      </c>
      <c r="AJ141" s="99">
        <f>+VLOOKUP(AI141,benchmark!I$7:$J$362,2,0)</f>
        <v>256.92869999999999</v>
      </c>
      <c r="AK141" s="61">
        <f>+VLOOKUP(AI141,benchmark!K$7:$L$362,2,0)</f>
        <v>240.1</v>
      </c>
      <c r="AP141" s="15">
        <v>43577</v>
      </c>
      <c r="AQ141" s="12">
        <f t="shared" si="61"/>
        <v>1.9736995772290378E-4</v>
      </c>
      <c r="AR141" s="12">
        <f t="shared" si="61"/>
        <v>4.1649486253181323E-6</v>
      </c>
      <c r="AY141" s="15">
        <v>43577</v>
      </c>
      <c r="AZ141" s="12">
        <f t="shared" si="60"/>
        <v>8.1446952264352393E-5</v>
      </c>
    </row>
    <row r="142" spans="4:52" x14ac:dyDescent="0.75">
      <c r="D142" s="15">
        <v>43573</v>
      </c>
      <c r="E142" s="21">
        <f>+VLOOKUP(D142,Prezzi!$I$12:$J$367,2,0)</f>
        <v>5.0130660000000002</v>
      </c>
      <c r="F142" s="21">
        <f>+VLOOKUP(D142,Prezzi!$K$12:$L$367,2,0)/VLOOKUP(D142,Prezzi!$S$12:$T$367,2,0)</f>
        <v>259.49418222222221</v>
      </c>
      <c r="G142" s="1">
        <v>0</v>
      </c>
      <c r="H142" s="21">
        <f>+VLOOKUP(D142,Prezzi!$M$12:$N$367,2,0)/VLOOKUP(D142,Prezzi!$S$12:$T$367,2,0)</f>
        <v>22.347468444444445</v>
      </c>
      <c r="I142" s="1">
        <v>0</v>
      </c>
      <c r="J142" s="21">
        <f>+VLOOKUP(D142,Prezzi!$O$12:$P$367,2,0)/VLOOKUP(D142,Prezzi!$S$12:$T$367,2,0)</f>
        <v>43.119046222222224</v>
      </c>
      <c r="K142" s="1">
        <v>0</v>
      </c>
      <c r="L142" s="21">
        <f>+VLOOKUP(D142,Prezzi!$Q$12:$R$367,2,0)/VLOOKUP(D142,Prezzi!$S$12:$T$367,2,0)</f>
        <v>97.23495911111111</v>
      </c>
      <c r="M142" s="1">
        <v>0</v>
      </c>
      <c r="O142" s="1" t="str">
        <f t="shared" si="55"/>
        <v>201916</v>
      </c>
      <c r="P142" s="35">
        <v>43573</v>
      </c>
      <c r="Q142" s="12">
        <f t="shared" si="54"/>
        <v>-5.9646293871854069E-4</v>
      </c>
      <c r="R142" s="12">
        <f t="shared" si="56"/>
        <v>6.128437406329533E-3</v>
      </c>
      <c r="S142" s="12">
        <f t="shared" si="57"/>
        <v>1.3323168255707091E-3</v>
      </c>
      <c r="T142" s="12">
        <f t="shared" si="58"/>
        <v>4.3553810851463069E-3</v>
      </c>
      <c r="U142" s="12">
        <f t="shared" si="59"/>
        <v>4.2577324203814894E-3</v>
      </c>
      <c r="AI142" s="15">
        <v>43573</v>
      </c>
      <c r="AJ142" s="99">
        <f>+VLOOKUP(AI142,benchmark!I$7:$J$362,2,0)</f>
        <v>256.87800000000004</v>
      </c>
      <c r="AK142" s="61">
        <f>+VLOOKUP(AI142,benchmark!K$7:$L$362,2,0)</f>
        <v>240.09899999999999</v>
      </c>
      <c r="AP142" s="15">
        <v>43573</v>
      </c>
      <c r="AQ142" s="12">
        <f t="shared" si="61"/>
        <v>-6.7340696071704897E-4</v>
      </c>
      <c r="AR142" s="12">
        <f t="shared" si="61"/>
        <v>3.146073049058673E-3</v>
      </c>
      <c r="AY142" s="15">
        <v>43573</v>
      </c>
      <c r="AZ142" s="12">
        <f t="shared" si="60"/>
        <v>1.6182810451483842E-3</v>
      </c>
    </row>
    <row r="143" spans="4:52" x14ac:dyDescent="0.75">
      <c r="D143" s="15">
        <v>43572</v>
      </c>
      <c r="E143" s="21">
        <f>+VLOOKUP(D143,Prezzi!$I$12:$J$367,2,0)</f>
        <v>5.016057</v>
      </c>
      <c r="F143" s="21">
        <f>+VLOOKUP(D143,Prezzi!$K$12:$L$367,2,0)/VLOOKUP(D143,Prezzi!$S$12:$T$367,2,0)</f>
        <v>257.90875143792579</v>
      </c>
      <c r="G143" s="1">
        <v>0</v>
      </c>
      <c r="H143" s="21">
        <f>+VLOOKUP(D143,Prezzi!$M$12:$N$367,2,0)/VLOOKUP(D143,Prezzi!$S$12:$T$367,2,0)</f>
        <v>22.31771436156092</v>
      </c>
      <c r="I143" s="1">
        <v>0</v>
      </c>
      <c r="J143" s="21">
        <f>+VLOOKUP(D143,Prezzi!$O$12:$P$367,2,0)/VLOOKUP(D143,Prezzi!$S$12:$T$367,2,0)</f>
        <v>42.931654720821165</v>
      </c>
      <c r="K143" s="1">
        <v>0</v>
      </c>
      <c r="L143" s="21">
        <f>+VLOOKUP(D143,Prezzi!$Q$12:$R$367,2,0)/VLOOKUP(D143,Prezzi!$S$12:$T$367,2,0)</f>
        <v>96.82183877532961</v>
      </c>
      <c r="M143" s="1">
        <v>0</v>
      </c>
      <c r="O143" s="1" t="str">
        <f t="shared" si="55"/>
        <v>201916</v>
      </c>
      <c r="P143" s="35">
        <v>43572</v>
      </c>
      <c r="Q143" s="12">
        <f t="shared" si="54"/>
        <v>-1.0466889333787209E-3</v>
      </c>
      <c r="R143" s="12">
        <f t="shared" si="56"/>
        <v>-1.8223501749929851E-3</v>
      </c>
      <c r="S143" s="12">
        <f t="shared" si="57"/>
        <v>-1.9638875157141967E-3</v>
      </c>
      <c r="T143" s="12">
        <f t="shared" si="58"/>
        <v>-2.2895314599711311E-4</v>
      </c>
      <c r="U143" s="12">
        <f t="shared" si="59"/>
        <v>7.6639963739585167E-4</v>
      </c>
      <c r="AI143" s="15">
        <v>43572</v>
      </c>
      <c r="AJ143" s="99">
        <f>+VLOOKUP(AI143,benchmark!I$7:$J$362,2,0)</f>
        <v>257.05110000000002</v>
      </c>
      <c r="AK143" s="61">
        <f>+VLOOKUP(AI143,benchmark!K$7:$L$362,2,0)</f>
        <v>239.346</v>
      </c>
      <c r="AP143" s="15">
        <v>43572</v>
      </c>
      <c r="AQ143" s="12">
        <f t="shared" si="61"/>
        <v>-5.1130986310876647E-4</v>
      </c>
      <c r="AR143" s="12">
        <f t="shared" si="61"/>
        <v>-8.26570483919431E-4</v>
      </c>
      <c r="AY143" s="15">
        <v>43572</v>
      </c>
      <c r="AZ143" s="12">
        <f t="shared" si="60"/>
        <v>-7.0046623559516519E-4</v>
      </c>
    </row>
    <row r="144" spans="4:52" x14ac:dyDescent="0.75">
      <c r="D144" s="15">
        <v>43571</v>
      </c>
      <c r="E144" s="21">
        <f>+VLOOKUP(D144,Prezzi!$I$12:$J$367,2,0)</f>
        <v>5.0213099999999997</v>
      </c>
      <c r="F144" s="21">
        <f>+VLOOKUP(D144,Prezzi!$K$12:$L$367,2,0)/VLOOKUP(D144,Prezzi!$S$12:$T$367,2,0)</f>
        <v>258.37918000884565</v>
      </c>
      <c r="G144" s="1">
        <v>0</v>
      </c>
      <c r="H144" s="21">
        <f>+VLOOKUP(D144,Prezzi!$M$12:$N$367,2,0)/VLOOKUP(D144,Prezzi!$S$12:$T$367,2,0)</f>
        <v>22.361586908447588</v>
      </c>
      <c r="I144" s="1">
        <v>0</v>
      </c>
      <c r="J144" s="21">
        <f>+VLOOKUP(D144,Prezzi!$O$12:$P$367,2,0)/VLOOKUP(D144,Prezzi!$S$12:$T$367,2,0)</f>
        <v>42.941485183547101</v>
      </c>
      <c r="K144" s="1">
        <v>0</v>
      </c>
      <c r="L144" s="21">
        <f>+VLOOKUP(D144,Prezzi!$Q$12:$R$367,2,0)/VLOOKUP(D144,Prezzi!$S$12:$T$367,2,0)</f>
        <v>96.747662980981858</v>
      </c>
      <c r="M144" s="1">
        <v>0</v>
      </c>
      <c r="O144" s="1" t="str">
        <f t="shared" si="55"/>
        <v>201916</v>
      </c>
      <c r="P144" s="35">
        <v>43571</v>
      </c>
      <c r="Q144" s="12">
        <f t="shared" si="54"/>
        <v>-3.5004656693552437E-4</v>
      </c>
      <c r="R144" s="12">
        <f t="shared" si="56"/>
        <v>1.2120858182466264E-3</v>
      </c>
      <c r="S144" s="12">
        <f t="shared" si="57"/>
        <v>3.9601495391799172E-4</v>
      </c>
      <c r="T144" s="12">
        <f t="shared" si="58"/>
        <v>-9.5619131040086056E-3</v>
      </c>
      <c r="U144" s="12">
        <f t="shared" si="59"/>
        <v>1.6986374755459772E-3</v>
      </c>
      <c r="AI144" s="15">
        <v>43571</v>
      </c>
      <c r="AJ144" s="99">
        <f>+VLOOKUP(AI144,benchmark!I$7:$J$362,2,0)</f>
        <v>257.18259999999998</v>
      </c>
      <c r="AK144" s="61">
        <f>+VLOOKUP(AI144,benchmark!K$7:$L$362,2,0)</f>
        <v>239.54400000000001</v>
      </c>
      <c r="AP144" s="15">
        <v>43571</v>
      </c>
      <c r="AQ144" s="12">
        <f t="shared" si="61"/>
        <v>1.6045450686330565E-3</v>
      </c>
      <c r="AR144" s="12">
        <f t="shared" si="61"/>
        <v>-5.0904174976840189E-4</v>
      </c>
      <c r="AY144" s="15">
        <v>43571</v>
      </c>
      <c r="AZ144" s="12">
        <f t="shared" si="60"/>
        <v>3.3639297759218144E-4</v>
      </c>
    </row>
    <row r="145" spans="4:52" x14ac:dyDescent="0.75">
      <c r="D145" s="15">
        <v>43570</v>
      </c>
      <c r="E145" s="21">
        <f>+VLOOKUP(D145,Prezzi!$I$12:$J$367,2,0)</f>
        <v>5.0230680000000003</v>
      </c>
      <c r="F145" s="21">
        <f>+VLOOKUP(D145,Prezzi!$K$12:$L$367,2,0)/VLOOKUP(D145,Prezzi!$S$12:$T$367,2,0)</f>
        <v>258.06619199151419</v>
      </c>
      <c r="G145" s="1">
        <v>0</v>
      </c>
      <c r="H145" s="21">
        <f>+VLOOKUP(D145,Prezzi!$M$12:$N$367,2,0)/VLOOKUP(D145,Prezzi!$S$12:$T$367,2,0)</f>
        <v>22.352733138866792</v>
      </c>
      <c r="I145" s="1">
        <v>0</v>
      </c>
      <c r="J145" s="21">
        <f>+VLOOKUP(D145,Prezzi!$O$12:$P$367,2,0)/VLOOKUP(D145,Prezzi!$S$12:$T$367,2,0)</f>
        <v>43.354057279236279</v>
      </c>
      <c r="K145" s="1">
        <v>0</v>
      </c>
      <c r="L145" s="21">
        <f>+VLOOKUP(D145,Prezzi!$Q$12:$R$367,2,0)/VLOOKUP(D145,Prezzi!$S$12:$T$367,2,0)</f>
        <v>96.583463272341547</v>
      </c>
      <c r="M145" s="1">
        <v>0</v>
      </c>
      <c r="O145" s="1" t="str">
        <f t="shared" si="55"/>
        <v>201916</v>
      </c>
      <c r="P145" s="35">
        <v>43570</v>
      </c>
      <c r="Q145" s="12">
        <f t="shared" si="54"/>
        <v>-2.1372435357661641E-3</v>
      </c>
      <c r="R145" s="12">
        <f t="shared" si="56"/>
        <v>1.0083094133792185E-4</v>
      </c>
      <c r="S145" s="12">
        <f t="shared" si="57"/>
        <v>2.9723092405458218E-3</v>
      </c>
      <c r="T145" s="12">
        <f t="shared" si="58"/>
        <v>-1.9005279758191947E-3</v>
      </c>
      <c r="U145" s="12">
        <f t="shared" si="59"/>
        <v>1.4601165769021018E-3</v>
      </c>
      <c r="AI145" s="15">
        <v>43570</v>
      </c>
      <c r="AJ145" s="99">
        <f>+VLOOKUP(AI145,benchmark!I$7:$J$362,2,0)</f>
        <v>256.7706</v>
      </c>
      <c r="AK145" s="61">
        <f>+VLOOKUP(AI145,benchmark!K$7:$L$362,2,0)</f>
        <v>239.666</v>
      </c>
      <c r="AP145" s="15">
        <v>43570</v>
      </c>
      <c r="AQ145" s="12">
        <f t="shared" si="61"/>
        <v>5.5644789847408838E-4</v>
      </c>
      <c r="AR145" s="12">
        <f t="shared" si="61"/>
        <v>-1.3999883334305796E-3</v>
      </c>
      <c r="AY145" s="15">
        <v>43570</v>
      </c>
      <c r="AZ145" s="12">
        <f t="shared" si="60"/>
        <v>-6.1741384066871241E-4</v>
      </c>
    </row>
    <row r="146" spans="4:52" x14ac:dyDescent="0.75">
      <c r="D146" s="15">
        <v>43567</v>
      </c>
      <c r="E146" s="21">
        <f>+VLOOKUP(D146,Prezzi!$I$12:$J$367,2,0)</f>
        <v>5.0338149999999997</v>
      </c>
      <c r="F146" s="21">
        <f>+VLOOKUP(D146,Prezzi!$K$12:$L$367,2,0)/VLOOKUP(D146,Prezzi!$S$12:$T$367,2,0)</f>
        <v>258.04017224626796</v>
      </c>
      <c r="G146" s="1">
        <v>0</v>
      </c>
      <c r="H146" s="21">
        <f>+VLOOKUP(D146,Prezzi!$M$12:$N$367,2,0)/VLOOKUP(D146,Prezzi!$S$12:$T$367,2,0)</f>
        <v>22.286392544828193</v>
      </c>
      <c r="I146" s="1">
        <v>0</v>
      </c>
      <c r="J146" s="21">
        <f>+VLOOKUP(D146,Prezzi!$O$12:$P$367,2,0)/VLOOKUP(D146,Prezzi!$S$12:$T$367,2,0)</f>
        <v>43.436531225156784</v>
      </c>
      <c r="K146" s="1">
        <v>0</v>
      </c>
      <c r="L146" s="21">
        <f>+VLOOKUP(D146,Prezzi!$Q$12:$R$367,2,0)/VLOOKUP(D146,Prezzi!$S$12:$T$367,2,0)</f>
        <v>96.442543061566994</v>
      </c>
      <c r="M146" s="1">
        <v>0</v>
      </c>
      <c r="O146" s="1" t="str">
        <f t="shared" si="55"/>
        <v>201915</v>
      </c>
      <c r="P146" s="35">
        <v>43567</v>
      </c>
      <c r="Q146" s="12">
        <f t="shared" si="54"/>
        <v>-6.6031476077744479E-4</v>
      </c>
      <c r="R146" s="12">
        <f t="shared" si="56"/>
        <v>1.6439082739836044E-3</v>
      </c>
      <c r="S146" s="12">
        <f t="shared" si="57"/>
        <v>-4.6534036632828917E-3</v>
      </c>
      <c r="T146" s="12">
        <f t="shared" si="58"/>
        <v>-4.2083868415530344E-3</v>
      </c>
      <c r="U146" s="12">
        <f t="shared" si="59"/>
        <v>-6.8788785719601283E-3</v>
      </c>
      <c r="AI146" s="15">
        <v>43567</v>
      </c>
      <c r="AJ146" s="99">
        <f>+VLOOKUP(AI146,benchmark!I$7:$J$362,2,0)</f>
        <v>256.62779999999998</v>
      </c>
      <c r="AK146" s="61">
        <f>+VLOOKUP(AI146,benchmark!K$7:$L$362,2,0)</f>
        <v>240.00200000000001</v>
      </c>
      <c r="AP146" s="15">
        <v>43567</v>
      </c>
      <c r="AQ146" s="12">
        <f t="shared" si="61"/>
        <v>5.0942496899073486E-3</v>
      </c>
      <c r="AR146" s="12">
        <f t="shared" si="61"/>
        <v>-3.1276609000850941E-3</v>
      </c>
      <c r="AY146" s="15">
        <v>43567</v>
      </c>
      <c r="AZ146" s="12">
        <f t="shared" si="60"/>
        <v>1.6110333591188306E-4</v>
      </c>
    </row>
    <row r="147" spans="4:52" x14ac:dyDescent="0.75">
      <c r="D147" s="15">
        <v>43566</v>
      </c>
      <c r="E147" s="21">
        <f>+VLOOKUP(D147,Prezzi!$I$12:$J$367,2,0)</f>
        <v>5.03714</v>
      </c>
      <c r="F147" s="21">
        <f>+VLOOKUP(D147,Prezzi!$K$12:$L$367,2,0)/VLOOKUP(D147,Prezzi!$S$12:$T$367,2,0)</f>
        <v>257.6163263494318</v>
      </c>
      <c r="G147" s="1">
        <v>0</v>
      </c>
      <c r="H147" s="21">
        <f>+VLOOKUP(D147,Prezzi!$M$12:$N$367,2,0)/VLOOKUP(D147,Prezzi!$S$12:$T$367,2,0)</f>
        <v>22.390341796874999</v>
      </c>
      <c r="I147" s="1">
        <v>0</v>
      </c>
      <c r="J147" s="21">
        <f>+VLOOKUP(D147,Prezzi!$O$12:$P$367,2,0)/VLOOKUP(D147,Prezzi!$S$12:$T$367,2,0)</f>
        <v>43.619714133522727</v>
      </c>
      <c r="K147" s="1">
        <v>0</v>
      </c>
      <c r="L147" s="21">
        <f>+VLOOKUP(D147,Prezzi!$Q$12:$R$367,2,0)/VLOOKUP(D147,Prezzi!$S$12:$T$367,2,0)</f>
        <v>97.108246626420453</v>
      </c>
      <c r="M147" s="1">
        <v>0</v>
      </c>
      <c r="O147" s="1" t="str">
        <f t="shared" si="55"/>
        <v>201915</v>
      </c>
      <c r="P147" s="35">
        <v>43566</v>
      </c>
      <c r="Q147" s="12">
        <f t="shared" si="54"/>
        <v>1.2632202508544475E-3</v>
      </c>
      <c r="R147" s="12">
        <f t="shared" si="56"/>
        <v>1.3791684435411646E-3</v>
      </c>
      <c r="S147" s="12">
        <f t="shared" si="57"/>
        <v>1.2903477392532451E-3</v>
      </c>
      <c r="T147" s="12">
        <f t="shared" si="58"/>
        <v>-1.3550689917122881E-2</v>
      </c>
      <c r="U147" s="12">
        <f t="shared" si="59"/>
        <v>-8.9822767535436751E-4</v>
      </c>
      <c r="AI147" s="15">
        <v>43566</v>
      </c>
      <c r="AJ147" s="99">
        <f>+VLOOKUP(AI147,benchmark!I$7:$J$362,2,0)</f>
        <v>255.32710000000003</v>
      </c>
      <c r="AK147" s="61">
        <f>+VLOOKUP(AI147,benchmark!K$7:$L$362,2,0)</f>
        <v>240.755</v>
      </c>
      <c r="AP147" s="15">
        <v>43566</v>
      </c>
      <c r="AQ147" s="12">
        <f t="shared" si="61"/>
        <v>-9.9733158047121684E-4</v>
      </c>
      <c r="AR147" s="12">
        <f t="shared" si="61"/>
        <v>2.3681127387842338E-4</v>
      </c>
      <c r="AY147" s="15">
        <v>43566</v>
      </c>
      <c r="AZ147" s="12">
        <f t="shared" si="60"/>
        <v>-2.5684586786143269E-4</v>
      </c>
    </row>
    <row r="148" spans="4:52" x14ac:dyDescent="0.75">
      <c r="D148" s="15">
        <v>43565</v>
      </c>
      <c r="E148" s="21">
        <f>+VLOOKUP(D148,Prezzi!$I$12:$J$367,2,0)</f>
        <v>5.0307810000000002</v>
      </c>
      <c r="F148" s="21">
        <f>+VLOOKUP(D148,Prezzi!$K$12:$L$367,2,0)/VLOOKUP(D148,Prezzi!$S$12:$T$367,2,0)</f>
        <v>257.26127493572125</v>
      </c>
      <c r="G148" s="1">
        <v>0</v>
      </c>
      <c r="H148" s="21">
        <f>+VLOOKUP(D148,Prezzi!$M$12:$N$367,2,0)/VLOOKUP(D148,Prezzi!$S$12:$T$367,2,0)</f>
        <v>22.361469101870735</v>
      </c>
      <c r="I148" s="1">
        <v>0</v>
      </c>
      <c r="J148" s="21">
        <f>+VLOOKUP(D148,Prezzi!$O$12:$P$367,2,0)/VLOOKUP(D148,Prezzi!$S$12:$T$367,2,0)</f>
        <v>44.214814256583033</v>
      </c>
      <c r="K148" s="1">
        <v>0</v>
      </c>
      <c r="L148" s="21">
        <f>+VLOOKUP(D148,Prezzi!$Q$12:$R$367,2,0)/VLOOKUP(D148,Prezzi!$S$12:$T$367,2,0)</f>
        <v>97.195511126872958</v>
      </c>
      <c r="M148" s="1">
        <v>0</v>
      </c>
      <c r="O148" s="1" t="str">
        <f t="shared" si="55"/>
        <v>201915</v>
      </c>
      <c r="P148" s="35">
        <v>43565</v>
      </c>
      <c r="Q148" s="12">
        <f t="shared" si="54"/>
        <v>5.9591007041047796E-4</v>
      </c>
      <c r="R148" s="12">
        <f t="shared" si="56"/>
        <v>3.3749342122435673E-3</v>
      </c>
      <c r="S148" s="12">
        <f t="shared" si="57"/>
        <v>1.3579294297521569E-3</v>
      </c>
      <c r="T148" s="12">
        <f t="shared" si="58"/>
        <v>3.8929462095227815E-3</v>
      </c>
      <c r="U148" s="12">
        <f t="shared" si="59"/>
        <v>-1.0486047815382691E-3</v>
      </c>
      <c r="AI148" s="15">
        <v>43565</v>
      </c>
      <c r="AJ148" s="99">
        <f>+VLOOKUP(AI148,benchmark!I$7:$J$362,2,0)</f>
        <v>255.58200000000002</v>
      </c>
      <c r="AK148" s="61">
        <f>+VLOOKUP(AI148,benchmark!K$7:$L$362,2,0)</f>
        <v>240.69800000000001</v>
      </c>
      <c r="AP148" s="15">
        <v>43565</v>
      </c>
      <c r="AQ148" s="12">
        <f t="shared" si="61"/>
        <v>2.3468175992498175E-3</v>
      </c>
      <c r="AR148" s="12">
        <f t="shared" si="61"/>
        <v>1.7354680561509905E-3</v>
      </c>
      <c r="AY148" s="15">
        <v>43565</v>
      </c>
      <c r="AZ148" s="12">
        <f t="shared" si="60"/>
        <v>1.9800078733905211E-3</v>
      </c>
    </row>
    <row r="149" spans="4:52" x14ac:dyDescent="0.75">
      <c r="D149" s="15">
        <v>43564</v>
      </c>
      <c r="E149" s="21">
        <f>+VLOOKUP(D149,Prezzi!$I$12:$J$367,2,0)</f>
        <v>5.0277839999999996</v>
      </c>
      <c r="F149" s="21">
        <f>+VLOOKUP(D149,Prezzi!$K$12:$L$367,2,0)/VLOOKUP(D149,Prezzi!$S$12:$T$367,2,0)</f>
        <v>256.39449853684494</v>
      </c>
      <c r="G149" s="1">
        <v>0</v>
      </c>
      <c r="H149" s="21">
        <f>+VLOOKUP(D149,Prezzi!$M$12:$N$367,2,0)/VLOOKUP(D149,Prezzi!$S$12:$T$367,2,0)</f>
        <v>22.33112441252106</v>
      </c>
      <c r="I149" s="1">
        <v>0</v>
      </c>
      <c r="J149" s="21">
        <f>+VLOOKUP(D149,Prezzi!$O$12:$P$367,2,0)/VLOOKUP(D149,Prezzi!$S$12:$T$367,2,0)</f>
        <v>44.04302296710118</v>
      </c>
      <c r="K149" s="1">
        <v>0</v>
      </c>
      <c r="L149" s="21">
        <f>+VLOOKUP(D149,Prezzi!$Q$12:$R$367,2,0)/VLOOKUP(D149,Prezzi!$S$12:$T$367,2,0)</f>
        <v>97.297484259998242</v>
      </c>
      <c r="M149" s="1">
        <v>0</v>
      </c>
      <c r="O149" s="1" t="str">
        <f t="shared" si="55"/>
        <v>201915</v>
      </c>
      <c r="P149" s="35">
        <v>43564</v>
      </c>
      <c r="Q149" s="12">
        <f t="shared" si="54"/>
        <v>-6.0263302918712211E-5</v>
      </c>
      <c r="R149" s="12">
        <f t="shared" si="56"/>
        <v>-8.528638917730938E-3</v>
      </c>
      <c r="S149" s="12">
        <f t="shared" si="57"/>
        <v>-5.9802505499265473E-3</v>
      </c>
      <c r="T149" s="12">
        <f t="shared" si="58"/>
        <v>1.9973308140893162E-3</v>
      </c>
      <c r="U149" s="12">
        <f t="shared" si="59"/>
        <v>-1.2223679656173647E-3</v>
      </c>
      <c r="AI149" s="15">
        <v>43564</v>
      </c>
      <c r="AJ149" s="99">
        <f>+VLOOKUP(AI149,benchmark!I$7:$J$362,2,0)</f>
        <v>254.98359999999997</v>
      </c>
      <c r="AK149" s="61">
        <f>+VLOOKUP(AI149,benchmark!K$7:$L$362,2,0)</f>
        <v>240.28100000000001</v>
      </c>
      <c r="AP149" s="15">
        <v>43564</v>
      </c>
      <c r="AQ149" s="12">
        <f t="shared" si="61"/>
        <v>-3.2920839102233979E-3</v>
      </c>
      <c r="AR149" s="12">
        <f t="shared" si="61"/>
        <v>9.9148902488299662E-4</v>
      </c>
      <c r="AY149" s="15">
        <v>43564</v>
      </c>
      <c r="AZ149" s="12">
        <f t="shared" si="60"/>
        <v>-7.2194014915956135E-4</v>
      </c>
    </row>
    <row r="150" spans="4:52" x14ac:dyDescent="0.75">
      <c r="D150" s="15">
        <v>43563</v>
      </c>
      <c r="E150" s="21">
        <f>+VLOOKUP(D150,Prezzi!$I$12:$J$367,2,0)</f>
        <v>5.0280870000000002</v>
      </c>
      <c r="F150" s="21">
        <f>+VLOOKUP(D150,Prezzi!$K$12:$L$367,2,0)/VLOOKUP(D150,Prezzi!$S$12:$T$367,2,0)</f>
        <v>258.59054597190112</v>
      </c>
      <c r="G150" s="1">
        <v>0</v>
      </c>
      <c r="H150" s="21">
        <f>+VLOOKUP(D150,Prezzi!$M$12:$N$367,2,0)/VLOOKUP(D150,Prezzi!$S$12:$T$367,2,0)</f>
        <v>22.465070247199002</v>
      </c>
      <c r="I150" s="1">
        <v>0</v>
      </c>
      <c r="J150" s="21">
        <f>+VLOOKUP(D150,Prezzi!$O$12:$P$367,2,0)/VLOOKUP(D150,Prezzi!$S$12:$T$367,2,0)</f>
        <v>43.955142272808111</v>
      </c>
      <c r="K150" s="1">
        <v>0</v>
      </c>
      <c r="L150" s="21">
        <f>+VLOOKUP(D150,Prezzi!$Q$12:$R$367,2,0)/VLOOKUP(D150,Prezzi!$S$12:$T$367,2,0)</f>
        <v>97.416490307664944</v>
      </c>
      <c r="M150" s="1">
        <v>0</v>
      </c>
      <c r="O150" s="1" t="str">
        <f t="shared" si="55"/>
        <v>201915</v>
      </c>
      <c r="P150" s="35">
        <v>43563</v>
      </c>
      <c r="Q150" s="12">
        <f t="shared" si="54"/>
        <v>1.849781074735001E-4</v>
      </c>
      <c r="R150" s="12">
        <f t="shared" si="56"/>
        <v>-9.5362464212408896E-5</v>
      </c>
      <c r="S150" s="12">
        <f t="shared" si="57"/>
        <v>7.230431431699101E-4</v>
      </c>
      <c r="T150" s="12">
        <f t="shared" si="58"/>
        <v>3.7854449382965843E-3</v>
      </c>
      <c r="U150" s="12">
        <f t="shared" si="59"/>
        <v>-1.8066294758766392E-3</v>
      </c>
      <c r="AI150" s="15">
        <v>43563</v>
      </c>
      <c r="AJ150" s="99">
        <f>+VLOOKUP(AI150,benchmark!I$7:$J$362,2,0)</f>
        <v>255.82579999999999</v>
      </c>
      <c r="AK150" s="61">
        <f>+VLOOKUP(AI150,benchmark!K$7:$L$362,2,0)</f>
        <v>240.04300000000001</v>
      </c>
      <c r="AP150" s="15">
        <v>43563</v>
      </c>
      <c r="AQ150" s="12">
        <f t="shared" si="61"/>
        <v>1.6444419038250668E-3</v>
      </c>
      <c r="AR150" s="12">
        <f t="shared" si="61"/>
        <v>1.2497917013964965E-5</v>
      </c>
      <c r="AY150" s="15">
        <v>43563</v>
      </c>
      <c r="AZ150" s="12">
        <f t="shared" si="60"/>
        <v>6.6527551173840578E-4</v>
      </c>
    </row>
    <row r="151" spans="4:52" x14ac:dyDescent="0.75">
      <c r="D151" s="15">
        <v>43560</v>
      </c>
      <c r="E151" s="21">
        <f>+VLOOKUP(D151,Prezzi!$I$12:$J$367,2,0)</f>
        <v>5.0271569999999999</v>
      </c>
      <c r="F151" s="21">
        <f>+VLOOKUP(D151,Prezzi!$K$12:$L$367,2,0)/VLOOKUP(D151,Prezzi!$S$12:$T$367,2,0)</f>
        <v>258.61520697943558</v>
      </c>
      <c r="G151" s="1">
        <v>0</v>
      </c>
      <c r="H151" s="21">
        <f>+VLOOKUP(D151,Prezzi!$M$12:$N$367,2,0)/VLOOKUP(D151,Prezzi!$S$12:$T$367,2,0)</f>
        <v>22.448832903053503</v>
      </c>
      <c r="I151" s="1">
        <v>0</v>
      </c>
      <c r="J151" s="21">
        <f>+VLOOKUP(D151,Prezzi!$O$12:$P$367,2,0)/VLOOKUP(D151,Prezzi!$S$12:$T$367,2,0)</f>
        <v>43.789067034630108</v>
      </c>
      <c r="K151" s="1">
        <v>0</v>
      </c>
      <c r="L151" s="21">
        <f>+VLOOKUP(D151,Prezzi!$Q$12:$R$367,2,0)/VLOOKUP(D151,Prezzi!$S$12:$T$367,2,0)</f>
        <v>97.592644885604912</v>
      </c>
      <c r="M151" s="126">
        <f>0.45/VLOOKUP(D151,Prezzi!$S$12:$T$367,2,0)</f>
        <v>0.4006053592094721</v>
      </c>
      <c r="O151" s="1" t="str">
        <f t="shared" si="55"/>
        <v>201914</v>
      </c>
      <c r="P151" s="35">
        <v>43560</v>
      </c>
      <c r="Q151" s="12">
        <f t="shared" si="54"/>
        <v>3.6209920043425638E-4</v>
      </c>
      <c r="R151" s="12">
        <f t="shared" si="56"/>
        <v>3.3832667974880068E-3</v>
      </c>
      <c r="S151" s="12">
        <f t="shared" si="57"/>
        <v>-1.0917599183749187E-3</v>
      </c>
      <c r="T151" s="12">
        <f t="shared" si="58"/>
        <v>-5.7773769719691851E-4</v>
      </c>
      <c r="U151" s="12">
        <f t="shared" si="59"/>
        <v>3.5685695182516245E-3</v>
      </c>
      <c r="AI151" s="15">
        <v>43560</v>
      </c>
      <c r="AJ151" s="99">
        <f>+VLOOKUP(AI151,benchmark!I$7:$J$362,2,0)</f>
        <v>255.4058</v>
      </c>
      <c r="AK151" s="61">
        <f>+VLOOKUP(AI151,benchmark!K$7:$L$362,2,0)</f>
        <v>240.04</v>
      </c>
      <c r="AP151" s="15">
        <v>43560</v>
      </c>
      <c r="AQ151" s="12">
        <f t="shared" si="61"/>
        <v>3.4712086131549746E-3</v>
      </c>
      <c r="AR151" s="12">
        <f t="shared" si="61"/>
        <v>3.0004000533412345E-4</v>
      </c>
      <c r="AY151" s="15">
        <v>43560</v>
      </c>
      <c r="AZ151" s="12">
        <f t="shared" si="60"/>
        <v>1.568507448462464E-3</v>
      </c>
    </row>
    <row r="152" spans="4:52" x14ac:dyDescent="0.75">
      <c r="D152" s="15">
        <v>43559</v>
      </c>
      <c r="E152" s="21">
        <f>+VLOOKUP(D152,Prezzi!$I$12:$J$367,2,0)</f>
        <v>5.0253370000000004</v>
      </c>
      <c r="F152" s="21">
        <f>+VLOOKUP(D152,Prezzi!$K$12:$L$367,2,0)/VLOOKUP(D152,Prezzi!$S$12:$T$367,2,0)</f>
        <v>257.74172118727159</v>
      </c>
      <c r="G152" s="1">
        <v>0</v>
      </c>
      <c r="H152" s="21">
        <f>+VLOOKUP(D152,Prezzi!$M$12:$N$367,2,0)/VLOOKUP(D152,Prezzi!$S$12:$T$367,2,0)</f>
        <v>22.473355022729301</v>
      </c>
      <c r="I152" s="1">
        <v>0</v>
      </c>
      <c r="J152" s="21">
        <f>+VLOOKUP(D152,Prezzi!$O$12:$P$367,2,0)/VLOOKUP(D152,Prezzi!$S$12:$T$367,2,0)</f>
        <v>43.814372938764599</v>
      </c>
      <c r="K152" s="1">
        <v>0</v>
      </c>
      <c r="L152" s="21">
        <f>+VLOOKUP(D152,Prezzi!$Q$12:$R$367,2,0)/VLOOKUP(D152,Prezzi!$S$12:$T$367,2,0)</f>
        <v>97.644177734200923</v>
      </c>
      <c r="M152" s="1">
        <v>0</v>
      </c>
      <c r="O152" s="1" t="str">
        <f t="shared" si="55"/>
        <v>201914</v>
      </c>
      <c r="P152" s="35">
        <v>43559</v>
      </c>
      <c r="Q152" s="12">
        <f t="shared" si="54"/>
        <v>-1.770849566721962E-3</v>
      </c>
      <c r="R152" s="12">
        <f t="shared" si="56"/>
        <v>4.4382646730332723E-3</v>
      </c>
      <c r="S152" s="12">
        <f t="shared" si="57"/>
        <v>-2.0786699264707638E-3</v>
      </c>
      <c r="T152" s="12">
        <f t="shared" si="58"/>
        <v>2.1909977905612437E-3</v>
      </c>
      <c r="U152" s="12">
        <f t="shared" si="59"/>
        <v>2.6729207347119307E-3</v>
      </c>
      <c r="AI152" s="15">
        <v>43559</v>
      </c>
      <c r="AJ152" s="99">
        <f>+VLOOKUP(AI152,benchmark!I$7:$J$362,2,0)</f>
        <v>254.5223</v>
      </c>
      <c r="AK152" s="61">
        <f>+VLOOKUP(AI152,benchmark!K$7:$L$362,2,0)</f>
        <v>239.96799999999999</v>
      </c>
      <c r="AP152" s="15">
        <v>43559</v>
      </c>
      <c r="AQ152" s="12">
        <f t="shared" si="61"/>
        <v>1.9923637844065922E-4</v>
      </c>
      <c r="AR152" s="12">
        <f t="shared" si="61"/>
        <v>1.632043142705708E-3</v>
      </c>
      <c r="AY152" s="15">
        <v>43559</v>
      </c>
      <c r="AZ152" s="12">
        <f t="shared" si="60"/>
        <v>1.0589204369996885E-3</v>
      </c>
    </row>
    <row r="153" spans="4:52" x14ac:dyDescent="0.75">
      <c r="D153" s="15">
        <v>43558</v>
      </c>
      <c r="E153" s="21">
        <f>+VLOOKUP(D153,Prezzi!$I$12:$J$367,2,0)</f>
        <v>5.0342440000000002</v>
      </c>
      <c r="F153" s="21">
        <f>+VLOOKUP(D153,Prezzi!$K$12:$L$367,2,0)/VLOOKUP(D153,Prezzi!$S$12:$T$367,2,0)</f>
        <v>256.60032998310055</v>
      </c>
      <c r="G153" s="1">
        <v>0</v>
      </c>
      <c r="H153" s="21">
        <f>+VLOOKUP(D153,Prezzi!$M$12:$N$367,2,0)/VLOOKUP(D153,Prezzi!$S$12:$T$367,2,0)</f>
        <v>22.520118295828514</v>
      </c>
      <c r="I153" s="1">
        <v>0</v>
      </c>
      <c r="J153" s="21">
        <f>+VLOOKUP(D153,Prezzi!$O$12:$P$367,2,0)/VLOOKUP(D153,Prezzi!$S$12:$T$367,2,0)</f>
        <v>43.718480832518004</v>
      </c>
      <c r="K153" s="1">
        <v>0</v>
      </c>
      <c r="L153" s="21">
        <f>+VLOOKUP(D153,Prezzi!$Q$12:$R$367,2,0)/VLOOKUP(D153,Prezzi!$S$12:$T$367,2,0)</f>
        <v>97.383531086009071</v>
      </c>
      <c r="M153" s="1">
        <v>0</v>
      </c>
      <c r="O153" s="1" t="str">
        <f t="shared" si="55"/>
        <v>201914</v>
      </c>
      <c r="P153" s="35">
        <v>43558</v>
      </c>
      <c r="Q153" s="12">
        <f t="shared" ref="Q153:Q216" si="62">+LN(E153/E154)</f>
        <v>8.0680198024781489E-4</v>
      </c>
      <c r="R153" s="12">
        <f t="shared" si="56"/>
        <v>-1.6854205306248201E-3</v>
      </c>
      <c r="S153" s="12">
        <f t="shared" si="57"/>
        <v>4.7006268082736271E-3</v>
      </c>
      <c r="T153" s="12">
        <f t="shared" si="58"/>
        <v>-4.2356965747773227E-3</v>
      </c>
      <c r="U153" s="12">
        <f t="shared" si="59"/>
        <v>-4.144156517631995E-3</v>
      </c>
      <c r="AI153" s="15">
        <v>43558</v>
      </c>
      <c r="AJ153" s="99">
        <f>+VLOOKUP(AI153,benchmark!I$7:$J$362,2,0)</f>
        <v>254.4716</v>
      </c>
      <c r="AK153" s="61">
        <f>+VLOOKUP(AI153,benchmark!K$7:$L$362,2,0)</f>
        <v>239.577</v>
      </c>
      <c r="AP153" s="15">
        <v>43558</v>
      </c>
      <c r="AQ153" s="12">
        <f t="shared" si="61"/>
        <v>5.6583984021485456E-3</v>
      </c>
      <c r="AR153" s="12">
        <f t="shared" si="61"/>
        <v>-2.2572141313265126E-3</v>
      </c>
      <c r="AY153" s="15">
        <v>43558</v>
      </c>
      <c r="AZ153" s="12">
        <f t="shared" si="60"/>
        <v>9.0903088206351068E-4</v>
      </c>
    </row>
    <row r="154" spans="4:52" x14ac:dyDescent="0.75">
      <c r="D154" s="15">
        <v>43557</v>
      </c>
      <c r="E154" s="21">
        <f>+VLOOKUP(D154,Prezzi!$I$12:$J$367,2,0)</f>
        <v>5.0301840000000002</v>
      </c>
      <c r="F154" s="21">
        <f>+VLOOKUP(D154,Prezzi!$K$12:$L$367,2,0)/VLOOKUP(D154,Prezzi!$S$12:$T$367,2,0)</f>
        <v>257.03317410714283</v>
      </c>
      <c r="G154" s="1">
        <v>0</v>
      </c>
      <c r="H154" s="21">
        <f>+VLOOKUP(D154,Prezzi!$M$12:$N$367,2,0)/VLOOKUP(D154,Prezzi!$S$12:$T$367,2,0)</f>
        <v>22.414508035714285</v>
      </c>
      <c r="I154" s="1">
        <v>0</v>
      </c>
      <c r="J154" s="21">
        <f>+VLOOKUP(D154,Prezzi!$O$12:$P$367,2,0)/VLOOKUP(D154,Prezzi!$S$12:$T$367,2,0)</f>
        <v>43.904051785714287</v>
      </c>
      <c r="K154" s="1">
        <v>0</v>
      </c>
      <c r="L154" s="21">
        <f>+VLOOKUP(D154,Prezzi!$Q$12:$R$367,2,0)/VLOOKUP(D154,Prezzi!$S$12:$T$367,2,0)</f>
        <v>97.787941071428563</v>
      </c>
      <c r="M154" s="1">
        <v>0</v>
      </c>
      <c r="O154" s="1" t="str">
        <f t="shared" ref="O154:O217" si="63">+YEAR( P154) &amp; WEEKNUM(P154,2)</f>
        <v>201914</v>
      </c>
      <c r="P154" s="35">
        <v>43557</v>
      </c>
      <c r="Q154" s="12">
        <f t="shared" si="62"/>
        <v>-2.8487168979639153E-3</v>
      </c>
      <c r="R154" s="12">
        <f t="shared" ref="R154:R217" si="64">+LN((F154+G154)/F155)</f>
        <v>3.258295480995516E-3</v>
      </c>
      <c r="S154" s="12">
        <f t="shared" ref="S154:S217" si="65">+LN((H154+I154)/H155)</f>
        <v>4.4380443734812628E-3</v>
      </c>
      <c r="T154" s="12">
        <f t="shared" ref="T154:T217" si="66">+LN((J154+K154)/J155)</f>
        <v>4.928722062854515E-3</v>
      </c>
      <c r="U154" s="12">
        <f t="shared" ref="U154:U217" si="67">+LN((L154+M154)/L155)</f>
        <v>3.1558647632811804E-3</v>
      </c>
      <c r="AI154" s="15">
        <v>43557</v>
      </c>
      <c r="AJ154" s="99">
        <f>+VLOOKUP(AI154,benchmark!I$7:$J$362,2,0)</f>
        <v>253.03980000000001</v>
      </c>
      <c r="AK154" s="61">
        <f>+VLOOKUP(AI154,benchmark!K$7:$L$362,2,0)</f>
        <v>240.119</v>
      </c>
      <c r="AP154" s="15">
        <v>43557</v>
      </c>
      <c r="AQ154" s="12">
        <f t="shared" si="61"/>
        <v>1.1264319024495428E-4</v>
      </c>
      <c r="AR154" s="12">
        <f t="shared" si="61"/>
        <v>1.1173603612242289E-3</v>
      </c>
      <c r="AY154" s="15">
        <v>43557</v>
      </c>
      <c r="AZ154" s="12">
        <f t="shared" ref="AZ154:AZ217" si="68">+SUMPRODUCT($AV$4:$AW$4,AQ154:AR154)</f>
        <v>7.1547349283251904E-4</v>
      </c>
    </row>
    <row r="155" spans="4:52" x14ac:dyDescent="0.75">
      <c r="D155" s="15">
        <v>43556</v>
      </c>
      <c r="E155" s="21">
        <f>+VLOOKUP(D155,Prezzi!$I$12:$J$367,2,0)</f>
        <v>5.0445339999999996</v>
      </c>
      <c r="F155" s="21">
        <f>+VLOOKUP(D155,Prezzi!$K$12:$L$367,2,0)/VLOOKUP(D155,Prezzi!$S$12:$T$367,2,0)</f>
        <v>256.19704699181204</v>
      </c>
      <c r="G155" s="1">
        <v>0</v>
      </c>
      <c r="H155" s="21">
        <f>+VLOOKUP(D155,Prezzi!$M$12:$N$367,2,0)/VLOOKUP(D155,Prezzi!$S$12:$T$367,2,0)</f>
        <v>22.315251868992526</v>
      </c>
      <c r="I155" s="1">
        <v>0</v>
      </c>
      <c r="J155" s="21">
        <f>+VLOOKUP(D155,Prezzi!$O$12:$P$367,2,0)/VLOOKUP(D155,Prezzi!$S$12:$T$367,2,0)</f>
        <v>43.688193307226776</v>
      </c>
      <c r="K155" s="1">
        <v>0</v>
      </c>
      <c r="L155" s="21">
        <f>+VLOOKUP(D155,Prezzi!$Q$12:$R$367,2,0)/VLOOKUP(D155,Prezzi!$S$12:$T$367,2,0)</f>
        <v>97.479822000712005</v>
      </c>
      <c r="M155" s="1">
        <v>0</v>
      </c>
      <c r="O155" s="1" t="str">
        <f t="shared" si="63"/>
        <v>201914</v>
      </c>
      <c r="P155" s="35">
        <v>43556</v>
      </c>
      <c r="Q155" s="12">
        <f t="shared" si="62"/>
        <v>0</v>
      </c>
      <c r="R155" s="12">
        <f t="shared" si="64"/>
        <v>1.1416976139870149E-2</v>
      </c>
      <c r="S155" s="12">
        <f t="shared" si="65"/>
        <v>4.7009369787126346E-3</v>
      </c>
      <c r="T155" s="12">
        <f t="shared" si="66"/>
        <v>-3.6984328125378644E-3</v>
      </c>
      <c r="U155" s="12">
        <f t="shared" si="67"/>
        <v>-2.8048098328306366E-3</v>
      </c>
      <c r="AI155" s="15">
        <v>43556</v>
      </c>
      <c r="AJ155" s="99">
        <f>+VLOOKUP(AI155,benchmark!I$7:$J$362,2,0)</f>
        <v>253.01129999999998</v>
      </c>
      <c r="AK155" s="61">
        <f>+VLOOKUP(AI155,benchmark!K$7:$L$362,2,0)</f>
        <v>239.851</v>
      </c>
      <c r="AP155" s="15">
        <v>43556</v>
      </c>
      <c r="AQ155" s="12">
        <f t="shared" si="61"/>
        <v>1.1428633105258879E-2</v>
      </c>
      <c r="AR155" s="12">
        <f t="shared" si="61"/>
        <v>-2.5492381395967323E-3</v>
      </c>
      <c r="AY155" s="15">
        <v>43556</v>
      </c>
      <c r="AZ155" s="12">
        <f t="shared" si="68"/>
        <v>3.0419103583455122E-3</v>
      </c>
    </row>
    <row r="156" spans="4:52" x14ac:dyDescent="0.75">
      <c r="D156" s="15">
        <v>43553</v>
      </c>
      <c r="E156" s="21">
        <f>+VLOOKUP(D156,Prezzi!$I$12:$J$367,2,0)</f>
        <v>5.0445339999999996</v>
      </c>
      <c r="F156" s="21">
        <f>+VLOOKUP(D156,Prezzi!$K$12:$L$367,2,0)/VLOOKUP(D156,Prezzi!$S$12:$T$367,2,0)</f>
        <v>253.28868535825546</v>
      </c>
      <c r="G156" s="1">
        <v>0</v>
      </c>
      <c r="H156" s="21">
        <f>+VLOOKUP(D156,Prezzi!$M$12:$N$367,2,0)/VLOOKUP(D156,Prezzi!$S$12:$T$367,2,0)</f>
        <v>22.210595460614151</v>
      </c>
      <c r="I156" s="1">
        <v>0</v>
      </c>
      <c r="J156" s="21">
        <f>+VLOOKUP(D156,Prezzi!$O$12:$P$367,2,0)/VLOOKUP(D156,Prezzi!$S$12:$T$367,2,0)</f>
        <v>43.850070315976865</v>
      </c>
      <c r="K156" s="1">
        <v>0</v>
      </c>
      <c r="L156" s="21">
        <f>+VLOOKUP(D156,Prezzi!$Q$12:$R$367,2,0)/VLOOKUP(D156,Prezzi!$S$12:$T$367,2,0)</f>
        <v>97.7536181575434</v>
      </c>
      <c r="M156" s="1">
        <v>0</v>
      </c>
      <c r="O156" s="1" t="str">
        <f t="shared" si="63"/>
        <v>201913</v>
      </c>
      <c r="P156" s="35">
        <v>43553</v>
      </c>
      <c r="Q156" s="12">
        <f t="shared" si="62"/>
        <v>-8.5125241880070889E-4</v>
      </c>
      <c r="R156" s="12">
        <f t="shared" si="64"/>
        <v>5.2386650329580208E-3</v>
      </c>
      <c r="S156" s="12">
        <f t="shared" si="65"/>
        <v>1.0994626301431372E-3</v>
      </c>
      <c r="T156" s="12">
        <f t="shared" si="66"/>
        <v>7.9031187767874785E-4</v>
      </c>
      <c r="U156" s="12">
        <f t="shared" si="67"/>
        <v>1.8067911510734858E-3</v>
      </c>
      <c r="AI156" s="15">
        <v>43553</v>
      </c>
      <c r="AJ156" s="99">
        <f>+VLOOKUP(AI156,benchmark!I$7:$J$362,2,0)</f>
        <v>250.1524</v>
      </c>
      <c r="AK156" s="61">
        <f>+VLOOKUP(AI156,benchmark!K$7:$L$362,2,0)</f>
        <v>240.464</v>
      </c>
      <c r="AP156" s="15">
        <v>43553</v>
      </c>
      <c r="AQ156" s="12">
        <f t="shared" si="61"/>
        <v>6.8889623246413123E-3</v>
      </c>
      <c r="AR156" s="12">
        <f t="shared" si="61"/>
        <v>-7.8536315774158094E-4</v>
      </c>
      <c r="AY156" s="15">
        <v>43553</v>
      </c>
      <c r="AZ156" s="12">
        <f t="shared" si="68"/>
        <v>2.2843670352115765E-3</v>
      </c>
    </row>
    <row r="157" spans="4:52" x14ac:dyDescent="0.75">
      <c r="D157" s="15">
        <v>43552</v>
      </c>
      <c r="E157" s="21">
        <f>+VLOOKUP(D157,Prezzi!$I$12:$J$367,2,0)</f>
        <v>5.0488299999999997</v>
      </c>
      <c r="F157" s="21">
        <f>+VLOOKUP(D157,Prezzi!$K$12:$L$367,2,0)/VLOOKUP(D157,Prezzi!$S$12:$T$367,2,0)</f>
        <v>251.96526029595296</v>
      </c>
      <c r="G157" s="1">
        <v>0</v>
      </c>
      <c r="H157" s="21">
        <f>+VLOOKUP(D157,Prezzi!$M$12:$N$367,2,0)/VLOOKUP(D157,Prezzi!$S$12:$T$367,2,0)</f>
        <v>22.186189160278126</v>
      </c>
      <c r="I157" s="1">
        <v>0</v>
      </c>
      <c r="J157" s="21">
        <f>+VLOOKUP(D157,Prezzi!$O$12:$P$367,2,0)/VLOOKUP(D157,Prezzi!$S$12:$T$367,2,0)</f>
        <v>43.815428775182745</v>
      </c>
      <c r="K157" s="1">
        <v>0</v>
      </c>
      <c r="L157" s="21">
        <f>+VLOOKUP(D157,Prezzi!$Q$12:$R$367,2,0)/VLOOKUP(D157,Prezzi!$S$12:$T$367,2,0)</f>
        <v>97.577157247281164</v>
      </c>
      <c r="M157" s="1">
        <v>0</v>
      </c>
      <c r="O157" s="1" t="str">
        <f t="shared" si="63"/>
        <v>201913</v>
      </c>
      <c r="P157" s="35">
        <v>43552</v>
      </c>
      <c r="Q157" s="12">
        <f t="shared" si="62"/>
        <v>-3.3071501084160575E-4</v>
      </c>
      <c r="R157" s="12">
        <f t="shared" si="64"/>
        <v>7.5630243864350738E-3</v>
      </c>
      <c r="S157" s="12">
        <f t="shared" si="65"/>
        <v>2.2898000350051839E-3</v>
      </c>
      <c r="T157" s="12">
        <f t="shared" si="66"/>
        <v>-1.2027919860473206E-2</v>
      </c>
      <c r="U157" s="12">
        <f t="shared" si="67"/>
        <v>3.261368608095728E-3</v>
      </c>
      <c r="AI157" s="15">
        <v>43552</v>
      </c>
      <c r="AJ157" s="99">
        <f>+VLOOKUP(AI157,benchmark!I$7:$J$362,2,0)</f>
        <v>248.4409</v>
      </c>
      <c r="AK157" s="61">
        <f>+VLOOKUP(AI157,benchmark!K$7:$L$362,2,0)</f>
        <v>240.65299999999999</v>
      </c>
      <c r="AP157" s="15">
        <v>43552</v>
      </c>
      <c r="AQ157" s="12">
        <f t="shared" si="61"/>
        <v>8.2139245962520313E-4</v>
      </c>
      <c r="AR157" s="12">
        <f t="shared" si="61"/>
        <v>-1.191167925624681E-3</v>
      </c>
      <c r="AY157" s="15">
        <v>43552</v>
      </c>
      <c r="AZ157" s="12">
        <f t="shared" si="68"/>
        <v>-3.8614377152472728E-4</v>
      </c>
    </row>
    <row r="158" spans="4:52" x14ac:dyDescent="0.75">
      <c r="D158" s="15">
        <v>43551</v>
      </c>
      <c r="E158" s="21">
        <f>+VLOOKUP(D158,Prezzi!$I$12:$J$367,2,0)</f>
        <v>5.0505000000000004</v>
      </c>
      <c r="F158" s="21">
        <f>+VLOOKUP(D158,Prezzi!$K$12:$L$367,2,0)/VLOOKUP(D158,Prezzi!$S$12:$T$367,2,0)</f>
        <v>250.06682887842996</v>
      </c>
      <c r="G158" s="1">
        <v>0</v>
      </c>
      <c r="H158" s="21">
        <f>+VLOOKUP(D158,Prezzi!$M$12:$N$367,2,0)/VLOOKUP(D158,Prezzi!$S$12:$T$367,2,0)</f>
        <v>22.135445342331941</v>
      </c>
      <c r="I158" s="1">
        <v>0</v>
      </c>
      <c r="J158" s="21">
        <f>+VLOOKUP(D158,Prezzi!$O$12:$P$367,2,0)/VLOOKUP(D158,Prezzi!$S$12:$T$367,2,0)</f>
        <v>44.34561939436994</v>
      </c>
      <c r="K158" s="1">
        <v>0</v>
      </c>
      <c r="L158" s="21">
        <f>+VLOOKUP(D158,Prezzi!$Q$12:$R$367,2,0)/VLOOKUP(D158,Prezzi!$S$12:$T$367,2,0)</f>
        <v>97.259440547020674</v>
      </c>
      <c r="M158" s="1">
        <v>0</v>
      </c>
      <c r="O158" s="1" t="str">
        <f t="shared" si="63"/>
        <v>201913</v>
      </c>
      <c r="P158" s="35">
        <v>43551</v>
      </c>
      <c r="Q158" s="12">
        <f t="shared" si="62"/>
        <v>2.0291834279684727E-3</v>
      </c>
      <c r="R158" s="12">
        <f t="shared" si="64"/>
        <v>-1.9849265736100589E-3</v>
      </c>
      <c r="S158" s="12">
        <f t="shared" si="65"/>
        <v>-6.0481347431366363E-5</v>
      </c>
      <c r="T158" s="12">
        <f t="shared" si="66"/>
        <v>-1.2721349426021978E-3</v>
      </c>
      <c r="U158" s="12">
        <f t="shared" si="67"/>
        <v>1.3847624103025787E-3</v>
      </c>
      <c r="AI158" s="15">
        <v>43551</v>
      </c>
      <c r="AJ158" s="99">
        <f>+VLOOKUP(AI158,benchmark!I$7:$J$362,2,0)</f>
        <v>248.23699999999999</v>
      </c>
      <c r="AK158" s="61">
        <f>+VLOOKUP(AI158,benchmark!K$7:$L$362,2,0)</f>
        <v>240.94</v>
      </c>
      <c r="AP158" s="15">
        <v>43551</v>
      </c>
      <c r="AQ158" s="12">
        <f t="shared" si="61"/>
        <v>-3.5748748833930311E-3</v>
      </c>
      <c r="AR158" s="12">
        <f t="shared" si="61"/>
        <v>3.389886976004286E-3</v>
      </c>
      <c r="AY158" s="15">
        <v>43551</v>
      </c>
      <c r="AZ158" s="12">
        <f t="shared" si="68"/>
        <v>6.039822322453591E-4</v>
      </c>
    </row>
    <row r="159" spans="4:52" x14ac:dyDescent="0.75">
      <c r="D159" s="15">
        <v>43550</v>
      </c>
      <c r="E159" s="21">
        <f>+VLOOKUP(D159,Prezzi!$I$12:$J$367,2,0)</f>
        <v>5.0402620000000002</v>
      </c>
      <c r="F159" s="21">
        <f>+VLOOKUP(D159,Prezzi!$K$12:$L$367,2,0)/VLOOKUP(D159,Prezzi!$S$12:$T$367,2,0)</f>
        <v>250.56368612168984</v>
      </c>
      <c r="G159" s="126">
        <f>1.13/VLOOKUP(D159,Prezzi!$S$12:$T$367,2,0)</f>
        <v>1.0007970950314409</v>
      </c>
      <c r="H159" s="21">
        <f>+VLOOKUP(D159,Prezzi!$M$12:$N$367,2,0)/VLOOKUP(D159,Prezzi!$S$12:$T$367,2,0)</f>
        <v>22.13678416437871</v>
      </c>
      <c r="I159" s="1">
        <v>0</v>
      </c>
      <c r="J159" s="21">
        <f>+VLOOKUP(D159,Prezzi!$O$12:$P$367,2,0)/VLOOKUP(D159,Prezzi!$S$12:$T$367,2,0)</f>
        <v>44.402068904437165</v>
      </c>
      <c r="K159" s="1">
        <v>0</v>
      </c>
      <c r="L159" s="21">
        <f>+VLOOKUP(D159,Prezzi!$Q$12:$R$367,2,0)/VLOOKUP(D159,Prezzi!$S$12:$T$367,2,0)</f>
        <v>97.124852537419173</v>
      </c>
      <c r="M159" s="1">
        <v>0</v>
      </c>
      <c r="O159" s="1" t="str">
        <f t="shared" si="63"/>
        <v>201913</v>
      </c>
      <c r="P159" s="35">
        <v>43550</v>
      </c>
      <c r="Q159" s="12">
        <f t="shared" si="62"/>
        <v>-2.7038589270110341E-4</v>
      </c>
      <c r="R159" s="12">
        <f t="shared" si="64"/>
        <v>1.4144005462819421E-2</v>
      </c>
      <c r="S159" s="12">
        <f t="shared" si="65"/>
        <v>6.9877683885260127E-3</v>
      </c>
      <c r="T159" s="12">
        <f t="shared" si="66"/>
        <v>-2.4559678631330601E-3</v>
      </c>
      <c r="U159" s="12">
        <f t="shared" si="67"/>
        <v>5.7533873956465099E-3</v>
      </c>
      <c r="AI159" s="15">
        <v>43550</v>
      </c>
      <c r="AJ159" s="99">
        <f>+VLOOKUP(AI159,benchmark!I$7:$J$362,2,0)</f>
        <v>249.12759999999997</v>
      </c>
      <c r="AK159" s="61">
        <f>+VLOOKUP(AI159,benchmark!K$7:$L$362,2,0)</f>
        <v>240.126</v>
      </c>
      <c r="AP159" s="15">
        <v>43550</v>
      </c>
      <c r="AQ159" s="12">
        <f t="shared" si="61"/>
        <v>6.8991830106304164E-3</v>
      </c>
      <c r="AR159" s="12">
        <f t="shared" si="61"/>
        <v>4.5830277981484535E-4</v>
      </c>
      <c r="AY159" s="15">
        <v>43550</v>
      </c>
      <c r="AZ159" s="12">
        <f t="shared" si="68"/>
        <v>3.0346548721410737E-3</v>
      </c>
    </row>
    <row r="160" spans="4:52" x14ac:dyDescent="0.75">
      <c r="D160" s="15">
        <v>43549</v>
      </c>
      <c r="E160" s="21">
        <f>+VLOOKUP(D160,Prezzi!$I$12:$J$367,2,0)</f>
        <v>5.0416249999999998</v>
      </c>
      <c r="F160" s="21">
        <f>+VLOOKUP(D160,Prezzi!$K$12:$L$367,2,0)/VLOOKUP(D160,Prezzi!$S$12:$T$367,2,0)</f>
        <v>248.03139867549666</v>
      </c>
      <c r="G160" s="1">
        <v>0</v>
      </c>
      <c r="H160" s="21">
        <f>+VLOOKUP(D160,Prezzi!$M$12:$N$367,2,0)/VLOOKUP(D160,Prezzi!$S$12:$T$367,2,0)</f>
        <v>21.982636644591611</v>
      </c>
      <c r="I160" s="1">
        <v>0</v>
      </c>
      <c r="J160" s="21">
        <f>+VLOOKUP(D160,Prezzi!$O$12:$P$367,2,0)/VLOOKUP(D160,Prezzi!$S$12:$T$367,2,0)</f>
        <v>44.511252980132447</v>
      </c>
      <c r="K160" s="1">
        <v>0</v>
      </c>
      <c r="L160" s="21">
        <f>+VLOOKUP(D160,Prezzi!$Q$12:$R$367,2,0)/VLOOKUP(D160,Prezzi!$S$12:$T$367,2,0)</f>
        <v>96.567660044150102</v>
      </c>
      <c r="M160" s="1">
        <v>0</v>
      </c>
      <c r="O160" s="1" t="str">
        <f t="shared" si="63"/>
        <v>201913</v>
      </c>
      <c r="P160" s="35">
        <v>43549</v>
      </c>
      <c r="Q160" s="12">
        <f t="shared" si="62"/>
        <v>9.6483691185011338E-4</v>
      </c>
      <c r="R160" s="12">
        <f t="shared" si="64"/>
        <v>-2.8013378092828782E-3</v>
      </c>
      <c r="S160" s="12">
        <f t="shared" si="65"/>
        <v>-2.9250686133734253E-3</v>
      </c>
      <c r="T160" s="12">
        <f t="shared" si="66"/>
        <v>5.8998987913644408E-3</v>
      </c>
      <c r="U160" s="12">
        <f t="shared" si="67"/>
        <v>-2.5419530464286834E-3</v>
      </c>
      <c r="AI160" s="15">
        <v>43549</v>
      </c>
      <c r="AJ160" s="99">
        <f>+VLOOKUP(AI160,benchmark!I$7:$J$362,2,0)</f>
        <v>247.42060000000001</v>
      </c>
      <c r="AK160" s="61">
        <f>+VLOOKUP(AI160,benchmark!K$7:$L$362,2,0)</f>
        <v>240.01599999999999</v>
      </c>
      <c r="AP160" s="15">
        <v>43549</v>
      </c>
      <c r="AQ160" s="12">
        <f t="shared" si="61"/>
        <v>-4.5531664764316693E-3</v>
      </c>
      <c r="AR160" s="12">
        <f t="shared" si="61"/>
        <v>-7.1610571718816463E-4</v>
      </c>
      <c r="AY160" s="15">
        <v>43549</v>
      </c>
      <c r="AZ160" s="12">
        <f t="shared" si="68"/>
        <v>-2.2509300208855667E-3</v>
      </c>
    </row>
    <row r="161" spans="4:52" x14ac:dyDescent="0.75">
      <c r="D161" s="15">
        <v>43546</v>
      </c>
      <c r="E161" s="21">
        <f>+VLOOKUP(D161,Prezzi!$I$12:$J$367,2,0)</f>
        <v>5.0367629999999997</v>
      </c>
      <c r="F161" s="21">
        <f>+VLOOKUP(D161,Prezzi!$K$12:$L$367,2,0)/VLOOKUP(D161,Prezzi!$S$12:$T$367,2,0)</f>
        <v>248.72719253229513</v>
      </c>
      <c r="G161" s="1">
        <v>0</v>
      </c>
      <c r="H161" s="21">
        <f>+VLOOKUP(D161,Prezzi!$M$12:$N$367,2,0)/VLOOKUP(D161,Prezzi!$S$12:$T$367,2,0)</f>
        <v>22.047031498849758</v>
      </c>
      <c r="I161" s="1">
        <v>0</v>
      </c>
      <c r="J161" s="21">
        <f>+VLOOKUP(D161,Prezzi!$O$12:$P$367,2,0)/VLOOKUP(D161,Prezzi!$S$12:$T$367,2,0)</f>
        <v>44.249414262962304</v>
      </c>
      <c r="K161" s="1">
        <v>0</v>
      </c>
      <c r="L161" s="21">
        <f>+VLOOKUP(D161,Prezzi!$Q$12:$R$367,2,0)/VLOOKUP(D161,Prezzi!$S$12:$T$367,2,0)</f>
        <v>96.813442753494954</v>
      </c>
      <c r="M161" s="1">
        <v>0</v>
      </c>
      <c r="O161" s="1" t="str">
        <f t="shared" si="63"/>
        <v>201912</v>
      </c>
      <c r="P161" s="35">
        <v>43546</v>
      </c>
      <c r="Q161" s="12">
        <f t="shared" si="62"/>
        <v>3.8762575837562609E-3</v>
      </c>
      <c r="R161" s="12">
        <f t="shared" si="64"/>
        <v>-1.158142223374369E-2</v>
      </c>
      <c r="S161" s="12">
        <f t="shared" si="65"/>
        <v>-5.9354077864916029E-3</v>
      </c>
      <c r="T161" s="12">
        <f t="shared" si="66"/>
        <v>1.1063518633788098E-2</v>
      </c>
      <c r="U161" s="12">
        <f t="shared" si="67"/>
        <v>5.3807637833708198E-3</v>
      </c>
      <c r="AI161" s="15">
        <v>43546</v>
      </c>
      <c r="AJ161" s="99">
        <f>+VLOOKUP(AI161,benchmark!I$7:$J$362,2,0)</f>
        <v>248.5523</v>
      </c>
      <c r="AK161" s="61">
        <f>+VLOOKUP(AI161,benchmark!K$7:$L$362,2,0)</f>
        <v>240.18799999999999</v>
      </c>
      <c r="AP161" s="15">
        <v>43546</v>
      </c>
      <c r="AQ161" s="12">
        <f t="shared" si="61"/>
        <v>-1.4782290900327122E-2</v>
      </c>
      <c r="AR161" s="12">
        <f t="shared" si="61"/>
        <v>3.1616624413712824E-3</v>
      </c>
      <c r="AY161" s="15">
        <v>43546</v>
      </c>
      <c r="AZ161" s="12">
        <f t="shared" si="68"/>
        <v>-4.0159188953080797E-3</v>
      </c>
    </row>
    <row r="162" spans="4:52" x14ac:dyDescent="0.75">
      <c r="D162" s="15">
        <v>43545</v>
      </c>
      <c r="E162" s="21">
        <f>+VLOOKUP(D162,Prezzi!$I$12:$J$367,2,0)</f>
        <v>5.017277</v>
      </c>
      <c r="F162" s="21">
        <f>+VLOOKUP(D162,Prezzi!$K$12:$L$367,2,0)/VLOOKUP(D162,Prezzi!$S$12:$T$367,2,0)</f>
        <v>251.62455255993677</v>
      </c>
      <c r="G162" s="1">
        <v>0</v>
      </c>
      <c r="H162" s="21">
        <f>+VLOOKUP(D162,Prezzi!$M$12:$N$367,2,0)/VLOOKUP(D162,Prezzi!$S$12:$T$367,2,0)</f>
        <v>22.178278738912795</v>
      </c>
      <c r="I162" s="1">
        <v>0</v>
      </c>
      <c r="J162" s="21">
        <f>+VLOOKUP(D162,Prezzi!$O$12:$P$367,2,0)/VLOOKUP(D162,Prezzi!$S$12:$T$367,2,0)</f>
        <v>43.762558180381134</v>
      </c>
      <c r="K162" s="1">
        <v>0</v>
      </c>
      <c r="L162" s="21">
        <f>+VLOOKUP(D162,Prezzi!$Q$12:$R$367,2,0)/VLOOKUP(D162,Prezzi!$S$12:$T$367,2,0)</f>
        <v>96.293911478001235</v>
      </c>
      <c r="M162" s="1">
        <v>0</v>
      </c>
      <c r="O162" s="1" t="str">
        <f t="shared" si="63"/>
        <v>201912</v>
      </c>
      <c r="P162" s="35">
        <v>43545</v>
      </c>
      <c r="Q162" s="12">
        <f t="shared" si="62"/>
        <v>1.662241819466611E-3</v>
      </c>
      <c r="R162" s="12">
        <f t="shared" si="64"/>
        <v>7.9959979157393293E-3</v>
      </c>
      <c r="S162" s="12">
        <f t="shared" si="65"/>
        <v>-2.1457025965375393E-5</v>
      </c>
      <c r="T162" s="12">
        <f t="shared" si="66"/>
        <v>-5.4313128416858187E-4</v>
      </c>
      <c r="U162" s="12">
        <f t="shared" si="67"/>
        <v>1.7947250215870983E-3</v>
      </c>
      <c r="AI162" s="15">
        <v>43545</v>
      </c>
      <c r="AJ162" s="99">
        <f>+VLOOKUP(AI162,benchmark!I$7:$J$362,2,0)</f>
        <v>252.28159999999997</v>
      </c>
      <c r="AK162" s="61">
        <f>+VLOOKUP(AI162,benchmark!K$7:$L$362,2,0)</f>
        <v>239.43100000000001</v>
      </c>
      <c r="AP162" s="15">
        <v>43545</v>
      </c>
      <c r="AQ162" s="12">
        <f t="shared" si="61"/>
        <v>6.8673923185937902E-3</v>
      </c>
      <c r="AR162" s="12">
        <f t="shared" si="61"/>
        <v>3.3020034109527696E-3</v>
      </c>
      <c r="AY162" s="15">
        <v>43545</v>
      </c>
      <c r="AZ162" s="12">
        <f t="shared" si="68"/>
        <v>4.7281589740091777E-3</v>
      </c>
    </row>
    <row r="163" spans="4:52" x14ac:dyDescent="0.75">
      <c r="D163" s="15">
        <v>43544</v>
      </c>
      <c r="E163" s="21">
        <f>+VLOOKUP(D163,Prezzi!$I$12:$J$367,2,0)</f>
        <v>5.0089439999999996</v>
      </c>
      <c r="F163" s="21">
        <f>+VLOOKUP(D163,Prezzi!$K$12:$L$367,2,0)/VLOOKUP(D163,Prezzi!$S$12:$T$367,2,0)</f>
        <v>249.62058569667079</v>
      </c>
      <c r="G163" s="1">
        <v>0</v>
      </c>
      <c r="H163" s="21">
        <f>+VLOOKUP(D163,Prezzi!$M$12:$N$367,2,0)/VLOOKUP(D163,Prezzi!$S$12:$T$367,2,0)</f>
        <v>22.178754623921083</v>
      </c>
      <c r="I163" s="1">
        <v>0</v>
      </c>
      <c r="J163" s="21">
        <f>+VLOOKUP(D163,Prezzi!$O$12:$P$367,2,0)/VLOOKUP(D163,Prezzi!$S$12:$T$367,2,0)</f>
        <v>43.786333450766257</v>
      </c>
      <c r="K163" s="1">
        <v>0</v>
      </c>
      <c r="L163" s="21">
        <f>+VLOOKUP(D163,Prezzi!$Q$12:$R$367,2,0)/VLOOKUP(D163,Prezzi!$S$12:$T$367,2,0)</f>
        <v>96.121245376078917</v>
      </c>
      <c r="M163" s="1">
        <v>0</v>
      </c>
      <c r="O163" s="1" t="str">
        <f t="shared" si="63"/>
        <v>201912</v>
      </c>
      <c r="P163" s="35">
        <v>43544</v>
      </c>
      <c r="Q163" s="12">
        <f t="shared" si="62"/>
        <v>1.8624048303229558E-3</v>
      </c>
      <c r="R163" s="12">
        <f t="shared" si="64"/>
        <v>-6.5309614065622232E-3</v>
      </c>
      <c r="S163" s="12">
        <f t="shared" si="65"/>
        <v>-5.3399105048011633E-3</v>
      </c>
      <c r="T163" s="12">
        <f t="shared" si="66"/>
        <v>-8.815587548101372E-4</v>
      </c>
      <c r="U163" s="12">
        <f t="shared" si="67"/>
        <v>6.9721427579453633E-4</v>
      </c>
      <c r="AI163" s="15">
        <v>43544</v>
      </c>
      <c r="AJ163" s="99">
        <f>+VLOOKUP(AI163,benchmark!I$7:$J$362,2,0)</f>
        <v>250.5609</v>
      </c>
      <c r="AK163" s="61">
        <f>+VLOOKUP(AI163,benchmark!K$7:$L$362,2,0)</f>
        <v>238.643</v>
      </c>
      <c r="AP163" s="15">
        <v>43544</v>
      </c>
      <c r="AQ163" s="12">
        <f t="shared" si="61"/>
        <v>-3.7399379327757165E-3</v>
      </c>
      <c r="AR163" s="12">
        <f t="shared" si="61"/>
        <v>2.137540236051283E-4</v>
      </c>
      <c r="AY163" s="15">
        <v>43544</v>
      </c>
      <c r="AZ163" s="12">
        <f t="shared" si="68"/>
        <v>-1.3677227589472096E-3</v>
      </c>
    </row>
    <row r="164" spans="4:52" x14ac:dyDescent="0.75">
      <c r="D164" s="15">
        <v>43543</v>
      </c>
      <c r="E164" s="21">
        <f>+VLOOKUP(D164,Prezzi!$I$12:$J$367,2,0)</f>
        <v>4.9996239999999998</v>
      </c>
      <c r="F164" s="21">
        <f>+VLOOKUP(D164,Prezzi!$K$12:$L$367,2,0)/VLOOKUP(D164,Prezzi!$S$12:$T$367,2,0)</f>
        <v>251.25618330692026</v>
      </c>
      <c r="G164" s="1">
        <v>0</v>
      </c>
      <c r="H164" s="21">
        <f>+VLOOKUP(D164,Prezzi!$M$12:$N$367,2,0)/VLOOKUP(D164,Prezzi!$S$12:$T$367,2,0)</f>
        <v>22.297503961965138</v>
      </c>
      <c r="I164" s="1">
        <v>0</v>
      </c>
      <c r="J164" s="21">
        <f>+VLOOKUP(D164,Prezzi!$O$12:$P$367,2,0)/VLOOKUP(D164,Prezzi!$S$12:$T$367,2,0)</f>
        <v>43.824950695544992</v>
      </c>
      <c r="K164" s="1">
        <v>0</v>
      </c>
      <c r="L164" s="21">
        <f>+VLOOKUP(D164,Prezzi!$Q$12:$R$367,2,0)/VLOOKUP(D164,Prezzi!$S$12:$T$367,2,0)</f>
        <v>96.054251628807904</v>
      </c>
      <c r="M164" s="1">
        <v>0</v>
      </c>
      <c r="O164" s="1" t="str">
        <f t="shared" si="63"/>
        <v>201912</v>
      </c>
      <c r="P164" s="35">
        <v>43543</v>
      </c>
      <c r="Q164" s="12">
        <f t="shared" si="62"/>
        <v>-1.8799646622007481E-4</v>
      </c>
      <c r="R164" s="12">
        <f t="shared" si="64"/>
        <v>-8.7766839546070256E-4</v>
      </c>
      <c r="S164" s="12">
        <f t="shared" si="65"/>
        <v>3.1293283234906464E-3</v>
      </c>
      <c r="T164" s="12">
        <f t="shared" si="66"/>
        <v>2.7429610497711043E-3</v>
      </c>
      <c r="U164" s="12">
        <f t="shared" si="67"/>
        <v>6.3104881395092472E-4</v>
      </c>
      <c r="AI164" s="15">
        <v>43543</v>
      </c>
      <c r="AJ164" s="99">
        <f>+VLOOKUP(AI164,benchmark!I$7:$J$362,2,0)</f>
        <v>251.50149999999999</v>
      </c>
      <c r="AK164" s="61">
        <f>+VLOOKUP(AI164,benchmark!K$7:$L$362,2,0)</f>
        <v>238.59200000000001</v>
      </c>
      <c r="AP164" s="15">
        <v>43543</v>
      </c>
      <c r="AQ164" s="12">
        <f t="shared" si="61"/>
        <v>1.2683984459131992E-3</v>
      </c>
      <c r="AR164" s="12">
        <f t="shared" si="61"/>
        <v>-1.1010864331916226E-3</v>
      </c>
      <c r="AY164" s="15">
        <v>43543</v>
      </c>
      <c r="AZ164" s="12">
        <f t="shared" si="68"/>
        <v>-1.5329248154969375E-4</v>
      </c>
    </row>
    <row r="165" spans="4:52" x14ac:dyDescent="0.75">
      <c r="D165" s="15">
        <v>43542</v>
      </c>
      <c r="E165" s="21">
        <f>+VLOOKUP(D165,Prezzi!$I$12:$J$367,2,0)</f>
        <v>5.0005639999999998</v>
      </c>
      <c r="F165" s="21">
        <f>+VLOOKUP(D165,Prezzi!$K$12:$L$367,2,0)/VLOOKUP(D165,Prezzi!$S$12:$T$367,2,0)</f>
        <v>251.47679971803683</v>
      </c>
      <c r="G165" s="1">
        <v>0</v>
      </c>
      <c r="H165" s="21">
        <f>+VLOOKUP(D165,Prezzi!$M$12:$N$367,2,0)/VLOOKUP(D165,Prezzi!$S$12:$T$367,2,0)</f>
        <v>22.227836813816197</v>
      </c>
      <c r="I165" s="1">
        <v>0</v>
      </c>
      <c r="J165" s="21">
        <f>+VLOOKUP(D165,Prezzi!$O$12:$P$367,2,0)/VLOOKUP(D165,Prezzi!$S$12:$T$367,2,0)</f>
        <v>43.704905277998058</v>
      </c>
      <c r="K165" s="1">
        <v>0</v>
      </c>
      <c r="L165" s="21">
        <f>+VLOOKUP(D165,Prezzi!$Q$12:$R$367,2,0)/VLOOKUP(D165,Prezzi!$S$12:$T$367,2,0)</f>
        <v>95.993655828707375</v>
      </c>
      <c r="M165" s="1">
        <v>0</v>
      </c>
      <c r="O165" s="1" t="str">
        <f t="shared" si="63"/>
        <v>201912</v>
      </c>
      <c r="P165" s="35">
        <v>43542</v>
      </c>
      <c r="Q165" s="12">
        <f t="shared" si="62"/>
        <v>5.979112891002378E-4</v>
      </c>
      <c r="R165" s="12">
        <f t="shared" si="64"/>
        <v>8.3588696066047777E-5</v>
      </c>
      <c r="S165" s="12">
        <f t="shared" si="65"/>
        <v>-3.0976133838162906E-4</v>
      </c>
      <c r="T165" s="12">
        <f t="shared" si="66"/>
        <v>-3.956914965150527E-3</v>
      </c>
      <c r="U165" s="12">
        <f t="shared" si="67"/>
        <v>-1.3685932293403009E-3</v>
      </c>
      <c r="AI165" s="15">
        <v>43542</v>
      </c>
      <c r="AJ165" s="99">
        <f>+VLOOKUP(AI165,benchmark!I$7:$J$362,2,0)</f>
        <v>251.18290000000002</v>
      </c>
      <c r="AK165" s="61">
        <f>+VLOOKUP(AI165,benchmark!K$7:$L$362,2,0)</f>
        <v>238.85499999999999</v>
      </c>
      <c r="AP165" s="15">
        <v>43542</v>
      </c>
      <c r="AQ165" s="12">
        <f t="shared" si="61"/>
        <v>5.1976096118162562E-3</v>
      </c>
      <c r="AR165" s="12">
        <f t="shared" si="61"/>
        <v>1.7194740925581264E-3</v>
      </c>
      <c r="AY165" s="15">
        <v>43542</v>
      </c>
      <c r="AZ165" s="12">
        <f t="shared" si="68"/>
        <v>3.1107283002613784E-3</v>
      </c>
    </row>
    <row r="166" spans="4:52" x14ac:dyDescent="0.75">
      <c r="D166" s="15">
        <v>43539</v>
      </c>
      <c r="E166" s="21">
        <f>+VLOOKUP(D166,Prezzi!$I$12:$J$367,2,0)</f>
        <v>4.9975750000000003</v>
      </c>
      <c r="F166" s="21">
        <f>+VLOOKUP(D166,Prezzi!$K$12:$L$367,2,0)/VLOOKUP(D166,Prezzi!$S$12:$T$367,2,0)</f>
        <v>251.45577997877609</v>
      </c>
      <c r="G166" s="1">
        <v>0</v>
      </c>
      <c r="H166" s="21">
        <f>+VLOOKUP(D166,Prezzi!$M$12:$N$367,2,0)/VLOOKUP(D166,Prezzi!$S$12:$T$367,2,0)</f>
        <v>22.234723204810756</v>
      </c>
      <c r="I166" s="1">
        <v>0</v>
      </c>
      <c r="J166" s="21">
        <f>+VLOOKUP(D166,Prezzi!$O$12:$P$367,2,0)/VLOOKUP(D166,Prezzi!$S$12:$T$367,2,0)</f>
        <v>43.878184471170854</v>
      </c>
      <c r="K166" s="1">
        <v>0</v>
      </c>
      <c r="L166" s="21">
        <f>+VLOOKUP(D166,Prezzi!$Q$12:$R$367,2,0)/VLOOKUP(D166,Prezzi!$S$12:$T$367,2,0)</f>
        <v>96.125122037495586</v>
      </c>
      <c r="M166" s="1">
        <v>0</v>
      </c>
      <c r="O166" s="1" t="str">
        <f t="shared" si="63"/>
        <v>201911</v>
      </c>
      <c r="P166" s="35">
        <v>43539</v>
      </c>
      <c r="Q166" s="12">
        <f t="shared" si="62"/>
        <v>9.1386046316634692E-4</v>
      </c>
      <c r="R166" s="12">
        <f t="shared" si="64"/>
        <v>3.8640793273830784E-3</v>
      </c>
      <c r="S166" s="12">
        <f t="shared" si="65"/>
        <v>6.9523601094031509E-3</v>
      </c>
      <c r="T166" s="12">
        <f t="shared" si="66"/>
        <v>4.4697917326213836E-3</v>
      </c>
      <c r="U166" s="12">
        <f t="shared" si="67"/>
        <v>1.4760583194891872E-3</v>
      </c>
      <c r="AI166" s="15">
        <v>43539</v>
      </c>
      <c r="AJ166" s="99">
        <f>+VLOOKUP(AI166,benchmark!I$7:$J$362,2,0)</f>
        <v>249.88409999999999</v>
      </c>
      <c r="AK166" s="61">
        <f>+VLOOKUP(AI166,benchmark!K$7:$L$362,2,0)</f>
        <v>238.44499999999999</v>
      </c>
      <c r="AP166" s="15">
        <v>43539</v>
      </c>
      <c r="AQ166" s="12">
        <f t="shared" si="61"/>
        <v>6.286570313664086E-3</v>
      </c>
      <c r="AR166" s="12">
        <f t="shared" si="61"/>
        <v>2.8526242045145977E-4</v>
      </c>
      <c r="AY166" s="15">
        <v>43539</v>
      </c>
      <c r="AZ166" s="12">
        <f t="shared" si="68"/>
        <v>2.6857855777365105E-3</v>
      </c>
    </row>
    <row r="167" spans="4:52" x14ac:dyDescent="0.75">
      <c r="D167" s="15">
        <v>43538</v>
      </c>
      <c r="E167" s="21">
        <f>+VLOOKUP(D167,Prezzi!$I$12:$J$367,2,0)</f>
        <v>4.9930099999999999</v>
      </c>
      <c r="F167" s="21">
        <f>+VLOOKUP(D167,Prezzi!$K$12:$L$367,2,0)/VLOOKUP(D167,Prezzi!$S$12:$T$367,2,0)</f>
        <v>250.4860097388225</v>
      </c>
      <c r="G167" s="1">
        <v>0</v>
      </c>
      <c r="H167" s="21">
        <f>+VLOOKUP(D167,Prezzi!$M$12:$N$367,2,0)/VLOOKUP(D167,Prezzi!$S$12:$T$367,2,0)</f>
        <v>22.080675520141657</v>
      </c>
      <c r="I167" s="1">
        <v>0</v>
      </c>
      <c r="J167" s="21">
        <f>+VLOOKUP(D167,Prezzi!$O$12:$P$367,2,0)/VLOOKUP(D167,Prezzi!$S$12:$T$367,2,0)</f>
        <v>43.682495794599383</v>
      </c>
      <c r="K167" s="1">
        <v>0</v>
      </c>
      <c r="L167" s="21">
        <f>+VLOOKUP(D167,Prezzi!$Q$12:$R$367,2,0)/VLOOKUP(D167,Prezzi!$S$12:$T$367,2,0)</f>
        <v>95.983340416113336</v>
      </c>
      <c r="M167" s="1">
        <v>0</v>
      </c>
      <c r="O167" s="1" t="str">
        <f t="shared" si="63"/>
        <v>201911</v>
      </c>
      <c r="P167" s="35">
        <v>43538</v>
      </c>
      <c r="Q167" s="12">
        <f t="shared" si="62"/>
        <v>-3.868661010977983E-4</v>
      </c>
      <c r="R167" s="12">
        <f t="shared" si="64"/>
        <v>1.8979967493470057E-4</v>
      </c>
      <c r="S167" s="12">
        <f t="shared" si="65"/>
        <v>1.0240843924253845E-2</v>
      </c>
      <c r="T167" s="12">
        <f t="shared" si="66"/>
        <v>-1.0384838264720395E-2</v>
      </c>
      <c r="U167" s="12">
        <f t="shared" si="67"/>
        <v>2.2019777320168464E-3</v>
      </c>
      <c r="AI167" s="15">
        <v>43538</v>
      </c>
      <c r="AJ167" s="99">
        <f>+VLOOKUP(AI167,benchmark!I$7:$J$362,2,0)</f>
        <v>248.32300000000001</v>
      </c>
      <c r="AK167" s="61">
        <f>+VLOOKUP(AI167,benchmark!K$7:$L$362,2,0)</f>
        <v>238.37700000000001</v>
      </c>
      <c r="AP167" s="15">
        <v>43538</v>
      </c>
      <c r="AQ167" s="12">
        <f t="shared" si="61"/>
        <v>2.2838379594825042E-4</v>
      </c>
      <c r="AR167" s="12">
        <f t="shared" si="61"/>
        <v>5.7925024869986963E-4</v>
      </c>
      <c r="AY167" s="15">
        <v>43538</v>
      </c>
      <c r="AZ167" s="12">
        <f t="shared" si="68"/>
        <v>4.3890366759922193E-4</v>
      </c>
    </row>
    <row r="168" spans="4:52" x14ac:dyDescent="0.75">
      <c r="D168" s="15">
        <v>43537</v>
      </c>
      <c r="E168" s="21">
        <f>+VLOOKUP(D168,Prezzi!$I$12:$J$367,2,0)</f>
        <v>4.994942</v>
      </c>
      <c r="F168" s="21">
        <f>+VLOOKUP(D168,Prezzi!$K$12:$L$367,2,0)/VLOOKUP(D168,Prezzi!$S$12:$T$367,2,0)</f>
        <v>250.43847208705651</v>
      </c>
      <c r="G168" s="1">
        <v>0</v>
      </c>
      <c r="H168" s="21">
        <f>+VLOOKUP(D168,Prezzi!$M$12:$N$367,2,0)/VLOOKUP(D168,Prezzi!$S$12:$T$367,2,0)</f>
        <v>21.855704680173403</v>
      </c>
      <c r="I168" s="1">
        <v>0</v>
      </c>
      <c r="J168" s="21">
        <f>+VLOOKUP(D168,Prezzi!$O$12:$P$367,2,0)/VLOOKUP(D168,Prezzi!$S$12:$T$367,2,0)</f>
        <v>44.138495089799164</v>
      </c>
      <c r="K168" s="1">
        <v>0</v>
      </c>
      <c r="L168" s="21">
        <f>+VLOOKUP(D168,Prezzi!$Q$12:$R$367,2,0)/VLOOKUP(D168,Prezzi!$S$12:$T$367,2,0)</f>
        <v>95.772219764664243</v>
      </c>
      <c r="M168" s="1">
        <v>0</v>
      </c>
      <c r="O168" s="1" t="str">
        <f t="shared" si="63"/>
        <v>201911</v>
      </c>
      <c r="P168" s="35">
        <v>43537</v>
      </c>
      <c r="Q168" s="12">
        <f t="shared" si="62"/>
        <v>-2.4741970996339935E-4</v>
      </c>
      <c r="R168" s="12">
        <f t="shared" si="64"/>
        <v>4.5160860825403139E-3</v>
      </c>
      <c r="S168" s="12">
        <f t="shared" si="65"/>
        <v>4.286452911163567E-3</v>
      </c>
      <c r="T168" s="12">
        <f t="shared" si="66"/>
        <v>5.8196244508323617E-3</v>
      </c>
      <c r="U168" s="12">
        <f t="shared" si="67"/>
        <v>-2.7675910993982446E-3</v>
      </c>
      <c r="AI168" s="15">
        <v>43537</v>
      </c>
      <c r="AJ168" s="99">
        <f>+VLOOKUP(AI168,benchmark!I$7:$J$362,2,0)</f>
        <v>248.2663</v>
      </c>
      <c r="AK168" s="61">
        <f>+VLOOKUP(AI168,benchmark!K$7:$L$362,2,0)</f>
        <v>238.239</v>
      </c>
      <c r="AP168" s="15">
        <v>43537</v>
      </c>
      <c r="AQ168" s="12">
        <f t="shared" si="61"/>
        <v>5.1271275818332018E-3</v>
      </c>
      <c r="AR168" s="12">
        <f t="shared" si="61"/>
        <v>-3.8182352200732961E-4</v>
      </c>
      <c r="AY168" s="15">
        <v>43537</v>
      </c>
      <c r="AZ168" s="12">
        <f t="shared" si="68"/>
        <v>1.8217569195288831E-3</v>
      </c>
    </row>
    <row r="169" spans="4:52" x14ac:dyDescent="0.75">
      <c r="D169" s="15">
        <v>43536</v>
      </c>
      <c r="E169" s="21">
        <f>+VLOOKUP(D169,Prezzi!$I$12:$J$367,2,0)</f>
        <v>4.9961779999999996</v>
      </c>
      <c r="F169" s="21">
        <f>+VLOOKUP(D169,Prezzi!$K$12:$L$367,2,0)/VLOOKUP(D169,Prezzi!$S$12:$T$367,2,0)</f>
        <v>249.31002039911306</v>
      </c>
      <c r="G169" s="1">
        <v>0</v>
      </c>
      <c r="H169" s="21">
        <f>+VLOOKUP(D169,Prezzi!$M$12:$N$367,2,0)/VLOOKUP(D169,Prezzi!$S$12:$T$367,2,0)</f>
        <v>21.762221729490022</v>
      </c>
      <c r="I169" s="1">
        <v>0</v>
      </c>
      <c r="J169" s="21">
        <f>+VLOOKUP(D169,Prezzi!$O$12:$P$367,2,0)/VLOOKUP(D169,Prezzi!$S$12:$T$367,2,0)</f>
        <v>43.882371618625278</v>
      </c>
      <c r="K169" s="1">
        <v>0</v>
      </c>
      <c r="L169" s="21">
        <f>+VLOOKUP(D169,Prezzi!$Q$12:$R$367,2,0)/VLOOKUP(D169,Prezzi!$S$12:$T$367,2,0)</f>
        <v>96.037645232815962</v>
      </c>
      <c r="M169" s="1">
        <v>0</v>
      </c>
      <c r="O169" s="1" t="str">
        <f t="shared" si="63"/>
        <v>201911</v>
      </c>
      <c r="P169" s="35">
        <v>43536</v>
      </c>
      <c r="Q169" s="12">
        <f t="shared" si="62"/>
        <v>1.0357274808088426E-3</v>
      </c>
      <c r="R169" s="12">
        <f t="shared" si="64"/>
        <v>2.4220585196121951E-4</v>
      </c>
      <c r="S169" s="12">
        <f t="shared" si="65"/>
        <v>2.9711347382478191E-3</v>
      </c>
      <c r="T169" s="12">
        <f t="shared" si="66"/>
        <v>2.9423608812545235E-3</v>
      </c>
      <c r="U169" s="12">
        <f t="shared" si="67"/>
        <v>2.5519178544554605E-4</v>
      </c>
      <c r="AI169" s="15">
        <v>43536</v>
      </c>
      <c r="AJ169" s="99">
        <f>+VLOOKUP(AI169,benchmark!I$7:$J$362,2,0)</f>
        <v>246.99989999999997</v>
      </c>
      <c r="AK169" s="61">
        <f>+VLOOKUP(AI169,benchmark!K$7:$L$362,2,0)</f>
        <v>238.33</v>
      </c>
      <c r="AP169" s="15">
        <v>43536</v>
      </c>
      <c r="AQ169" s="12">
        <f t="shared" si="61"/>
        <v>4.9200416940273772E-3</v>
      </c>
      <c r="AR169" s="12">
        <f t="shared" si="61"/>
        <v>-2.2652527015221136E-4</v>
      </c>
      <c r="AY169" s="15">
        <v>43536</v>
      </c>
      <c r="AZ169" s="12">
        <f t="shared" si="68"/>
        <v>1.832101515519624E-3</v>
      </c>
    </row>
    <row r="170" spans="4:52" x14ac:dyDescent="0.75">
      <c r="D170" s="15">
        <v>43535</v>
      </c>
      <c r="E170" s="21">
        <f>+VLOOKUP(D170,Prezzi!$I$12:$J$367,2,0)</f>
        <v>4.9910059999999996</v>
      </c>
      <c r="F170" s="21">
        <f>+VLOOKUP(D170,Prezzi!$K$12:$L$367,2,0)/VLOOKUP(D170,Prezzi!$S$12:$T$367,2,0)</f>
        <v>249.24964336535041</v>
      </c>
      <c r="G170" s="1">
        <v>0</v>
      </c>
      <c r="H170" s="21">
        <f>+VLOOKUP(D170,Prezzi!$M$12:$N$367,2,0)/VLOOKUP(D170,Prezzi!$S$12:$T$367,2,0)</f>
        <v>21.69765919601565</v>
      </c>
      <c r="I170" s="1">
        <v>0</v>
      </c>
      <c r="J170" s="21">
        <f>+VLOOKUP(D170,Prezzi!$O$12:$P$367,2,0)/VLOOKUP(D170,Prezzi!$S$12:$T$367,2,0)</f>
        <v>43.753443614372102</v>
      </c>
      <c r="K170" s="1">
        <v>0</v>
      </c>
      <c r="L170" s="21">
        <f>+VLOOKUP(D170,Prezzi!$Q$12:$R$367,2,0)/VLOOKUP(D170,Prezzi!$S$12:$T$367,2,0)</f>
        <v>96.013140341515481</v>
      </c>
      <c r="M170" s="1">
        <v>0</v>
      </c>
      <c r="O170" s="1" t="str">
        <f t="shared" si="63"/>
        <v>201911</v>
      </c>
      <c r="P170" s="35">
        <v>43535</v>
      </c>
      <c r="Q170" s="12">
        <f t="shared" si="62"/>
        <v>-2.3279169635795181E-4</v>
      </c>
      <c r="R170" s="12">
        <f t="shared" si="64"/>
        <v>1.2603286953250564E-2</v>
      </c>
      <c r="S170" s="12">
        <f t="shared" si="65"/>
        <v>1.3048882142768419E-3</v>
      </c>
      <c r="T170" s="12">
        <f t="shared" si="66"/>
        <v>-7.8215452003566905E-3</v>
      </c>
      <c r="U170" s="12">
        <f t="shared" si="67"/>
        <v>2.0340424707825178E-3</v>
      </c>
      <c r="AI170" s="15">
        <v>43535</v>
      </c>
      <c r="AJ170" s="99">
        <f>+VLOOKUP(AI170,benchmark!I$7:$J$362,2,0)</f>
        <v>245.79059999999998</v>
      </c>
      <c r="AK170" s="61">
        <f>+VLOOKUP(AI170,benchmark!K$7:$L$362,2,0)</f>
        <v>238.38399999999999</v>
      </c>
      <c r="AP170" s="15">
        <v>43535</v>
      </c>
      <c r="AQ170" s="12">
        <f t="shared" si="61"/>
        <v>1.1394465098766959E-2</v>
      </c>
      <c r="AR170" s="12">
        <f t="shared" si="61"/>
        <v>-6.4978892340461503E-4</v>
      </c>
      <c r="AY170" s="15">
        <v>43535</v>
      </c>
      <c r="AZ170" s="12">
        <f t="shared" si="68"/>
        <v>4.1679126854640147E-3</v>
      </c>
    </row>
    <row r="171" spans="4:52" x14ac:dyDescent="0.75">
      <c r="D171" s="15">
        <v>43532</v>
      </c>
      <c r="E171" s="21">
        <f>+VLOOKUP(D171,Prezzi!$I$12:$J$367,2,0)</f>
        <v>4.9921680000000004</v>
      </c>
      <c r="F171" s="21">
        <f>+VLOOKUP(D171,Prezzi!$K$12:$L$367,2,0)/VLOOKUP(D171,Prezzi!$S$12:$T$367,2,0)</f>
        <v>246.12799144537516</v>
      </c>
      <c r="G171" s="1">
        <v>0</v>
      </c>
      <c r="H171" s="21">
        <f>+VLOOKUP(D171,Prezzi!$M$12:$N$367,2,0)/VLOOKUP(D171,Prezzi!$S$12:$T$367,2,0)</f>
        <v>21.669364640883973</v>
      </c>
      <c r="I171" s="1">
        <v>0</v>
      </c>
      <c r="J171" s="21">
        <f>+VLOOKUP(D171,Prezzi!$O$12:$P$367,2,0)/VLOOKUP(D171,Prezzi!$S$12:$T$367,2,0)</f>
        <v>44.097004990197824</v>
      </c>
      <c r="K171" s="1">
        <v>0</v>
      </c>
      <c r="L171" s="21">
        <f>+VLOOKUP(D171,Prezzi!$Q$12:$R$367,2,0)/VLOOKUP(D171,Prezzi!$S$12:$T$367,2,0)</f>
        <v>95.818044020673682</v>
      </c>
      <c r="M171" s="1">
        <v>0</v>
      </c>
      <c r="O171" s="1" t="str">
        <f t="shared" si="63"/>
        <v>201910</v>
      </c>
      <c r="P171" s="35">
        <v>43532</v>
      </c>
      <c r="Q171" s="12">
        <f t="shared" si="62"/>
        <v>3.0873117443360528E-4</v>
      </c>
      <c r="R171" s="12">
        <f t="shared" si="64"/>
        <v>2.3227349871766676E-3</v>
      </c>
      <c r="S171" s="12">
        <f t="shared" si="65"/>
        <v>4.7370799646335884E-4</v>
      </c>
      <c r="T171" s="12">
        <f t="shared" si="66"/>
        <v>1.4913301463184966E-2</v>
      </c>
      <c r="U171" s="12">
        <f t="shared" si="67"/>
        <v>3.0771008624026911E-3</v>
      </c>
      <c r="AI171" s="15">
        <v>43532</v>
      </c>
      <c r="AJ171" s="99">
        <f>+VLOOKUP(AI171,benchmark!I$7:$J$362,2,0)</f>
        <v>243.0215</v>
      </c>
      <c r="AK171" s="61">
        <f>+VLOOKUP(AI171,benchmark!K$7:$L$362,2,0)</f>
        <v>238.53899999999999</v>
      </c>
      <c r="AP171" s="15">
        <v>43532</v>
      </c>
      <c r="AQ171" s="12">
        <f t="shared" si="61"/>
        <v>-5.8734183843148768E-3</v>
      </c>
      <c r="AR171" s="12">
        <f t="shared" si="61"/>
        <v>3.8163457022077907E-4</v>
      </c>
      <c r="AY171" s="15">
        <v>43532</v>
      </c>
      <c r="AZ171" s="12">
        <f t="shared" si="68"/>
        <v>-2.1203866115934835E-3</v>
      </c>
    </row>
    <row r="172" spans="4:52" x14ac:dyDescent="0.75">
      <c r="D172" s="15">
        <v>43531</v>
      </c>
      <c r="E172" s="21">
        <f>+VLOOKUP(D172,Prezzi!$I$12:$J$367,2,0)</f>
        <v>4.9906269999999999</v>
      </c>
      <c r="F172" s="21">
        <f>+VLOOKUP(D172,Prezzi!$K$12:$L$367,2,0)/VLOOKUP(D172,Prezzi!$S$12:$T$367,2,0)</f>
        <v>245.55696477686095</v>
      </c>
      <c r="G172" s="1">
        <v>0</v>
      </c>
      <c r="H172" s="21">
        <f>+VLOOKUP(D172,Prezzi!$M$12:$N$367,2,0)/VLOOKUP(D172,Prezzi!$S$12:$T$367,2,0)</f>
        <v>21.659102120486203</v>
      </c>
      <c r="I172" s="1">
        <v>0</v>
      </c>
      <c r="J172" s="21">
        <f>+VLOOKUP(D172,Prezzi!$O$12:$P$367,2,0)/VLOOKUP(D172,Prezzi!$S$12:$T$367,2,0)</f>
        <v>43.444252506432441</v>
      </c>
      <c r="K172" s="1">
        <v>0</v>
      </c>
      <c r="L172" s="21">
        <f>+VLOOKUP(D172,Prezzi!$Q$12:$R$367,2,0)/VLOOKUP(D172,Prezzi!$S$12:$T$367,2,0)</f>
        <v>95.523655398811101</v>
      </c>
      <c r="M172" s="126">
        <f>0.44/VLOOKUP(D172,Prezzi!$S$12:$T$367,2,0)</f>
        <v>0.39038239730281254</v>
      </c>
      <c r="O172" s="1" t="str">
        <f t="shared" si="63"/>
        <v>201910</v>
      </c>
      <c r="P172" s="35">
        <v>43531</v>
      </c>
      <c r="Q172" s="12">
        <f t="shared" si="62"/>
        <v>2.8642597373803296E-3</v>
      </c>
      <c r="R172" s="12">
        <f t="shared" si="64"/>
        <v>-4.9329021641777359E-3</v>
      </c>
      <c r="S172" s="12">
        <f t="shared" si="65"/>
        <v>-1.8829675277181074E-3</v>
      </c>
      <c r="T172" s="12">
        <f t="shared" si="66"/>
        <v>1.9852326794929584E-3</v>
      </c>
      <c r="U172" s="12">
        <f t="shared" si="67"/>
        <v>5.702005044639657E-3</v>
      </c>
      <c r="AI172" s="15">
        <v>43531</v>
      </c>
      <c r="AJ172" s="99">
        <f>+VLOOKUP(AI172,benchmark!I$7:$J$362,2,0)</f>
        <v>244.45729999999998</v>
      </c>
      <c r="AK172" s="61">
        <f>+VLOOKUP(AI172,benchmark!K$7:$L$362,2,0)</f>
        <v>238.44800000000001</v>
      </c>
      <c r="AP172" s="15">
        <v>43531</v>
      </c>
      <c r="AQ172" s="12">
        <f t="shared" si="61"/>
        <v>-8.2502031515160335E-3</v>
      </c>
      <c r="AR172" s="12">
        <f t="shared" si="61"/>
        <v>4.6006842043175844E-3</v>
      </c>
      <c r="AY172" s="15">
        <v>43531</v>
      </c>
      <c r="AZ172" s="12">
        <f t="shared" si="68"/>
        <v>-5.3967073801586274E-4</v>
      </c>
    </row>
    <row r="173" spans="4:52" x14ac:dyDescent="0.75">
      <c r="D173" s="15">
        <v>43530</v>
      </c>
      <c r="E173" s="21">
        <f>+VLOOKUP(D173,Prezzi!$I$12:$J$367,2,0)</f>
        <v>4.9763529999999996</v>
      </c>
      <c r="F173" s="21">
        <f>+VLOOKUP(D173,Prezzi!$K$12:$L$367,2,0)/VLOOKUP(D173,Prezzi!$S$12:$T$367,2,0)</f>
        <v>246.7712658115878</v>
      </c>
      <c r="G173" s="1">
        <v>0</v>
      </c>
      <c r="H173" s="21">
        <f>+VLOOKUP(D173,Prezzi!$M$12:$N$367,2,0)/VLOOKUP(D173,Prezzi!$S$12:$T$367,2,0)</f>
        <v>21.699923927465722</v>
      </c>
      <c r="I173" s="1">
        <v>0</v>
      </c>
      <c r="J173" s="21">
        <f>+VLOOKUP(D173,Prezzi!$O$12:$P$367,2,0)/VLOOKUP(D173,Prezzi!$S$12:$T$367,2,0)</f>
        <v>43.358091110128264</v>
      </c>
      <c r="K173" s="1">
        <v>0</v>
      </c>
      <c r="L173" s="21">
        <f>+VLOOKUP(D173,Prezzi!$Q$12:$R$367,2,0)/VLOOKUP(D173,Prezzi!$S$12:$T$367,2,0)</f>
        <v>95.368691729323302</v>
      </c>
      <c r="M173" s="1">
        <v>0</v>
      </c>
      <c r="O173" s="1" t="str">
        <f t="shared" si="63"/>
        <v>201910</v>
      </c>
      <c r="P173" s="35">
        <v>43530</v>
      </c>
      <c r="Q173" s="12">
        <f t="shared" si="62"/>
        <v>1.8037487374377044E-3</v>
      </c>
      <c r="R173" s="12">
        <f t="shared" si="64"/>
        <v>-4.379900947882224E-3</v>
      </c>
      <c r="S173" s="12">
        <f t="shared" si="65"/>
        <v>2.9815916202612417E-3</v>
      </c>
      <c r="T173" s="12">
        <f t="shared" si="66"/>
        <v>3.5332924152307161E-3</v>
      </c>
      <c r="U173" s="12">
        <f t="shared" si="67"/>
        <v>4.1770434371483723E-3</v>
      </c>
      <c r="AI173" s="15">
        <v>43530</v>
      </c>
      <c r="AJ173" s="99">
        <f>+VLOOKUP(AI173,benchmark!I$7:$J$362,2,0)</f>
        <v>246.49090000000001</v>
      </c>
      <c r="AK173" s="61">
        <f>+VLOOKUP(AI173,benchmark!K$7:$L$362,2,0)</f>
        <v>237.35599999999999</v>
      </c>
      <c r="AP173" s="15">
        <v>43530</v>
      </c>
      <c r="AQ173" s="12">
        <f t="shared" si="61"/>
        <v>-3.5988991887822008E-3</v>
      </c>
      <c r="AR173" s="12">
        <f t="shared" si="61"/>
        <v>2.6782470577300099E-3</v>
      </c>
      <c r="AY173" s="15">
        <v>43530</v>
      </c>
      <c r="AZ173" s="12">
        <f t="shared" si="68"/>
        <v>1.6738855912512541E-4</v>
      </c>
    </row>
    <row r="174" spans="4:52" x14ac:dyDescent="0.75">
      <c r="D174" s="15">
        <v>43529</v>
      </c>
      <c r="E174" s="21">
        <f>+VLOOKUP(D174,Prezzi!$I$12:$J$367,2,0)</f>
        <v>4.9673850000000002</v>
      </c>
      <c r="F174" s="21">
        <f>+VLOOKUP(D174,Prezzi!$K$12:$L$367,2,0)/VLOOKUP(D174,Prezzi!$S$12:$T$367,2,0)</f>
        <v>247.8544699443905</v>
      </c>
      <c r="G174" s="1">
        <v>0</v>
      </c>
      <c r="H174" s="21">
        <f>+VLOOKUP(D174,Prezzi!$M$12:$N$367,2,0)/VLOOKUP(D174,Prezzi!$S$12:$T$367,2,0)</f>
        <v>21.635319975284666</v>
      </c>
      <c r="I174" s="1">
        <v>0</v>
      </c>
      <c r="J174" s="21">
        <f>+VLOOKUP(D174,Prezzi!$O$12:$P$367,2,0)/VLOOKUP(D174,Prezzi!$S$12:$T$367,2,0)</f>
        <v>43.205164621767146</v>
      </c>
      <c r="K174" s="1">
        <v>0</v>
      </c>
      <c r="L174" s="21">
        <f>+VLOOKUP(D174,Prezzi!$Q$12:$R$367,2,0)/VLOOKUP(D174,Prezzi!$S$12:$T$367,2,0)</f>
        <v>94.971163386000526</v>
      </c>
      <c r="M174" s="1">
        <v>0</v>
      </c>
      <c r="O174" s="1" t="str">
        <f t="shared" si="63"/>
        <v>201910</v>
      </c>
      <c r="P174" s="35">
        <v>43529</v>
      </c>
      <c r="Q174" s="12">
        <f t="shared" si="62"/>
        <v>8.5763086170738688E-5</v>
      </c>
      <c r="R174" s="12">
        <f t="shared" si="64"/>
        <v>-3.8920645516685718E-4</v>
      </c>
      <c r="S174" s="12">
        <f t="shared" si="65"/>
        <v>2.0092878048793773E-3</v>
      </c>
      <c r="T174" s="12">
        <f t="shared" si="66"/>
        <v>-7.1007173097731389E-4</v>
      </c>
      <c r="U174" s="12">
        <f t="shared" si="67"/>
        <v>-1.547403577399955E-3</v>
      </c>
      <c r="AI174" s="15">
        <v>43529</v>
      </c>
      <c r="AJ174" s="99">
        <f>+VLOOKUP(AI174,benchmark!I$7:$J$362,2,0)</f>
        <v>247.38119999999998</v>
      </c>
      <c r="AK174" s="61">
        <f>+VLOOKUP(AI174,benchmark!K$7:$L$362,2,0)</f>
        <v>236.72200000000001</v>
      </c>
      <c r="AP174" s="15">
        <v>43529</v>
      </c>
      <c r="AQ174" s="12">
        <f t="shared" si="61"/>
        <v>-1.0297363632619794E-3</v>
      </c>
      <c r="AR174" s="12">
        <f t="shared" si="61"/>
        <v>4.3107091539185127E-4</v>
      </c>
      <c r="AY174" s="15">
        <v>43529</v>
      </c>
      <c r="AZ174" s="12">
        <f t="shared" si="68"/>
        <v>-1.5325199606968103E-4</v>
      </c>
    </row>
    <row r="175" spans="4:52" x14ac:dyDescent="0.75">
      <c r="D175" s="15">
        <v>43528</v>
      </c>
      <c r="E175" s="21">
        <f>+VLOOKUP(D175,Prezzi!$I$12:$J$367,2,0)</f>
        <v>4.9669590000000001</v>
      </c>
      <c r="F175" s="21">
        <f>+VLOOKUP(D175,Prezzi!$K$12:$L$367,2,0)/VLOOKUP(D175,Prezzi!$S$12:$T$367,2,0)</f>
        <v>247.95095527917439</v>
      </c>
      <c r="G175" s="1">
        <v>0</v>
      </c>
      <c r="H175" s="21">
        <f>+VLOOKUP(D175,Prezzi!$M$12:$N$367,2,0)/VLOOKUP(D175,Prezzi!$S$12:$T$367,2,0)</f>
        <v>21.591892034929877</v>
      </c>
      <c r="I175" s="1">
        <v>0</v>
      </c>
      <c r="J175" s="21">
        <f>+VLOOKUP(D175,Prezzi!$O$12:$P$367,2,0)/VLOOKUP(D175,Prezzi!$S$12:$T$367,2,0)</f>
        <v>43.235854282438041</v>
      </c>
      <c r="K175" s="1">
        <v>0</v>
      </c>
      <c r="L175" s="21">
        <f>+VLOOKUP(D175,Prezzi!$Q$12:$R$367,2,0)/VLOOKUP(D175,Prezzi!$S$12:$T$367,2,0)</f>
        <v>95.118235864867259</v>
      </c>
      <c r="M175" s="1">
        <v>0</v>
      </c>
      <c r="O175" s="1" t="str">
        <f t="shared" si="63"/>
        <v>201910</v>
      </c>
      <c r="P175" s="35">
        <v>43528</v>
      </c>
      <c r="Q175" s="12">
        <f t="shared" si="62"/>
        <v>9.3158703937647159E-4</v>
      </c>
      <c r="R175" s="12">
        <f t="shared" si="64"/>
        <v>1.8091534711956351E-4</v>
      </c>
      <c r="S175" s="12">
        <f t="shared" si="65"/>
        <v>9.1858666728303871E-4</v>
      </c>
      <c r="T175" s="12">
        <f t="shared" si="66"/>
        <v>-3.316749546599699E-3</v>
      </c>
      <c r="U175" s="12">
        <f t="shared" si="67"/>
        <v>3.2140908156831111E-3</v>
      </c>
      <c r="AI175" s="15">
        <v>43528</v>
      </c>
      <c r="AJ175" s="99">
        <f>+VLOOKUP(AI175,benchmark!I$7:$J$362,2,0)</f>
        <v>247.6362</v>
      </c>
      <c r="AK175" s="61">
        <f>+VLOOKUP(AI175,benchmark!K$7:$L$362,2,0)</f>
        <v>236.62</v>
      </c>
      <c r="AP175" s="15">
        <v>43528</v>
      </c>
      <c r="AQ175" s="12">
        <f t="shared" si="61"/>
        <v>-2.1597906614844176E-3</v>
      </c>
      <c r="AR175" s="12">
        <f t="shared" si="61"/>
        <v>1.2313342839853636E-3</v>
      </c>
      <c r="AY175" s="15">
        <v>43528</v>
      </c>
      <c r="AZ175" s="12">
        <f t="shared" si="68"/>
        <v>-1.2511569420254893E-4</v>
      </c>
    </row>
    <row r="176" spans="4:52" x14ac:dyDescent="0.75">
      <c r="D176" s="15">
        <v>43525</v>
      </c>
      <c r="E176" s="21">
        <f>+VLOOKUP(D176,Prezzi!$I$12:$J$367,2,0)</f>
        <v>4.9623340000000002</v>
      </c>
      <c r="F176" s="21">
        <f>+VLOOKUP(D176,Prezzi!$K$12:$L$367,2,0)/VLOOKUP(D176,Prezzi!$S$12:$T$367,2,0)</f>
        <v>247.90610120354913</v>
      </c>
      <c r="G176" s="1">
        <v>0</v>
      </c>
      <c r="H176" s="21">
        <f>+VLOOKUP(D176,Prezzi!$M$12:$N$367,2,0)/VLOOKUP(D176,Prezzi!$S$12:$T$367,2,0)</f>
        <v>21.572067117631555</v>
      </c>
      <c r="I176" s="1">
        <v>0</v>
      </c>
      <c r="J176" s="21">
        <f>+VLOOKUP(D176,Prezzi!$O$12:$P$367,2,0)/VLOOKUP(D176,Prezzi!$S$12:$T$367,2,0)</f>
        <v>43.379494860757262</v>
      </c>
      <c r="K176" s="1">
        <v>0</v>
      </c>
      <c r="L176" s="21">
        <f>+VLOOKUP(D176,Prezzi!$Q$12:$R$367,2,0)/VLOOKUP(D176,Prezzi!$S$12:$T$367,2,0)</f>
        <v>94.813007994377571</v>
      </c>
      <c r="M176" s="1">
        <v>0</v>
      </c>
      <c r="O176" s="1" t="str">
        <f t="shared" si="63"/>
        <v>20199</v>
      </c>
      <c r="P176" s="35">
        <v>43525</v>
      </c>
      <c r="Q176" s="12">
        <f t="shared" si="62"/>
        <v>-1.1085408316468821E-3</v>
      </c>
      <c r="R176" s="12">
        <f t="shared" si="64"/>
        <v>9.818625848558268E-3</v>
      </c>
      <c r="S176" s="12">
        <f t="shared" si="65"/>
        <v>5.6014245382792682E-3</v>
      </c>
      <c r="T176" s="12">
        <f t="shared" si="66"/>
        <v>-1.1057901982123688E-2</v>
      </c>
      <c r="U176" s="12">
        <f t="shared" si="67"/>
        <v>-4.0316900791265578E-3</v>
      </c>
      <c r="AI176" s="15">
        <v>43525</v>
      </c>
      <c r="AJ176" s="99">
        <f>+VLOOKUP(AI176,benchmark!I$7:$J$362,2,0)</f>
        <v>248.17220000000003</v>
      </c>
      <c r="AK176" s="61">
        <f>+VLOOKUP(AI176,benchmark!K$7:$L$362,2,0)</f>
        <v>236.32900000000001</v>
      </c>
      <c r="AP176" s="15">
        <v>43525</v>
      </c>
      <c r="AQ176" s="12">
        <f t="shared" si="61"/>
        <v>4.5606983328982942E-3</v>
      </c>
      <c r="AR176" s="12">
        <f t="shared" si="61"/>
        <v>-5.9204377740840197E-4</v>
      </c>
      <c r="AY176" s="15">
        <v>43525</v>
      </c>
      <c r="AZ176" s="12">
        <f t="shared" si="68"/>
        <v>1.4690530667142766E-3</v>
      </c>
    </row>
    <row r="177" spans="4:52" x14ac:dyDescent="0.75">
      <c r="D177" s="15">
        <v>43524</v>
      </c>
      <c r="E177" s="21">
        <f>+VLOOKUP(D177,Prezzi!$I$12:$J$367,2,0)</f>
        <v>4.9678380000000004</v>
      </c>
      <c r="F177" s="21">
        <f>+VLOOKUP(D177,Prezzi!$K$12:$L$367,2,0)/VLOOKUP(D177,Prezzi!$S$12:$T$367,2,0)</f>
        <v>245.48391468114929</v>
      </c>
      <c r="G177" s="1">
        <v>0</v>
      </c>
      <c r="H177" s="21">
        <f>+VLOOKUP(D177,Prezzi!$M$12:$N$367,2,0)/VLOOKUP(D177,Prezzi!$S$12:$T$367,2,0)</f>
        <v>21.45157060266293</v>
      </c>
      <c r="I177" s="1">
        <v>0</v>
      </c>
      <c r="J177" s="21">
        <f>+VLOOKUP(D177,Prezzi!$O$12:$P$367,2,0)/VLOOKUP(D177,Prezzi!$S$12:$T$367,2,0)</f>
        <v>43.86184302733006</v>
      </c>
      <c r="K177" s="1">
        <v>0</v>
      </c>
      <c r="L177" s="21">
        <f>+VLOOKUP(D177,Prezzi!$Q$12:$R$367,2,0)/VLOOKUP(D177,Prezzi!$S$12:$T$367,2,0)</f>
        <v>95.196036264891376</v>
      </c>
      <c r="M177" s="1">
        <v>0</v>
      </c>
      <c r="O177" s="1" t="str">
        <f t="shared" si="63"/>
        <v>20199</v>
      </c>
      <c r="P177" s="35">
        <v>43524</v>
      </c>
      <c r="Q177" s="12">
        <f t="shared" si="62"/>
        <v>-5.0713430365198953E-4</v>
      </c>
      <c r="R177" s="12">
        <f t="shared" si="64"/>
        <v>-5.1661187691713299E-3</v>
      </c>
      <c r="S177" s="12">
        <f t="shared" si="65"/>
        <v>-6.8540998786156728E-4</v>
      </c>
      <c r="T177" s="12">
        <f t="shared" si="66"/>
        <v>-6.8487008185664222E-3</v>
      </c>
      <c r="U177" s="12">
        <f t="shared" si="67"/>
        <v>-2.7149250218152414E-3</v>
      </c>
      <c r="AI177" s="15">
        <v>43524</v>
      </c>
      <c r="AJ177" s="99">
        <f>+VLOOKUP(AI177,benchmark!I$7:$J$362,2,0)</f>
        <v>247.0455</v>
      </c>
      <c r="AK177" s="61">
        <f>+VLOOKUP(AI177,benchmark!K$7:$L$362,2,0)</f>
        <v>236.46899999999999</v>
      </c>
      <c r="AP177" s="15">
        <v>43524</v>
      </c>
      <c r="AQ177" s="12">
        <f t="shared" si="61"/>
        <v>-3.5430226775232665E-3</v>
      </c>
      <c r="AR177" s="12">
        <f t="shared" si="61"/>
        <v>-5.4100432380810304E-4</v>
      </c>
      <c r="AY177" s="15">
        <v>43524</v>
      </c>
      <c r="AZ177" s="12">
        <f t="shared" si="68"/>
        <v>-1.7418116652941685E-3</v>
      </c>
    </row>
    <row r="178" spans="4:52" x14ac:dyDescent="0.75">
      <c r="D178" s="15">
        <v>43523</v>
      </c>
      <c r="E178" s="21">
        <f>+VLOOKUP(D178,Prezzi!$I$12:$J$367,2,0)</f>
        <v>4.9703580000000001</v>
      </c>
      <c r="F178" s="21">
        <f>+VLOOKUP(D178,Prezzi!$K$12:$L$367,2,0)/VLOOKUP(D178,Prezzi!$S$12:$T$367,2,0)</f>
        <v>246.75539522220268</v>
      </c>
      <c r="G178" s="1">
        <v>0</v>
      </c>
      <c r="H178" s="21">
        <f>+VLOOKUP(D178,Prezzi!$M$12:$N$367,2,0)/VLOOKUP(D178,Prezzi!$S$12:$T$367,2,0)</f>
        <v>21.466278763393639</v>
      </c>
      <c r="I178" s="1">
        <v>0</v>
      </c>
      <c r="J178" s="21">
        <f>+VLOOKUP(D178,Prezzi!$O$12:$P$367,2,0)/VLOOKUP(D178,Prezzi!$S$12:$T$367,2,0)</f>
        <v>44.163270683295273</v>
      </c>
      <c r="K178" s="1">
        <v>0</v>
      </c>
      <c r="L178" s="21">
        <f>+VLOOKUP(D178,Prezzi!$Q$12:$R$367,2,0)/VLOOKUP(D178,Prezzi!$S$12:$T$367,2,0)</f>
        <v>95.454837519761099</v>
      </c>
      <c r="M178" s="1">
        <v>0</v>
      </c>
      <c r="O178" s="1" t="str">
        <f t="shared" si="63"/>
        <v>20199</v>
      </c>
      <c r="P178" s="35">
        <v>43523</v>
      </c>
      <c r="Q178" s="12">
        <f t="shared" si="62"/>
        <v>-2.1353914085364373E-3</v>
      </c>
      <c r="R178" s="12">
        <f t="shared" si="64"/>
        <v>-2.5819018702405803E-3</v>
      </c>
      <c r="S178" s="12">
        <f t="shared" si="65"/>
        <v>-5.6892803788615486E-3</v>
      </c>
      <c r="T178" s="12">
        <f t="shared" si="66"/>
        <v>-7.8465819615789363E-3</v>
      </c>
      <c r="U178" s="12">
        <f t="shared" si="67"/>
        <v>-1.4757077050234948E-3</v>
      </c>
      <c r="AI178" s="15">
        <v>43523</v>
      </c>
      <c r="AJ178" s="99">
        <f>+VLOOKUP(AI178,benchmark!I$7:$J$362,2,0)</f>
        <v>247.9239</v>
      </c>
      <c r="AK178" s="61">
        <f>+VLOOKUP(AI178,benchmark!K$7:$L$362,2,0)</f>
        <v>236.59700000000001</v>
      </c>
      <c r="AP178" s="15">
        <v>43523</v>
      </c>
      <c r="AQ178" s="12">
        <f t="shared" si="61"/>
        <v>-1.4478153313557396E-4</v>
      </c>
      <c r="AR178" s="12">
        <f t="shared" si="61"/>
        <v>-2.1551360561431476E-3</v>
      </c>
      <c r="AY178" s="15">
        <v>43523</v>
      </c>
      <c r="AZ178" s="12">
        <f t="shared" si="68"/>
        <v>-1.350994246940118E-3</v>
      </c>
    </row>
    <row r="179" spans="4:52" x14ac:dyDescent="0.75">
      <c r="D179" s="15">
        <v>43522</v>
      </c>
      <c r="E179" s="21">
        <f>+VLOOKUP(D179,Prezzi!$I$12:$J$367,2,0)</f>
        <v>4.9809830000000002</v>
      </c>
      <c r="F179" s="21">
        <f>+VLOOKUP(D179,Prezzi!$K$12:$L$367,2,0)/VLOOKUP(D179,Prezzi!$S$12:$T$367,2,0)</f>
        <v>247.39331660945339</v>
      </c>
      <c r="G179" s="1">
        <v>0</v>
      </c>
      <c r="H179" s="21">
        <f>+VLOOKUP(D179,Prezzi!$M$12:$N$367,2,0)/VLOOKUP(D179,Prezzi!$S$12:$T$367,2,0)</f>
        <v>21.58875451104656</v>
      </c>
      <c r="I179" s="1">
        <v>0</v>
      </c>
      <c r="J179" s="21">
        <f>+VLOOKUP(D179,Prezzi!$O$12:$P$367,2,0)/VLOOKUP(D179,Prezzi!$S$12:$T$367,2,0)</f>
        <v>44.511164510166353</v>
      </c>
      <c r="K179" s="1">
        <v>0</v>
      </c>
      <c r="L179" s="21">
        <f>+VLOOKUP(D179,Prezzi!$Q$12:$R$367,2,0)/VLOOKUP(D179,Prezzi!$S$12:$T$367,2,0)</f>
        <v>95.595804946747634</v>
      </c>
      <c r="M179" s="1">
        <v>0</v>
      </c>
      <c r="O179" s="1" t="str">
        <f t="shared" si="63"/>
        <v>20199</v>
      </c>
      <c r="P179" s="35">
        <v>43522</v>
      </c>
      <c r="Q179" s="12">
        <f t="shared" si="62"/>
        <v>5.5365844223720102E-4</v>
      </c>
      <c r="R179" s="12">
        <f t="shared" si="64"/>
        <v>-1.3118986176553953E-3</v>
      </c>
      <c r="S179" s="12">
        <f t="shared" si="65"/>
        <v>2.7867242872252652E-3</v>
      </c>
      <c r="T179" s="12">
        <f t="shared" si="66"/>
        <v>-8.6101837150882041E-4</v>
      </c>
      <c r="U179" s="12">
        <f t="shared" si="67"/>
        <v>6.1399876200809295E-4</v>
      </c>
      <c r="AI179" s="15">
        <v>43522</v>
      </c>
      <c r="AJ179" s="99">
        <f>+VLOOKUP(AI179,benchmark!I$7:$J$362,2,0)</f>
        <v>247.9598</v>
      </c>
      <c r="AK179" s="61">
        <f>+VLOOKUP(AI179,benchmark!K$7:$L$362,2,0)</f>
        <v>237.108</v>
      </c>
      <c r="AP179" s="15">
        <v>43522</v>
      </c>
      <c r="AQ179" s="12">
        <f t="shared" si="61"/>
        <v>-2.8544865028745647E-4</v>
      </c>
      <c r="AR179" s="12">
        <f t="shared" si="61"/>
        <v>3.2907226933298617E-4</v>
      </c>
      <c r="AY179" s="15">
        <v>43522</v>
      </c>
      <c r="AZ179" s="12">
        <f t="shared" si="68"/>
        <v>8.3263901484809103E-5</v>
      </c>
    </row>
    <row r="180" spans="4:52" x14ac:dyDescent="0.75">
      <c r="D180" s="15">
        <v>43521</v>
      </c>
      <c r="E180" s="21">
        <f>+VLOOKUP(D180,Prezzi!$I$12:$J$367,2,0)</f>
        <v>4.9782260000000003</v>
      </c>
      <c r="F180" s="21">
        <f>+VLOOKUP(D180,Prezzi!$K$12:$L$367,2,0)/VLOOKUP(D180,Prezzi!$S$12:$T$367,2,0)</f>
        <v>247.71808454425363</v>
      </c>
      <c r="G180" s="1">
        <v>0</v>
      </c>
      <c r="H180" s="21">
        <f>+VLOOKUP(D180,Prezzi!$M$12:$N$367,2,0)/VLOOKUP(D180,Prezzi!$S$12:$T$367,2,0)</f>
        <v>21.528676354029063</v>
      </c>
      <c r="I180" s="1">
        <v>0</v>
      </c>
      <c r="J180" s="21">
        <f>+VLOOKUP(D180,Prezzi!$O$12:$P$367,2,0)/VLOOKUP(D180,Prezzi!$S$12:$T$367,2,0)</f>
        <v>44.549505944517833</v>
      </c>
      <c r="K180" s="1">
        <v>0</v>
      </c>
      <c r="L180" s="21">
        <f>+VLOOKUP(D180,Prezzi!$Q$12:$R$367,2,0)/VLOOKUP(D180,Prezzi!$S$12:$T$367,2,0)</f>
        <v>95.53712725671511</v>
      </c>
      <c r="M180" s="1">
        <v>0</v>
      </c>
      <c r="O180" s="1" t="str">
        <f t="shared" si="63"/>
        <v>20199</v>
      </c>
      <c r="P180" s="35">
        <v>43521</v>
      </c>
      <c r="Q180" s="12">
        <f t="shared" si="62"/>
        <v>-4.0186965323422426E-4</v>
      </c>
      <c r="R180" s="12">
        <f t="shared" si="64"/>
        <v>-1.2780035627230958E-3</v>
      </c>
      <c r="S180" s="12">
        <f t="shared" si="65"/>
        <v>-2.1441474808403149E-3</v>
      </c>
      <c r="T180" s="12">
        <f t="shared" si="66"/>
        <v>-4.6033197524952474E-3</v>
      </c>
      <c r="U180" s="12">
        <f t="shared" si="67"/>
        <v>-9.2420558482506359E-4</v>
      </c>
      <c r="AI180" s="15">
        <v>43521</v>
      </c>
      <c r="AJ180" s="99">
        <f>+VLOOKUP(AI180,benchmark!I$7:$J$362,2,0)</f>
        <v>248.03059999999999</v>
      </c>
      <c r="AK180" s="61">
        <f>+VLOOKUP(AI180,benchmark!K$7:$L$362,2,0)</f>
        <v>237.03</v>
      </c>
      <c r="AP180" s="15">
        <v>43521</v>
      </c>
      <c r="AQ180" s="12">
        <f t="shared" si="61"/>
        <v>3.1137176267801436E-3</v>
      </c>
      <c r="AR180" s="12">
        <f t="shared" si="61"/>
        <v>6.2478364755436111E-4</v>
      </c>
      <c r="AY180" s="15">
        <v>43521</v>
      </c>
      <c r="AZ180" s="12">
        <f t="shared" si="68"/>
        <v>1.6203572392446742E-3</v>
      </c>
    </row>
    <row r="181" spans="4:52" x14ac:dyDescent="0.75">
      <c r="D181" s="15">
        <v>43518</v>
      </c>
      <c r="E181" s="21">
        <f>+VLOOKUP(D181,Prezzi!$I$12:$J$367,2,0)</f>
        <v>4.9802270000000002</v>
      </c>
      <c r="F181" s="21">
        <f>+VLOOKUP(D181,Prezzi!$K$12:$L$367,2,0)/VLOOKUP(D181,Prezzi!$S$12:$T$367,2,0)</f>
        <v>248.03487152317879</v>
      </c>
      <c r="G181" s="1">
        <v>0</v>
      </c>
      <c r="H181" s="21">
        <f>+VLOOKUP(D181,Prezzi!$M$12:$N$367,2,0)/VLOOKUP(D181,Prezzi!$S$12:$T$367,2,0)</f>
        <v>21.574886534216333</v>
      </c>
      <c r="I181" s="1">
        <v>0</v>
      </c>
      <c r="J181" s="21">
        <f>+VLOOKUP(D181,Prezzi!$O$12:$P$367,2,0)/VLOOKUP(D181,Prezzi!$S$12:$T$367,2,0)</f>
        <v>44.755054304635763</v>
      </c>
      <c r="K181" s="1">
        <v>0</v>
      </c>
      <c r="L181" s="21">
        <f>+VLOOKUP(D181,Prezzi!$Q$12:$R$367,2,0)/VLOOKUP(D181,Prezzi!$S$12:$T$367,2,0)</f>
        <v>95.625464017660036</v>
      </c>
      <c r="M181" s="1">
        <v>0</v>
      </c>
      <c r="O181" s="1" t="str">
        <f t="shared" si="63"/>
        <v>20198</v>
      </c>
      <c r="P181" s="35">
        <v>43518</v>
      </c>
      <c r="Q181" s="12">
        <f t="shared" si="62"/>
        <v>1.2899294678311503E-3</v>
      </c>
      <c r="R181" s="12">
        <f t="shared" si="64"/>
        <v>8.9873356401224697E-3</v>
      </c>
      <c r="S181" s="12">
        <f t="shared" si="65"/>
        <v>3.4283365253659076E-3</v>
      </c>
      <c r="T181" s="12">
        <f t="shared" si="66"/>
        <v>6.6248555883394195E-3</v>
      </c>
      <c r="U181" s="12">
        <f t="shared" si="67"/>
        <v>5.2090346085622114E-3</v>
      </c>
      <c r="AI181" s="15">
        <v>43518</v>
      </c>
      <c r="AJ181" s="99">
        <f>+VLOOKUP(AI181,benchmark!I$7:$J$362,2,0)</f>
        <v>247.26069999999999</v>
      </c>
      <c r="AK181" s="61">
        <f>+VLOOKUP(AI181,benchmark!K$7:$L$362,2,0)</f>
        <v>236.88200000000001</v>
      </c>
      <c r="AP181" s="15">
        <v>43518</v>
      </c>
      <c r="AQ181" s="12">
        <f t="shared" si="61"/>
        <v>5.016532771876081E-3</v>
      </c>
      <c r="AR181" s="12">
        <f t="shared" si="61"/>
        <v>1.1114914694085876E-3</v>
      </c>
      <c r="AY181" s="15">
        <v>43518</v>
      </c>
      <c r="AZ181" s="12">
        <f t="shared" si="68"/>
        <v>2.6735079903955853E-3</v>
      </c>
    </row>
    <row r="182" spans="4:52" x14ac:dyDescent="0.75">
      <c r="D182" s="15">
        <v>43517</v>
      </c>
      <c r="E182" s="21">
        <f>+VLOOKUP(D182,Prezzi!$I$12:$J$367,2,0)</f>
        <v>4.9738069999999999</v>
      </c>
      <c r="F182" s="21">
        <f>+VLOOKUP(D182,Prezzi!$K$12:$L$367,2,0)/VLOOKUP(D182,Prezzi!$S$12:$T$367,2,0)</f>
        <v>245.81568610181435</v>
      </c>
      <c r="G182" s="1">
        <v>0</v>
      </c>
      <c r="H182" s="21">
        <f>+VLOOKUP(D182,Prezzi!$M$12:$N$367,2,0)/VLOOKUP(D182,Prezzi!$S$12:$T$367,2,0)</f>
        <v>21.501047208032414</v>
      </c>
      <c r="I182" s="1">
        <v>0</v>
      </c>
      <c r="J182" s="21">
        <f>+VLOOKUP(D182,Prezzi!$O$12:$P$367,2,0)/VLOOKUP(D182,Prezzi!$S$12:$T$367,2,0)</f>
        <v>44.459538488638366</v>
      </c>
      <c r="K182" s="1">
        <v>0</v>
      </c>
      <c r="L182" s="21">
        <f>+VLOOKUP(D182,Prezzi!$Q$12:$R$367,2,0)/VLOOKUP(D182,Prezzi!$S$12:$T$367,2,0)</f>
        <v>95.128642769068179</v>
      </c>
      <c r="M182" s="1">
        <v>0</v>
      </c>
      <c r="O182" s="1" t="str">
        <f t="shared" si="63"/>
        <v>20198</v>
      </c>
      <c r="P182" s="35">
        <v>43517</v>
      </c>
      <c r="Q182" s="12">
        <f t="shared" si="62"/>
        <v>-1.1710523185900145E-3</v>
      </c>
      <c r="R182" s="12">
        <f t="shared" si="64"/>
        <v>-4.5063700494018004E-3</v>
      </c>
      <c r="S182" s="12">
        <f t="shared" si="65"/>
        <v>2.6274868889330023E-5</v>
      </c>
      <c r="T182" s="12">
        <f t="shared" si="66"/>
        <v>-1.545755871728577E-2</v>
      </c>
      <c r="U182" s="12">
        <f t="shared" si="67"/>
        <v>-1.119633192004891E-3</v>
      </c>
      <c r="AI182" s="15">
        <v>43517</v>
      </c>
      <c r="AJ182" s="99">
        <f>+VLOOKUP(AI182,benchmark!I$7:$J$362,2,0)</f>
        <v>246.0265</v>
      </c>
      <c r="AK182" s="61">
        <f>+VLOOKUP(AI182,benchmark!K$7:$L$362,2,0)</f>
        <v>236.619</v>
      </c>
      <c r="AP182" s="15">
        <v>43517</v>
      </c>
      <c r="AQ182" s="12">
        <f t="shared" si="61"/>
        <v>-2.2552280655651069E-3</v>
      </c>
      <c r="AR182" s="12">
        <f t="shared" si="61"/>
        <v>-8.3186946827917829E-4</v>
      </c>
      <c r="AY182" s="15">
        <v>43517</v>
      </c>
      <c r="AZ182" s="12">
        <f t="shared" si="68"/>
        <v>-1.4012129071935497E-3</v>
      </c>
    </row>
    <row r="183" spans="4:52" x14ac:dyDescent="0.75">
      <c r="D183" s="15">
        <v>43516</v>
      </c>
      <c r="E183" s="21">
        <f>+VLOOKUP(D183,Prezzi!$I$12:$J$367,2,0)</f>
        <v>4.979635</v>
      </c>
      <c r="F183" s="21">
        <f>+VLOOKUP(D183,Prezzi!$K$12:$L$367,2,0)/VLOOKUP(D183,Prezzi!$S$12:$T$367,2,0)</f>
        <v>246.92592223593721</v>
      </c>
      <c r="G183" s="1">
        <v>0</v>
      </c>
      <c r="H183" s="21">
        <f>+VLOOKUP(D183,Prezzi!$M$12:$N$367,2,0)/VLOOKUP(D183,Prezzi!$S$12:$T$367,2,0)</f>
        <v>21.500482278257799</v>
      </c>
      <c r="I183" s="1">
        <v>0</v>
      </c>
      <c r="J183" s="21">
        <f>+VLOOKUP(D183,Prezzi!$O$12:$P$367,2,0)/VLOOKUP(D183,Prezzi!$S$12:$T$367,2,0)</f>
        <v>45.152113383882906</v>
      </c>
      <c r="K183" s="1">
        <v>0</v>
      </c>
      <c r="L183" s="21">
        <f>+VLOOKUP(D183,Prezzi!$Q$12:$R$367,2,0)/VLOOKUP(D183,Prezzi!$S$12:$T$367,2,0)</f>
        <v>95.235211602891894</v>
      </c>
      <c r="M183" s="1">
        <v>0</v>
      </c>
      <c r="O183" s="1" t="str">
        <f t="shared" si="63"/>
        <v>20198</v>
      </c>
      <c r="P183" s="35">
        <v>43516</v>
      </c>
      <c r="Q183" s="12">
        <f t="shared" si="62"/>
        <v>-7.6307902423090694E-5</v>
      </c>
      <c r="R183" s="12">
        <f t="shared" si="64"/>
        <v>-2.2683149081276764E-3</v>
      </c>
      <c r="S183" s="12">
        <f t="shared" si="65"/>
        <v>1.3412673100149906E-3</v>
      </c>
      <c r="T183" s="12">
        <f t="shared" si="66"/>
        <v>-2.6228477024254557E-3</v>
      </c>
      <c r="U183" s="12">
        <f t="shared" si="67"/>
        <v>-3.5820841757545677E-3</v>
      </c>
      <c r="AI183" s="15">
        <v>43516</v>
      </c>
      <c r="AJ183" s="99">
        <f>+VLOOKUP(AI183,benchmark!I$7:$J$362,2,0)</f>
        <v>246.58260000000001</v>
      </c>
      <c r="AK183" s="61">
        <f>+VLOOKUP(AI183,benchmark!K$7:$L$362,2,0)</f>
        <v>236.816</v>
      </c>
      <c r="AP183" s="15">
        <v>43516</v>
      </c>
      <c r="AQ183" s="12">
        <f t="shared" si="61"/>
        <v>4.7527424839926002E-3</v>
      </c>
      <c r="AR183" s="12">
        <f t="shared" si="61"/>
        <v>-7.6002600977953527E-5</v>
      </c>
      <c r="AY183" s="15">
        <v>43516</v>
      </c>
      <c r="AZ183" s="12">
        <f t="shared" si="68"/>
        <v>1.8554954330102682E-3</v>
      </c>
    </row>
    <row r="184" spans="4:52" x14ac:dyDescent="0.75">
      <c r="D184" s="15">
        <v>43515</v>
      </c>
      <c r="E184" s="21">
        <f>+VLOOKUP(D184,Prezzi!$I$12:$J$367,2,0)</f>
        <v>4.9800149999999999</v>
      </c>
      <c r="F184" s="21">
        <f>+VLOOKUP(D184,Prezzi!$K$12:$L$367,2,0)/VLOOKUP(D184,Prezzi!$S$12:$T$367,2,0)</f>
        <v>247.48666371524703</v>
      </c>
      <c r="G184" s="1">
        <v>0</v>
      </c>
      <c r="H184" s="21">
        <f>+VLOOKUP(D184,Prezzi!$M$12:$N$367,2,0)/VLOOKUP(D184,Prezzi!$S$12:$T$367,2,0)</f>
        <v>21.471663715247036</v>
      </c>
      <c r="I184" s="1">
        <v>0</v>
      </c>
      <c r="J184" s="21">
        <f>+VLOOKUP(D184,Prezzi!$O$12:$P$367,2,0)/VLOOKUP(D184,Prezzi!$S$12:$T$367,2,0)</f>
        <v>45.270695944749427</v>
      </c>
      <c r="K184" s="1">
        <v>0</v>
      </c>
      <c r="L184" s="21">
        <f>+VLOOKUP(D184,Prezzi!$Q$12:$R$367,2,0)/VLOOKUP(D184,Prezzi!$S$12:$T$367,2,0)</f>
        <v>95.576963874623701</v>
      </c>
      <c r="M184" s="1">
        <v>0</v>
      </c>
      <c r="O184" s="1" t="str">
        <f t="shared" si="63"/>
        <v>20198</v>
      </c>
      <c r="P184" s="35">
        <v>43515</v>
      </c>
      <c r="Q184" s="12">
        <f t="shared" si="62"/>
        <v>5.726521694368363E-4</v>
      </c>
      <c r="R184" s="12">
        <f t="shared" si="64"/>
        <v>-1.4502905580829287E-3</v>
      </c>
      <c r="S184" s="12">
        <f t="shared" si="65"/>
        <v>4.5129152666758716E-3</v>
      </c>
      <c r="T184" s="12">
        <f t="shared" si="66"/>
        <v>1.3451007231988499E-2</v>
      </c>
      <c r="U184" s="12">
        <f t="shared" si="67"/>
        <v>-5.7088208711099505E-4</v>
      </c>
      <c r="AI184" s="15">
        <v>43515</v>
      </c>
      <c r="AJ184" s="99">
        <f>+VLOOKUP(AI184,benchmark!I$7:$J$362,2,0)</f>
        <v>245.41619999999998</v>
      </c>
      <c r="AK184" s="61">
        <f>+VLOOKUP(AI184,benchmark!K$7:$L$362,2,0)</f>
        <v>236.834</v>
      </c>
      <c r="AP184" s="15">
        <v>43515</v>
      </c>
      <c r="AQ184" s="12">
        <f t="shared" si="61"/>
        <v>4.7417075387499175E-3</v>
      </c>
      <c r="AR184" s="12">
        <f t="shared" si="61"/>
        <v>7.2254640564861639E-4</v>
      </c>
      <c r="AY184" s="15">
        <v>43515</v>
      </c>
      <c r="AZ184" s="12">
        <f t="shared" si="68"/>
        <v>2.330210858889137E-3</v>
      </c>
    </row>
    <row r="185" spans="4:52" x14ac:dyDescent="0.75">
      <c r="D185" s="15">
        <v>43511</v>
      </c>
      <c r="E185" s="21">
        <f>+VLOOKUP(D185,Prezzi!$I$12:$J$367,2,0)</f>
        <v>4.9771640000000001</v>
      </c>
      <c r="F185" s="21">
        <f>+VLOOKUP(D185,Prezzi!$K$12:$L$367,2,0)/VLOOKUP(D185,Prezzi!$S$12:$T$367,2,0)</f>
        <v>247.84585168738903</v>
      </c>
      <c r="G185" s="1">
        <v>0</v>
      </c>
      <c r="H185" s="21">
        <f>+VLOOKUP(D185,Prezzi!$M$12:$N$367,2,0)/VLOOKUP(D185,Prezzi!$S$12:$T$367,2,0)</f>
        <v>21.374982238010659</v>
      </c>
      <c r="I185" s="1">
        <v>0</v>
      </c>
      <c r="J185" s="21">
        <f>+VLOOKUP(D185,Prezzi!$O$12:$P$367,2,0)/VLOOKUP(D185,Prezzi!$S$12:$T$367,2,0)</f>
        <v>44.665836589698053</v>
      </c>
      <c r="K185" s="1">
        <v>0</v>
      </c>
      <c r="L185" s="21">
        <f>+VLOOKUP(D185,Prezzi!$Q$12:$R$367,2,0)/VLOOKUP(D185,Prezzi!$S$12:$T$367,2,0)</f>
        <v>95.631542628774426</v>
      </c>
      <c r="M185" s="1">
        <v>0</v>
      </c>
      <c r="O185" s="1" t="str">
        <f t="shared" si="63"/>
        <v>20197</v>
      </c>
      <c r="P185" s="35">
        <v>43511</v>
      </c>
      <c r="Q185" s="12">
        <f t="shared" si="62"/>
        <v>1.0367887206686923E-4</v>
      </c>
      <c r="R185" s="12">
        <f t="shared" si="64"/>
        <v>1.160872419838915E-2</v>
      </c>
      <c r="S185" s="12">
        <f t="shared" si="65"/>
        <v>6.6394640850888954E-3</v>
      </c>
      <c r="T185" s="12">
        <f t="shared" si="66"/>
        <v>7.0693246925435816E-3</v>
      </c>
      <c r="U185" s="12">
        <f t="shared" si="67"/>
        <v>-1.0375390961192982E-3</v>
      </c>
      <c r="AI185" s="15">
        <v>43511</v>
      </c>
      <c r="AJ185" s="99">
        <f>+VLOOKUP(AI185,benchmark!I$7:$J$362,2,0)</f>
        <v>244.25799999999998</v>
      </c>
      <c r="AK185" s="61">
        <f>+VLOOKUP(AI185,benchmark!K$7:$L$362,2,0)</f>
        <v>236.66300000000001</v>
      </c>
      <c r="AP185" s="15">
        <v>43511</v>
      </c>
      <c r="AQ185" s="12">
        <f t="shared" si="61"/>
        <v>7.2644377401065441E-3</v>
      </c>
      <c r="AR185" s="12">
        <f t="shared" si="61"/>
        <v>-2.9569177089794341E-4</v>
      </c>
      <c r="AY185" s="15">
        <v>43511</v>
      </c>
      <c r="AZ185" s="12">
        <f t="shared" si="68"/>
        <v>2.7283600335038516E-3</v>
      </c>
    </row>
    <row r="186" spans="4:52" x14ac:dyDescent="0.75">
      <c r="D186" s="15">
        <v>43510</v>
      </c>
      <c r="E186" s="21">
        <f>+VLOOKUP(D186,Prezzi!$I$12:$J$367,2,0)</f>
        <v>4.976648</v>
      </c>
      <c r="F186" s="21">
        <f>+VLOOKUP(D186,Prezzi!$K$12:$L$367,2,0)/VLOOKUP(D186,Prezzi!$S$12:$T$367,2,0)</f>
        <v>244.98531327653529</v>
      </c>
      <c r="G186" s="1">
        <v>0</v>
      </c>
      <c r="H186" s="21">
        <f>+VLOOKUP(D186,Prezzi!$M$12:$N$367,2,0)/VLOOKUP(D186,Prezzi!$S$12:$T$367,2,0)</f>
        <v>21.233533901313454</v>
      </c>
      <c r="I186" s="1">
        <v>0</v>
      </c>
      <c r="J186" s="21">
        <f>+VLOOKUP(D186,Prezzi!$O$12:$P$367,2,0)/VLOOKUP(D186,Prezzi!$S$12:$T$367,2,0)</f>
        <v>44.351192758253461</v>
      </c>
      <c r="K186" s="1">
        <v>0</v>
      </c>
      <c r="L186" s="21">
        <f>+VLOOKUP(D186,Prezzi!$Q$12:$R$367,2,0)/VLOOKUP(D186,Prezzi!$S$12:$T$367,2,0)</f>
        <v>95.730815583954566</v>
      </c>
      <c r="M186" s="1">
        <v>0</v>
      </c>
      <c r="O186" s="1" t="str">
        <f t="shared" si="63"/>
        <v>20197</v>
      </c>
      <c r="P186" s="35">
        <v>43510</v>
      </c>
      <c r="Q186" s="12">
        <f t="shared" si="62"/>
        <v>-5.3649130480021774E-5</v>
      </c>
      <c r="R186" s="12">
        <f t="shared" si="64"/>
        <v>9.7009646680889486E-4</v>
      </c>
      <c r="S186" s="12">
        <f t="shared" si="65"/>
        <v>1.3561259294863123E-3</v>
      </c>
      <c r="T186" s="12">
        <f t="shared" si="66"/>
        <v>3.9538425791272756E-3</v>
      </c>
      <c r="U186" s="12">
        <f t="shared" si="67"/>
        <v>2.9414887131726996E-3</v>
      </c>
      <c r="AI186" s="15">
        <v>43510</v>
      </c>
      <c r="AJ186" s="99">
        <f>+VLOOKUP(AI186,benchmark!I$7:$J$362,2,0)</f>
        <v>242.49639999999999</v>
      </c>
      <c r="AK186" s="61">
        <f>+VLOOKUP(AI186,benchmark!K$7:$L$362,2,0)</f>
        <v>236.733</v>
      </c>
      <c r="AP186" s="15">
        <v>43510</v>
      </c>
      <c r="AQ186" s="12">
        <f t="shared" si="61"/>
        <v>-2.2247632151635166E-3</v>
      </c>
      <c r="AR186" s="12">
        <f t="shared" si="61"/>
        <v>1.0613915646857652E-3</v>
      </c>
      <c r="AY186" s="15">
        <v>43510</v>
      </c>
      <c r="AZ186" s="12">
        <f t="shared" si="68"/>
        <v>-2.5307034725394759E-4</v>
      </c>
    </row>
    <row r="187" spans="4:52" x14ac:dyDescent="0.75">
      <c r="D187" s="15">
        <v>43509</v>
      </c>
      <c r="E187" s="21">
        <f>+VLOOKUP(D187,Prezzi!$I$12:$J$367,2,0)</f>
        <v>4.976915</v>
      </c>
      <c r="F187" s="21">
        <f>+VLOOKUP(D187,Prezzi!$K$12:$L$367,2,0)/VLOOKUP(D187,Prezzi!$S$12:$T$367,2,0)</f>
        <v>244.74776912870408</v>
      </c>
      <c r="G187" s="1">
        <v>0</v>
      </c>
      <c r="H187" s="21">
        <f>+VLOOKUP(D187,Prezzi!$M$12:$N$367,2,0)/VLOOKUP(D187,Prezzi!$S$12:$T$367,2,0)</f>
        <v>21.204758071649714</v>
      </c>
      <c r="I187" s="1">
        <v>0</v>
      </c>
      <c r="J187" s="21">
        <f>+VLOOKUP(D187,Prezzi!$O$12:$P$367,2,0)/VLOOKUP(D187,Prezzi!$S$12:$T$367,2,0)</f>
        <v>44.176181335692171</v>
      </c>
      <c r="K187" s="1">
        <v>0</v>
      </c>
      <c r="L187" s="21">
        <f>+VLOOKUP(D187,Prezzi!$Q$12:$R$367,2,0)/VLOOKUP(D187,Prezzi!$S$12:$T$367,2,0)</f>
        <v>95.449638213180009</v>
      </c>
      <c r="M187" s="1">
        <v>0</v>
      </c>
      <c r="O187" s="1" t="str">
        <f t="shared" si="63"/>
        <v>20197</v>
      </c>
      <c r="P187" s="35">
        <v>43509</v>
      </c>
      <c r="Q187" s="12">
        <f t="shared" si="62"/>
        <v>1.4213674562233681E-3</v>
      </c>
      <c r="R187" s="12">
        <f t="shared" si="64"/>
        <v>2.298935652768667E-3</v>
      </c>
      <c r="S187" s="12">
        <f t="shared" si="65"/>
        <v>2.6470521445083649E-3</v>
      </c>
      <c r="T187" s="12">
        <f t="shared" si="66"/>
        <v>-1.0600804610029267E-3</v>
      </c>
      <c r="U187" s="12">
        <f t="shared" si="67"/>
        <v>2.1028727403395696E-3</v>
      </c>
      <c r="AI187" s="15">
        <v>43509</v>
      </c>
      <c r="AJ187" s="99">
        <f>+VLOOKUP(AI187,benchmark!I$7:$J$362,2,0)</f>
        <v>243.03710000000001</v>
      </c>
      <c r="AK187" s="61">
        <f>+VLOOKUP(AI187,benchmark!K$7:$L$362,2,0)</f>
        <v>236.482</v>
      </c>
      <c r="AP187" s="15">
        <v>43509</v>
      </c>
      <c r="AQ187" s="12">
        <f t="shared" si="61"/>
        <v>3.3659232983984655E-3</v>
      </c>
      <c r="AR187" s="12">
        <f t="shared" si="61"/>
        <v>9.5235273452209945E-4</v>
      </c>
      <c r="AY187" s="15">
        <v>43509</v>
      </c>
      <c r="AZ187" s="12">
        <f t="shared" si="68"/>
        <v>1.917780960072646E-3</v>
      </c>
    </row>
    <row r="188" spans="4:52" x14ac:dyDescent="0.75">
      <c r="D188" s="15">
        <v>43508</v>
      </c>
      <c r="E188" s="21">
        <f>+VLOOKUP(D188,Prezzi!$I$12:$J$367,2,0)</f>
        <v>4.9698460000000004</v>
      </c>
      <c r="F188" s="21">
        <f>+VLOOKUP(D188,Prezzi!$K$12:$L$367,2,0)/VLOOKUP(D188,Prezzi!$S$12:$T$367,2,0)</f>
        <v>244.18575601983002</v>
      </c>
      <c r="G188" s="1">
        <v>0</v>
      </c>
      <c r="H188" s="21">
        <f>+VLOOKUP(D188,Prezzi!$M$12:$N$367,2,0)/VLOOKUP(D188,Prezzi!$S$12:$T$367,2,0)</f>
        <v>21.148702195467422</v>
      </c>
      <c r="I188" s="1">
        <v>0</v>
      </c>
      <c r="J188" s="21">
        <f>+VLOOKUP(D188,Prezzi!$O$12:$P$367,2,0)/VLOOKUP(D188,Prezzi!$S$12:$T$367,2,0)</f>
        <v>44.223036473087816</v>
      </c>
      <c r="K188" s="1">
        <v>0</v>
      </c>
      <c r="L188" s="21">
        <f>+VLOOKUP(D188,Prezzi!$Q$12:$R$367,2,0)/VLOOKUP(D188,Prezzi!$S$12:$T$367,2,0)</f>
        <v>95.24913066572239</v>
      </c>
      <c r="M188" s="1">
        <v>0</v>
      </c>
      <c r="O188" s="1" t="str">
        <f t="shared" si="63"/>
        <v>20197</v>
      </c>
      <c r="P188" s="35">
        <v>43508</v>
      </c>
      <c r="Q188" s="12">
        <f t="shared" si="62"/>
        <v>-3.2028056206996169E-4</v>
      </c>
      <c r="R188" s="12">
        <f t="shared" si="64"/>
        <v>1.4025533303514992E-2</v>
      </c>
      <c r="S188" s="12">
        <f t="shared" si="65"/>
        <v>4.7363732722969587E-3</v>
      </c>
      <c r="T188" s="12">
        <f t="shared" si="66"/>
        <v>2.9857664210378321E-3</v>
      </c>
      <c r="U188" s="12">
        <f t="shared" si="67"/>
        <v>3.1066627288604152E-3</v>
      </c>
      <c r="AI188" s="15">
        <v>43508</v>
      </c>
      <c r="AJ188" s="99">
        <f>+VLOOKUP(AI188,benchmark!I$7:$J$362,2,0)</f>
        <v>242.22179999999997</v>
      </c>
      <c r="AK188" s="61">
        <f>+VLOOKUP(AI188,benchmark!K$7:$L$362,2,0)</f>
        <v>236.25700000000001</v>
      </c>
      <c r="AP188" s="15">
        <v>43508</v>
      </c>
      <c r="AQ188" s="12">
        <f t="shared" si="61"/>
        <v>1.1070264728803236E-2</v>
      </c>
      <c r="AR188" s="12">
        <f t="shared" si="61"/>
        <v>-8.4652859784206669E-6</v>
      </c>
      <c r="AY188" s="15">
        <v>43508</v>
      </c>
      <c r="AZ188" s="12">
        <f t="shared" si="68"/>
        <v>4.4230267199342425E-3</v>
      </c>
    </row>
    <row r="189" spans="4:52" x14ac:dyDescent="0.75">
      <c r="D189" s="15">
        <v>43507</v>
      </c>
      <c r="E189" s="21">
        <f>+VLOOKUP(D189,Prezzi!$I$12:$J$367,2,0)</f>
        <v>4.971438</v>
      </c>
      <c r="F189" s="21">
        <f>+VLOOKUP(D189,Prezzi!$K$12:$L$367,2,0)/VLOOKUP(D189,Prezzi!$S$12:$T$367,2,0)</f>
        <v>240.78482624458397</v>
      </c>
      <c r="G189" s="1">
        <v>0</v>
      </c>
      <c r="H189" s="21">
        <f>+VLOOKUP(D189,Prezzi!$M$12:$N$367,2,0)/VLOOKUP(D189,Prezzi!$S$12:$T$367,2,0)</f>
        <v>21.048770890441244</v>
      </c>
      <c r="I189" s="1">
        <v>0</v>
      </c>
      <c r="J189" s="21">
        <f>+VLOOKUP(D189,Prezzi!$O$12:$P$367,2,0)/VLOOKUP(D189,Prezzi!$S$12:$T$367,2,0)</f>
        <v>44.091193739499509</v>
      </c>
      <c r="K189" s="1">
        <v>0</v>
      </c>
      <c r="L189" s="21">
        <f>+VLOOKUP(D189,Prezzi!$Q$12:$R$367,2,0)/VLOOKUP(D189,Prezzi!$S$12:$T$367,2,0)</f>
        <v>94.95368290741888</v>
      </c>
      <c r="M189" s="1">
        <v>0</v>
      </c>
      <c r="O189" s="1" t="str">
        <f t="shared" si="63"/>
        <v>20197</v>
      </c>
      <c r="P189" s="35">
        <v>43507</v>
      </c>
      <c r="Q189" s="12">
        <f t="shared" si="62"/>
        <v>-8.8446339058072569E-4</v>
      </c>
      <c r="R189" s="12">
        <f t="shared" si="64"/>
        <v>3.9862172928712665E-3</v>
      </c>
      <c r="S189" s="12">
        <f t="shared" si="65"/>
        <v>3.9445296089534124E-3</v>
      </c>
      <c r="T189" s="12">
        <f t="shared" si="66"/>
        <v>-1.6130946885986451E-3</v>
      </c>
      <c r="U189" s="12">
        <f t="shared" si="67"/>
        <v>9.6853088347747271E-4</v>
      </c>
      <c r="AI189" s="15">
        <v>43507</v>
      </c>
      <c r="AJ189" s="99">
        <f>+VLOOKUP(AI189,benchmark!I$7:$J$362,2,0)</f>
        <v>239.56970000000001</v>
      </c>
      <c r="AK189" s="61">
        <f>+VLOOKUP(AI189,benchmark!K$7:$L$362,2,0)</f>
        <v>236.25899999999999</v>
      </c>
      <c r="AP189" s="15">
        <v>43507</v>
      </c>
      <c r="AQ189" s="12">
        <f t="shared" ref="AQ189:AR252" si="69">+AJ189/AJ190-1</f>
        <v>4.1633607550028984E-4</v>
      </c>
      <c r="AR189" s="12">
        <f t="shared" si="69"/>
        <v>-2.031255950944999E-4</v>
      </c>
      <c r="AY189" s="15">
        <v>43507</v>
      </c>
      <c r="AZ189" s="12">
        <f t="shared" si="68"/>
        <v>4.4659073143416027E-5</v>
      </c>
    </row>
    <row r="190" spans="4:52" x14ac:dyDescent="0.75">
      <c r="D190" s="15">
        <v>43504</v>
      </c>
      <c r="E190" s="21">
        <f>+VLOOKUP(D190,Prezzi!$I$12:$J$367,2,0)</f>
        <v>4.9758370000000003</v>
      </c>
      <c r="F190" s="21">
        <f>+VLOOKUP(D190,Prezzi!$K$12:$L$367,2,0)/VLOOKUP(D190,Prezzi!$S$12:$T$367,2,0)</f>
        <v>239.82691609377753</v>
      </c>
      <c r="G190" s="1">
        <v>0</v>
      </c>
      <c r="H190" s="21">
        <f>+VLOOKUP(D190,Prezzi!$M$12:$N$367,2,0)/VLOOKUP(D190,Prezzi!$S$12:$T$367,2,0)</f>
        <v>20.965906927551561</v>
      </c>
      <c r="I190" s="1">
        <v>0</v>
      </c>
      <c r="J190" s="21">
        <f>+VLOOKUP(D190,Prezzi!$O$12:$P$367,2,0)/VLOOKUP(D190,Prezzi!$S$12:$T$367,2,0)</f>
        <v>44.162374405076676</v>
      </c>
      <c r="K190" s="1">
        <v>0</v>
      </c>
      <c r="L190" s="21">
        <f>+VLOOKUP(D190,Prezzi!$Q$12:$R$367,2,0)/VLOOKUP(D190,Prezzi!$S$12:$T$367,2,0)</f>
        <v>94.861761854398026</v>
      </c>
      <c r="M190" s="1">
        <v>0</v>
      </c>
      <c r="O190" s="1" t="str">
        <f t="shared" si="63"/>
        <v>20196</v>
      </c>
      <c r="P190" s="35">
        <v>43504</v>
      </c>
      <c r="Q190" s="12">
        <f t="shared" si="62"/>
        <v>-8.3950621718424613E-4</v>
      </c>
      <c r="R190" s="12">
        <f t="shared" si="64"/>
        <v>9.2171602834547727E-4</v>
      </c>
      <c r="S190" s="12">
        <f t="shared" si="65"/>
        <v>-5.7044006974656522E-3</v>
      </c>
      <c r="T190" s="12">
        <f t="shared" si="66"/>
        <v>3.254683338686034E-3</v>
      </c>
      <c r="U190" s="12">
        <f t="shared" si="67"/>
        <v>-2.3131340827193653E-3</v>
      </c>
      <c r="AI190" s="15">
        <v>43504</v>
      </c>
      <c r="AJ190" s="99">
        <f>+VLOOKUP(AI190,benchmark!I$7:$J$362,2,0)</f>
        <v>239.46999999999997</v>
      </c>
      <c r="AK190" s="61">
        <f>+VLOOKUP(AI190,benchmark!K$7:$L$362,2,0)</f>
        <v>236.30699999999999</v>
      </c>
      <c r="AP190" s="15">
        <v>43504</v>
      </c>
      <c r="AQ190" s="12">
        <f t="shared" si="69"/>
        <v>-3.3341504658697119E-3</v>
      </c>
      <c r="AR190" s="12">
        <f t="shared" si="69"/>
        <v>1.5236740861124254E-4</v>
      </c>
      <c r="AY190" s="15">
        <v>43504</v>
      </c>
      <c r="AZ190" s="12">
        <f t="shared" si="68"/>
        <v>-1.2422397411811393E-3</v>
      </c>
    </row>
    <row r="191" spans="4:52" x14ac:dyDescent="0.75">
      <c r="D191" s="15">
        <v>43503</v>
      </c>
      <c r="E191" s="21">
        <f>+VLOOKUP(D191,Prezzi!$I$12:$J$367,2,0)</f>
        <v>4.980016</v>
      </c>
      <c r="F191" s="21">
        <f>+VLOOKUP(D191,Prezzi!$K$12:$L$367,2,0)/VLOOKUP(D191,Prezzi!$S$12:$T$367,2,0)</f>
        <v>239.60596562362272</v>
      </c>
      <c r="G191" s="1">
        <v>0</v>
      </c>
      <c r="H191" s="21">
        <f>+VLOOKUP(D191,Prezzi!$M$12:$N$367,2,0)/VLOOKUP(D191,Prezzi!$S$12:$T$367,2,0)</f>
        <v>21.085846628470691</v>
      </c>
      <c r="I191" s="1">
        <v>0</v>
      </c>
      <c r="J191" s="21">
        <f>+VLOOKUP(D191,Prezzi!$O$12:$P$367,2,0)/VLOOKUP(D191,Prezzi!$S$12:$T$367,2,0)</f>
        <v>44.018873512560596</v>
      </c>
      <c r="K191" s="1">
        <v>0</v>
      </c>
      <c r="L191" s="21">
        <f>+VLOOKUP(D191,Prezzi!$Q$12:$R$367,2,0)/VLOOKUP(D191,Prezzi!$S$12:$T$367,2,0)</f>
        <v>95.081443807844863</v>
      </c>
      <c r="M191" s="126">
        <f>0.77/VLOOKUP(D191,Prezzi!$S$12:$T$367,2,0)</f>
        <v>0.67871308946672537</v>
      </c>
      <c r="O191" s="1" t="str">
        <f t="shared" si="63"/>
        <v>20196</v>
      </c>
      <c r="P191" s="35">
        <v>43503</v>
      </c>
      <c r="Q191" s="12">
        <f t="shared" si="62"/>
        <v>9.4180579727237267E-4</v>
      </c>
      <c r="R191" s="12">
        <f t="shared" si="64"/>
        <v>-4.9482567932706834E-3</v>
      </c>
      <c r="S191" s="12">
        <f t="shared" si="65"/>
        <v>-3.242589673681916E-3</v>
      </c>
      <c r="T191" s="12">
        <f t="shared" si="66"/>
        <v>5.0073109846125018E-3</v>
      </c>
      <c r="U191" s="12">
        <f t="shared" si="67"/>
        <v>8.3534076113162443E-3</v>
      </c>
      <c r="AI191" s="15">
        <v>43503</v>
      </c>
      <c r="AJ191" s="99">
        <f>+VLOOKUP(AI191,benchmark!I$7:$J$362,2,0)</f>
        <v>240.27109999999999</v>
      </c>
      <c r="AK191" s="61">
        <f>+VLOOKUP(AI191,benchmark!K$7:$L$362,2,0)</f>
        <v>236.27099999999999</v>
      </c>
      <c r="AP191" s="15">
        <v>43503</v>
      </c>
      <c r="AQ191" s="12">
        <f t="shared" si="69"/>
        <v>-9.3625060247322089E-3</v>
      </c>
      <c r="AR191" s="12">
        <f t="shared" si="69"/>
        <v>6.5645699571392768E-4</v>
      </c>
      <c r="AY191" s="15">
        <v>43503</v>
      </c>
      <c r="AZ191" s="12">
        <f t="shared" si="68"/>
        <v>-3.3511282124645274E-3</v>
      </c>
    </row>
    <row r="192" spans="4:52" x14ac:dyDescent="0.75">
      <c r="D192" s="15">
        <v>43502</v>
      </c>
      <c r="E192" s="21">
        <f>+VLOOKUP(D192,Prezzi!$I$12:$J$367,2,0)</f>
        <v>4.9753280000000002</v>
      </c>
      <c r="F192" s="21">
        <f>+VLOOKUP(D192,Prezzi!$K$12:$L$367,2,0)/VLOOKUP(D192,Prezzi!$S$12:$T$367,2,0)</f>
        <v>240.79453572055468</v>
      </c>
      <c r="G192" s="1">
        <v>0</v>
      </c>
      <c r="H192" s="21">
        <f>+VLOOKUP(D192,Prezzi!$M$12:$N$367,2,0)/VLOOKUP(D192,Prezzi!$S$12:$T$367,2,0)</f>
        <v>21.154330349306655</v>
      </c>
      <c r="I192" s="1">
        <v>0</v>
      </c>
      <c r="J192" s="21">
        <f>+VLOOKUP(D192,Prezzi!$O$12:$P$367,2,0)/VLOOKUP(D192,Prezzi!$S$12:$T$367,2,0)</f>
        <v>43.799008249956117</v>
      </c>
      <c r="K192" s="1">
        <v>0</v>
      </c>
      <c r="L192" s="21">
        <f>+VLOOKUP(D192,Prezzi!$Q$12:$R$367,2,0)/VLOOKUP(D192,Prezzi!$S$12:$T$367,2,0)</f>
        <v>94.963565034228552</v>
      </c>
      <c r="M192" s="1">
        <v>0</v>
      </c>
      <c r="O192" s="1" t="str">
        <f t="shared" si="63"/>
        <v>20196</v>
      </c>
      <c r="P192" s="35">
        <v>43502</v>
      </c>
      <c r="Q192" s="12">
        <f t="shared" si="62"/>
        <v>1.1589869584510593E-3</v>
      </c>
      <c r="R192" s="12">
        <f t="shared" si="64"/>
        <v>4.1423295056239312E-4</v>
      </c>
      <c r="S192" s="12">
        <f t="shared" si="65"/>
        <v>-1.5615808550196769E-3</v>
      </c>
      <c r="T192" s="12">
        <f t="shared" si="66"/>
        <v>-1.6974421146672466E-3</v>
      </c>
      <c r="U192" s="12">
        <f t="shared" si="67"/>
        <v>1.9584378956653378E-3</v>
      </c>
      <c r="AI192" s="15">
        <v>43502</v>
      </c>
      <c r="AJ192" s="99">
        <f>+VLOOKUP(AI192,benchmark!I$7:$J$362,2,0)</f>
        <v>242.5419</v>
      </c>
      <c r="AK192" s="61">
        <f>+VLOOKUP(AI192,benchmark!K$7:$L$362,2,0)</f>
        <v>236.11600000000001</v>
      </c>
      <c r="AP192" s="15">
        <v>43502</v>
      </c>
      <c r="AQ192" s="12">
        <f t="shared" si="69"/>
        <v>-2.1668779924679527E-3</v>
      </c>
      <c r="AR192" s="12">
        <f t="shared" si="69"/>
        <v>-2.3288210660910025E-4</v>
      </c>
      <c r="AY192" s="15">
        <v>43502</v>
      </c>
      <c r="AZ192" s="12">
        <f t="shared" si="68"/>
        <v>-1.0064804609526412E-3</v>
      </c>
    </row>
    <row r="193" spans="4:52" x14ac:dyDescent="0.75">
      <c r="D193" s="15">
        <v>43501</v>
      </c>
      <c r="E193" s="21">
        <f>+VLOOKUP(D193,Prezzi!$I$12:$J$367,2,0)</f>
        <v>4.9695650000000002</v>
      </c>
      <c r="F193" s="21">
        <f>+VLOOKUP(D193,Prezzi!$K$12:$L$367,2,0)/VLOOKUP(D193,Prezzi!$S$12:$T$367,2,0)</f>
        <v>240.69481134553089</v>
      </c>
      <c r="G193" s="1">
        <v>0</v>
      </c>
      <c r="H193" s="21">
        <f>+VLOOKUP(D193,Prezzi!$M$12:$N$367,2,0)/VLOOKUP(D193,Prezzi!$S$12:$T$367,2,0)</f>
        <v>21.187390352796989</v>
      </c>
      <c r="I193" s="1">
        <v>0</v>
      </c>
      <c r="J193" s="21">
        <f>+VLOOKUP(D193,Prezzi!$O$12:$P$367,2,0)/VLOOKUP(D193,Prezzi!$S$12:$T$367,2,0)</f>
        <v>43.873417666112225</v>
      </c>
      <c r="K193" s="1">
        <v>0</v>
      </c>
      <c r="L193" s="21">
        <f>+VLOOKUP(D193,Prezzi!$Q$12:$R$367,2,0)/VLOOKUP(D193,Prezzi!$S$12:$T$367,2,0)</f>
        <v>94.77776678630832</v>
      </c>
      <c r="M193" s="1">
        <v>0</v>
      </c>
      <c r="O193" s="1" t="str">
        <f t="shared" si="63"/>
        <v>20196</v>
      </c>
      <c r="P193" s="35">
        <v>43501</v>
      </c>
      <c r="Q193" s="12">
        <f t="shared" si="62"/>
        <v>2.3364935134776788E-4</v>
      </c>
      <c r="R193" s="12">
        <f t="shared" si="64"/>
        <v>6.628048974847177E-3</v>
      </c>
      <c r="S193" s="12">
        <f t="shared" si="65"/>
        <v>1.4146467448031916E-2</v>
      </c>
      <c r="T193" s="12">
        <f t="shared" si="66"/>
        <v>2.476431399492612E-3</v>
      </c>
      <c r="U193" s="12">
        <f t="shared" si="67"/>
        <v>7.1129826777536747E-3</v>
      </c>
      <c r="AI193" s="15">
        <v>43501</v>
      </c>
      <c r="AJ193" s="99">
        <f>+VLOOKUP(AI193,benchmark!I$7:$J$362,2,0)</f>
        <v>243.0686</v>
      </c>
      <c r="AK193" s="61">
        <f>+VLOOKUP(AI193,benchmark!K$7:$L$362,2,0)</f>
        <v>236.17099999999999</v>
      </c>
      <c r="AP193" s="15">
        <v>43501</v>
      </c>
      <c r="AQ193" s="12">
        <f t="shared" si="69"/>
        <v>6.3210591293101359E-3</v>
      </c>
      <c r="AR193" s="12">
        <f t="shared" si="69"/>
        <v>-1.9473619595544722E-4</v>
      </c>
      <c r="AY193" s="15">
        <v>43501</v>
      </c>
      <c r="AZ193" s="12">
        <f t="shared" si="68"/>
        <v>2.4115819341507861E-3</v>
      </c>
    </row>
    <row r="194" spans="4:52" x14ac:dyDescent="0.75">
      <c r="D194" s="15">
        <v>43500</v>
      </c>
      <c r="E194" s="21">
        <f>+VLOOKUP(D194,Prezzi!$I$12:$J$367,2,0)</f>
        <v>4.9684039999999996</v>
      </c>
      <c r="F194" s="21">
        <f>+VLOOKUP(D194,Prezzi!$K$12:$L$367,2,0)/VLOOKUP(D194,Prezzi!$S$12:$T$367,2,0)</f>
        <v>239.104749672346</v>
      </c>
      <c r="G194" s="1">
        <v>0</v>
      </c>
      <c r="H194" s="21">
        <f>+VLOOKUP(D194,Prezzi!$M$12:$N$367,2,0)/VLOOKUP(D194,Prezzi!$S$12:$T$367,2,0)</f>
        <v>20.88977370030581</v>
      </c>
      <c r="I194" s="1">
        <v>0</v>
      </c>
      <c r="J194" s="21">
        <f>+VLOOKUP(D194,Prezzi!$O$12:$P$367,2,0)/VLOOKUP(D194,Prezzi!$S$12:$T$367,2,0)</f>
        <v>43.764902577544781</v>
      </c>
      <c r="K194" s="1">
        <v>0</v>
      </c>
      <c r="L194" s="21">
        <f>+VLOOKUP(D194,Prezzi!$Q$12:$R$367,2,0)/VLOOKUP(D194,Prezzi!$S$12:$T$367,2,0)</f>
        <v>94.106006116207951</v>
      </c>
      <c r="M194" s="1">
        <v>0</v>
      </c>
      <c r="O194" s="1" t="str">
        <f t="shared" si="63"/>
        <v>20196</v>
      </c>
      <c r="P194" s="35">
        <v>43500</v>
      </c>
      <c r="Q194" s="12">
        <f t="shared" si="62"/>
        <v>1.1710814144310232E-3</v>
      </c>
      <c r="R194" s="12">
        <f t="shared" si="64"/>
        <v>9.034673574196973E-3</v>
      </c>
      <c r="S194" s="12">
        <f t="shared" si="65"/>
        <v>8.9952810657962045E-5</v>
      </c>
      <c r="T194" s="12">
        <f t="shared" si="66"/>
        <v>-4.455390051688829E-4</v>
      </c>
      <c r="U194" s="12">
        <f t="shared" si="67"/>
        <v>1.994768306315179E-3</v>
      </c>
      <c r="AI194" s="15">
        <v>43500</v>
      </c>
      <c r="AJ194" s="99">
        <f>+VLOOKUP(AI194,benchmark!I$7:$J$362,2,0)</f>
        <v>241.54180000000002</v>
      </c>
      <c r="AK194" s="61">
        <f>+VLOOKUP(AI194,benchmark!K$7:$L$362,2,0)</f>
        <v>236.21700000000001</v>
      </c>
      <c r="AP194" s="15">
        <v>43500</v>
      </c>
      <c r="AQ194" s="12">
        <f t="shared" si="69"/>
        <v>3.3276467169864876E-3</v>
      </c>
      <c r="AR194" s="12">
        <f t="shared" si="69"/>
        <v>-9.6850866582642858E-4</v>
      </c>
      <c r="AY194" s="15">
        <v>43500</v>
      </c>
      <c r="AZ194" s="12">
        <f t="shared" si="68"/>
        <v>7.4995348729873796E-4</v>
      </c>
    </row>
    <row r="195" spans="4:52" x14ac:dyDescent="0.75">
      <c r="D195" s="15">
        <v>43497</v>
      </c>
      <c r="E195" s="21">
        <f>+VLOOKUP(D195,Prezzi!$I$12:$J$367,2,0)</f>
        <v>4.9625890000000004</v>
      </c>
      <c r="F195" s="21">
        <f>+VLOOKUP(D195,Prezzi!$K$12:$L$367,2,0)/VLOOKUP(D195,Prezzi!$S$12:$T$367,2,0)</f>
        <v>236.95424548862351</v>
      </c>
      <c r="G195" s="1">
        <v>0</v>
      </c>
      <c r="H195" s="21">
        <f>+VLOOKUP(D195,Prezzi!$M$12:$N$367,2,0)/VLOOKUP(D195,Prezzi!$S$12:$T$367,2,0)</f>
        <v>20.887894690959811</v>
      </c>
      <c r="I195" s="1">
        <v>0</v>
      </c>
      <c r="J195" s="21">
        <f>+VLOOKUP(D195,Prezzi!$O$12:$P$367,2,0)/VLOOKUP(D195,Prezzi!$S$12:$T$367,2,0)</f>
        <v>43.784405893121779</v>
      </c>
      <c r="K195" s="1">
        <v>0</v>
      </c>
      <c r="L195" s="21">
        <f>+VLOOKUP(D195,Prezzi!$Q$12:$R$367,2,0)/VLOOKUP(D195,Prezzi!$S$12:$T$367,2,0)</f>
        <v>93.918473541975416</v>
      </c>
      <c r="M195" s="1">
        <v>0</v>
      </c>
      <c r="O195" s="1" t="str">
        <f t="shared" si="63"/>
        <v>20195</v>
      </c>
      <c r="P195" s="35">
        <v>43497</v>
      </c>
      <c r="Q195" s="12">
        <f t="shared" si="62"/>
        <v>-1.0796998069891846E-3</v>
      </c>
      <c r="R195" s="12">
        <f t="shared" si="64"/>
        <v>2.5117539900217064E-3</v>
      </c>
      <c r="S195" s="12">
        <f t="shared" si="65"/>
        <v>4.6208597428806786E-3</v>
      </c>
      <c r="T195" s="12">
        <f t="shared" si="66"/>
        <v>-5.1270658185451534E-4</v>
      </c>
      <c r="U195" s="12">
        <f t="shared" si="67"/>
        <v>-1.740013019600825E-3</v>
      </c>
      <c r="AI195" s="15">
        <v>43497</v>
      </c>
      <c r="AJ195" s="99">
        <f>+VLOOKUP(AI195,benchmark!I$7:$J$362,2,0)</f>
        <v>240.7407</v>
      </c>
      <c r="AK195" s="61">
        <f>+VLOOKUP(AI195,benchmark!K$7:$L$362,2,0)</f>
        <v>236.446</v>
      </c>
      <c r="AP195" s="15">
        <v>43497</v>
      </c>
      <c r="AQ195" s="12">
        <f t="shared" si="69"/>
        <v>5.4361852941209321E-4</v>
      </c>
      <c r="AR195" s="12">
        <f t="shared" si="69"/>
        <v>-1.9964629261478573E-3</v>
      </c>
      <c r="AY195" s="15">
        <v>43497</v>
      </c>
      <c r="AZ195" s="12">
        <f t="shared" si="68"/>
        <v>-9.8043034392387702E-4</v>
      </c>
    </row>
    <row r="196" spans="4:52" x14ac:dyDescent="0.75">
      <c r="D196" s="15">
        <v>43496</v>
      </c>
      <c r="E196" s="21">
        <f>+VLOOKUP(D196,Prezzi!$I$12:$J$367,2,0)</f>
        <v>4.9679500000000001</v>
      </c>
      <c r="F196" s="21">
        <f>+VLOOKUP(D196,Prezzi!$K$12:$L$367,2,0)/VLOOKUP(D196,Prezzi!$S$12:$T$367,2,0)</f>
        <v>236.35982155292479</v>
      </c>
      <c r="G196" s="1">
        <v>0</v>
      </c>
      <c r="H196" s="21">
        <f>+VLOOKUP(D196,Prezzi!$M$12:$N$367,2,0)/VLOOKUP(D196,Prezzi!$S$12:$T$367,2,0)</f>
        <v>20.791597318941506</v>
      </c>
      <c r="I196" s="1">
        <v>0</v>
      </c>
      <c r="J196" s="21">
        <f>+VLOOKUP(D196,Prezzi!$O$12:$P$367,2,0)/VLOOKUP(D196,Prezzi!$S$12:$T$367,2,0)</f>
        <v>43.80686020194986</v>
      </c>
      <c r="K196" s="1">
        <v>0</v>
      </c>
      <c r="L196" s="21">
        <f>+VLOOKUP(D196,Prezzi!$Q$12:$R$367,2,0)/VLOOKUP(D196,Prezzi!$S$12:$T$367,2,0)</f>
        <v>94.082035167130911</v>
      </c>
      <c r="M196" s="1">
        <v>0</v>
      </c>
      <c r="O196" s="1" t="str">
        <f t="shared" si="63"/>
        <v>20195</v>
      </c>
      <c r="P196" s="35">
        <v>43496</v>
      </c>
      <c r="Q196" s="12">
        <f t="shared" si="62"/>
        <v>-1.1310140639031734E-3</v>
      </c>
      <c r="R196" s="12">
        <f t="shared" si="64"/>
        <v>3.6246028006180846E-3</v>
      </c>
      <c r="S196" s="12">
        <f t="shared" si="65"/>
        <v>-1.9484191048954521E-4</v>
      </c>
      <c r="T196" s="12">
        <f t="shared" si="66"/>
        <v>6.0844219176874915E-4</v>
      </c>
      <c r="U196" s="12">
        <f t="shared" si="67"/>
        <v>5.7996746438005696E-3</v>
      </c>
      <c r="AI196" s="15">
        <v>43496</v>
      </c>
      <c r="AJ196" s="99">
        <f>+VLOOKUP(AI196,benchmark!I$7:$J$362,2,0)</f>
        <v>240.60990000000001</v>
      </c>
      <c r="AK196" s="61">
        <f>+VLOOKUP(AI196,benchmark!K$7:$L$362,2,0)</f>
        <v>236.91900000000001</v>
      </c>
      <c r="AP196" s="15">
        <v>43496</v>
      </c>
      <c r="AQ196" s="12">
        <f t="shared" si="69"/>
        <v>9.3696355847305846E-3</v>
      </c>
      <c r="AR196" s="12">
        <f t="shared" si="69"/>
        <v>2.2929472833650433E-3</v>
      </c>
      <c r="AY196" s="15">
        <v>43496</v>
      </c>
      <c r="AZ196" s="12">
        <f t="shared" si="68"/>
        <v>5.12362260391126E-3</v>
      </c>
    </row>
    <row r="197" spans="4:52" x14ac:dyDescent="0.75">
      <c r="D197" s="15">
        <v>43495</v>
      </c>
      <c r="E197" s="21">
        <f>+VLOOKUP(D197,Prezzi!$I$12:$J$367,2,0)</f>
        <v>4.9735719999999999</v>
      </c>
      <c r="F197" s="21">
        <f>+VLOOKUP(D197,Prezzi!$K$12:$L$367,2,0)/VLOOKUP(D197,Prezzi!$S$12:$T$367,2,0)</f>
        <v>235.50466182518156</v>
      </c>
      <c r="G197" s="1">
        <v>0</v>
      </c>
      <c r="H197" s="21">
        <f>+VLOOKUP(D197,Prezzi!$M$12:$N$367,2,0)/VLOOKUP(D197,Prezzi!$S$12:$T$367,2,0)</f>
        <v>20.795648788170443</v>
      </c>
      <c r="I197" s="1">
        <v>0</v>
      </c>
      <c r="J197" s="21">
        <f>+VLOOKUP(D197,Prezzi!$O$12:$P$367,2,0)/VLOOKUP(D197,Prezzi!$S$12:$T$367,2,0)</f>
        <v>43.780214366961232</v>
      </c>
      <c r="K197" s="1">
        <v>0</v>
      </c>
      <c r="L197" s="21">
        <f>+VLOOKUP(D197,Prezzi!$Q$12:$R$367,2,0)/VLOOKUP(D197,Prezzi!$S$12:$T$367,2,0)</f>
        <v>93.537969201154951</v>
      </c>
      <c r="M197" s="1">
        <v>0</v>
      </c>
      <c r="O197" s="1" t="str">
        <f t="shared" si="63"/>
        <v>20195</v>
      </c>
      <c r="P197" s="35">
        <v>43495</v>
      </c>
      <c r="Q197" s="12">
        <f t="shared" si="62"/>
        <v>2.7563441009346712E-3</v>
      </c>
      <c r="R197" s="12">
        <f t="shared" si="64"/>
        <v>1.4925989688487639E-2</v>
      </c>
      <c r="S197" s="12">
        <f t="shared" si="65"/>
        <v>2.8026706449562223E-3</v>
      </c>
      <c r="T197" s="12">
        <f t="shared" si="66"/>
        <v>7.177518535646148E-4</v>
      </c>
      <c r="U197" s="12">
        <f t="shared" si="67"/>
        <v>-1.6832854316183873E-4</v>
      </c>
      <c r="AI197" s="15">
        <v>43495</v>
      </c>
      <c r="AJ197" s="99">
        <f>+VLOOKUP(AI197,benchmark!I$7:$J$362,2,0)</f>
        <v>238.37640000000002</v>
      </c>
      <c r="AK197" s="61">
        <f>+VLOOKUP(AI197,benchmark!K$7:$L$362,2,0)</f>
        <v>236.37700000000001</v>
      </c>
      <c r="AP197" s="15">
        <v>43495</v>
      </c>
      <c r="AQ197" s="12">
        <f t="shared" si="69"/>
        <v>1.0330208091833937E-2</v>
      </c>
      <c r="AR197" s="12">
        <f t="shared" si="69"/>
        <v>5.0792145841183078E-4</v>
      </c>
      <c r="AY197" s="15">
        <v>43495</v>
      </c>
      <c r="AZ197" s="12">
        <f t="shared" si="68"/>
        <v>4.4368361117806728E-3</v>
      </c>
    </row>
    <row r="198" spans="4:52" x14ac:dyDescent="0.75">
      <c r="D198" s="15">
        <v>43494</v>
      </c>
      <c r="E198" s="21">
        <f>+VLOOKUP(D198,Prezzi!$I$12:$J$367,2,0)</f>
        <v>4.9598820000000003</v>
      </c>
      <c r="F198" s="21">
        <f>+VLOOKUP(D198,Prezzi!$K$12:$L$367,2,0)/VLOOKUP(D198,Prezzi!$S$12:$T$367,2,0)</f>
        <v>232.01562510943788</v>
      </c>
      <c r="G198" s="1">
        <v>0</v>
      </c>
      <c r="H198" s="21">
        <f>+VLOOKUP(D198,Prezzi!$M$12:$N$367,2,0)/VLOOKUP(D198,Prezzi!$S$12:$T$367,2,0)</f>
        <v>20.737447032043423</v>
      </c>
      <c r="I198" s="1">
        <v>0</v>
      </c>
      <c r="J198" s="21">
        <f>+VLOOKUP(D198,Prezzi!$O$12:$P$367,2,0)/VLOOKUP(D198,Prezzi!$S$12:$T$367,2,0)</f>
        <v>43.748802311329008</v>
      </c>
      <c r="K198" s="1">
        <v>0</v>
      </c>
      <c r="L198" s="21">
        <f>+VLOOKUP(D198,Prezzi!$Q$12:$R$367,2,0)/VLOOKUP(D198,Prezzi!$S$12:$T$367,2,0)</f>
        <v>93.553715636490978</v>
      </c>
      <c r="M198" s="1">
        <v>0</v>
      </c>
      <c r="O198" s="1" t="str">
        <f t="shared" si="63"/>
        <v>20195</v>
      </c>
      <c r="P198" s="35">
        <v>43494</v>
      </c>
      <c r="Q198" s="12">
        <f t="shared" si="62"/>
        <v>6.2944690114315096E-4</v>
      </c>
      <c r="R198" s="12">
        <f t="shared" si="64"/>
        <v>-1.7877578260400903E-3</v>
      </c>
      <c r="S198" s="12">
        <f t="shared" si="65"/>
        <v>6.9967958944863089E-3</v>
      </c>
      <c r="T198" s="12">
        <f t="shared" si="66"/>
        <v>4.7956465367717952E-3</v>
      </c>
      <c r="U198" s="12">
        <f t="shared" si="67"/>
        <v>-2.2644097545400713E-3</v>
      </c>
      <c r="AI198" s="15">
        <v>43494</v>
      </c>
      <c r="AJ198" s="99">
        <f>+VLOOKUP(AI198,benchmark!I$7:$J$362,2,0)</f>
        <v>235.9391</v>
      </c>
      <c r="AK198" s="61">
        <f>+VLOOKUP(AI198,benchmark!K$7:$L$362,2,0)</f>
        <v>236.25700000000001</v>
      </c>
      <c r="AP198" s="15">
        <v>43494</v>
      </c>
      <c r="AQ198" s="12">
        <f t="shared" si="69"/>
        <v>3.9050740522461602E-4</v>
      </c>
      <c r="AR198" s="12">
        <f t="shared" si="69"/>
        <v>4.5310184204949699E-4</v>
      </c>
      <c r="AY198" s="15">
        <v>43494</v>
      </c>
      <c r="AZ198" s="12">
        <f t="shared" si="68"/>
        <v>4.2806406731954461E-4</v>
      </c>
    </row>
    <row r="199" spans="4:52" x14ac:dyDescent="0.75">
      <c r="D199" s="15">
        <v>43493</v>
      </c>
      <c r="E199" s="21">
        <f>+VLOOKUP(D199,Prezzi!$I$12:$J$367,2,0)</f>
        <v>4.9567610000000002</v>
      </c>
      <c r="F199" s="21">
        <f>+VLOOKUP(D199,Prezzi!$K$12:$L$367,2,0)/VLOOKUP(D199,Prezzi!$S$12:$T$367,2,0)</f>
        <v>232.43078385006135</v>
      </c>
      <c r="G199" s="1">
        <v>0</v>
      </c>
      <c r="H199" s="21">
        <f>+VLOOKUP(D199,Prezzi!$M$12:$N$367,2,0)/VLOOKUP(D199,Prezzi!$S$12:$T$367,2,0)</f>
        <v>20.592857768435803</v>
      </c>
      <c r="I199" s="1">
        <v>0</v>
      </c>
      <c r="J199" s="21">
        <f>+VLOOKUP(D199,Prezzi!$O$12:$P$367,2,0)/VLOOKUP(D199,Prezzi!$S$12:$T$367,2,0)</f>
        <v>43.53950078822912</v>
      </c>
      <c r="K199" s="1">
        <v>0</v>
      </c>
      <c r="L199" s="21">
        <f>+VLOOKUP(D199,Prezzi!$Q$12:$R$367,2,0)/VLOOKUP(D199,Prezzi!$S$12:$T$367,2,0)</f>
        <v>93.765799614643555</v>
      </c>
      <c r="M199" s="1">
        <v>0</v>
      </c>
      <c r="O199" s="1" t="str">
        <f t="shared" si="63"/>
        <v>20195</v>
      </c>
      <c r="P199" s="35">
        <v>43493</v>
      </c>
      <c r="Q199" s="12">
        <f t="shared" si="62"/>
        <v>9.4683224498506922E-4</v>
      </c>
      <c r="R199" s="12">
        <f t="shared" si="64"/>
        <v>-1.4208739685052254E-2</v>
      </c>
      <c r="S199" s="12">
        <f t="shared" si="65"/>
        <v>-8.2806402619239189E-3</v>
      </c>
      <c r="T199" s="12">
        <f t="shared" si="66"/>
        <v>-2.7448858734254707E-3</v>
      </c>
      <c r="U199" s="12">
        <f t="shared" si="67"/>
        <v>-8.6273594413032086E-3</v>
      </c>
      <c r="AI199" s="15">
        <v>43493</v>
      </c>
      <c r="AJ199" s="99">
        <f>+VLOOKUP(AI199,benchmark!I$7:$J$362,2,0)</f>
        <v>235.84699999999998</v>
      </c>
      <c r="AK199" s="61">
        <f>+VLOOKUP(AI199,benchmark!K$7:$L$362,2,0)</f>
        <v>236.15</v>
      </c>
      <c r="AP199" s="15">
        <v>43493</v>
      </c>
      <c r="AQ199" s="12">
        <f t="shared" si="69"/>
        <v>-6.072370314710529E-3</v>
      </c>
      <c r="AR199" s="12">
        <f t="shared" si="69"/>
        <v>-7.362773141957879E-4</v>
      </c>
      <c r="AY199" s="15">
        <v>43493</v>
      </c>
      <c r="AZ199" s="12">
        <f t="shared" si="68"/>
        <v>-2.8707145144016843E-3</v>
      </c>
    </row>
    <row r="200" spans="4:52" x14ac:dyDescent="0.75">
      <c r="D200" s="15">
        <v>43490</v>
      </c>
      <c r="E200" s="21">
        <f>+VLOOKUP(D200,Prezzi!$I$12:$J$367,2,0)</f>
        <v>4.95207</v>
      </c>
      <c r="F200" s="21">
        <f>+VLOOKUP(D200,Prezzi!$K$12:$L$367,2,0)/VLOOKUP(D200,Prezzi!$S$12:$T$367,2,0)</f>
        <v>235.75690639873079</v>
      </c>
      <c r="G200" s="1">
        <v>0</v>
      </c>
      <c r="H200" s="21">
        <f>+VLOOKUP(D200,Prezzi!$M$12:$N$367,2,0)/VLOOKUP(D200,Prezzi!$S$12:$T$367,2,0)</f>
        <v>20.764087784241141</v>
      </c>
      <c r="I200" s="1">
        <v>0</v>
      </c>
      <c r="J200" s="21">
        <f>+VLOOKUP(D200,Prezzi!$O$12:$P$367,2,0)/VLOOKUP(D200,Prezzi!$S$12:$T$367,2,0)</f>
        <v>43.659175921029437</v>
      </c>
      <c r="K200" s="1">
        <v>0</v>
      </c>
      <c r="L200" s="21">
        <f>+VLOOKUP(D200,Prezzi!$Q$12:$R$367,2,0)/VLOOKUP(D200,Prezzi!$S$12:$T$367,2,0)</f>
        <v>94.578250484752331</v>
      </c>
      <c r="M200" s="1">
        <v>0</v>
      </c>
      <c r="O200" s="1" t="str">
        <f t="shared" si="63"/>
        <v>20194</v>
      </c>
      <c r="P200" s="35">
        <v>43490</v>
      </c>
      <c r="Q200" s="12">
        <f t="shared" si="62"/>
        <v>2.7285242740832962E-4</v>
      </c>
      <c r="R200" s="12">
        <f t="shared" si="64"/>
        <v>8.0472916776882942E-3</v>
      </c>
      <c r="S200" s="12">
        <f t="shared" si="65"/>
        <v>-1.0360891876497922E-3</v>
      </c>
      <c r="T200" s="12">
        <f t="shared" si="66"/>
        <v>1.4127011485335019E-2</v>
      </c>
      <c r="U200" s="12">
        <f t="shared" si="67"/>
        <v>-3.6425606894351523E-5</v>
      </c>
      <c r="AI200" s="15">
        <v>43490</v>
      </c>
      <c r="AJ200" s="99">
        <f>+VLOOKUP(AI200,benchmark!I$7:$J$362,2,0)</f>
        <v>237.28789999999998</v>
      </c>
      <c r="AK200" s="61">
        <f>+VLOOKUP(AI200,benchmark!K$7:$L$362,2,0)</f>
        <v>236.32400000000001</v>
      </c>
      <c r="AP200" s="15">
        <v>43490</v>
      </c>
      <c r="AQ200" s="12">
        <f t="shared" si="69"/>
        <v>9.7984810971234459E-3</v>
      </c>
      <c r="AR200" s="12">
        <f t="shared" si="69"/>
        <v>3.5557060616331349E-4</v>
      </c>
      <c r="AY200" s="15">
        <v>43490</v>
      </c>
      <c r="AZ200" s="12">
        <f t="shared" si="68"/>
        <v>4.132734802547367E-3</v>
      </c>
    </row>
    <row r="201" spans="4:52" x14ac:dyDescent="0.75">
      <c r="D201" s="15">
        <v>43489</v>
      </c>
      <c r="E201" s="21">
        <f>+VLOOKUP(D201,Prezzi!$I$12:$J$367,2,0)</f>
        <v>4.9507190000000003</v>
      </c>
      <c r="F201" s="21">
        <f>+VLOOKUP(D201,Prezzi!$K$12:$L$367,2,0)/VLOOKUP(D201,Prezzi!$S$12:$T$367,2,0)</f>
        <v>233.86731505158275</v>
      </c>
      <c r="G201" s="1">
        <v>0</v>
      </c>
      <c r="H201" s="21">
        <f>+VLOOKUP(D201,Prezzi!$M$12:$N$367,2,0)/VLOOKUP(D201,Prezzi!$S$12:$T$367,2,0)</f>
        <v>20.78561237986068</v>
      </c>
      <c r="I201" s="1">
        <v>0</v>
      </c>
      <c r="J201" s="21">
        <f>+VLOOKUP(D201,Prezzi!$O$12:$P$367,2,0)/VLOOKUP(D201,Prezzi!$S$12:$T$367,2,0)</f>
        <v>43.046738382858649</v>
      </c>
      <c r="K201" s="1">
        <v>0</v>
      </c>
      <c r="L201" s="21">
        <f>+VLOOKUP(D201,Prezzi!$Q$12:$R$367,2,0)/VLOOKUP(D201,Prezzi!$S$12:$T$367,2,0)</f>
        <v>94.581695617670391</v>
      </c>
      <c r="M201" s="1">
        <v>0</v>
      </c>
      <c r="O201" s="1" t="str">
        <f t="shared" si="63"/>
        <v>20194</v>
      </c>
      <c r="P201" s="35">
        <v>43489</v>
      </c>
      <c r="Q201" s="12">
        <f t="shared" si="62"/>
        <v>-6.768442597909134E-4</v>
      </c>
      <c r="R201" s="12">
        <f t="shared" si="64"/>
        <v>3.68784481347725E-3</v>
      </c>
      <c r="S201" s="12">
        <f t="shared" si="65"/>
        <v>8.890219397274967E-4</v>
      </c>
      <c r="T201" s="12">
        <f t="shared" si="66"/>
        <v>-7.3078916887902169E-4</v>
      </c>
      <c r="U201" s="12">
        <f t="shared" si="67"/>
        <v>5.8818392178469001E-3</v>
      </c>
      <c r="AI201" s="15">
        <v>43489</v>
      </c>
      <c r="AJ201" s="99">
        <f>+VLOOKUP(AI201,benchmark!I$7:$J$362,2,0)</f>
        <v>234.98539999999997</v>
      </c>
      <c r="AK201" s="61">
        <f>+VLOOKUP(AI201,benchmark!K$7:$L$362,2,0)</f>
        <v>236.24</v>
      </c>
      <c r="AP201" s="15">
        <v>43489</v>
      </c>
      <c r="AQ201" s="12">
        <f t="shared" si="69"/>
        <v>2.3118586405075359E-3</v>
      </c>
      <c r="AR201" s="12">
        <f t="shared" si="69"/>
        <v>3.6280832334973923E-3</v>
      </c>
      <c r="AY201" s="15">
        <v>43489</v>
      </c>
      <c r="AZ201" s="12">
        <f t="shared" si="68"/>
        <v>3.1015933963014497E-3</v>
      </c>
    </row>
    <row r="202" spans="4:52" x14ac:dyDescent="0.75">
      <c r="D202" s="15">
        <v>43488</v>
      </c>
      <c r="E202" s="21">
        <f>+VLOOKUP(D202,Prezzi!$I$12:$J$367,2,0)</f>
        <v>4.9540709999999999</v>
      </c>
      <c r="F202" s="21">
        <f>+VLOOKUP(D202,Prezzi!$K$12:$L$367,2,0)/VLOOKUP(D202,Prezzi!$S$12:$T$367,2,0)</f>
        <v>233.00643705463179</v>
      </c>
      <c r="G202" s="1">
        <v>0</v>
      </c>
      <c r="H202" s="21">
        <f>+VLOOKUP(D202,Prezzi!$M$12:$N$367,2,0)/VLOOKUP(D202,Prezzi!$S$12:$T$367,2,0)</f>
        <v>20.76714172604909</v>
      </c>
      <c r="I202" s="1">
        <v>0</v>
      </c>
      <c r="J202" s="21">
        <f>+VLOOKUP(D202,Prezzi!$O$12:$P$367,2,0)/VLOOKUP(D202,Prezzi!$S$12:$T$367,2,0)</f>
        <v>43.078207970440751</v>
      </c>
      <c r="K202" s="1">
        <v>0</v>
      </c>
      <c r="L202" s="21">
        <f>+VLOOKUP(D202,Prezzi!$Q$12:$R$367,2,0)/VLOOKUP(D202,Prezzi!$S$12:$T$367,2,0)</f>
        <v>94.027014163807507</v>
      </c>
      <c r="M202" s="1">
        <v>0</v>
      </c>
      <c r="O202" s="1" t="str">
        <f t="shared" si="63"/>
        <v>20194</v>
      </c>
      <c r="P202" s="35">
        <v>43488</v>
      </c>
      <c r="Q202" s="12">
        <f t="shared" si="62"/>
        <v>2.3054080371775814E-3</v>
      </c>
      <c r="R202" s="12">
        <f t="shared" si="64"/>
        <v>1.0584575466065684E-3</v>
      </c>
      <c r="S202" s="12">
        <f t="shared" si="65"/>
        <v>2.9392438199160476E-3</v>
      </c>
      <c r="T202" s="12">
        <f t="shared" si="66"/>
        <v>-9.3215057449385545E-4</v>
      </c>
      <c r="U202" s="12">
        <f t="shared" si="67"/>
        <v>4.5870574064419906E-3</v>
      </c>
      <c r="AI202" s="15">
        <v>43488</v>
      </c>
      <c r="AJ202" s="99">
        <f>+VLOOKUP(AI202,benchmark!I$7:$J$362,2,0)</f>
        <v>234.44340000000003</v>
      </c>
      <c r="AK202" s="61">
        <f>+VLOOKUP(AI202,benchmark!K$7:$L$362,2,0)</f>
        <v>235.386</v>
      </c>
      <c r="AP202" s="15">
        <v>43488</v>
      </c>
      <c r="AQ202" s="12">
        <f t="shared" si="69"/>
        <v>7.162504332505204E-4</v>
      </c>
      <c r="AR202" s="12">
        <f t="shared" si="69"/>
        <v>5.8236166784975119E-4</v>
      </c>
      <c r="AY202" s="15">
        <v>43488</v>
      </c>
      <c r="AZ202" s="12">
        <f t="shared" si="68"/>
        <v>6.3591717401005892E-4</v>
      </c>
    </row>
    <row r="203" spans="4:52" x14ac:dyDescent="0.75">
      <c r="D203" s="15">
        <v>43487</v>
      </c>
      <c r="E203" s="21">
        <f>+VLOOKUP(D203,Prezzi!$I$12:$J$367,2,0)</f>
        <v>4.9426629999999996</v>
      </c>
      <c r="F203" s="21">
        <f>+VLOOKUP(D203,Prezzi!$K$12:$L$367,2,0)/VLOOKUP(D203,Prezzi!$S$12:$T$367,2,0)</f>
        <v>232.75994010921264</v>
      </c>
      <c r="G203" s="1">
        <v>0</v>
      </c>
      <c r="H203" s="21">
        <f>+VLOOKUP(D203,Prezzi!$M$12:$N$367,2,0)/VLOOKUP(D203,Prezzi!$S$12:$T$367,2,0)</f>
        <v>20.706191650519642</v>
      </c>
      <c r="I203" s="1">
        <v>0</v>
      </c>
      <c r="J203" s="21">
        <f>+VLOOKUP(D203,Prezzi!$O$12:$P$367,2,0)/VLOOKUP(D203,Prezzi!$S$12:$T$367,2,0)</f>
        <v>43.118382067993664</v>
      </c>
      <c r="K203" s="1">
        <v>0</v>
      </c>
      <c r="L203" s="21">
        <f>+VLOOKUP(D203,Prezzi!$Q$12:$R$367,2,0)/VLOOKUP(D203,Prezzi!$S$12:$T$367,2,0)</f>
        <v>93.596694556984332</v>
      </c>
      <c r="M203" s="1">
        <v>0</v>
      </c>
      <c r="O203" s="1" t="str">
        <f t="shared" si="63"/>
        <v>20194</v>
      </c>
      <c r="P203" s="35">
        <v>43487</v>
      </c>
      <c r="Q203" s="12">
        <f t="shared" si="62"/>
        <v>-8.2745491404309694E-5</v>
      </c>
      <c r="R203" s="12">
        <f t="shared" si="64"/>
        <v>-1.0002974937152305E-2</v>
      </c>
      <c r="S203" s="12">
        <f t="shared" si="65"/>
        <v>9.3073644960723636E-4</v>
      </c>
      <c r="T203" s="12">
        <f t="shared" si="66"/>
        <v>5.398965671496293E-3</v>
      </c>
      <c r="U203" s="12">
        <f t="shared" si="67"/>
        <v>5.1351404249023328E-3</v>
      </c>
      <c r="AI203" s="15">
        <v>43487</v>
      </c>
      <c r="AJ203" s="99">
        <f>+VLOOKUP(AI203,benchmark!I$7:$J$362,2,0)</f>
        <v>234.2756</v>
      </c>
      <c r="AK203" s="61">
        <f>+VLOOKUP(AI203,benchmark!K$7:$L$362,2,0)</f>
        <v>235.249</v>
      </c>
      <c r="AP203" s="15">
        <v>43487</v>
      </c>
      <c r="AQ203" s="12">
        <f t="shared" si="69"/>
        <v>-1.0478280629372616E-2</v>
      </c>
      <c r="AR203" s="12">
        <f t="shared" si="69"/>
        <v>9.5309009679822587E-4</v>
      </c>
      <c r="AY203" s="15">
        <v>43487</v>
      </c>
      <c r="AZ203" s="12">
        <f t="shared" si="68"/>
        <v>-3.6194581936701115E-3</v>
      </c>
    </row>
    <row r="204" spans="4:52" x14ac:dyDescent="0.75">
      <c r="D204" s="15">
        <v>43483</v>
      </c>
      <c r="E204" s="21">
        <f>+VLOOKUP(D204,Prezzi!$I$12:$J$367,2,0)</f>
        <v>4.9430719999999999</v>
      </c>
      <c r="F204" s="21">
        <f>+VLOOKUP(D204,Prezzi!$K$12:$L$367,2,0)/VLOOKUP(D204,Prezzi!$S$12:$T$367,2,0)</f>
        <v>235.09991580424486</v>
      </c>
      <c r="G204" s="1">
        <v>0</v>
      </c>
      <c r="H204" s="21">
        <f>+VLOOKUP(D204,Prezzi!$M$12:$N$367,2,0)/VLOOKUP(D204,Prezzi!$S$12:$T$367,2,0)</f>
        <v>20.686928609015961</v>
      </c>
      <c r="I204" s="1">
        <v>0</v>
      </c>
      <c r="J204" s="21">
        <f>+VLOOKUP(D204,Prezzi!$O$12:$P$367,2,0)/VLOOKUP(D204,Prezzi!$S$12:$T$367,2,0)</f>
        <v>42.886214699175582</v>
      </c>
      <c r="K204" s="1">
        <v>0</v>
      </c>
      <c r="L204" s="21">
        <f>+VLOOKUP(D204,Prezzi!$Q$12:$R$367,2,0)/VLOOKUP(D204,Prezzi!$S$12:$T$367,2,0)</f>
        <v>93.117294334327298</v>
      </c>
      <c r="M204" s="1">
        <v>0</v>
      </c>
      <c r="O204" s="1" t="str">
        <f t="shared" si="63"/>
        <v>20193</v>
      </c>
      <c r="P204" s="35">
        <v>43483</v>
      </c>
      <c r="Q204" s="12">
        <f t="shared" si="62"/>
        <v>1.5986643950765531E-3</v>
      </c>
      <c r="R204" s="12">
        <f t="shared" si="64"/>
        <v>1.2594334871255067E-2</v>
      </c>
      <c r="S204" s="12">
        <f t="shared" si="65"/>
        <v>1.0148185321557096E-2</v>
      </c>
      <c r="T204" s="12">
        <f t="shared" si="66"/>
        <v>-8.2616198656174939E-3</v>
      </c>
      <c r="U204" s="12">
        <f t="shared" si="67"/>
        <v>4.5500801364052905E-3</v>
      </c>
      <c r="AI204" s="15">
        <v>43483</v>
      </c>
      <c r="AJ204" s="99">
        <f>+VLOOKUP(AI204,benchmark!I$7:$J$362,2,0)</f>
        <v>236.75639999999999</v>
      </c>
      <c r="AK204" s="61">
        <f>+VLOOKUP(AI204,benchmark!K$7:$L$362,2,0)</f>
        <v>235.02500000000001</v>
      </c>
      <c r="AP204" s="15">
        <v>43483</v>
      </c>
      <c r="AQ204" s="12">
        <f t="shared" si="69"/>
        <v>1.2291689470227629E-2</v>
      </c>
      <c r="AR204" s="12">
        <f t="shared" si="69"/>
        <v>1.8299273986954745E-4</v>
      </c>
      <c r="AY204" s="15">
        <v>43483</v>
      </c>
      <c r="AZ204" s="12">
        <f t="shared" si="68"/>
        <v>5.0264714320127808E-3</v>
      </c>
    </row>
    <row r="205" spans="4:52" x14ac:dyDescent="0.75">
      <c r="D205" s="15">
        <v>43482</v>
      </c>
      <c r="E205" s="21">
        <f>+VLOOKUP(D205,Prezzi!$I$12:$J$367,2,0)</f>
        <v>4.9351760000000002</v>
      </c>
      <c r="F205" s="21">
        <f>+VLOOKUP(D205,Prezzi!$K$12:$L$367,2,0)/VLOOKUP(D205,Prezzi!$S$12:$T$367,2,0)</f>
        <v>232.15755616005617</v>
      </c>
      <c r="G205" s="1">
        <v>0</v>
      </c>
      <c r="H205" s="21">
        <f>+VLOOKUP(D205,Prezzi!$M$12:$N$367,2,0)/VLOOKUP(D205,Prezzi!$S$12:$T$367,2,0)</f>
        <v>20.478055458055458</v>
      </c>
      <c r="I205" s="1">
        <v>0</v>
      </c>
      <c r="J205" s="21">
        <f>+VLOOKUP(D205,Prezzi!$O$12:$P$367,2,0)/VLOOKUP(D205,Prezzi!$S$12:$T$367,2,0)</f>
        <v>43.241991926991929</v>
      </c>
      <c r="K205" s="1">
        <v>0</v>
      </c>
      <c r="L205" s="21">
        <f>+VLOOKUP(D205,Prezzi!$Q$12:$R$367,2,0)/VLOOKUP(D205,Prezzi!$S$12:$T$367,2,0)</f>
        <v>92.694565637065637</v>
      </c>
      <c r="M205" s="1">
        <v>0</v>
      </c>
      <c r="O205" s="1" t="str">
        <f t="shared" si="63"/>
        <v>20193</v>
      </c>
      <c r="P205" s="35">
        <v>43482</v>
      </c>
      <c r="Q205" s="12">
        <f t="shared" si="62"/>
        <v>2.2027982922651938E-4</v>
      </c>
      <c r="R205" s="12">
        <f t="shared" si="64"/>
        <v>7.045483387545016E-3</v>
      </c>
      <c r="S205" s="12">
        <f t="shared" si="65"/>
        <v>1.3738415503897613E-3</v>
      </c>
      <c r="T205" s="12">
        <f t="shared" si="66"/>
        <v>-1.6387413000511937E-3</v>
      </c>
      <c r="U205" s="12">
        <f t="shared" si="67"/>
        <v>-8.2078957957587855E-4</v>
      </c>
      <c r="AI205" s="15">
        <v>43482</v>
      </c>
      <c r="AJ205" s="99">
        <f>+VLOOKUP(AI205,benchmark!I$7:$J$362,2,0)</f>
        <v>233.88159999999999</v>
      </c>
      <c r="AK205" s="61">
        <f>+VLOOKUP(AI205,benchmark!K$7:$L$362,2,0)</f>
        <v>234.982</v>
      </c>
      <c r="AP205" s="15">
        <v>43482</v>
      </c>
      <c r="AQ205" s="12">
        <f t="shared" si="69"/>
        <v>4.0974175622254805E-3</v>
      </c>
      <c r="AR205" s="12">
        <f t="shared" si="69"/>
        <v>-3.6585158337165691E-4</v>
      </c>
      <c r="AY205" s="15">
        <v>43482</v>
      </c>
      <c r="AZ205" s="12">
        <f t="shared" si="68"/>
        <v>1.4194560748671981E-3</v>
      </c>
    </row>
    <row r="206" spans="4:52" x14ac:dyDescent="0.75">
      <c r="D206" s="15">
        <v>43481</v>
      </c>
      <c r="E206" s="21">
        <f>+VLOOKUP(D206,Prezzi!$I$12:$J$367,2,0)</f>
        <v>4.9340890000000002</v>
      </c>
      <c r="F206" s="21">
        <f>+VLOOKUP(D206,Prezzi!$K$12:$L$367,2,0)/VLOOKUP(D206,Prezzi!$S$12:$T$367,2,0)</f>
        <v>230.52764246202477</v>
      </c>
      <c r="G206" s="1">
        <v>0</v>
      </c>
      <c r="H206" s="21">
        <f>+VLOOKUP(D206,Prezzi!$M$12:$N$367,2,0)/VLOOKUP(D206,Prezzi!$S$12:$T$367,2,0)</f>
        <v>20.449941171305646</v>
      </c>
      <c r="I206" s="1">
        <v>0</v>
      </c>
      <c r="J206" s="21">
        <f>+VLOOKUP(D206,Prezzi!$O$12:$P$367,2,0)/VLOOKUP(D206,Prezzi!$S$12:$T$367,2,0)</f>
        <v>43.312912459390638</v>
      </c>
      <c r="K206" s="1">
        <v>0</v>
      </c>
      <c r="L206" s="21">
        <f>+VLOOKUP(D206,Prezzi!$Q$12:$R$367,2,0)/VLOOKUP(D206,Prezzi!$S$12:$T$367,2,0)</f>
        <v>92.770679603125814</v>
      </c>
      <c r="M206" s="1">
        <v>0</v>
      </c>
      <c r="O206" s="1" t="str">
        <f t="shared" si="63"/>
        <v>20193</v>
      </c>
      <c r="P206" s="35">
        <v>43481</v>
      </c>
      <c r="Q206" s="12">
        <f t="shared" si="62"/>
        <v>-5.3855622041433038E-4</v>
      </c>
      <c r="R206" s="12">
        <f t="shared" si="64"/>
        <v>5.3093895994466541E-3</v>
      </c>
      <c r="S206" s="12">
        <f t="shared" si="65"/>
        <v>2.5379650068548675E-3</v>
      </c>
      <c r="T206" s="12">
        <f t="shared" si="66"/>
        <v>7.0707038633912684E-3</v>
      </c>
      <c r="U206" s="12">
        <f t="shared" si="67"/>
        <v>5.3393645552572422E-3</v>
      </c>
      <c r="AI206" s="15">
        <v>43481</v>
      </c>
      <c r="AJ206" s="99">
        <f>+VLOOKUP(AI206,benchmark!I$7:$J$362,2,0)</f>
        <v>232.9272</v>
      </c>
      <c r="AK206" s="61">
        <f>+VLOOKUP(AI206,benchmark!K$7:$L$362,2,0)</f>
        <v>235.06800000000001</v>
      </c>
      <c r="AP206" s="15">
        <v>43481</v>
      </c>
      <c r="AQ206" s="12">
        <f t="shared" si="69"/>
        <v>1.8107044027213526E-3</v>
      </c>
      <c r="AR206" s="12">
        <f t="shared" si="69"/>
        <v>6.3426117087161948E-4</v>
      </c>
      <c r="AY206" s="15">
        <v>43481</v>
      </c>
      <c r="AZ206" s="12">
        <f t="shared" si="68"/>
        <v>1.1048384636115128E-3</v>
      </c>
    </row>
    <row r="207" spans="4:52" x14ac:dyDescent="0.75">
      <c r="D207" s="15">
        <v>43480</v>
      </c>
      <c r="E207" s="21">
        <f>+VLOOKUP(D207,Prezzi!$I$12:$J$367,2,0)</f>
        <v>4.9367470000000004</v>
      </c>
      <c r="F207" s="21">
        <f>+VLOOKUP(D207,Prezzi!$K$12:$L$367,2,0)/VLOOKUP(D207,Prezzi!$S$12:$T$367,2,0)</f>
        <v>229.30692489495797</v>
      </c>
      <c r="G207" s="1">
        <v>0</v>
      </c>
      <c r="H207" s="21">
        <f>+VLOOKUP(D207,Prezzi!$M$12:$N$367,2,0)/VLOOKUP(D207,Prezzi!$S$12:$T$367,2,0)</f>
        <v>20.398105742296917</v>
      </c>
      <c r="I207" s="1">
        <v>0</v>
      </c>
      <c r="J207" s="21">
        <f>+VLOOKUP(D207,Prezzi!$O$12:$P$367,2,0)/VLOOKUP(D207,Prezzi!$S$12:$T$367,2,0)</f>
        <v>43.007739845938374</v>
      </c>
      <c r="K207" s="1">
        <v>0</v>
      </c>
      <c r="L207" s="21">
        <f>+VLOOKUP(D207,Prezzi!$Q$12:$R$367,2,0)/VLOOKUP(D207,Prezzi!$S$12:$T$367,2,0)</f>
        <v>92.2766631652661</v>
      </c>
      <c r="M207" s="1">
        <v>0</v>
      </c>
      <c r="O207" s="1" t="str">
        <f t="shared" si="63"/>
        <v>20193</v>
      </c>
      <c r="P207" s="35">
        <v>43480</v>
      </c>
      <c r="Q207" s="12">
        <f t="shared" si="62"/>
        <v>-3.6231873447479379E-4</v>
      </c>
      <c r="R207" s="12">
        <f t="shared" si="64"/>
        <v>1.4443470122971504E-2</v>
      </c>
      <c r="S207" s="12">
        <f t="shared" si="65"/>
        <v>3.2919960719098793E-3</v>
      </c>
      <c r="T207" s="12">
        <f t="shared" si="66"/>
        <v>1.7092345825975954E-3</v>
      </c>
      <c r="U207" s="12">
        <f t="shared" si="67"/>
        <v>6.2293041215730318E-3</v>
      </c>
      <c r="AI207" s="15">
        <v>43480</v>
      </c>
      <c r="AJ207" s="99">
        <f>+VLOOKUP(AI207,benchmark!I$7:$J$362,2,0)</f>
        <v>232.50619999999998</v>
      </c>
      <c r="AK207" s="61">
        <f>+VLOOKUP(AI207,benchmark!K$7:$L$362,2,0)</f>
        <v>234.91900000000001</v>
      </c>
      <c r="AP207" s="15">
        <v>43480</v>
      </c>
      <c r="AQ207" s="12">
        <f t="shared" si="69"/>
        <v>8.4897390531899486E-3</v>
      </c>
      <c r="AR207" s="12">
        <f t="shared" si="69"/>
        <v>8.5634676505441654E-4</v>
      </c>
      <c r="AY207" s="15">
        <v>43480</v>
      </c>
      <c r="AZ207" s="12">
        <f t="shared" si="68"/>
        <v>3.9097036803086294E-3</v>
      </c>
    </row>
    <row r="208" spans="4:52" x14ac:dyDescent="0.75">
      <c r="D208" s="15">
        <v>43479</v>
      </c>
      <c r="E208" s="21">
        <f>+VLOOKUP(D208,Prezzi!$I$12:$J$367,2,0)</f>
        <v>4.938536</v>
      </c>
      <c r="F208" s="21">
        <f>+VLOOKUP(D208,Prezzi!$K$12:$L$367,2,0)/VLOOKUP(D208,Prezzi!$S$12:$T$367,2,0)</f>
        <v>226.01874073428095</v>
      </c>
      <c r="G208" s="1">
        <v>0</v>
      </c>
      <c r="H208" s="21">
        <f>+VLOOKUP(D208,Prezzi!$M$12:$N$367,2,0)/VLOOKUP(D208,Prezzi!$S$12:$T$367,2,0)</f>
        <v>20.331065666695736</v>
      </c>
      <c r="I208" s="1">
        <v>0</v>
      </c>
      <c r="J208" s="21">
        <f>+VLOOKUP(D208,Prezzi!$O$12:$P$367,2,0)/VLOOKUP(D208,Prezzi!$S$12:$T$367,2,0)</f>
        <v>42.934292317083809</v>
      </c>
      <c r="K208" s="1">
        <v>0</v>
      </c>
      <c r="L208" s="21">
        <f>+VLOOKUP(D208,Prezzi!$Q$12:$R$367,2,0)/VLOOKUP(D208,Prezzi!$S$12:$T$367,2,0)</f>
        <v>91.703630417720419</v>
      </c>
      <c r="M208" s="1">
        <v>0</v>
      </c>
      <c r="O208" s="1" t="str">
        <f t="shared" si="63"/>
        <v>20193</v>
      </c>
      <c r="P208" s="35">
        <v>43479</v>
      </c>
      <c r="Q208" s="12">
        <f t="shared" si="62"/>
        <v>-1.5995364213118129E-4</v>
      </c>
      <c r="R208" s="12">
        <f t="shared" si="64"/>
        <v>5.7463921556984783E-4</v>
      </c>
      <c r="S208" s="12">
        <f t="shared" si="65"/>
        <v>-9.2485941574259475E-4</v>
      </c>
      <c r="T208" s="12">
        <f t="shared" si="66"/>
        <v>7.4839378310574949E-3</v>
      </c>
      <c r="U208" s="12">
        <f t="shared" si="67"/>
        <v>5.9198359874839245E-3</v>
      </c>
      <c r="AI208" s="15">
        <v>43479</v>
      </c>
      <c r="AJ208" s="99">
        <f>+VLOOKUP(AI208,benchmark!I$7:$J$362,2,0)</f>
        <v>230.5489</v>
      </c>
      <c r="AK208" s="61">
        <f>+VLOOKUP(AI208,benchmark!K$7:$L$362,2,0)</f>
        <v>234.71799999999999</v>
      </c>
      <c r="AP208" s="15">
        <v>43479</v>
      </c>
      <c r="AQ208" s="12">
        <f t="shared" si="69"/>
        <v>-4.9955460876348612E-3</v>
      </c>
      <c r="AR208" s="12">
        <f t="shared" si="69"/>
        <v>1.3352957488108608E-3</v>
      </c>
      <c r="AY208" s="15">
        <v>43479</v>
      </c>
      <c r="AZ208" s="12">
        <f t="shared" si="68"/>
        <v>-1.1970409857674281E-3</v>
      </c>
    </row>
    <row r="209" spans="4:52" x14ac:dyDescent="0.75">
      <c r="D209" s="15">
        <v>43476</v>
      </c>
      <c r="E209" s="21">
        <f>+VLOOKUP(D209,Prezzi!$I$12:$J$367,2,0)</f>
        <v>4.9393260000000003</v>
      </c>
      <c r="F209" s="21">
        <f>+VLOOKUP(D209,Prezzi!$K$12:$L$367,2,0)/VLOOKUP(D209,Prezzi!$S$12:$T$367,2,0)</f>
        <v>225.8888988121044</v>
      </c>
      <c r="G209" s="1">
        <v>0</v>
      </c>
      <c r="H209" s="21">
        <f>+VLOOKUP(D209,Prezzi!$M$12:$N$367,2,0)/VLOOKUP(D209,Prezzi!$S$12:$T$367,2,0)</f>
        <v>20.349877742131277</v>
      </c>
      <c r="I209" s="1">
        <v>0</v>
      </c>
      <c r="J209" s="21">
        <f>+VLOOKUP(D209,Prezzi!$O$12:$P$367,2,0)/VLOOKUP(D209,Prezzi!$S$12:$T$367,2,0)</f>
        <v>42.614174109078299</v>
      </c>
      <c r="K209" s="1">
        <v>0</v>
      </c>
      <c r="L209" s="21">
        <f>+VLOOKUP(D209,Prezzi!$Q$12:$R$367,2,0)/VLOOKUP(D209,Prezzi!$S$12:$T$367,2,0)</f>
        <v>91.162363652128676</v>
      </c>
      <c r="M209" s="1">
        <v>0</v>
      </c>
      <c r="O209" s="1" t="str">
        <f t="shared" si="63"/>
        <v>20192</v>
      </c>
      <c r="P209" s="35">
        <v>43476</v>
      </c>
      <c r="Q209" s="12">
        <f t="shared" si="62"/>
        <v>4.7426620750039891E-4</v>
      </c>
      <c r="R209" s="12">
        <f t="shared" si="64"/>
        <v>2.6649510573326983E-5</v>
      </c>
      <c r="S209" s="12">
        <f t="shared" si="65"/>
        <v>-2.2701472577764661E-3</v>
      </c>
      <c r="T209" s="12">
        <f t="shared" si="66"/>
        <v>1.8984336113658368E-3</v>
      </c>
      <c r="U209" s="12">
        <f t="shared" si="67"/>
        <v>7.9462734422906551E-4</v>
      </c>
      <c r="AI209" s="15">
        <v>43476</v>
      </c>
      <c r="AJ209" s="99">
        <f>+VLOOKUP(AI209,benchmark!I$7:$J$362,2,0)</f>
        <v>231.70639999999997</v>
      </c>
      <c r="AK209" s="61">
        <f>+VLOOKUP(AI209,benchmark!K$7:$L$362,2,0)</f>
        <v>234.405</v>
      </c>
      <c r="AP209" s="15">
        <v>43476</v>
      </c>
      <c r="AQ209" s="12">
        <f t="shared" si="69"/>
        <v>5.2655612440721811E-5</v>
      </c>
      <c r="AR209" s="12">
        <f t="shared" si="69"/>
        <v>1.089045483664286E-3</v>
      </c>
      <c r="AY209" s="15">
        <v>43476</v>
      </c>
      <c r="AZ209" s="12">
        <f t="shared" si="68"/>
        <v>6.7448953517486028E-4</v>
      </c>
    </row>
    <row r="210" spans="4:52" x14ac:dyDescent="0.75">
      <c r="D210" s="15">
        <v>43475</v>
      </c>
      <c r="E210" s="21">
        <f>+VLOOKUP(D210,Prezzi!$I$12:$J$367,2,0)</f>
        <v>4.9369839999999998</v>
      </c>
      <c r="F210" s="21">
        <f>+VLOOKUP(D210,Prezzi!$K$12:$L$367,2,0)/VLOOKUP(D210,Prezzi!$S$12:$T$367,2,0)</f>
        <v>225.88287906371912</v>
      </c>
      <c r="G210" s="1">
        <v>0</v>
      </c>
      <c r="H210" s="21">
        <f>+VLOOKUP(D210,Prezzi!$M$12:$N$367,2,0)/VLOOKUP(D210,Prezzi!$S$12:$T$367,2,0)</f>
        <v>20.396127438231471</v>
      </c>
      <c r="I210" s="1">
        <v>0</v>
      </c>
      <c r="J210" s="21">
        <f>+VLOOKUP(D210,Prezzi!$O$12:$P$367,2,0)/VLOOKUP(D210,Prezzi!$S$12:$T$367,2,0)</f>
        <v>42.533350671868234</v>
      </c>
      <c r="K210" s="1">
        <v>0</v>
      </c>
      <c r="L210" s="21">
        <f>+VLOOKUP(D210,Prezzi!$Q$12:$R$367,2,0)/VLOOKUP(D210,Prezzi!$S$12:$T$367,2,0)</f>
        <v>91.089952319029038</v>
      </c>
      <c r="M210" s="1">
        <v>0</v>
      </c>
      <c r="O210" s="1" t="str">
        <f t="shared" si="63"/>
        <v>20192</v>
      </c>
      <c r="P210" s="35">
        <v>43475</v>
      </c>
      <c r="Q210" s="12">
        <f t="shared" si="62"/>
        <v>-2.0255076226588025E-5</v>
      </c>
      <c r="R210" s="12">
        <f t="shared" si="64"/>
        <v>-2.4508526942356302E-3</v>
      </c>
      <c r="S210" s="12">
        <f t="shared" si="65"/>
        <v>-9.6641558309881303E-4</v>
      </c>
      <c r="T210" s="12">
        <f t="shared" si="66"/>
        <v>-1.0979107007691065E-2</v>
      </c>
      <c r="U210" s="12">
        <f t="shared" si="67"/>
        <v>-9.0403948705140933E-3</v>
      </c>
      <c r="AI210" s="15">
        <v>43475</v>
      </c>
      <c r="AJ210" s="99">
        <f>+VLOOKUP(AI210,benchmark!I$7:$J$362,2,0)</f>
        <v>231.6942</v>
      </c>
      <c r="AK210" s="61">
        <f>+VLOOKUP(AI210,benchmark!K$7:$L$362,2,0)</f>
        <v>234.15</v>
      </c>
      <c r="AP210" s="15">
        <v>43475</v>
      </c>
      <c r="AQ210" s="12">
        <f t="shared" si="69"/>
        <v>3.6621372950607078E-3</v>
      </c>
      <c r="AR210" s="12">
        <f t="shared" si="69"/>
        <v>1.133035466147847E-3</v>
      </c>
      <c r="AY210" s="15">
        <v>43475</v>
      </c>
      <c r="AZ210" s="12">
        <f t="shared" si="68"/>
        <v>2.1446761977129913E-3</v>
      </c>
    </row>
    <row r="211" spans="4:52" x14ac:dyDescent="0.75">
      <c r="D211" s="15">
        <v>43474</v>
      </c>
      <c r="E211" s="21">
        <f>+VLOOKUP(D211,Prezzi!$I$12:$J$367,2,0)</f>
        <v>4.9370839999999996</v>
      </c>
      <c r="F211" s="21">
        <f>+VLOOKUP(D211,Prezzi!$K$12:$L$367,2,0)/VLOOKUP(D211,Prezzi!$S$12:$T$367,2,0)</f>
        <v>226.43716368398083</v>
      </c>
      <c r="G211" s="1">
        <v>0</v>
      </c>
      <c r="H211" s="21">
        <f>+VLOOKUP(D211,Prezzi!$M$12:$N$367,2,0)/VLOOKUP(D211,Prezzi!$S$12:$T$367,2,0)</f>
        <v>20.415848101265823</v>
      </c>
      <c r="I211" s="1">
        <v>0</v>
      </c>
      <c r="J211" s="21">
        <f>+VLOOKUP(D211,Prezzi!$O$12:$P$367,2,0)/VLOOKUP(D211,Prezzi!$S$12:$T$367,2,0)</f>
        <v>43.002901789611528</v>
      </c>
      <c r="K211" s="1">
        <v>0</v>
      </c>
      <c r="L211" s="21">
        <f>+VLOOKUP(D211,Prezzi!$Q$12:$R$367,2,0)/VLOOKUP(D211,Prezzi!$S$12:$T$367,2,0)</f>
        <v>91.917175032736793</v>
      </c>
      <c r="M211" s="1">
        <v>0</v>
      </c>
      <c r="O211" s="1" t="str">
        <f t="shared" si="63"/>
        <v>20192</v>
      </c>
      <c r="P211" s="35">
        <v>43474</v>
      </c>
      <c r="Q211" s="12">
        <f t="shared" si="62"/>
        <v>1.0375875078009042E-3</v>
      </c>
      <c r="R211" s="12">
        <f t="shared" si="64"/>
        <v>3.0871823494935499E-3</v>
      </c>
      <c r="S211" s="12">
        <f t="shared" si="65"/>
        <v>6.5523321062556112E-3</v>
      </c>
      <c r="T211" s="12">
        <f t="shared" si="66"/>
        <v>3.692742691510971E-3</v>
      </c>
      <c r="U211" s="12">
        <f t="shared" si="67"/>
        <v>3.3467198894961744E-3</v>
      </c>
      <c r="AI211" s="15">
        <v>43474</v>
      </c>
      <c r="AJ211" s="99">
        <f>+VLOOKUP(AI211,benchmark!I$7:$J$362,2,0)</f>
        <v>230.84879999999998</v>
      </c>
      <c r="AK211" s="61">
        <f>+VLOOKUP(AI211,benchmark!K$7:$L$362,2,0)</f>
        <v>233.88499999999999</v>
      </c>
      <c r="AP211" s="15">
        <v>43474</v>
      </c>
      <c r="AQ211" s="12">
        <f t="shared" si="69"/>
        <v>9.3321627322109357E-3</v>
      </c>
      <c r="AR211" s="12">
        <f t="shared" si="69"/>
        <v>1.4643984191347048E-3</v>
      </c>
      <c r="AY211" s="15">
        <v>43474</v>
      </c>
      <c r="AZ211" s="12">
        <f t="shared" si="68"/>
        <v>4.6115041443651975E-3</v>
      </c>
    </row>
    <row r="212" spans="4:52" x14ac:dyDescent="0.75">
      <c r="D212" s="15">
        <v>43473</v>
      </c>
      <c r="E212" s="21">
        <f>+VLOOKUP(D212,Prezzi!$I$12:$J$367,2,0)</f>
        <v>4.9319639999999998</v>
      </c>
      <c r="F212" s="21">
        <f>+VLOOKUP(D212,Prezzi!$K$12:$L$367,2,0)/VLOOKUP(D212,Prezzi!$S$12:$T$367,2,0)</f>
        <v>225.73918881118882</v>
      </c>
      <c r="G212" s="1">
        <v>0</v>
      </c>
      <c r="H212" s="21">
        <f>+VLOOKUP(D212,Prezzi!$M$12:$N$367,2,0)/VLOOKUP(D212,Prezzi!$S$12:$T$367,2,0)</f>
        <v>20.282513986013985</v>
      </c>
      <c r="I212" s="1">
        <v>0</v>
      </c>
      <c r="J212" s="21">
        <f>+VLOOKUP(D212,Prezzi!$O$12:$P$367,2,0)/VLOOKUP(D212,Prezzi!$S$12:$T$367,2,0)</f>
        <v>42.844395979020987</v>
      </c>
      <c r="K212" s="1">
        <v>0</v>
      </c>
      <c r="L212" s="21">
        <f>+VLOOKUP(D212,Prezzi!$Q$12:$R$367,2,0)/VLOOKUP(D212,Prezzi!$S$12:$T$367,2,0)</f>
        <v>91.610068181818193</v>
      </c>
      <c r="M212" s="1">
        <v>0</v>
      </c>
      <c r="O212" s="1" t="str">
        <f t="shared" si="63"/>
        <v>20192</v>
      </c>
      <c r="P212" s="35">
        <v>43473</v>
      </c>
      <c r="Q212" s="12">
        <f t="shared" si="62"/>
        <v>6.8332111526321594E-5</v>
      </c>
      <c r="R212" s="12">
        <f t="shared" si="64"/>
        <v>1.0105599165541849E-2</v>
      </c>
      <c r="S212" s="12">
        <f t="shared" si="65"/>
        <v>4.1817745493473368E-3</v>
      </c>
      <c r="T212" s="12">
        <f t="shared" si="66"/>
        <v>-2.4614077033360176E-3</v>
      </c>
      <c r="U212" s="12">
        <f t="shared" si="67"/>
        <v>-7.0758534517993059E-4</v>
      </c>
      <c r="AI212" s="15">
        <v>43473</v>
      </c>
      <c r="AJ212" s="99">
        <f>+VLOOKUP(AI212,benchmark!I$7:$J$362,2,0)</f>
        <v>228.71439999999998</v>
      </c>
      <c r="AK212" s="61">
        <f>+VLOOKUP(AI212,benchmark!K$7:$L$362,2,0)</f>
        <v>233.54300000000001</v>
      </c>
      <c r="AP212" s="15">
        <v>43473</v>
      </c>
      <c r="AQ212" s="12">
        <f t="shared" si="69"/>
        <v>7.0967892499735896E-3</v>
      </c>
      <c r="AR212" s="12">
        <f t="shared" si="69"/>
        <v>-1.2188446208324377E-3</v>
      </c>
      <c r="AY212" s="15">
        <v>43473</v>
      </c>
      <c r="AZ212" s="12">
        <f t="shared" si="68"/>
        <v>2.1074089274899736E-3</v>
      </c>
    </row>
    <row r="213" spans="4:52" x14ac:dyDescent="0.75">
      <c r="D213" s="15">
        <v>43472</v>
      </c>
      <c r="E213" s="21">
        <f>+VLOOKUP(D213,Prezzi!$I$12:$J$367,2,0)</f>
        <v>4.9316269999999998</v>
      </c>
      <c r="F213" s="21">
        <f>+VLOOKUP(D213,Prezzi!$K$12:$L$367,2,0)/VLOOKUP(D213,Prezzi!$S$12:$T$367,2,0)</f>
        <v>223.46944692005241</v>
      </c>
      <c r="G213" s="1">
        <v>0</v>
      </c>
      <c r="H213" s="21">
        <f>+VLOOKUP(D213,Prezzi!$M$12:$N$367,2,0)/VLOOKUP(D213,Prezzi!$S$12:$T$367,2,0)</f>
        <v>20.197874180865007</v>
      </c>
      <c r="I213" s="1">
        <v>0</v>
      </c>
      <c r="J213" s="21">
        <f>+VLOOKUP(D213,Prezzi!$O$12:$P$367,2,0)/VLOOKUP(D213,Prezzi!$S$12:$T$367,2,0)</f>
        <v>42.949983398864127</v>
      </c>
      <c r="K213" s="1">
        <v>0</v>
      </c>
      <c r="L213" s="21">
        <f>+VLOOKUP(D213,Prezzi!$Q$12:$R$367,2,0)/VLOOKUP(D213,Prezzi!$S$12:$T$367,2,0)</f>
        <v>91.674913062472683</v>
      </c>
      <c r="M213" s="1">
        <v>0</v>
      </c>
      <c r="O213" s="1" t="str">
        <f t="shared" si="63"/>
        <v>20192</v>
      </c>
      <c r="P213" s="35">
        <v>43472</v>
      </c>
      <c r="Q213" s="12">
        <f t="shared" si="62"/>
        <v>2.5086146302252918E-4</v>
      </c>
      <c r="R213" s="12">
        <f t="shared" si="64"/>
        <v>3.3037758976525128E-3</v>
      </c>
      <c r="S213" s="12">
        <f t="shared" si="65"/>
        <v>-3.0712250931804051E-3</v>
      </c>
      <c r="T213" s="12">
        <f t="shared" si="66"/>
        <v>-5.3530267324169902E-4</v>
      </c>
      <c r="U213" s="12">
        <f t="shared" si="67"/>
        <v>2.3529635123136386E-3</v>
      </c>
      <c r="AI213" s="15">
        <v>43472</v>
      </c>
      <c r="AJ213" s="99">
        <f>+VLOOKUP(AI213,benchmark!I$7:$J$362,2,0)</f>
        <v>227.1027</v>
      </c>
      <c r="AK213" s="61">
        <f>+VLOOKUP(AI213,benchmark!K$7:$L$362,2,0)</f>
        <v>233.828</v>
      </c>
      <c r="AP213" s="15">
        <v>43472</v>
      </c>
      <c r="AQ213" s="12">
        <f t="shared" si="69"/>
        <v>8.803269709742656E-3</v>
      </c>
      <c r="AR213" s="12">
        <f t="shared" si="69"/>
        <v>-1.5926490493208822E-3</v>
      </c>
      <c r="AY213" s="15">
        <v>43472</v>
      </c>
      <c r="AZ213" s="12">
        <f t="shared" si="68"/>
        <v>2.5657184543045335E-3</v>
      </c>
    </row>
    <row r="214" spans="4:52" x14ac:dyDescent="0.75">
      <c r="D214" s="15">
        <v>43469</v>
      </c>
      <c r="E214" s="21">
        <f>+VLOOKUP(D214,Prezzi!$I$12:$J$367,2,0)</f>
        <v>4.9303900000000001</v>
      </c>
      <c r="F214" s="21">
        <f>+VLOOKUP(D214,Prezzi!$K$12:$L$367,2,0)/VLOOKUP(D214,Prezzi!$S$12:$T$367,2,0)</f>
        <v>222.73237218275892</v>
      </c>
      <c r="G214" s="126">
        <f>0.32/VLOOKUP(D214,Prezzi!$S$12:$T$367,2,0)</f>
        <v>0.28062790493729717</v>
      </c>
      <c r="H214" s="21">
        <f>+VLOOKUP(D214,Prezzi!$M$12:$N$367,2,0)/VLOOKUP(D214,Prezzi!$S$12:$T$367,2,0)</f>
        <v>20.260001753924403</v>
      </c>
      <c r="I214" s="1">
        <v>0</v>
      </c>
      <c r="J214" s="21">
        <f>+VLOOKUP(D214,Prezzi!$O$12:$P$367,2,0)/VLOOKUP(D214,Prezzi!$S$12:$T$367,2,0)</f>
        <v>42.972980794527757</v>
      </c>
      <c r="K214" s="1">
        <v>0</v>
      </c>
      <c r="L214" s="21">
        <f>+VLOOKUP(D214,Prezzi!$Q$12:$R$367,2,0)/VLOOKUP(D214,Prezzi!$S$12:$T$367,2,0)</f>
        <v>91.459458914320777</v>
      </c>
      <c r="M214" s="1">
        <v>0</v>
      </c>
      <c r="O214" s="1" t="str">
        <f t="shared" si="63"/>
        <v>20191</v>
      </c>
      <c r="P214" s="35">
        <v>43469</v>
      </c>
      <c r="Q214" s="12">
        <f t="shared" si="62"/>
        <v>-1.4173413131129795E-3</v>
      </c>
      <c r="R214" s="12">
        <f t="shared" si="64"/>
        <v>3.0174303272890873E-2</v>
      </c>
      <c r="S214" s="12">
        <f t="shared" si="65"/>
        <v>1.4720326179144896E-2</v>
      </c>
      <c r="T214" s="12">
        <f t="shared" si="66"/>
        <v>-1.1795849883740633E-2</v>
      </c>
      <c r="U214" s="12">
        <f t="shared" si="67"/>
        <v>9.242312324337159E-4</v>
      </c>
      <c r="AI214" s="15">
        <v>43469</v>
      </c>
      <c r="AJ214" s="99">
        <f>+VLOOKUP(AI214,benchmark!I$7:$J$362,2,0)</f>
        <v>225.12089999999998</v>
      </c>
      <c r="AK214" s="61">
        <f>+VLOOKUP(AI214,benchmark!K$7:$L$362,2,0)</f>
        <v>234.20099999999999</v>
      </c>
      <c r="AP214" s="15">
        <v>43469</v>
      </c>
      <c r="AQ214" s="12">
        <f t="shared" si="69"/>
        <v>2.6183716783178435E-2</v>
      </c>
      <c r="AR214" s="12">
        <f t="shared" si="69"/>
        <v>-2.3811552223547139E-3</v>
      </c>
      <c r="AY214" s="15">
        <v>43469</v>
      </c>
      <c r="AZ214" s="12">
        <f t="shared" si="68"/>
        <v>9.0447935798585472E-3</v>
      </c>
    </row>
    <row r="215" spans="4:52" x14ac:dyDescent="0.75">
      <c r="D215" s="15">
        <v>43468</v>
      </c>
      <c r="E215" s="21">
        <f>+VLOOKUP(D215,Prezzi!$I$12:$J$367,2,0)</f>
        <v>4.9373829999999996</v>
      </c>
      <c r="F215" s="21">
        <f>+VLOOKUP(D215,Prezzi!$K$12:$L$367,2,0)/VLOOKUP(D215,Prezzi!$S$12:$T$367,2,0)</f>
        <v>216.38425008812126</v>
      </c>
      <c r="G215" s="1">
        <v>0</v>
      </c>
      <c r="H215" s="21">
        <f>+VLOOKUP(D215,Prezzi!$M$12:$N$367,2,0)/VLOOKUP(D215,Prezzi!$S$12:$T$367,2,0)</f>
        <v>19.963952238279873</v>
      </c>
      <c r="I215" s="1">
        <v>0</v>
      </c>
      <c r="J215" s="21">
        <f>+VLOOKUP(D215,Prezzi!$O$12:$P$367,2,0)/VLOOKUP(D215,Prezzi!$S$12:$T$367,2,0)</f>
        <v>43.482885089883681</v>
      </c>
      <c r="K215" s="1">
        <v>0</v>
      </c>
      <c r="L215" s="21">
        <f>+VLOOKUP(D215,Prezzi!$Q$12:$R$367,2,0)/VLOOKUP(D215,Prezzi!$S$12:$T$367,2,0)</f>
        <v>91.374968276348255</v>
      </c>
      <c r="M215" s="1">
        <v>0</v>
      </c>
      <c r="O215" s="1" t="str">
        <f t="shared" si="63"/>
        <v>20191</v>
      </c>
      <c r="P215" s="35">
        <v>43468</v>
      </c>
      <c r="Q215" s="12">
        <f t="shared" si="62"/>
        <v>-5.8232523131985364E-4</v>
      </c>
      <c r="R215" s="12">
        <f t="shared" si="64"/>
        <v>-2.0490292798150116E-2</v>
      </c>
      <c r="S215" s="12">
        <f t="shared" si="65"/>
        <v>3.9011384995909443E-3</v>
      </c>
      <c r="T215" s="12">
        <f t="shared" si="66"/>
        <v>1.280885670683306E-2</v>
      </c>
      <c r="U215" s="12">
        <f t="shared" si="67"/>
        <v>8.1801004367208791E-3</v>
      </c>
      <c r="AI215" s="15">
        <v>43468</v>
      </c>
      <c r="AJ215" s="99">
        <f>+VLOOKUP(AI215,benchmark!I$7:$J$362,2,0)</f>
        <v>219.3768</v>
      </c>
      <c r="AK215" s="61">
        <f>+VLOOKUP(AI215,benchmark!K$7:$L$362,2,0)</f>
        <v>234.76</v>
      </c>
      <c r="AP215" s="15">
        <v>43468</v>
      </c>
      <c r="AQ215" s="12">
        <f t="shared" si="69"/>
        <v>-1.3765584061773306E-2</v>
      </c>
      <c r="AR215" s="12">
        <f t="shared" si="69"/>
        <v>-1.9259139588373442E-3</v>
      </c>
      <c r="AY215" s="15">
        <v>43468</v>
      </c>
      <c r="AZ215" s="12">
        <f t="shared" si="68"/>
        <v>-6.6617820000117291E-3</v>
      </c>
    </row>
    <row r="216" spans="4:52" x14ac:dyDescent="0.75">
      <c r="D216" s="15">
        <v>43467</v>
      </c>
      <c r="E216" s="21">
        <f>+VLOOKUP(D216,Prezzi!$I$12:$J$367,2,0)</f>
        <v>4.9402590000000002</v>
      </c>
      <c r="F216" s="21">
        <f>+VLOOKUP(D216,Prezzi!$K$12:$L$367,2,0)/VLOOKUP(D216,Prezzi!$S$12:$T$367,2,0)</f>
        <v>220.86376327103625</v>
      </c>
      <c r="G216" s="1">
        <v>0</v>
      </c>
      <c r="H216" s="21">
        <f>+VLOOKUP(D216,Prezzi!$M$12:$N$367,2,0)/VLOOKUP(D216,Prezzi!$S$12:$T$367,2,0)</f>
        <v>19.886221812757743</v>
      </c>
      <c r="I216" s="1">
        <v>0</v>
      </c>
      <c r="J216" s="21">
        <f>+VLOOKUP(D216,Prezzi!$O$12:$P$367,2,0)/VLOOKUP(D216,Prezzi!$S$12:$T$367,2,0)</f>
        <v>42.929470913398269</v>
      </c>
      <c r="K216" s="1">
        <v>0</v>
      </c>
      <c r="L216" s="21">
        <f>+VLOOKUP(D216,Prezzi!$Q$12:$R$367,2,0)/VLOOKUP(D216,Prezzi!$S$12:$T$367,2,0)</f>
        <v>90.630560673861552</v>
      </c>
      <c r="M216" s="1">
        <v>0</v>
      </c>
      <c r="O216" s="1" t="str">
        <f t="shared" si="63"/>
        <v>20191</v>
      </c>
      <c r="P216" s="35">
        <v>43467</v>
      </c>
      <c r="Q216" s="12">
        <f t="shared" si="62"/>
        <v>-2.576502221864444E-3</v>
      </c>
      <c r="R216" s="12">
        <f t="shared" si="64"/>
        <v>5.9062636380192513E-3</v>
      </c>
      <c r="S216" s="12">
        <f t="shared" si="65"/>
        <v>-1.9574840734302005E-3</v>
      </c>
      <c r="T216" s="12">
        <f t="shared" si="66"/>
        <v>6.572894826429026E-3</v>
      </c>
      <c r="U216" s="12">
        <f t="shared" si="67"/>
        <v>5.7707821235167475E-3</v>
      </c>
      <c r="AI216" s="15">
        <v>43467</v>
      </c>
      <c r="AJ216" s="99">
        <f>+VLOOKUP(AI216,benchmark!I$7:$J$362,2,0)</f>
        <v>222.43879999999999</v>
      </c>
      <c r="AK216" s="61">
        <f>+VLOOKUP(AI216,benchmark!K$7:$L$362,2,0)</f>
        <v>235.21299999999999</v>
      </c>
      <c r="AP216" s="15">
        <v>43467</v>
      </c>
      <c r="AQ216" s="12">
        <f t="shared" si="69"/>
        <v>-2.5112242756463177E-3</v>
      </c>
      <c r="AR216" s="12">
        <f t="shared" si="69"/>
        <v>2.9164836757926693E-3</v>
      </c>
      <c r="AY216" s="15">
        <v>43467</v>
      </c>
      <c r="AZ216" s="12">
        <f t="shared" si="68"/>
        <v>7.4540049521707461E-4</v>
      </c>
    </row>
    <row r="217" spans="4:52" x14ac:dyDescent="0.75">
      <c r="D217" s="15">
        <v>43465</v>
      </c>
      <c r="E217" s="21">
        <f>+VLOOKUP(D217,Prezzi!$I$12:$J$367,2,0)</f>
        <v>4.953004</v>
      </c>
      <c r="F217" s="21">
        <f>+VLOOKUP(D217,Prezzi!$K$12:$L$367,2,0)/VLOOKUP(D217,Prezzi!$S$12:$T$367,2,0)</f>
        <v>219.56312838427945</v>
      </c>
      <c r="G217" s="1">
        <v>0</v>
      </c>
      <c r="H217" s="21">
        <f>+VLOOKUP(D217,Prezzi!$M$12:$N$367,2,0)/VLOOKUP(D217,Prezzi!$S$12:$T$367,2,0)</f>
        <v>19.925186899563318</v>
      </c>
      <c r="I217" s="1">
        <v>0</v>
      </c>
      <c r="J217" s="21">
        <f>+VLOOKUP(D217,Prezzi!$O$12:$P$367,2,0)/VLOOKUP(D217,Prezzi!$S$12:$T$367,2,0)</f>
        <v>42.648225327510914</v>
      </c>
      <c r="K217" s="1">
        <v>0</v>
      </c>
      <c r="L217" s="21">
        <f>+VLOOKUP(D217,Prezzi!$Q$12:$R$367,2,0)/VLOOKUP(D217,Prezzi!$S$12:$T$367,2,0)</f>
        <v>90.109057641921396</v>
      </c>
      <c r="M217" s="1">
        <v>0</v>
      </c>
      <c r="O217" s="1" t="str">
        <f t="shared" si="63"/>
        <v>201853</v>
      </c>
      <c r="P217" s="35">
        <v>43465</v>
      </c>
      <c r="Q217" s="12">
        <f t="shared" ref="Q217:Q280" si="70">+LN(E217/E218)</f>
        <v>2.3791636206705489E-3</v>
      </c>
      <c r="R217" s="12">
        <f t="shared" si="64"/>
        <v>8.9288588409000471E-3</v>
      </c>
      <c r="S217" s="12">
        <f t="shared" si="65"/>
        <v>4.1894568371552594E-3</v>
      </c>
      <c r="T217" s="12">
        <f t="shared" si="66"/>
        <v>-1.3652719038952861E-4</v>
      </c>
      <c r="U217" s="12">
        <f t="shared" si="67"/>
        <v>-5.528697445778684E-5</v>
      </c>
      <c r="AI217" s="15">
        <v>43465</v>
      </c>
      <c r="AJ217" s="99">
        <f>+VLOOKUP(AI217,benchmark!I$7:$J$362,2,0)</f>
        <v>222.99879999999999</v>
      </c>
      <c r="AK217" s="61">
        <f>+VLOOKUP(AI217,benchmark!K$7:$L$362,2,0)</f>
        <v>234.529</v>
      </c>
      <c r="AP217" s="15">
        <v>43465</v>
      </c>
      <c r="AQ217" s="12">
        <f t="shared" si="69"/>
        <v>6.6002637938833431E-3</v>
      </c>
      <c r="AR217" s="12">
        <f t="shared" si="69"/>
        <v>-8.5276573246195753E-6</v>
      </c>
      <c r="AY217" s="15">
        <v>43465</v>
      </c>
      <c r="AZ217" s="12">
        <f t="shared" si="68"/>
        <v>2.6349889231585657E-3</v>
      </c>
    </row>
    <row r="218" spans="4:52" x14ac:dyDescent="0.75">
      <c r="D218" s="15">
        <v>43462</v>
      </c>
      <c r="E218" s="21">
        <f>+VLOOKUP(D218,Prezzi!$I$12:$J$367,2,0)</f>
        <v>4.9412339999999997</v>
      </c>
      <c r="F218" s="21">
        <f>+VLOOKUP(D218,Prezzi!$K$12:$L$367,2,0)/VLOOKUP(D218,Prezzi!$S$12:$T$367,2,0)</f>
        <v>217.61140649554741</v>
      </c>
      <c r="G218" s="1">
        <v>0</v>
      </c>
      <c r="H218" s="21">
        <f>+VLOOKUP(D218,Prezzi!$M$12:$N$367,2,0)/VLOOKUP(D218,Prezzi!$S$12:$T$367,2,0)</f>
        <v>19.841885804085909</v>
      </c>
      <c r="I218" s="1">
        <v>0</v>
      </c>
      <c r="J218" s="21">
        <f>+VLOOKUP(D218,Prezzi!$O$12:$P$367,2,0)/VLOOKUP(D218,Prezzi!$S$12:$T$367,2,0)</f>
        <v>42.654048367382572</v>
      </c>
      <c r="K218" s="1">
        <v>0</v>
      </c>
      <c r="L218" s="21">
        <f>+VLOOKUP(D218,Prezzi!$Q$12:$R$367,2,0)/VLOOKUP(D218,Prezzi!$S$12:$T$367,2,0)</f>
        <v>90.114039636808101</v>
      </c>
      <c r="M218" s="1">
        <v>0</v>
      </c>
      <c r="O218" s="1" t="str">
        <f t="shared" ref="O218:O281" si="71">+YEAR( P218) &amp; WEEKNUM(P218,2)</f>
        <v>201852</v>
      </c>
      <c r="P218" s="35">
        <v>43462</v>
      </c>
      <c r="Q218" s="12">
        <f t="shared" si="70"/>
        <v>1.4399480461406208E-3</v>
      </c>
      <c r="R218" s="12">
        <f t="shared" ref="R218:R281" si="72">+LN((F218+G218)/F219)</f>
        <v>-9.1151841618313939E-3</v>
      </c>
      <c r="S218" s="12">
        <f t="shared" ref="S218:S281" si="73">+LN((H218+I218)/H219)</f>
        <v>1.249943203661202E-2</v>
      </c>
      <c r="T218" s="12">
        <f t="shared" ref="T218:T281" si="74">+LN((J218+K218)/J219)</f>
        <v>-4.3683157960038507E-3</v>
      </c>
      <c r="U218" s="12">
        <f t="shared" ref="U218:U281" si="75">+LN((L218+M218)/L219)</f>
        <v>-6.0106703425131013E-3</v>
      </c>
      <c r="AI218" s="15">
        <v>43462</v>
      </c>
      <c r="AJ218" s="99">
        <f>+VLOOKUP(AI218,benchmark!I$7:$J$362,2,0)</f>
        <v>221.53659999999999</v>
      </c>
      <c r="AK218" s="61">
        <f>+VLOOKUP(AI218,benchmark!K$7:$L$362,2,0)</f>
        <v>234.53100000000001</v>
      </c>
      <c r="AP218" s="15">
        <v>43462</v>
      </c>
      <c r="AQ218" s="12">
        <f t="shared" si="69"/>
        <v>5.4042328013512719E-3</v>
      </c>
      <c r="AR218" s="12">
        <f t="shared" si="69"/>
        <v>-8.7332151864216723E-4</v>
      </c>
      <c r="AY218" s="15">
        <v>43462</v>
      </c>
      <c r="AZ218" s="12">
        <f t="shared" ref="AZ218:AZ281" si="76">+SUMPRODUCT($AV$4:$AW$4,AQ218:AR218)</f>
        <v>1.6377002093552083E-3</v>
      </c>
    </row>
    <row r="219" spans="4:52" x14ac:dyDescent="0.75">
      <c r="D219" s="15">
        <v>43461</v>
      </c>
      <c r="E219" s="21">
        <f>+VLOOKUP(D219,Prezzi!$I$12:$J$367,2,0)</f>
        <v>4.9341239999999997</v>
      </c>
      <c r="F219" s="21">
        <f>+VLOOKUP(D219,Prezzi!$K$12:$L$367,2,0)/VLOOKUP(D219,Prezzi!$S$12:$T$367,2,0)</f>
        <v>219.60404236617737</v>
      </c>
      <c r="G219" s="1">
        <v>0</v>
      </c>
      <c r="H219" s="21">
        <f>+VLOOKUP(D219,Prezzi!$M$12:$N$367,2,0)/VLOOKUP(D219,Prezzi!$S$12:$T$367,2,0)</f>
        <v>19.595417069526238</v>
      </c>
      <c r="I219" s="1">
        <v>0</v>
      </c>
      <c r="J219" s="21">
        <f>+VLOOKUP(D219,Prezzi!$O$12:$P$367,2,0)/VLOOKUP(D219,Prezzi!$S$12:$T$367,2,0)</f>
        <v>42.840782280038681</v>
      </c>
      <c r="K219" s="1">
        <v>0</v>
      </c>
      <c r="L219" s="21">
        <f>+VLOOKUP(D219,Prezzi!$Q$12:$R$367,2,0)/VLOOKUP(D219,Prezzi!$S$12:$T$367,2,0)</f>
        <v>90.657316515777453</v>
      </c>
      <c r="M219" s="1">
        <v>0</v>
      </c>
      <c r="O219" s="1" t="str">
        <f t="shared" si="71"/>
        <v>201852</v>
      </c>
      <c r="P219" s="35">
        <v>43461</v>
      </c>
      <c r="Q219" s="12">
        <f t="shared" si="70"/>
        <v>9.1608353350351799E-4</v>
      </c>
      <c r="R219" s="12">
        <f t="shared" si="72"/>
        <v>1.1336445332871214E-2</v>
      </c>
      <c r="S219" s="12">
        <f t="shared" si="73"/>
        <v>-1.3799398018761459E-2</v>
      </c>
      <c r="T219" s="12">
        <f t="shared" si="74"/>
        <v>8.975678310660002E-3</v>
      </c>
      <c r="U219" s="12">
        <f t="shared" si="75"/>
        <v>3.2006466436462306E-3</v>
      </c>
      <c r="AI219" s="15">
        <v>43461</v>
      </c>
      <c r="AJ219" s="99">
        <f>+VLOOKUP(AI219,benchmark!I$7:$J$362,2,0)</f>
        <v>220.3458</v>
      </c>
      <c r="AK219" s="61">
        <f>+VLOOKUP(AI219,benchmark!K$7:$L$362,2,0)</f>
        <v>234.73599999999999</v>
      </c>
      <c r="AP219" s="15">
        <v>43461</v>
      </c>
      <c r="AQ219" s="12">
        <f t="shared" si="69"/>
        <v>6.1337199347040183E-3</v>
      </c>
      <c r="AR219" s="12">
        <f t="shared" si="69"/>
        <v>1.8010020741399124E-3</v>
      </c>
      <c r="AY219" s="15">
        <v>43461</v>
      </c>
      <c r="AZ219" s="12">
        <f t="shared" si="76"/>
        <v>3.534089218365555E-3</v>
      </c>
    </row>
    <row r="220" spans="4:52" x14ac:dyDescent="0.75">
      <c r="D220" s="15">
        <v>43460</v>
      </c>
      <c r="E220" s="21">
        <f>+VLOOKUP(D220,Prezzi!$I$12:$J$367,2,0)</f>
        <v>4.9296059999999997</v>
      </c>
      <c r="F220" s="21">
        <f>+VLOOKUP(D220,Prezzi!$K$12:$L$367,2,0)/VLOOKUP(D220,Prezzi!$S$12:$T$367,2,0)</f>
        <v>217.12857117812061</v>
      </c>
      <c r="G220" s="1">
        <v>0</v>
      </c>
      <c r="H220" s="21">
        <f>+VLOOKUP(D220,Prezzi!$M$12:$N$367,2,0)/VLOOKUP(D220,Prezzi!$S$12:$T$367,2,0)</f>
        <v>19.867696353436187</v>
      </c>
      <c r="I220" s="1">
        <v>0</v>
      </c>
      <c r="J220" s="21">
        <f>+VLOOKUP(D220,Prezzi!$O$12:$P$367,2,0)/VLOOKUP(D220,Prezzi!$S$12:$T$367,2,0)</f>
        <v>42.457977734922864</v>
      </c>
      <c r="K220" s="1">
        <v>0</v>
      </c>
      <c r="L220" s="21">
        <f>+VLOOKUP(D220,Prezzi!$Q$12:$R$367,2,0)/VLOOKUP(D220,Prezzi!$S$12:$T$367,2,0)</f>
        <v>90.367618338008413</v>
      </c>
      <c r="M220" s="1">
        <v>0</v>
      </c>
      <c r="O220" s="1" t="str">
        <f t="shared" si="71"/>
        <v>201852</v>
      </c>
      <c r="P220" s="35">
        <v>43460</v>
      </c>
      <c r="Q220" s="12">
        <f t="shared" si="70"/>
        <v>2.5928353895655307E-4</v>
      </c>
      <c r="R220" s="12">
        <f t="shared" si="72"/>
        <v>4.842215519079493E-2</v>
      </c>
      <c r="S220" s="12">
        <f t="shared" si="73"/>
        <v>-1.2365577090370228E-3</v>
      </c>
      <c r="T220" s="12">
        <f t="shared" si="74"/>
        <v>6.0173694313908664E-4</v>
      </c>
      <c r="U220" s="12">
        <f t="shared" si="75"/>
        <v>-8.8406714704461768E-4</v>
      </c>
      <c r="AI220" s="15">
        <v>43460</v>
      </c>
      <c r="AJ220" s="99">
        <f>+VLOOKUP(AI220,benchmark!I$7:$J$362,2,0)</f>
        <v>219.0025</v>
      </c>
      <c r="AK220" s="61">
        <f>+VLOOKUP(AI220,benchmark!K$7:$L$362,2,0)</f>
        <v>234.31399999999999</v>
      </c>
      <c r="AP220" s="15">
        <v>43460</v>
      </c>
      <c r="AQ220" s="12">
        <f t="shared" si="69"/>
        <v>2.307641639575686E-2</v>
      </c>
      <c r="AR220" s="12">
        <f t="shared" si="69"/>
        <v>-4.2677592130280217E-6</v>
      </c>
      <c r="AY220" s="15">
        <v>43460</v>
      </c>
      <c r="AZ220" s="12">
        <f t="shared" si="76"/>
        <v>9.2280059027749287E-3</v>
      </c>
    </row>
    <row r="221" spans="4:52" x14ac:dyDescent="0.75">
      <c r="D221" s="15">
        <v>43458</v>
      </c>
      <c r="E221" s="21">
        <f>+VLOOKUP(D221,Prezzi!$I$12:$J$367,2,0)</f>
        <v>4.9283279999999996</v>
      </c>
      <c r="F221" s="21">
        <f>+VLOOKUP(D221,Prezzi!$K$12:$L$367,2,0)/VLOOKUP(D221,Prezzi!$S$12:$T$367,2,0)</f>
        <v>206.8652296633941</v>
      </c>
      <c r="G221" s="1">
        <v>0</v>
      </c>
      <c r="H221" s="21">
        <f>+VLOOKUP(D221,Prezzi!$M$12:$N$367,2,0)/VLOOKUP(D221,Prezzi!$S$12:$T$367,2,0)</f>
        <v>19.89227910238429</v>
      </c>
      <c r="I221" s="126">
        <f>0.2/VLOOKUP(D221,Prezzi!$S$12:$T$367,2,0)</f>
        <v>0.17531556802244039</v>
      </c>
      <c r="J221" s="21">
        <f>+VLOOKUP(D221,Prezzi!$O$12:$P$367,2,0)/VLOOKUP(D221,Prezzi!$S$12:$T$367,2,0)</f>
        <v>42.432436886395507</v>
      </c>
      <c r="K221" s="126">
        <f>0.37/VLOOKUP(D221,Prezzi!$S$12:$T$367,2,0)</f>
        <v>0.3243338008415147</v>
      </c>
      <c r="L221" s="21">
        <f>+VLOOKUP(D221,Prezzi!$Q$12:$R$367,2,0)/VLOOKUP(D221,Prezzi!$S$12:$T$367,2,0)</f>
        <v>90.447544705469838</v>
      </c>
      <c r="M221" s="126">
        <f>1.29/VLOOKUP(D221,Prezzi!$S$12:$T$367,2,0)</f>
        <v>1.1307854137447406</v>
      </c>
      <c r="O221" s="1" t="str">
        <f t="shared" si="71"/>
        <v>201852</v>
      </c>
      <c r="P221" s="35">
        <v>43458</v>
      </c>
      <c r="Q221" s="12">
        <f t="shared" si="70"/>
        <v>2.1023537916756588E-4</v>
      </c>
      <c r="R221" s="12">
        <f t="shared" si="72"/>
        <v>-2.6893741828138792E-2</v>
      </c>
      <c r="S221" s="12">
        <f t="shared" si="73"/>
        <v>6.1460090523106116E-3</v>
      </c>
      <c r="T221" s="12">
        <f t="shared" si="74"/>
        <v>1.888315002148E-2</v>
      </c>
      <c r="U221" s="12">
        <f t="shared" si="75"/>
        <v>1.3701764281557135E-2</v>
      </c>
      <c r="AI221" s="15">
        <v>43458</v>
      </c>
      <c r="AJ221" s="99">
        <f>+VLOOKUP(AI221,benchmark!I$7:$J$362,2,0)</f>
        <v>214.06270000000001</v>
      </c>
      <c r="AK221" s="61">
        <f>+VLOOKUP(AI221,benchmark!K$7:$L$362,2,0)</f>
        <v>234.315</v>
      </c>
      <c r="AP221" s="15">
        <v>43458</v>
      </c>
      <c r="AQ221" s="12">
        <f t="shared" si="69"/>
        <v>-1.5879240536473604E-2</v>
      </c>
      <c r="AR221" s="12">
        <f t="shared" si="69"/>
        <v>-2.7732741701513852E-4</v>
      </c>
      <c r="AY221" s="15">
        <v>43458</v>
      </c>
      <c r="AZ221" s="12">
        <f t="shared" si="76"/>
        <v>-6.5180926647985249E-3</v>
      </c>
    </row>
    <row r="222" spans="4:52" x14ac:dyDescent="0.75">
      <c r="D222" s="15">
        <v>43455</v>
      </c>
      <c r="E222" s="21">
        <f>+VLOOKUP(D222,Prezzi!$I$12:$J$367,2,0)</f>
        <v>4.9272919999999996</v>
      </c>
      <c r="F222" s="21">
        <f>+VLOOKUP(D222,Prezzi!$K$12:$L$367,2,0)/VLOOKUP(D222,Prezzi!$S$12:$T$367,2,0)</f>
        <v>212.50409497108814</v>
      </c>
      <c r="G222" s="126">
        <f>1.44/VLOOKUP(D222,Prezzi!$S$12:$T$367,2,0)</f>
        <v>1.2616085509024006</v>
      </c>
      <c r="H222" s="21">
        <f>+VLOOKUP(D222,Prezzi!$M$12:$N$367,2,0)/VLOOKUP(D222,Prezzi!$S$12:$T$367,2,0)</f>
        <v>19.944637287541617</v>
      </c>
      <c r="I222" s="1">
        <v>0</v>
      </c>
      <c r="J222" s="21">
        <f>+VLOOKUP(D222,Prezzi!$O$12:$P$367,2,0)/VLOOKUP(D222,Prezzi!$S$12:$T$367,2,0)</f>
        <v>41.956963378307343</v>
      </c>
      <c r="K222" s="1">
        <v>0</v>
      </c>
      <c r="L222" s="21">
        <f>+VLOOKUP(D222,Prezzi!$Q$12:$R$367,2,0)/VLOOKUP(D222,Prezzi!$S$12:$T$367,2,0)</f>
        <v>90.332102680918183</v>
      </c>
      <c r="M222" s="1">
        <v>0</v>
      </c>
      <c r="O222" s="1" t="str">
        <f t="shared" si="71"/>
        <v>201851</v>
      </c>
      <c r="P222" s="35">
        <v>43455</v>
      </c>
      <c r="Q222" s="12">
        <f t="shared" si="70"/>
        <v>1.0189282317913356E-3</v>
      </c>
      <c r="R222" s="12">
        <f t="shared" si="72"/>
        <v>-1.166289188818837E-2</v>
      </c>
      <c r="S222" s="12">
        <f t="shared" si="73"/>
        <v>1.3343407672344553E-3</v>
      </c>
      <c r="T222" s="12">
        <f t="shared" si="74"/>
        <v>-3.7811978204262816E-3</v>
      </c>
      <c r="U222" s="12">
        <f t="shared" si="75"/>
        <v>1.4932144267317531E-3</v>
      </c>
      <c r="AI222" s="15">
        <v>43455</v>
      </c>
      <c r="AJ222" s="99">
        <f>+VLOOKUP(AI222,benchmark!I$7:$J$362,2,0)</f>
        <v>217.51669999999999</v>
      </c>
      <c r="AK222" s="61">
        <f>+VLOOKUP(AI222,benchmark!K$7:$L$362,2,0)</f>
        <v>234.38</v>
      </c>
      <c r="AP222" s="15">
        <v>43455</v>
      </c>
      <c r="AQ222" s="12">
        <f t="shared" si="69"/>
        <v>-1.3471095108144926E-2</v>
      </c>
      <c r="AR222" s="12">
        <f t="shared" si="69"/>
        <v>-1.5293581381875532E-3</v>
      </c>
      <c r="AY222" s="15">
        <v>43455</v>
      </c>
      <c r="AZ222" s="12">
        <f t="shared" si="76"/>
        <v>-6.3060529261705026E-3</v>
      </c>
    </row>
    <row r="223" spans="4:52" x14ac:dyDescent="0.75">
      <c r="D223" s="15">
        <v>43454</v>
      </c>
      <c r="E223" s="21">
        <f>+VLOOKUP(D223,Prezzi!$I$12:$J$367,2,0)</f>
        <v>4.9222739999999998</v>
      </c>
      <c r="F223" s="21">
        <f>+VLOOKUP(D223,Prezzi!$K$12:$L$367,2,0)/VLOOKUP(D223,Prezzi!$S$12:$T$367,2,0)</f>
        <v>216.27342502838178</v>
      </c>
      <c r="G223" s="1">
        <v>0</v>
      </c>
      <c r="H223" s="21">
        <f>+VLOOKUP(D223,Prezzi!$M$12:$N$367,2,0)/VLOOKUP(D223,Prezzi!$S$12:$T$367,2,0)</f>
        <v>19.91804209239368</v>
      </c>
      <c r="I223" s="1">
        <v>0</v>
      </c>
      <c r="J223" s="21">
        <f>+VLOOKUP(D223,Prezzi!$O$12:$P$367,2,0)/VLOOKUP(D223,Prezzi!$S$12:$T$367,2,0)</f>
        <v>42.115911274124535</v>
      </c>
      <c r="K223" s="1">
        <v>0</v>
      </c>
      <c r="L223" s="21">
        <f>+VLOOKUP(D223,Prezzi!$Q$12:$R$367,2,0)/VLOOKUP(D223,Prezzi!$S$12:$T$367,2,0)</f>
        <v>90.197318138153875</v>
      </c>
      <c r="M223" s="1">
        <v>0</v>
      </c>
      <c r="O223" s="1" t="str">
        <f t="shared" si="71"/>
        <v>201851</v>
      </c>
      <c r="P223" s="35">
        <v>43454</v>
      </c>
      <c r="Q223" s="12">
        <f t="shared" si="70"/>
        <v>-9.9295013619562686E-4</v>
      </c>
      <c r="R223" s="12">
        <f t="shared" si="72"/>
        <v>-1.9888146396219542E-2</v>
      </c>
      <c r="S223" s="12">
        <f t="shared" si="73"/>
        <v>-1.3728222597922149E-2</v>
      </c>
      <c r="T223" s="12">
        <f t="shared" si="74"/>
        <v>6.5359072589938113E-3</v>
      </c>
      <c r="U223" s="12">
        <f t="shared" si="75"/>
        <v>-4.6936479436579474E-3</v>
      </c>
      <c r="AI223" s="15">
        <v>43454</v>
      </c>
      <c r="AJ223" s="99">
        <f>+VLOOKUP(AI223,benchmark!I$7:$J$362,2,0)</f>
        <v>220.48690000000002</v>
      </c>
      <c r="AK223" s="61">
        <f>+VLOOKUP(AI223,benchmark!K$7:$L$362,2,0)</f>
        <v>234.739</v>
      </c>
      <c r="AP223" s="15">
        <v>43454</v>
      </c>
      <c r="AQ223" s="12">
        <f t="shared" si="69"/>
        <v>-1.4854464582918836E-2</v>
      </c>
      <c r="AR223" s="12">
        <f t="shared" si="69"/>
        <v>1.6599103904417767E-3</v>
      </c>
      <c r="AY223" s="15">
        <v>43454</v>
      </c>
      <c r="AZ223" s="12">
        <f t="shared" si="76"/>
        <v>-4.9458395989024689E-3</v>
      </c>
    </row>
    <row r="224" spans="4:52" x14ac:dyDescent="0.75">
      <c r="D224" s="15">
        <v>43453</v>
      </c>
      <c r="E224" s="21">
        <f>+VLOOKUP(D224,Prezzi!$I$12:$J$367,2,0)</f>
        <v>4.9271640000000003</v>
      </c>
      <c r="F224" s="21">
        <f>+VLOOKUP(D224,Prezzi!$K$12:$L$367,2,0)/VLOOKUP(D224,Prezzi!$S$12:$T$367,2,0)</f>
        <v>220.61775975449362</v>
      </c>
      <c r="G224" s="1">
        <v>0</v>
      </c>
      <c r="H224" s="21">
        <f>+VLOOKUP(D224,Prezzi!$M$12:$N$367,2,0)/VLOOKUP(D224,Prezzi!$S$12:$T$367,2,0)</f>
        <v>20.193366944322666</v>
      </c>
      <c r="I224" s="1">
        <v>0</v>
      </c>
      <c r="J224" s="21">
        <f>+VLOOKUP(D224,Prezzi!$O$12:$P$367,2,0)/VLOOKUP(D224,Prezzi!$S$12:$T$367,2,0)</f>
        <v>41.841543182814554</v>
      </c>
      <c r="K224" s="1">
        <v>0</v>
      </c>
      <c r="L224" s="21">
        <f>+VLOOKUP(D224,Prezzi!$Q$12:$R$367,2,0)/VLOOKUP(D224,Prezzi!$S$12:$T$367,2,0)</f>
        <v>90.621667689609808</v>
      </c>
      <c r="M224" s="1">
        <v>0</v>
      </c>
      <c r="O224" s="1" t="str">
        <f t="shared" si="71"/>
        <v>201851</v>
      </c>
      <c r="P224" s="35">
        <v>43453</v>
      </c>
      <c r="Q224" s="12">
        <f t="shared" si="70"/>
        <v>-2.3459020486495989E-4</v>
      </c>
      <c r="R224" s="12">
        <f t="shared" si="72"/>
        <v>-1.7876091009070234E-2</v>
      </c>
      <c r="S224" s="12">
        <f t="shared" si="73"/>
        <v>6.1531572466203442E-3</v>
      </c>
      <c r="T224" s="12">
        <f t="shared" si="74"/>
        <v>-1.7066727476803293E-3</v>
      </c>
      <c r="U224" s="12">
        <f t="shared" si="75"/>
        <v>-2.642170326594518E-3</v>
      </c>
      <c r="AI224" s="15">
        <v>43453</v>
      </c>
      <c r="AJ224" s="99">
        <f>+VLOOKUP(AI224,benchmark!I$7:$J$362,2,0)</f>
        <v>223.81149999999997</v>
      </c>
      <c r="AK224" s="61">
        <f>+VLOOKUP(AI224,benchmark!K$7:$L$362,2,0)</f>
        <v>234.35</v>
      </c>
      <c r="AP224" s="15">
        <v>43453</v>
      </c>
      <c r="AQ224" s="12">
        <f t="shared" si="69"/>
        <v>-6.5397221650107529E-3</v>
      </c>
      <c r="AR224" s="12">
        <f t="shared" si="69"/>
        <v>1.3844615555536066E-3</v>
      </c>
      <c r="AY224" s="15">
        <v>43453</v>
      </c>
      <c r="AZ224" s="12">
        <f t="shared" si="76"/>
        <v>-1.7852119326721375E-3</v>
      </c>
    </row>
    <row r="225" spans="4:52" x14ac:dyDescent="0.75">
      <c r="D225" s="15">
        <v>43452</v>
      </c>
      <c r="E225" s="21">
        <f>+VLOOKUP(D225,Prezzi!$I$12:$J$367,2,0)</f>
        <v>4.9283200000000003</v>
      </c>
      <c r="F225" s="21">
        <f>+VLOOKUP(D225,Prezzi!$K$12:$L$367,2,0)/VLOOKUP(D225,Prezzi!$S$12:$T$367,2,0)</f>
        <v>224.59700360376198</v>
      </c>
      <c r="G225" s="1">
        <v>0</v>
      </c>
      <c r="H225" s="21">
        <f>+VLOOKUP(D225,Prezzi!$M$12:$N$367,2,0)/VLOOKUP(D225,Prezzi!$S$12:$T$367,2,0)</f>
        <v>20.069495473323375</v>
      </c>
      <c r="I225" s="1">
        <v>0</v>
      </c>
      <c r="J225" s="21">
        <f>+VLOOKUP(D225,Prezzi!$O$12:$P$367,2,0)/VLOOKUP(D225,Prezzi!$S$12:$T$367,2,0)</f>
        <v>41.913013975564738</v>
      </c>
      <c r="K225" s="1">
        <v>0</v>
      </c>
      <c r="L225" s="21">
        <f>+VLOOKUP(D225,Prezzi!$Q$12:$R$367,2,0)/VLOOKUP(D225,Prezzi!$S$12:$T$367,2,0)</f>
        <v>90.861422167530989</v>
      </c>
      <c r="M225" s="1">
        <v>0</v>
      </c>
      <c r="O225" s="1" t="str">
        <f t="shared" si="71"/>
        <v>201851</v>
      </c>
      <c r="P225" s="35">
        <v>43452</v>
      </c>
      <c r="Q225" s="12">
        <f t="shared" si="70"/>
        <v>1.481723468265772E-3</v>
      </c>
      <c r="R225" s="12">
        <f t="shared" si="72"/>
        <v>-3.0371154569462187E-3</v>
      </c>
      <c r="S225" s="12">
        <f t="shared" si="73"/>
        <v>-2.0209112327105646E-2</v>
      </c>
      <c r="T225" s="12">
        <f t="shared" si="74"/>
        <v>-9.4688115228362575E-3</v>
      </c>
      <c r="U225" s="12">
        <f t="shared" si="75"/>
        <v>-1.6078774014521034E-2</v>
      </c>
      <c r="AI225" s="15">
        <v>43452</v>
      </c>
      <c r="AJ225" s="99">
        <f>+VLOOKUP(AI225,benchmark!I$7:$J$362,2,0)</f>
        <v>225.28479999999999</v>
      </c>
      <c r="AK225" s="61">
        <f>+VLOOKUP(AI225,benchmark!K$7:$L$362,2,0)</f>
        <v>234.02600000000001</v>
      </c>
      <c r="AP225" s="15">
        <v>43452</v>
      </c>
      <c r="AQ225" s="12">
        <f t="shared" si="69"/>
        <v>-3.3427652755879667E-3</v>
      </c>
      <c r="AR225" s="12">
        <f t="shared" si="69"/>
        <v>8.7245853683581842E-4</v>
      </c>
      <c r="AY225" s="15">
        <v>43452</v>
      </c>
      <c r="AZ225" s="12">
        <f t="shared" si="76"/>
        <v>-8.1363098813369561E-4</v>
      </c>
    </row>
    <row r="226" spans="4:52" x14ac:dyDescent="0.75">
      <c r="D226" s="15">
        <v>43451</v>
      </c>
      <c r="E226" s="21">
        <f>+VLOOKUP(D226,Prezzi!$I$12:$J$367,2,0)</f>
        <v>4.9210229999999999</v>
      </c>
      <c r="F226" s="21">
        <f>+VLOOKUP(D226,Prezzi!$K$12:$L$367,2,0)/VLOOKUP(D226,Prezzi!$S$12:$T$367,2,0)</f>
        <v>225.28016753372717</v>
      </c>
      <c r="G226" s="1">
        <v>0</v>
      </c>
      <c r="H226" s="21">
        <f>+VLOOKUP(D226,Prezzi!$M$12:$N$367,2,0)/VLOOKUP(D226,Prezzi!$S$12:$T$367,2,0)</f>
        <v>20.479208182699939</v>
      </c>
      <c r="I226" s="1">
        <v>0</v>
      </c>
      <c r="J226" s="21">
        <f>+VLOOKUP(D226,Prezzi!$O$12:$P$367,2,0)/VLOOKUP(D226,Prezzi!$S$12:$T$367,2,0)</f>
        <v>42.311765276430648</v>
      </c>
      <c r="K226" s="1">
        <v>0</v>
      </c>
      <c r="L226" s="21">
        <f>+VLOOKUP(D226,Prezzi!$Q$12:$R$367,2,0)/VLOOKUP(D226,Prezzi!$S$12:$T$367,2,0)</f>
        <v>92.334170708050422</v>
      </c>
      <c r="M226" s="1">
        <v>0</v>
      </c>
      <c r="O226" s="1" t="str">
        <f t="shared" si="71"/>
        <v>201851</v>
      </c>
      <c r="P226" s="35">
        <v>43451</v>
      </c>
      <c r="Q226" s="12">
        <f t="shared" si="70"/>
        <v>1.4521749330407166E-3</v>
      </c>
      <c r="R226" s="12">
        <f t="shared" si="72"/>
        <v>-3.1513072622568535E-2</v>
      </c>
      <c r="S226" s="12">
        <f t="shared" si="73"/>
        <v>-1.1023819020742356E-2</v>
      </c>
      <c r="T226" s="12">
        <f t="shared" si="74"/>
        <v>2.8913697177087631E-3</v>
      </c>
      <c r="U226" s="12">
        <f t="shared" si="75"/>
        <v>-4.0468098047950936E-3</v>
      </c>
      <c r="AI226" s="15">
        <v>43451</v>
      </c>
      <c r="AJ226" s="99">
        <f>+VLOOKUP(AI226,benchmark!I$7:$J$362,2,0)</f>
        <v>226.04040000000001</v>
      </c>
      <c r="AK226" s="61">
        <f>+VLOOKUP(AI226,benchmark!K$7:$L$362,2,0)</f>
        <v>233.822</v>
      </c>
      <c r="AP226" s="15">
        <v>43451</v>
      </c>
      <c r="AQ226" s="12">
        <f t="shared" si="69"/>
        <v>-1.329370916922834E-2</v>
      </c>
      <c r="AR226" s="12">
        <f t="shared" si="69"/>
        <v>-3.0355760967626377E-4</v>
      </c>
      <c r="AY226" s="15">
        <v>43451</v>
      </c>
      <c r="AZ226" s="12">
        <f t="shared" si="76"/>
        <v>-5.4996182334970953E-3</v>
      </c>
    </row>
    <row r="227" spans="4:52" x14ac:dyDescent="0.75">
      <c r="D227" s="15">
        <v>43448</v>
      </c>
      <c r="E227" s="21">
        <f>+VLOOKUP(D227,Prezzi!$I$12:$J$367,2,0)</f>
        <v>4.9138820000000001</v>
      </c>
      <c r="F227" s="21">
        <f>+VLOOKUP(D227,Prezzi!$K$12:$L$367,2,0)/VLOOKUP(D227,Prezzi!$S$12:$T$367,2,0)</f>
        <v>232.49248205582631</v>
      </c>
      <c r="G227" s="1">
        <v>0</v>
      </c>
      <c r="H227" s="21">
        <f>+VLOOKUP(D227,Prezzi!$M$12:$N$367,2,0)/VLOOKUP(D227,Prezzi!$S$12:$T$367,2,0)</f>
        <v>20.706216216216216</v>
      </c>
      <c r="I227" s="1">
        <v>0</v>
      </c>
      <c r="J227" s="21">
        <f>+VLOOKUP(D227,Prezzi!$O$12:$P$367,2,0)/VLOOKUP(D227,Prezzi!$S$12:$T$367,2,0)</f>
        <v>42.189603012848913</v>
      </c>
      <c r="K227" s="1">
        <v>0</v>
      </c>
      <c r="L227" s="21">
        <f>+VLOOKUP(D227,Prezzi!$Q$12:$R$367,2,0)/VLOOKUP(D227,Prezzi!$S$12:$T$367,2,0)</f>
        <v>92.70858661940629</v>
      </c>
      <c r="M227" s="1">
        <v>0</v>
      </c>
      <c r="O227" s="1" t="str">
        <f t="shared" si="71"/>
        <v>201850</v>
      </c>
      <c r="P227" s="35">
        <v>43448</v>
      </c>
      <c r="Q227" s="12">
        <f t="shared" si="70"/>
        <v>5.4452434295430992E-4</v>
      </c>
      <c r="R227" s="12">
        <f t="shared" si="72"/>
        <v>-1.1544872711828382E-2</v>
      </c>
      <c r="S227" s="12">
        <f t="shared" si="73"/>
        <v>5.6296224415720291E-5</v>
      </c>
      <c r="T227" s="12">
        <f t="shared" si="74"/>
        <v>3.0132942196752868E-3</v>
      </c>
      <c r="U227" s="12">
        <f t="shared" si="75"/>
        <v>7.5949603680941415E-3</v>
      </c>
      <c r="AI227" s="15">
        <v>43448</v>
      </c>
      <c r="AJ227" s="99">
        <f>+VLOOKUP(AI227,benchmark!I$7:$J$362,2,0)</f>
        <v>229.08580000000001</v>
      </c>
      <c r="AK227" s="61">
        <f>+VLOOKUP(AI227,benchmark!K$7:$L$362,2,0)</f>
        <v>233.893</v>
      </c>
      <c r="AP227" s="15">
        <v>43448</v>
      </c>
      <c r="AQ227" s="12">
        <f t="shared" si="69"/>
        <v>-1.5820876029564168E-2</v>
      </c>
      <c r="AR227" s="12">
        <f t="shared" si="69"/>
        <v>6.8026046702662768E-4</v>
      </c>
      <c r="AY227" s="15">
        <v>43448</v>
      </c>
      <c r="AZ227" s="12">
        <f t="shared" si="76"/>
        <v>-5.9201941316096903E-3</v>
      </c>
    </row>
    <row r="228" spans="4:52" x14ac:dyDescent="0.75">
      <c r="D228" s="15">
        <v>43447</v>
      </c>
      <c r="E228" s="21">
        <f>+VLOOKUP(D228,Prezzi!$I$12:$J$367,2,0)</f>
        <v>4.9112070000000001</v>
      </c>
      <c r="F228" s="21">
        <f>+VLOOKUP(D228,Prezzi!$K$12:$L$367,2,0)/VLOOKUP(D228,Prezzi!$S$12:$T$367,2,0)</f>
        <v>235.19213173863338</v>
      </c>
      <c r="G228" s="1">
        <v>0</v>
      </c>
      <c r="H228" s="21">
        <f>+VLOOKUP(D228,Prezzi!$M$12:$N$367,2,0)/VLOOKUP(D228,Prezzi!$S$12:$T$367,2,0)</f>
        <v>20.705050567232433</v>
      </c>
      <c r="I228" s="1">
        <v>0</v>
      </c>
      <c r="J228" s="21">
        <f>+VLOOKUP(D228,Prezzi!$O$12:$P$367,2,0)/VLOOKUP(D228,Prezzi!$S$12:$T$367,2,0)</f>
        <v>42.062664673291707</v>
      </c>
      <c r="K228" s="1">
        <v>0</v>
      </c>
      <c r="L228" s="21">
        <f>+VLOOKUP(D228,Prezzi!$Q$12:$R$367,2,0)/VLOOKUP(D228,Prezzi!$S$12:$T$367,2,0)</f>
        <v>92.007135696068943</v>
      </c>
      <c r="M228" s="1">
        <v>0</v>
      </c>
      <c r="O228" s="1" t="str">
        <f t="shared" si="71"/>
        <v>201850</v>
      </c>
      <c r="P228" s="35">
        <v>43447</v>
      </c>
      <c r="Q228" s="12">
        <f t="shared" si="70"/>
        <v>1.2566923876494837E-3</v>
      </c>
      <c r="R228" s="12">
        <f t="shared" si="72"/>
        <v>-2.2240999804935204E-3</v>
      </c>
      <c r="S228" s="12">
        <f t="shared" si="73"/>
        <v>-5.4337840662333084E-3</v>
      </c>
      <c r="T228" s="12">
        <f t="shared" si="74"/>
        <v>-4.1353781259412413E-3</v>
      </c>
      <c r="U228" s="12">
        <f t="shared" si="75"/>
        <v>1.2295952630327434E-3</v>
      </c>
      <c r="AI228" s="15">
        <v>43447</v>
      </c>
      <c r="AJ228" s="99">
        <f>+VLOOKUP(AI228,benchmark!I$7:$J$362,2,0)</f>
        <v>232.76840000000001</v>
      </c>
      <c r="AK228" s="61">
        <f>+VLOOKUP(AI228,benchmark!K$7:$L$362,2,0)</f>
        <v>233.73400000000001</v>
      </c>
      <c r="AP228" s="15">
        <v>43447</v>
      </c>
      <c r="AQ228" s="12">
        <f t="shared" si="69"/>
        <v>2.1055399764691174E-4</v>
      </c>
      <c r="AR228" s="12">
        <f t="shared" si="69"/>
        <v>1.3264699212256481E-4</v>
      </c>
      <c r="AY228" s="15">
        <v>43447</v>
      </c>
      <c r="AZ228" s="12">
        <f t="shared" si="76"/>
        <v>1.638097943323036E-4</v>
      </c>
    </row>
    <row r="229" spans="4:52" x14ac:dyDescent="0.75">
      <c r="D229" s="15">
        <v>43446</v>
      </c>
      <c r="E229" s="21">
        <f>+VLOOKUP(D229,Prezzi!$I$12:$J$367,2,0)</f>
        <v>4.9050390000000004</v>
      </c>
      <c r="F229" s="21">
        <f>+VLOOKUP(D229,Prezzi!$K$12:$L$367,2,0)/VLOOKUP(D229,Prezzi!$S$12:$T$367,2,0)</f>
        <v>235.71580468887711</v>
      </c>
      <c r="G229" s="1">
        <v>0</v>
      </c>
      <c r="H229" s="21">
        <f>+VLOOKUP(D229,Prezzi!$M$12:$N$367,2,0)/VLOOKUP(D229,Prezzi!$S$12:$T$367,2,0)</f>
        <v>20.81786356425172</v>
      </c>
      <c r="I229" s="1">
        <v>0</v>
      </c>
      <c r="J229" s="21">
        <f>+VLOOKUP(D229,Prezzi!$O$12:$P$367,2,0)/VLOOKUP(D229,Prezzi!$S$12:$T$367,2,0)</f>
        <v>42.236969857218405</v>
      </c>
      <c r="K229" s="1">
        <v>0</v>
      </c>
      <c r="L229" s="21">
        <f>+VLOOKUP(D229,Prezzi!$Q$12:$R$367,2,0)/VLOOKUP(D229,Prezzi!$S$12:$T$367,2,0)</f>
        <v>91.894073682355</v>
      </c>
      <c r="M229" s="1">
        <v>0</v>
      </c>
      <c r="O229" s="1" t="str">
        <f t="shared" si="71"/>
        <v>201850</v>
      </c>
      <c r="P229" s="35">
        <v>43446</v>
      </c>
      <c r="Q229" s="12">
        <f t="shared" si="70"/>
        <v>1.4006985777676017E-4</v>
      </c>
      <c r="R229" s="12">
        <f t="shared" si="72"/>
        <v>8.3116694526283504E-3</v>
      </c>
      <c r="S229" s="12">
        <f t="shared" si="73"/>
        <v>1.7852110699877872E-2</v>
      </c>
      <c r="T229" s="12">
        <f t="shared" si="74"/>
        <v>5.1758879576615912E-3</v>
      </c>
      <c r="U229" s="12">
        <f t="shared" si="75"/>
        <v>6.2039858424153297E-3</v>
      </c>
      <c r="AI229" s="15">
        <v>43446</v>
      </c>
      <c r="AJ229" s="99">
        <f>+VLOOKUP(AI229,benchmark!I$7:$J$362,2,0)</f>
        <v>232.71940000000001</v>
      </c>
      <c r="AK229" s="61">
        <f>+VLOOKUP(AI229,benchmark!K$7:$L$362,2,0)</f>
        <v>233.703</v>
      </c>
      <c r="AP229" s="15">
        <v>43446</v>
      </c>
      <c r="AQ229" s="12">
        <f t="shared" si="69"/>
        <v>1.1303756069706905E-2</v>
      </c>
      <c r="AR229" s="12">
        <f t="shared" si="69"/>
        <v>5.7370627095210125E-4</v>
      </c>
      <c r="AY229" s="15">
        <v>43446</v>
      </c>
      <c r="AZ229" s="12">
        <f t="shared" si="76"/>
        <v>4.8657261904540231E-3</v>
      </c>
    </row>
    <row r="230" spans="4:52" x14ac:dyDescent="0.75">
      <c r="D230" s="15">
        <v>43445</v>
      </c>
      <c r="E230" s="21">
        <f>+VLOOKUP(D230,Prezzi!$I$12:$J$367,2,0)</f>
        <v>4.9043520000000003</v>
      </c>
      <c r="F230" s="21">
        <f>+VLOOKUP(D230,Prezzi!$K$12:$L$367,2,0)/VLOOKUP(D230,Prezzi!$S$12:$T$367,2,0)</f>
        <v>233.76473240179277</v>
      </c>
      <c r="G230" s="1">
        <v>0</v>
      </c>
      <c r="H230" s="21">
        <f>+VLOOKUP(D230,Prezzi!$M$12:$N$367,2,0)/VLOOKUP(D230,Prezzi!$S$12:$T$367,2,0)</f>
        <v>20.449518411108183</v>
      </c>
      <c r="I230" s="1">
        <v>0</v>
      </c>
      <c r="J230" s="21">
        <f>+VLOOKUP(D230,Prezzi!$O$12:$P$367,2,0)/VLOOKUP(D230,Prezzi!$S$12:$T$367,2,0)</f>
        <v>42.018920819052646</v>
      </c>
      <c r="K230" s="1">
        <v>0</v>
      </c>
      <c r="L230" s="21">
        <f>+VLOOKUP(D230,Prezzi!$Q$12:$R$367,2,0)/VLOOKUP(D230,Prezzi!$S$12:$T$367,2,0)</f>
        <v>91.325728974426582</v>
      </c>
      <c r="M230" s="1">
        <v>0</v>
      </c>
      <c r="O230" s="1" t="str">
        <f t="shared" si="71"/>
        <v>201850</v>
      </c>
      <c r="P230" s="35">
        <v>43445</v>
      </c>
      <c r="Q230" s="12">
        <f t="shared" si="70"/>
        <v>-8.3258699152246164E-4</v>
      </c>
      <c r="R230" s="12">
        <f t="shared" si="72"/>
        <v>3.7270727557401125E-3</v>
      </c>
      <c r="S230" s="12">
        <f t="shared" si="73"/>
        <v>1.2039652532050169E-2</v>
      </c>
      <c r="T230" s="12">
        <f t="shared" si="74"/>
        <v>2.5443428710242764E-3</v>
      </c>
      <c r="U230" s="12">
        <f t="shared" si="75"/>
        <v>4.5458540549759606E-3</v>
      </c>
      <c r="AI230" s="15">
        <v>43445</v>
      </c>
      <c r="AJ230" s="99">
        <f>+VLOOKUP(AI230,benchmark!I$7:$J$362,2,0)</f>
        <v>230.11819999999997</v>
      </c>
      <c r="AK230" s="61">
        <f>+VLOOKUP(AI230,benchmark!K$7:$L$362,2,0)</f>
        <v>233.56899999999999</v>
      </c>
      <c r="AP230" s="15">
        <v>43445</v>
      </c>
      <c r="AQ230" s="12">
        <f t="shared" si="69"/>
        <v>1.0867087429153877E-3</v>
      </c>
      <c r="AR230" s="12">
        <f t="shared" si="69"/>
        <v>-6.4216727173160848E-5</v>
      </c>
      <c r="AY230" s="15">
        <v>43445</v>
      </c>
      <c r="AZ230" s="12">
        <f t="shared" si="76"/>
        <v>3.9615346086225857E-4</v>
      </c>
    </row>
    <row r="231" spans="4:52" x14ac:dyDescent="0.75">
      <c r="D231" s="15">
        <v>43444</v>
      </c>
      <c r="E231" s="21">
        <f>+VLOOKUP(D231,Prezzi!$I$12:$J$367,2,0)</f>
        <v>4.9084370000000002</v>
      </c>
      <c r="F231" s="21">
        <f>+VLOOKUP(D231,Prezzi!$K$12:$L$367,2,0)/VLOOKUP(D231,Prezzi!$S$12:$T$367,2,0)</f>
        <v>232.89509584245076</v>
      </c>
      <c r="G231" s="1">
        <v>0</v>
      </c>
      <c r="H231" s="21">
        <f>+VLOOKUP(D231,Prezzi!$M$12:$N$367,2,0)/VLOOKUP(D231,Prezzi!$S$12:$T$367,2,0)</f>
        <v>20.204789496717723</v>
      </c>
      <c r="I231" s="1">
        <v>0</v>
      </c>
      <c r="J231" s="21">
        <f>+VLOOKUP(D231,Prezzi!$O$12:$P$367,2,0)/VLOOKUP(D231,Prezzi!$S$12:$T$367,2,0)</f>
        <v>41.912146170678334</v>
      </c>
      <c r="K231" s="1">
        <v>0</v>
      </c>
      <c r="L231" s="21">
        <f>+VLOOKUP(D231,Prezzi!$Q$12:$R$367,2,0)/VLOOKUP(D231,Prezzi!$S$12:$T$367,2,0)</f>
        <v>90.911517724288842</v>
      </c>
      <c r="M231" s="1">
        <v>0</v>
      </c>
      <c r="O231" s="1" t="str">
        <f t="shared" si="71"/>
        <v>201850</v>
      </c>
      <c r="P231" s="35">
        <v>43444</v>
      </c>
      <c r="Q231" s="12">
        <f t="shared" si="70"/>
        <v>-7.2766548358903812E-4</v>
      </c>
      <c r="R231" s="12">
        <f t="shared" si="72"/>
        <v>-2.9687653928543618E-3</v>
      </c>
      <c r="S231" s="12">
        <f t="shared" si="73"/>
        <v>-2.0676753231822723E-2</v>
      </c>
      <c r="T231" s="12">
        <f t="shared" si="74"/>
        <v>-7.3598021831086605E-3</v>
      </c>
      <c r="U231" s="12">
        <f t="shared" si="75"/>
        <v>-5.5794671819330574E-3</v>
      </c>
      <c r="AI231" s="15">
        <v>43444</v>
      </c>
      <c r="AJ231" s="99">
        <f>+VLOOKUP(AI231,benchmark!I$7:$J$362,2,0)</f>
        <v>229.86840000000001</v>
      </c>
      <c r="AK231" s="61">
        <f>+VLOOKUP(AI231,benchmark!K$7:$L$362,2,0)</f>
        <v>233.584</v>
      </c>
      <c r="AP231" s="15">
        <v>43444</v>
      </c>
      <c r="AQ231" s="12">
        <f t="shared" si="69"/>
        <v>-7.7662996465625023E-3</v>
      </c>
      <c r="AR231" s="12">
        <f t="shared" si="69"/>
        <v>8.9984317019031757E-4</v>
      </c>
      <c r="AY231" s="15">
        <v>43444</v>
      </c>
      <c r="AZ231" s="12">
        <f t="shared" si="76"/>
        <v>-2.5666139565108108E-3</v>
      </c>
    </row>
    <row r="232" spans="4:52" x14ac:dyDescent="0.75">
      <c r="D232" s="15">
        <v>43441</v>
      </c>
      <c r="E232" s="21">
        <f>+VLOOKUP(D232,Prezzi!$I$12:$J$367,2,0)</f>
        <v>4.9120100000000004</v>
      </c>
      <c r="F232" s="21">
        <f>+VLOOKUP(D232,Prezzi!$K$12:$L$367,2,0)/VLOOKUP(D232,Prezzi!$S$12:$T$367,2,0)</f>
        <v>233.58753407791752</v>
      </c>
      <c r="G232" s="1">
        <v>0</v>
      </c>
      <c r="H232" s="21">
        <f>+VLOOKUP(D232,Prezzi!$M$12:$N$367,2,0)/VLOOKUP(D232,Prezzi!$S$12:$T$367,2,0)</f>
        <v>20.626907923665467</v>
      </c>
      <c r="I232" s="1">
        <v>0</v>
      </c>
      <c r="J232" s="21">
        <f>+VLOOKUP(D232,Prezzi!$O$12:$P$367,2,0)/VLOOKUP(D232,Prezzi!$S$12:$T$367,2,0)</f>
        <v>42.221749186527127</v>
      </c>
      <c r="K232" s="1">
        <v>0</v>
      </c>
      <c r="L232" s="21">
        <f>+VLOOKUP(D232,Prezzi!$Q$12:$R$367,2,0)/VLOOKUP(D232,Prezzi!$S$12:$T$367,2,0)</f>
        <v>91.420173247735462</v>
      </c>
      <c r="M232" s="126">
        <f>0.45/VLOOKUP(D232,Prezzi!$S$12:$T$367,2,0)</f>
        <v>0.39574355817430307</v>
      </c>
      <c r="O232" s="1" t="str">
        <f t="shared" si="71"/>
        <v>201849</v>
      </c>
      <c r="P232" s="35">
        <v>43441</v>
      </c>
      <c r="Q232" s="12">
        <f t="shared" si="70"/>
        <v>1.0809971768791307E-3</v>
      </c>
      <c r="R232" s="12">
        <f t="shared" si="72"/>
        <v>-2.5181295986576438E-2</v>
      </c>
      <c r="S232" s="12">
        <f t="shared" si="73"/>
        <v>6.360137589497339E-3</v>
      </c>
      <c r="T232" s="12">
        <f t="shared" si="74"/>
        <v>5.807949783009022E-3</v>
      </c>
      <c r="U232" s="12">
        <f t="shared" si="75"/>
        <v>6.0771955346070501E-3</v>
      </c>
      <c r="AI232" s="15">
        <v>43441</v>
      </c>
      <c r="AJ232" s="99">
        <f>+VLOOKUP(AI232,benchmark!I$7:$J$362,2,0)</f>
        <v>231.66759999999999</v>
      </c>
      <c r="AK232" s="61">
        <f>+VLOOKUP(AI232,benchmark!K$7:$L$362,2,0)</f>
        <v>233.374</v>
      </c>
      <c r="AP232" s="15">
        <v>43441</v>
      </c>
      <c r="AQ232" s="12">
        <f t="shared" si="69"/>
        <v>-1.1038895896966272E-2</v>
      </c>
      <c r="AR232" s="12">
        <f t="shared" si="69"/>
        <v>-6.9796220727336156E-4</v>
      </c>
      <c r="AY232" s="15">
        <v>43441</v>
      </c>
      <c r="AZ232" s="12">
        <f t="shared" si="76"/>
        <v>-4.8343356831505261E-3</v>
      </c>
    </row>
    <row r="233" spans="4:52" x14ac:dyDescent="0.75">
      <c r="D233" s="15">
        <v>43440</v>
      </c>
      <c r="E233" s="21">
        <f>+VLOOKUP(D233,Prezzi!$I$12:$J$367,2,0)</f>
        <v>4.9067030000000003</v>
      </c>
      <c r="F233" s="21">
        <f>+VLOOKUP(D233,Prezzi!$K$12:$L$367,2,0)/VLOOKUP(D233,Prezzi!$S$12:$T$367,2,0)</f>
        <v>239.54425513170645</v>
      </c>
      <c r="G233" s="1">
        <v>0</v>
      </c>
      <c r="H233" s="21">
        <f>+VLOOKUP(D233,Prezzi!$M$12:$N$367,2,0)/VLOOKUP(D233,Prezzi!$S$12:$T$367,2,0)</f>
        <v>20.496134261298565</v>
      </c>
      <c r="I233" s="1">
        <v>0</v>
      </c>
      <c r="J233" s="21">
        <f>+VLOOKUP(D233,Prezzi!$O$12:$P$367,2,0)/VLOOKUP(D233,Prezzi!$S$12:$T$367,2,0)</f>
        <v>41.977238128799229</v>
      </c>
      <c r="K233" s="1">
        <v>0</v>
      </c>
      <c r="L233" s="21">
        <f>+VLOOKUP(D233,Prezzi!$Q$12:$R$367,2,0)/VLOOKUP(D233,Prezzi!$S$12:$T$367,2,0)</f>
        <v>91.259625583649026</v>
      </c>
      <c r="M233" s="1">
        <v>0</v>
      </c>
      <c r="O233" s="1" t="str">
        <f t="shared" si="71"/>
        <v>201849</v>
      </c>
      <c r="P233" s="35">
        <v>43440</v>
      </c>
      <c r="Q233" s="12">
        <f t="shared" si="70"/>
        <v>3.6201936261295327E-4</v>
      </c>
      <c r="R233" s="12">
        <f t="shared" si="72"/>
        <v>3.8801085003204606E-3</v>
      </c>
      <c r="S233" s="12">
        <f t="shared" si="73"/>
        <v>-2.3160373413747225E-2</v>
      </c>
      <c r="T233" s="12">
        <f t="shared" si="74"/>
        <v>3.1970897279410349E-3</v>
      </c>
      <c r="U233" s="12">
        <f t="shared" si="75"/>
        <v>4.2456293036292484E-3</v>
      </c>
      <c r="AI233" s="15">
        <v>43440</v>
      </c>
      <c r="AJ233" s="99">
        <f>+VLOOKUP(AI233,benchmark!I$7:$J$362,2,0)</f>
        <v>234.25349999999997</v>
      </c>
      <c r="AK233" s="61">
        <f>+VLOOKUP(AI233,benchmark!K$7:$L$362,2,0)</f>
        <v>233.53700000000001</v>
      </c>
      <c r="AP233" s="15">
        <v>43440</v>
      </c>
      <c r="AQ233" s="12">
        <f t="shared" si="69"/>
        <v>-1.5313795993721624E-2</v>
      </c>
      <c r="AR233" s="12">
        <f t="shared" si="69"/>
        <v>9.1718347526814625E-4</v>
      </c>
      <c r="AY233" s="15">
        <v>43440</v>
      </c>
      <c r="AZ233" s="12">
        <f t="shared" si="76"/>
        <v>-5.5752083123277616E-3</v>
      </c>
    </row>
    <row r="234" spans="4:52" x14ac:dyDescent="0.75">
      <c r="D234" s="15">
        <v>43438</v>
      </c>
      <c r="E234" s="21">
        <f>+VLOOKUP(D234,Prezzi!$I$12:$J$367,2,0)</f>
        <v>4.9049269999999998</v>
      </c>
      <c r="F234" s="21">
        <f>+VLOOKUP(D234,Prezzi!$K$12:$L$367,2,0)/VLOOKUP(D234,Prezzi!$S$12:$T$367,2,0)</f>
        <v>238.61659829958805</v>
      </c>
      <c r="G234" s="1">
        <v>0</v>
      </c>
      <c r="H234" s="21">
        <f>+VLOOKUP(D234,Prezzi!$M$12:$N$367,2,0)/VLOOKUP(D234,Prezzi!$S$12:$T$367,2,0)</f>
        <v>20.976372162327987</v>
      </c>
      <c r="I234" s="1">
        <v>0</v>
      </c>
      <c r="J234" s="21">
        <f>+VLOOKUP(D234,Prezzi!$O$12:$P$367,2,0)/VLOOKUP(D234,Prezzi!$S$12:$T$367,2,0)</f>
        <v>41.843247436234556</v>
      </c>
      <c r="K234" s="1">
        <v>0</v>
      </c>
      <c r="L234" s="21">
        <f>+VLOOKUP(D234,Prezzi!$Q$12:$R$367,2,0)/VLOOKUP(D234,Prezzi!$S$12:$T$367,2,0)</f>
        <v>90.872992374441225</v>
      </c>
      <c r="M234" s="1">
        <v>0</v>
      </c>
      <c r="O234" s="1" t="str">
        <f t="shared" si="71"/>
        <v>201849</v>
      </c>
      <c r="P234" s="35">
        <v>43438</v>
      </c>
      <c r="Q234" s="12">
        <f t="shared" si="70"/>
        <v>1.5047216916316481E-3</v>
      </c>
      <c r="R234" s="12">
        <f t="shared" si="72"/>
        <v>-3.9611405859554874E-2</v>
      </c>
      <c r="S234" s="12">
        <f t="shared" si="73"/>
        <v>-6.3288312532326406E-3</v>
      </c>
      <c r="T234" s="12">
        <f t="shared" si="74"/>
        <v>-8.4181611656762036E-4</v>
      </c>
      <c r="U234" s="12">
        <f t="shared" si="75"/>
        <v>-7.7906975975251015E-3</v>
      </c>
      <c r="AI234" s="15">
        <v>43438</v>
      </c>
      <c r="AJ234" s="99">
        <f>+VLOOKUP(AI234,benchmark!I$7:$J$362,2,0)</f>
        <v>237.89659999999998</v>
      </c>
      <c r="AK234" s="61">
        <f>+VLOOKUP(AI234,benchmark!K$7:$L$362,2,0)</f>
        <v>233.32300000000001</v>
      </c>
      <c r="AP234" s="15">
        <v>43438</v>
      </c>
      <c r="AQ234" s="12">
        <f t="shared" si="69"/>
        <v>-2.1559317014788082E-2</v>
      </c>
      <c r="AR234" s="12">
        <f t="shared" si="69"/>
        <v>1.4249477447625392E-3</v>
      </c>
      <c r="AY234" s="15">
        <v>43438</v>
      </c>
      <c r="AZ234" s="12">
        <f t="shared" si="76"/>
        <v>-7.7687581590577103E-3</v>
      </c>
    </row>
    <row r="235" spans="4:52" x14ac:dyDescent="0.75">
      <c r="D235" s="15">
        <v>43437</v>
      </c>
      <c r="E235" s="21">
        <f>+VLOOKUP(D235,Prezzi!$I$12:$J$367,2,0)</f>
        <v>4.8975520000000001</v>
      </c>
      <c r="F235" s="21">
        <f>+VLOOKUP(D235,Prezzi!$K$12:$L$367,2,0)/VLOOKUP(D235,Prezzi!$S$12:$T$367,2,0)</f>
        <v>248.25823596893753</v>
      </c>
      <c r="G235" s="1">
        <v>0</v>
      </c>
      <c r="H235" s="21">
        <f>+VLOOKUP(D235,Prezzi!$M$12:$N$367,2,0)/VLOOKUP(D235,Prezzi!$S$12:$T$367,2,0)</f>
        <v>21.109549064595836</v>
      </c>
      <c r="I235" s="1">
        <v>0</v>
      </c>
      <c r="J235" s="21">
        <f>+VLOOKUP(D235,Prezzi!$O$12:$P$367,2,0)/VLOOKUP(D235,Prezzi!$S$12:$T$367,2,0)</f>
        <v>41.878486586657253</v>
      </c>
      <c r="K235" s="1">
        <v>0</v>
      </c>
      <c r="L235" s="21">
        <f>+VLOOKUP(D235,Prezzi!$Q$12:$R$367,2,0)/VLOOKUP(D235,Prezzi!$S$12:$T$367,2,0)</f>
        <v>91.58372132015532</v>
      </c>
      <c r="M235" s="1">
        <v>0</v>
      </c>
      <c r="O235" s="1" t="str">
        <f t="shared" si="71"/>
        <v>201849</v>
      </c>
      <c r="P235" s="35">
        <v>43437</v>
      </c>
      <c r="Q235" s="12">
        <f t="shared" si="70"/>
        <v>-7.595342996669797E-5</v>
      </c>
      <c r="R235" s="12">
        <f t="shared" si="72"/>
        <v>1.3261388582253859E-2</v>
      </c>
      <c r="S235" s="12">
        <f t="shared" si="73"/>
        <v>5.9534940601590532E-3</v>
      </c>
      <c r="T235" s="12">
        <f t="shared" si="74"/>
        <v>1.2470874641754334E-2</v>
      </c>
      <c r="U235" s="12">
        <f t="shared" si="75"/>
        <v>5.4073775771102837E-3</v>
      </c>
      <c r="AI235" s="15">
        <v>43437</v>
      </c>
      <c r="AJ235" s="99">
        <f>+VLOOKUP(AI235,benchmark!I$7:$J$362,2,0)</f>
        <v>243.13850000000002</v>
      </c>
      <c r="AK235" s="61">
        <f>+VLOOKUP(AI235,benchmark!K$7:$L$362,2,0)</f>
        <v>232.99100000000001</v>
      </c>
      <c r="AP235" s="15">
        <v>43437</v>
      </c>
      <c r="AQ235" s="12">
        <f t="shared" si="69"/>
        <v>1.3504021902559948E-2</v>
      </c>
      <c r="AR235" s="12">
        <f t="shared" si="69"/>
        <v>9.7093635211487062E-4</v>
      </c>
      <c r="AY235" s="15">
        <v>43437</v>
      </c>
      <c r="AZ235" s="12">
        <f t="shared" si="76"/>
        <v>5.9841705722929019E-3</v>
      </c>
    </row>
    <row r="236" spans="4:52" x14ac:dyDescent="0.75">
      <c r="D236" s="15">
        <v>43434</v>
      </c>
      <c r="E236" s="21">
        <f>+VLOOKUP(D236,Prezzi!$I$12:$J$367,2,0)</f>
        <v>4.8979239999999997</v>
      </c>
      <c r="F236" s="21">
        <f>+VLOOKUP(D236,Prezzi!$K$12:$L$367,2,0)/VLOOKUP(D236,Prezzi!$S$12:$T$367,2,0)</f>
        <v>244.98772075006602</v>
      </c>
      <c r="G236" s="1">
        <v>0</v>
      </c>
      <c r="H236" s="21">
        <f>+VLOOKUP(D236,Prezzi!$M$12:$N$367,2,0)/VLOOKUP(D236,Prezzi!$S$12:$T$367,2,0)</f>
        <v>20.984246852715909</v>
      </c>
      <c r="I236" s="1">
        <v>0</v>
      </c>
      <c r="J236" s="21">
        <f>+VLOOKUP(D236,Prezzi!$O$12:$P$367,2,0)/VLOOKUP(D236,Prezzi!$S$12:$T$367,2,0)</f>
        <v>41.359468263051333</v>
      </c>
      <c r="K236" s="1">
        <v>0</v>
      </c>
      <c r="L236" s="21">
        <f>+VLOOKUP(D236,Prezzi!$Q$12:$R$367,2,0)/VLOOKUP(D236,Prezzi!$S$12:$T$367,2,0)</f>
        <v>91.089830090676998</v>
      </c>
      <c r="M236" s="1">
        <v>0</v>
      </c>
      <c r="O236" s="1" t="str">
        <f t="shared" si="71"/>
        <v>201848</v>
      </c>
      <c r="P236" s="35">
        <v>43434</v>
      </c>
      <c r="Q236" s="12">
        <f t="shared" si="70"/>
        <v>2.4628479915538757E-3</v>
      </c>
      <c r="R236" s="12">
        <f t="shared" si="72"/>
        <v>1.0772821420044189E-2</v>
      </c>
      <c r="S236" s="12">
        <f t="shared" si="73"/>
        <v>-3.2279662877072917E-3</v>
      </c>
      <c r="T236" s="12">
        <f t="shared" si="74"/>
        <v>-6.111490490022729E-4</v>
      </c>
      <c r="U236" s="12">
        <f t="shared" si="75"/>
        <v>4.0467560676333142E-3</v>
      </c>
      <c r="AI236" s="15">
        <v>43434</v>
      </c>
      <c r="AJ236" s="99">
        <f>+VLOOKUP(AI236,benchmark!I$7:$J$362,2,0)</f>
        <v>239.8989</v>
      </c>
      <c r="AK236" s="61">
        <f>+VLOOKUP(AI236,benchmark!K$7:$L$362,2,0)</f>
        <v>232.76499999999999</v>
      </c>
      <c r="AP236" s="15">
        <v>43434</v>
      </c>
      <c r="AQ236" s="12">
        <f t="shared" si="69"/>
        <v>2.5236632608287568E-3</v>
      </c>
      <c r="AR236" s="12">
        <f t="shared" si="69"/>
        <v>4.5990251785887892E-4</v>
      </c>
      <c r="AY236" s="15">
        <v>43434</v>
      </c>
      <c r="AZ236" s="12">
        <f t="shared" si="76"/>
        <v>1.2854068150468299E-3</v>
      </c>
    </row>
    <row r="237" spans="4:52" x14ac:dyDescent="0.75">
      <c r="D237" s="15">
        <v>43433</v>
      </c>
      <c r="E237" s="21">
        <f>+VLOOKUP(D237,Prezzi!$I$12:$J$367,2,0)</f>
        <v>4.8858759999999997</v>
      </c>
      <c r="F237" s="21">
        <f>+VLOOKUP(D237,Prezzi!$K$12:$L$367,2,0)/VLOOKUP(D237,Prezzi!$S$12:$T$367,2,0)</f>
        <v>242.36267673662948</v>
      </c>
      <c r="G237" s="1">
        <v>0</v>
      </c>
      <c r="H237" s="21">
        <f>+VLOOKUP(D237,Prezzi!$M$12:$N$367,2,0)/VLOOKUP(D237,Prezzi!$S$12:$T$367,2,0)</f>
        <v>21.052092737332043</v>
      </c>
      <c r="I237" s="1">
        <v>0</v>
      </c>
      <c r="J237" s="21">
        <f>+VLOOKUP(D237,Prezzi!$O$12:$P$367,2,0)/VLOOKUP(D237,Prezzi!$S$12:$T$367,2,0)</f>
        <v>41.384752788267321</v>
      </c>
      <c r="K237" s="1">
        <v>0</v>
      </c>
      <c r="L237" s="21">
        <f>+VLOOKUP(D237,Prezzi!$Q$12:$R$367,2,0)/VLOOKUP(D237,Prezzi!$S$12:$T$367,2,0)</f>
        <v>90.721956617195048</v>
      </c>
      <c r="M237" s="1">
        <v>0</v>
      </c>
      <c r="O237" s="1" t="str">
        <f t="shared" si="71"/>
        <v>201848</v>
      </c>
      <c r="P237" s="35">
        <v>43433</v>
      </c>
      <c r="Q237" s="12">
        <f t="shared" si="70"/>
        <v>1.2277595588478622E-3</v>
      </c>
      <c r="R237" s="12">
        <f t="shared" si="72"/>
        <v>-1.1029581398422842E-2</v>
      </c>
      <c r="S237" s="12">
        <f t="shared" si="73"/>
        <v>5.9383391820033585E-4</v>
      </c>
      <c r="T237" s="12">
        <f t="shared" si="74"/>
        <v>-8.046206673702528E-3</v>
      </c>
      <c r="U237" s="12">
        <f t="shared" si="75"/>
        <v>-3.0449457785377142E-3</v>
      </c>
      <c r="AI237" s="15">
        <v>43433</v>
      </c>
      <c r="AJ237" s="99">
        <f>+VLOOKUP(AI237,benchmark!I$7:$J$362,2,0)</f>
        <v>239.29499999999999</v>
      </c>
      <c r="AK237" s="61">
        <f>+VLOOKUP(AI237,benchmark!K$7:$L$362,2,0)</f>
        <v>232.65799999999999</v>
      </c>
      <c r="AP237" s="15">
        <v>43433</v>
      </c>
      <c r="AQ237" s="12">
        <f t="shared" si="69"/>
        <v>3.0708946590074504E-3</v>
      </c>
      <c r="AR237" s="12">
        <f t="shared" si="69"/>
        <v>2.3911797779432309E-3</v>
      </c>
      <c r="AY237" s="15">
        <v>43433</v>
      </c>
      <c r="AZ237" s="12">
        <f t="shared" si="76"/>
        <v>2.6630657303689186E-3</v>
      </c>
    </row>
    <row r="238" spans="4:52" x14ac:dyDescent="0.75">
      <c r="D238" s="15">
        <v>43432</v>
      </c>
      <c r="E238" s="21">
        <f>+VLOOKUP(D238,Prezzi!$I$12:$J$367,2,0)</f>
        <v>4.8798810000000001</v>
      </c>
      <c r="F238" s="21">
        <f>+VLOOKUP(D238,Prezzi!$K$12:$L$367,2,0)/VLOOKUP(D238,Prezzi!$S$12:$T$367,2,0)</f>
        <v>245.05063186813186</v>
      </c>
      <c r="G238" s="1">
        <v>0</v>
      </c>
      <c r="H238" s="21">
        <f>+VLOOKUP(D238,Prezzi!$M$12:$N$367,2,0)/VLOOKUP(D238,Prezzi!$S$12:$T$367,2,0)</f>
        <v>21.039595001772419</v>
      </c>
      <c r="I238" s="1">
        <v>0</v>
      </c>
      <c r="J238" s="21">
        <f>+VLOOKUP(D238,Prezzi!$O$12:$P$367,2,0)/VLOOKUP(D238,Prezzi!$S$12:$T$367,2,0)</f>
        <v>41.719086316908893</v>
      </c>
      <c r="K238" s="1">
        <v>0</v>
      </c>
      <c r="L238" s="21">
        <f>+VLOOKUP(D238,Prezzi!$Q$12:$R$367,2,0)/VLOOKUP(D238,Prezzi!$S$12:$T$367,2,0)</f>
        <v>90.998621056362992</v>
      </c>
      <c r="M238" s="1">
        <v>0</v>
      </c>
      <c r="O238" s="1" t="str">
        <f t="shared" si="71"/>
        <v>201848</v>
      </c>
      <c r="P238" s="35">
        <v>43432</v>
      </c>
      <c r="Q238" s="12">
        <f t="shared" si="70"/>
        <v>1.1455853528437955E-4</v>
      </c>
      <c r="R238" s="12">
        <f t="shared" si="72"/>
        <v>2.6662828697441875E-2</v>
      </c>
      <c r="S238" s="12">
        <f t="shared" si="73"/>
        <v>1.5443551632098324E-3</v>
      </c>
      <c r="T238" s="12">
        <f t="shared" si="74"/>
        <v>1.1442684080733921E-2</v>
      </c>
      <c r="U238" s="12">
        <f t="shared" si="75"/>
        <v>7.3434791665533041E-3</v>
      </c>
      <c r="AI238" s="15">
        <v>43432</v>
      </c>
      <c r="AJ238" s="99">
        <f>+VLOOKUP(AI238,benchmark!I$7:$J$362,2,0)</f>
        <v>238.56239999999997</v>
      </c>
      <c r="AK238" s="61">
        <f>+VLOOKUP(AI238,benchmark!K$7:$L$362,2,0)</f>
        <v>232.10300000000001</v>
      </c>
      <c r="AP238" s="15">
        <v>43432</v>
      </c>
      <c r="AQ238" s="12">
        <f t="shared" si="69"/>
        <v>1.4542652379745391E-2</v>
      </c>
      <c r="AR238" s="12">
        <f t="shared" si="69"/>
        <v>-4.7390506389133336E-5</v>
      </c>
      <c r="AY238" s="15">
        <v>43432</v>
      </c>
      <c r="AZ238" s="12">
        <f t="shared" si="76"/>
        <v>5.7886266480646764E-3</v>
      </c>
    </row>
    <row r="239" spans="4:52" x14ac:dyDescent="0.75">
      <c r="D239" s="15">
        <v>43431</v>
      </c>
      <c r="E239" s="21">
        <f>+VLOOKUP(D239,Prezzi!$I$12:$J$367,2,0)</f>
        <v>4.8793220000000002</v>
      </c>
      <c r="F239" s="21">
        <f>+VLOOKUP(D239,Prezzi!$K$12:$L$367,2,0)/VLOOKUP(D239,Prezzi!$S$12:$T$367,2,0)</f>
        <v>238.6032238700565</v>
      </c>
      <c r="G239" s="1">
        <v>0</v>
      </c>
      <c r="H239" s="21">
        <f>+VLOOKUP(D239,Prezzi!$M$12:$N$367,2,0)/VLOOKUP(D239,Prezzi!$S$12:$T$367,2,0)</f>
        <v>21.00712747175141</v>
      </c>
      <c r="I239" s="1">
        <v>0</v>
      </c>
      <c r="J239" s="21">
        <f>+VLOOKUP(D239,Prezzi!$O$12:$P$367,2,0)/VLOOKUP(D239,Prezzi!$S$12:$T$367,2,0)</f>
        <v>41.244428848870051</v>
      </c>
      <c r="K239" s="1">
        <v>0</v>
      </c>
      <c r="L239" s="21">
        <f>+VLOOKUP(D239,Prezzi!$Q$12:$R$367,2,0)/VLOOKUP(D239,Prezzi!$S$12:$T$367,2,0)</f>
        <v>90.33282221045198</v>
      </c>
      <c r="M239" s="1">
        <v>0</v>
      </c>
      <c r="O239" s="1" t="str">
        <f t="shared" si="71"/>
        <v>201848</v>
      </c>
      <c r="P239" s="35">
        <v>43431</v>
      </c>
      <c r="Q239" s="12">
        <f t="shared" si="70"/>
        <v>9.4935281982181329E-4</v>
      </c>
      <c r="R239" s="12">
        <f t="shared" si="72"/>
        <v>6.3583746458507565E-3</v>
      </c>
      <c r="S239" s="12">
        <f t="shared" si="73"/>
        <v>-8.7116236963972657E-4</v>
      </c>
      <c r="T239" s="12">
        <f t="shared" si="74"/>
        <v>-4.0775865947137108E-3</v>
      </c>
      <c r="U239" s="12">
        <f t="shared" si="75"/>
        <v>-1.7226915165639148E-4</v>
      </c>
      <c r="AI239" s="15">
        <v>43431</v>
      </c>
      <c r="AJ239" s="99">
        <f>+VLOOKUP(AI239,benchmark!I$7:$J$362,2,0)</f>
        <v>235.14279999999999</v>
      </c>
      <c r="AK239" s="61">
        <f>+VLOOKUP(AI239,benchmark!K$7:$L$362,2,0)</f>
        <v>232.114</v>
      </c>
      <c r="AP239" s="15">
        <v>43431</v>
      </c>
      <c r="AQ239" s="12">
        <f t="shared" si="69"/>
        <v>8.3934323519985199E-4</v>
      </c>
      <c r="AR239" s="12">
        <f t="shared" si="69"/>
        <v>2.8011325194254866E-4</v>
      </c>
      <c r="AY239" s="15">
        <v>43431</v>
      </c>
      <c r="AZ239" s="12">
        <f t="shared" si="76"/>
        <v>5.0380524524546995E-4</v>
      </c>
    </row>
    <row r="240" spans="4:52" x14ac:dyDescent="0.75">
      <c r="D240" s="15">
        <v>43430</v>
      </c>
      <c r="E240" s="21">
        <f>+VLOOKUP(D240,Prezzi!$I$12:$J$367,2,0)</f>
        <v>4.8746919999999996</v>
      </c>
      <c r="F240" s="21">
        <f>+VLOOKUP(D240,Prezzi!$K$12:$L$367,2,0)/VLOOKUP(D240,Prezzi!$S$12:$T$367,2,0)</f>
        <v>237.09090821085982</v>
      </c>
      <c r="G240" s="1">
        <v>0</v>
      </c>
      <c r="H240" s="21">
        <f>+VLOOKUP(D240,Prezzi!$M$12:$N$367,2,0)/VLOOKUP(D240,Prezzi!$S$12:$T$367,2,0)</f>
        <v>21.025436064419608</v>
      </c>
      <c r="I240" s="1">
        <v>0</v>
      </c>
      <c r="J240" s="21">
        <f>+VLOOKUP(D240,Prezzi!$O$12:$P$367,2,0)/VLOOKUP(D240,Prezzi!$S$12:$T$367,2,0)</f>
        <v>41.412949925195811</v>
      </c>
      <c r="K240" s="1">
        <v>0</v>
      </c>
      <c r="L240" s="21">
        <f>+VLOOKUP(D240,Prezzi!$Q$12:$R$367,2,0)/VLOOKUP(D240,Prezzi!$S$12:$T$367,2,0)</f>
        <v>90.348385109566124</v>
      </c>
      <c r="M240" s="1">
        <v>0</v>
      </c>
      <c r="O240" s="1" t="str">
        <f t="shared" si="71"/>
        <v>201848</v>
      </c>
      <c r="P240" s="35">
        <v>43430</v>
      </c>
      <c r="Q240" s="12">
        <f t="shared" si="70"/>
        <v>-1.6206020783337257E-5</v>
      </c>
      <c r="R240" s="12">
        <f t="shared" si="72"/>
        <v>1.4558671829508046E-2</v>
      </c>
      <c r="S240" s="12">
        <f t="shared" si="73"/>
        <v>6.7272664123748946E-3</v>
      </c>
      <c r="T240" s="12">
        <f t="shared" si="74"/>
        <v>-1.353828140767405E-3</v>
      </c>
      <c r="U240" s="12">
        <f t="shared" si="75"/>
        <v>-3.2579558663535587E-3</v>
      </c>
      <c r="AI240" s="15">
        <v>43430</v>
      </c>
      <c r="AJ240" s="99">
        <f>+VLOOKUP(AI240,benchmark!I$7:$J$362,2,0)</f>
        <v>234.94560000000001</v>
      </c>
      <c r="AK240" s="61">
        <f>+VLOOKUP(AI240,benchmark!K$7:$L$362,2,0)</f>
        <v>232.04900000000001</v>
      </c>
      <c r="AP240" s="15">
        <v>43430</v>
      </c>
      <c r="AQ240" s="12">
        <f t="shared" si="69"/>
        <v>1.1742374002449374E-2</v>
      </c>
      <c r="AR240" s="12">
        <f t="shared" si="69"/>
        <v>1.0482903807493837E-3</v>
      </c>
      <c r="AY240" s="15">
        <v>43430</v>
      </c>
      <c r="AZ240" s="12">
        <f t="shared" si="76"/>
        <v>5.32592382942938E-3</v>
      </c>
    </row>
    <row r="241" spans="4:52" x14ac:dyDescent="0.75">
      <c r="D241" s="15">
        <v>43427</v>
      </c>
      <c r="E241" s="21">
        <f>+VLOOKUP(D241,Prezzi!$I$12:$J$367,2,0)</f>
        <v>4.874771</v>
      </c>
      <c r="F241" s="21">
        <f>+VLOOKUP(D241,Prezzi!$K$12:$L$367,2,0)/VLOOKUP(D241,Prezzi!$S$12:$T$367,2,0)</f>
        <v>233.66418428470755</v>
      </c>
      <c r="G241" s="1">
        <v>0</v>
      </c>
      <c r="H241" s="21">
        <f>+VLOOKUP(D241,Prezzi!$M$12:$N$367,2,0)/VLOOKUP(D241,Prezzi!$S$12:$T$367,2,0)</f>
        <v>20.884467054263567</v>
      </c>
      <c r="I241" s="1">
        <v>0</v>
      </c>
      <c r="J241" s="21">
        <f>+VLOOKUP(D241,Prezzi!$O$12:$P$367,2,0)/VLOOKUP(D241,Prezzi!$S$12:$T$367,2,0)</f>
        <v>41.46905391120508</v>
      </c>
      <c r="K241" s="1">
        <v>0</v>
      </c>
      <c r="L241" s="21">
        <f>+VLOOKUP(D241,Prezzi!$Q$12:$R$367,2,0)/VLOOKUP(D241,Prezzi!$S$12:$T$367,2,0)</f>
        <v>90.643216173361523</v>
      </c>
      <c r="M241" s="1">
        <v>0</v>
      </c>
      <c r="O241" s="1" t="str">
        <f t="shared" si="71"/>
        <v>201847</v>
      </c>
      <c r="P241" s="35">
        <v>43427</v>
      </c>
      <c r="Q241" s="12">
        <f t="shared" si="70"/>
        <v>2.636368752778994E-4</v>
      </c>
      <c r="R241" s="12">
        <f t="shared" si="72"/>
        <v>-1.5233486984618301E-3</v>
      </c>
      <c r="S241" s="12">
        <f t="shared" si="73"/>
        <v>1.4126453320353052E-3</v>
      </c>
      <c r="T241" s="12">
        <f t="shared" si="74"/>
        <v>1.5420562158354346E-3</v>
      </c>
      <c r="U241" s="12">
        <f t="shared" si="75"/>
        <v>3.9321800095596321E-3</v>
      </c>
      <c r="AI241" s="15">
        <v>43427</v>
      </c>
      <c r="AJ241" s="99">
        <f>+VLOOKUP(AI241,benchmark!I$7:$J$362,2,0)</f>
        <v>232.21880000000002</v>
      </c>
      <c r="AK241" s="61">
        <f>+VLOOKUP(AI241,benchmark!K$7:$L$362,2,0)</f>
        <v>231.80600000000001</v>
      </c>
      <c r="AP241" s="15">
        <v>43427</v>
      </c>
      <c r="AQ241" s="12">
        <f t="shared" si="69"/>
        <v>-4.8715351163631793E-3</v>
      </c>
      <c r="AR241" s="12">
        <f t="shared" si="69"/>
        <v>2.5603985917808103E-3</v>
      </c>
      <c r="AY241" s="15">
        <v>43427</v>
      </c>
      <c r="AZ241" s="12">
        <f t="shared" si="76"/>
        <v>-4.1237489147678569E-4</v>
      </c>
    </row>
    <row r="242" spans="4:52" x14ac:dyDescent="0.75">
      <c r="D242" s="15">
        <v>43425</v>
      </c>
      <c r="E242" s="21">
        <f>+VLOOKUP(D242,Prezzi!$I$12:$J$367,2,0)</f>
        <v>4.8734859999999998</v>
      </c>
      <c r="F242" s="21">
        <f>+VLOOKUP(D242,Prezzi!$K$12:$L$367,2,0)/VLOOKUP(D242,Prezzi!$S$12:$T$367,2,0)</f>
        <v>234.02040757296868</v>
      </c>
      <c r="G242" s="1">
        <v>0</v>
      </c>
      <c r="H242" s="21">
        <f>+VLOOKUP(D242,Prezzi!$M$12:$N$367,2,0)/VLOOKUP(D242,Prezzi!$S$12:$T$367,2,0)</f>
        <v>20.854985537733366</v>
      </c>
      <c r="I242" s="1">
        <v>0</v>
      </c>
      <c r="J242" s="21">
        <f>+VLOOKUP(D242,Prezzi!$O$12:$P$367,2,0)/VLOOKUP(D242,Prezzi!$S$12:$T$367,2,0)</f>
        <v>41.405155578928913</v>
      </c>
      <c r="K242" s="1">
        <v>0</v>
      </c>
      <c r="L242" s="21">
        <f>+VLOOKUP(D242,Prezzi!$Q$12:$R$367,2,0)/VLOOKUP(D242,Prezzi!$S$12:$T$367,2,0)</f>
        <v>90.287490577614165</v>
      </c>
      <c r="M242" s="1">
        <v>0</v>
      </c>
      <c r="O242" s="1" t="str">
        <f t="shared" si="71"/>
        <v>201847</v>
      </c>
      <c r="P242" s="35">
        <v>43425</v>
      </c>
      <c r="Q242" s="12">
        <f t="shared" si="70"/>
        <v>-2.5050796724793612E-4</v>
      </c>
      <c r="R242" s="12">
        <f t="shared" si="72"/>
        <v>4.1737102919145634E-3</v>
      </c>
      <c r="S242" s="12">
        <f t="shared" si="73"/>
        <v>8.2761564100287555E-3</v>
      </c>
      <c r="T242" s="12">
        <f t="shared" si="74"/>
        <v>5.8994160078463774E-3</v>
      </c>
      <c r="U242" s="12">
        <f t="shared" si="75"/>
        <v>2.5351805631043389E-3</v>
      </c>
      <c r="AI242" s="15">
        <v>43425</v>
      </c>
      <c r="AJ242" s="99">
        <f>+VLOOKUP(AI242,benchmark!I$7:$J$362,2,0)</f>
        <v>233.35560000000001</v>
      </c>
      <c r="AK242" s="61">
        <f>+VLOOKUP(AI242,benchmark!K$7:$L$362,2,0)</f>
        <v>231.214</v>
      </c>
      <c r="AP242" s="15">
        <v>43425</v>
      </c>
      <c r="AQ242" s="12">
        <f t="shared" si="69"/>
        <v>3.8436373068986285E-3</v>
      </c>
      <c r="AR242" s="12">
        <f t="shared" si="69"/>
        <v>7.1413423126687192E-4</v>
      </c>
      <c r="AY242" s="15">
        <v>43425</v>
      </c>
      <c r="AZ242" s="12">
        <f t="shared" si="76"/>
        <v>1.9659354615195745E-3</v>
      </c>
    </row>
    <row r="243" spans="4:52" x14ac:dyDescent="0.75">
      <c r="D243" s="15">
        <v>43424</v>
      </c>
      <c r="E243" s="21">
        <f>+VLOOKUP(D243,Prezzi!$I$12:$J$367,2,0)</f>
        <v>4.8747069999999999</v>
      </c>
      <c r="F243" s="21">
        <f>+VLOOKUP(D243,Prezzi!$K$12:$L$367,2,0)/VLOOKUP(D243,Prezzi!$S$12:$T$367,2,0)</f>
        <v>233.04570965764819</v>
      </c>
      <c r="G243" s="1">
        <v>0</v>
      </c>
      <c r="H243" s="21">
        <f>+VLOOKUP(D243,Prezzi!$M$12:$N$367,2,0)/VLOOKUP(D243,Prezzi!$S$12:$T$367,2,0)</f>
        <v>20.683098677874096</v>
      </c>
      <c r="I243" s="1">
        <v>0</v>
      </c>
      <c r="J243" s="21">
        <f>+VLOOKUP(D243,Prezzi!$O$12:$P$367,2,0)/VLOOKUP(D243,Prezzi!$S$12:$T$367,2,0)</f>
        <v>41.161608440591891</v>
      </c>
      <c r="K243" s="1">
        <v>0</v>
      </c>
      <c r="L243" s="21">
        <f>+VLOOKUP(D243,Prezzi!$Q$12:$R$367,2,0)/VLOOKUP(D243,Prezzi!$S$12:$T$367,2,0)</f>
        <v>90.058885386568605</v>
      </c>
      <c r="M243" s="1">
        <v>0</v>
      </c>
      <c r="O243" s="1" t="str">
        <f t="shared" si="71"/>
        <v>201847</v>
      </c>
      <c r="P243" s="35">
        <v>43424</v>
      </c>
      <c r="Q243" s="12">
        <f t="shared" si="70"/>
        <v>6.9669475040489586E-4</v>
      </c>
      <c r="R243" s="12">
        <f t="shared" si="72"/>
        <v>-2.4844234409695829E-2</v>
      </c>
      <c r="S243" s="12">
        <f t="shared" si="73"/>
        <v>-1.7126732129639461E-2</v>
      </c>
      <c r="T243" s="12">
        <f t="shared" si="74"/>
        <v>-9.2719104569827151E-3</v>
      </c>
      <c r="U243" s="12">
        <f t="shared" si="75"/>
        <v>-1.4166155216434646E-2</v>
      </c>
      <c r="AI243" s="15">
        <v>43424</v>
      </c>
      <c r="AJ243" s="99">
        <f>+VLOOKUP(AI243,benchmark!I$7:$J$362,2,0)</f>
        <v>232.46210000000002</v>
      </c>
      <c r="AK243" s="61">
        <f>+VLOOKUP(AI243,benchmark!K$7:$L$362,2,0)</f>
        <v>231.04900000000001</v>
      </c>
      <c r="AP243" s="15">
        <v>43424</v>
      </c>
      <c r="AQ243" s="12">
        <f t="shared" si="69"/>
        <v>-2.5466102281116454E-2</v>
      </c>
      <c r="AR243" s="12">
        <f t="shared" si="69"/>
        <v>-1.1672192945672011E-3</v>
      </c>
      <c r="AY243" s="15">
        <v>43424</v>
      </c>
      <c r="AZ243" s="12">
        <f t="shared" si="76"/>
        <v>-1.0886772489186902E-2</v>
      </c>
    </row>
    <row r="244" spans="4:52" x14ac:dyDescent="0.75">
      <c r="D244" s="15">
        <v>43423</v>
      </c>
      <c r="E244" s="21">
        <f>+VLOOKUP(D244,Prezzi!$I$12:$J$367,2,0)</f>
        <v>4.8713119999999996</v>
      </c>
      <c r="F244" s="21">
        <f>+VLOOKUP(D244,Prezzi!$K$12:$L$367,2,0)/VLOOKUP(D244,Prezzi!$S$12:$T$367,2,0)</f>
        <v>238.90807332980782</v>
      </c>
      <c r="G244" s="1">
        <v>0</v>
      </c>
      <c r="H244" s="21">
        <f>+VLOOKUP(D244,Prezzi!$M$12:$N$367,2,0)/VLOOKUP(D244,Prezzi!$S$12:$T$367,2,0)</f>
        <v>21.040383395029085</v>
      </c>
      <c r="I244" s="1">
        <v>0</v>
      </c>
      <c r="J244" s="21">
        <f>+VLOOKUP(D244,Prezzi!$O$12:$P$367,2,0)/VLOOKUP(D244,Prezzi!$S$12:$T$367,2,0)</f>
        <v>41.545029966508018</v>
      </c>
      <c r="K244" s="1">
        <v>0</v>
      </c>
      <c r="L244" s="21">
        <f>+VLOOKUP(D244,Prezzi!$Q$12:$R$367,2,0)/VLOOKUP(D244,Prezzi!$S$12:$T$367,2,0)</f>
        <v>91.343752864445619</v>
      </c>
      <c r="M244" s="1">
        <v>0</v>
      </c>
      <c r="O244" s="1" t="str">
        <f t="shared" si="71"/>
        <v>201847</v>
      </c>
      <c r="P244" s="35">
        <v>43423</v>
      </c>
      <c r="Q244" s="12">
        <f t="shared" si="70"/>
        <v>3.6814107959573218E-4</v>
      </c>
      <c r="R244" s="12">
        <f t="shared" si="72"/>
        <v>-1.675730296577186E-2</v>
      </c>
      <c r="S244" s="12">
        <f t="shared" si="73"/>
        <v>-3.4311694619455525E-3</v>
      </c>
      <c r="T244" s="12">
        <f t="shared" si="74"/>
        <v>2.0886939807296459E-3</v>
      </c>
      <c r="U244" s="12">
        <f t="shared" si="75"/>
        <v>-8.309277974681427E-4</v>
      </c>
      <c r="AI244" s="15">
        <v>43423</v>
      </c>
      <c r="AJ244" s="99">
        <f>+VLOOKUP(AI244,benchmark!I$7:$J$362,2,0)</f>
        <v>238.53670000000002</v>
      </c>
      <c r="AK244" s="61">
        <f>+VLOOKUP(AI244,benchmark!K$7:$L$362,2,0)</f>
        <v>231.31899999999999</v>
      </c>
      <c r="AP244" s="15">
        <v>43423</v>
      </c>
      <c r="AQ244" s="12">
        <f t="shared" si="69"/>
        <v>0</v>
      </c>
      <c r="AR244" s="12">
        <f t="shared" si="69"/>
        <v>0</v>
      </c>
      <c r="AY244" s="15">
        <v>43423</v>
      </c>
      <c r="AZ244" s="12">
        <f t="shared" si="76"/>
        <v>0</v>
      </c>
    </row>
    <row r="245" spans="4:52" x14ac:dyDescent="0.75">
      <c r="D245" s="15">
        <v>43420</v>
      </c>
      <c r="E245" s="21">
        <f>+VLOOKUP(D245,Prezzi!$I$12:$J$367,2,0)</f>
        <v>4.8695190000000004</v>
      </c>
      <c r="F245" s="21">
        <f>+VLOOKUP(D245,Prezzi!$K$12:$L$367,2,0)/VLOOKUP(D245,Prezzi!$S$12:$T$367,2,0)</f>
        <v>242.94526000352545</v>
      </c>
      <c r="G245" s="1">
        <v>0</v>
      </c>
      <c r="H245" s="21">
        <f>+VLOOKUP(D245,Prezzi!$M$12:$N$367,2,0)/VLOOKUP(D245,Prezzi!$S$12:$T$367,2,0)</f>
        <v>21.112700511193371</v>
      </c>
      <c r="I245" s="1">
        <v>0</v>
      </c>
      <c r="J245" s="21">
        <f>+VLOOKUP(D245,Prezzi!$O$12:$P$367,2,0)/VLOOKUP(D245,Prezzi!$S$12:$T$367,2,0)</f>
        <v>41.458345672483695</v>
      </c>
      <c r="K245" s="1">
        <v>0</v>
      </c>
      <c r="L245" s="21">
        <f>+VLOOKUP(D245,Prezzi!$Q$12:$R$367,2,0)/VLOOKUP(D245,Prezzi!$S$12:$T$367,2,0)</f>
        <v>91.419684470297895</v>
      </c>
      <c r="M245" s="1">
        <v>0</v>
      </c>
      <c r="O245" s="1" t="str">
        <f t="shared" si="71"/>
        <v>201846</v>
      </c>
      <c r="P245" s="35">
        <v>43420</v>
      </c>
      <c r="Q245" s="12">
        <f t="shared" si="70"/>
        <v>5.955431399782289E-6</v>
      </c>
      <c r="R245" s="12">
        <f t="shared" si="72"/>
        <v>-1.32137336356446E-3</v>
      </c>
      <c r="S245" s="12">
        <f t="shared" si="73"/>
        <v>3.8823920272306237E-3</v>
      </c>
      <c r="T245" s="12">
        <f t="shared" si="74"/>
        <v>3.0733737371122236E-3</v>
      </c>
      <c r="U245" s="12">
        <f t="shared" si="75"/>
        <v>-3.0993319338232057E-3</v>
      </c>
      <c r="AI245" s="15">
        <v>43420</v>
      </c>
      <c r="AJ245" s="99">
        <f>+VLOOKUP(AI245,benchmark!I$7:$J$362,2,0)</f>
        <v>238.53670000000002</v>
      </c>
      <c r="AK245" s="61">
        <f>+VLOOKUP(AI245,benchmark!K$7:$L$362,2,0)</f>
        <v>231.31899999999999</v>
      </c>
      <c r="AP245" s="15">
        <v>43420</v>
      </c>
      <c r="AQ245" s="12">
        <f t="shared" si="69"/>
        <v>3.0460998022390218E-3</v>
      </c>
      <c r="AR245" s="12">
        <f t="shared" si="69"/>
        <v>-7.8185745140391116E-4</v>
      </c>
      <c r="AY245" s="15">
        <v>43420</v>
      </c>
      <c r="AZ245" s="12">
        <f t="shared" si="76"/>
        <v>7.4932545005326214E-4</v>
      </c>
    </row>
    <row r="246" spans="4:52" x14ac:dyDescent="0.75">
      <c r="D246" s="15">
        <v>43419</v>
      </c>
      <c r="E246" s="21">
        <f>+VLOOKUP(D246,Prezzi!$I$12:$J$367,2,0)</f>
        <v>4.8694899999999999</v>
      </c>
      <c r="F246" s="21">
        <f>+VLOOKUP(D246,Prezzi!$K$12:$L$367,2,0)/VLOOKUP(D246,Prezzi!$S$12:$T$367,2,0)</f>
        <v>243.26649358690841</v>
      </c>
      <c r="G246" s="1">
        <v>0</v>
      </c>
      <c r="H246" s="21">
        <f>+VLOOKUP(D246,Prezzi!$M$12:$N$367,2,0)/VLOOKUP(D246,Prezzi!$S$12:$T$367,2,0)</f>
        <v>21.030891640866873</v>
      </c>
      <c r="I246" s="1">
        <v>0</v>
      </c>
      <c r="J246" s="21">
        <f>+VLOOKUP(D246,Prezzi!$O$12:$P$367,2,0)/VLOOKUP(D246,Prezzi!$S$12:$T$367,2,0)</f>
        <v>41.331124281291466</v>
      </c>
      <c r="K246" s="1">
        <v>0</v>
      </c>
      <c r="L246" s="21">
        <f>+VLOOKUP(D246,Prezzi!$Q$12:$R$367,2,0)/VLOOKUP(D246,Prezzi!$S$12:$T$367,2,0)</f>
        <v>91.703463954002643</v>
      </c>
      <c r="M246" s="1">
        <v>0</v>
      </c>
      <c r="O246" s="1" t="str">
        <f t="shared" si="71"/>
        <v>201846</v>
      </c>
      <c r="P246" s="35">
        <v>43419</v>
      </c>
      <c r="Q246" s="12">
        <f t="shared" si="70"/>
        <v>-3.8785041122717684E-4</v>
      </c>
      <c r="R246" s="12">
        <f t="shared" si="72"/>
        <v>1.0068909525341245E-2</v>
      </c>
      <c r="S246" s="12">
        <f t="shared" si="73"/>
        <v>-9.5668228633032527E-3</v>
      </c>
      <c r="T246" s="12">
        <f t="shared" si="74"/>
        <v>2.5075512954025078E-3</v>
      </c>
      <c r="U246" s="12">
        <f t="shared" si="75"/>
        <v>-2.5085755376026216E-3</v>
      </c>
      <c r="AI246" s="15">
        <v>43419</v>
      </c>
      <c r="AJ246" s="99">
        <f>+VLOOKUP(AI246,benchmark!I$7:$J$362,2,0)</f>
        <v>237.81229999999999</v>
      </c>
      <c r="AK246" s="61">
        <f>+VLOOKUP(AI246,benchmark!K$7:$L$362,2,0)</f>
        <v>231.5</v>
      </c>
      <c r="AP246" s="15">
        <v>43419</v>
      </c>
      <c r="AQ246" s="12">
        <f t="shared" si="69"/>
        <v>6.6227099777056431E-3</v>
      </c>
      <c r="AR246" s="12">
        <f t="shared" si="69"/>
        <v>1.1243729458569884E-3</v>
      </c>
      <c r="AY246" s="15">
        <v>43419</v>
      </c>
      <c r="AZ246" s="12">
        <f t="shared" si="76"/>
        <v>3.3237077585964504E-3</v>
      </c>
    </row>
    <row r="247" spans="4:52" x14ac:dyDescent="0.75">
      <c r="D247" s="15">
        <v>43418</v>
      </c>
      <c r="E247" s="21">
        <f>+VLOOKUP(D247,Prezzi!$I$12:$J$367,2,0)</f>
        <v>4.8713790000000001</v>
      </c>
      <c r="F247" s="21">
        <f>+VLOOKUP(D247,Prezzi!$K$12:$L$367,2,0)/VLOOKUP(D247,Prezzi!$S$12:$T$367,2,0)</f>
        <v>240.82935552407935</v>
      </c>
      <c r="G247" s="1">
        <v>0</v>
      </c>
      <c r="H247" s="21">
        <f>+VLOOKUP(D247,Prezzi!$M$12:$N$367,2,0)/VLOOKUP(D247,Prezzi!$S$12:$T$367,2,0)</f>
        <v>21.233055949008502</v>
      </c>
      <c r="I247" s="1">
        <v>0</v>
      </c>
      <c r="J247" s="21">
        <f>+VLOOKUP(D247,Prezzi!$O$12:$P$367,2,0)/VLOOKUP(D247,Prezzi!$S$12:$T$367,2,0)</f>
        <v>41.227614199716712</v>
      </c>
      <c r="K247" s="1">
        <v>0</v>
      </c>
      <c r="L247" s="21">
        <f>+VLOOKUP(D247,Prezzi!$Q$12:$R$367,2,0)/VLOOKUP(D247,Prezzi!$S$12:$T$367,2,0)</f>
        <v>91.933797804532574</v>
      </c>
      <c r="M247" s="1">
        <v>0</v>
      </c>
      <c r="O247" s="1" t="str">
        <f t="shared" si="71"/>
        <v>201846</v>
      </c>
      <c r="P247" s="35">
        <v>43418</v>
      </c>
      <c r="Q247" s="12">
        <f t="shared" si="70"/>
        <v>1.1701067291465381E-5</v>
      </c>
      <c r="R247" s="12">
        <f t="shared" si="72"/>
        <v>-1.04511634439286E-2</v>
      </c>
      <c r="S247" s="12">
        <f t="shared" si="73"/>
        <v>-3.1795472568475745E-3</v>
      </c>
      <c r="T247" s="12">
        <f t="shared" si="74"/>
        <v>4.4538899884467471E-3</v>
      </c>
      <c r="U247" s="12">
        <f t="shared" si="75"/>
        <v>-4.0122604160616367E-3</v>
      </c>
      <c r="AI247" s="15">
        <v>43418</v>
      </c>
      <c r="AJ247" s="99">
        <f>+VLOOKUP(AI247,benchmark!I$7:$J$362,2,0)</f>
        <v>236.24769999999998</v>
      </c>
      <c r="AK247" s="61">
        <f>+VLOOKUP(AI247,benchmark!K$7:$L$362,2,0)</f>
        <v>231.24</v>
      </c>
      <c r="AP247" s="15">
        <v>43418</v>
      </c>
      <c r="AQ247" s="12">
        <f t="shared" si="69"/>
        <v>-4.6337121730796182E-3</v>
      </c>
      <c r="AR247" s="12">
        <f t="shared" si="69"/>
        <v>-9.4185554182613096E-4</v>
      </c>
      <c r="AY247" s="15">
        <v>43418</v>
      </c>
      <c r="AZ247" s="12">
        <f t="shared" si="76"/>
        <v>-2.418598194327526E-3</v>
      </c>
    </row>
    <row r="248" spans="4:52" x14ac:dyDescent="0.75">
      <c r="D248" s="15">
        <v>43417</v>
      </c>
      <c r="E248" s="21">
        <f>+VLOOKUP(D248,Prezzi!$I$12:$J$367,2,0)</f>
        <v>4.8713220000000002</v>
      </c>
      <c r="F248" s="21">
        <f>+VLOOKUP(D248,Prezzi!$K$12:$L$367,2,0)/VLOOKUP(D248,Prezzi!$S$12:$T$367,2,0)</f>
        <v>243.35950093242164</v>
      </c>
      <c r="G248" s="1">
        <v>0</v>
      </c>
      <c r="H248" s="21">
        <f>+VLOOKUP(D248,Prezzi!$M$12:$N$367,2,0)/VLOOKUP(D248,Prezzi!$S$12:$T$367,2,0)</f>
        <v>21.300674895657576</v>
      </c>
      <c r="I248" s="1">
        <v>0</v>
      </c>
      <c r="J248" s="21">
        <f>+VLOOKUP(D248,Prezzi!$O$12:$P$367,2,0)/VLOOKUP(D248,Prezzi!$S$12:$T$367,2,0)</f>
        <v>41.044399254062689</v>
      </c>
      <c r="K248" s="1">
        <v>0</v>
      </c>
      <c r="L248" s="21">
        <f>+VLOOKUP(D248,Prezzi!$Q$12:$R$367,2,0)/VLOOKUP(D248,Prezzi!$S$12:$T$367,2,0)</f>
        <v>92.303401118905953</v>
      </c>
      <c r="M248" s="1">
        <v>0</v>
      </c>
      <c r="O248" s="1" t="str">
        <f t="shared" si="71"/>
        <v>201846</v>
      </c>
      <c r="P248" s="35">
        <v>43417</v>
      </c>
      <c r="Q248" s="12">
        <f t="shared" si="70"/>
        <v>8.3441319340821804E-4</v>
      </c>
      <c r="R248" s="12">
        <f t="shared" si="72"/>
        <v>-1.0920652834249325E-3</v>
      </c>
      <c r="S248" s="12">
        <f t="shared" si="73"/>
        <v>7.0390018521011245E-3</v>
      </c>
      <c r="T248" s="12">
        <f t="shared" si="74"/>
        <v>-8.7857809855652099E-4</v>
      </c>
      <c r="U248" s="12">
        <f t="shared" si="75"/>
        <v>-3.7667999884160434E-3</v>
      </c>
      <c r="AI248" s="15">
        <v>43417</v>
      </c>
      <c r="AJ248" s="99">
        <f>+VLOOKUP(AI248,benchmark!I$7:$J$362,2,0)</f>
        <v>237.3475</v>
      </c>
      <c r="AK248" s="61">
        <f>+VLOOKUP(AI248,benchmark!K$7:$L$362,2,0)</f>
        <v>231.458</v>
      </c>
      <c r="AP248" s="15">
        <v>43417</v>
      </c>
      <c r="AQ248" s="12">
        <f t="shared" si="69"/>
        <v>-8.9535199919843489E-4</v>
      </c>
      <c r="AR248" s="12">
        <f t="shared" si="69"/>
        <v>-6.6921977609202266E-4</v>
      </c>
      <c r="AY248" s="15">
        <v>43417</v>
      </c>
      <c r="AZ248" s="12">
        <f t="shared" si="76"/>
        <v>-7.5967266533458764E-4</v>
      </c>
    </row>
    <row r="249" spans="4:52" x14ac:dyDescent="0.75">
      <c r="D249" s="15">
        <v>43416</v>
      </c>
      <c r="E249" s="21">
        <f>+VLOOKUP(D249,Prezzi!$I$12:$J$367,2,0)</f>
        <v>4.8672589999999998</v>
      </c>
      <c r="F249" s="21">
        <f>+VLOOKUP(D249,Prezzi!$K$12:$L$367,2,0)/VLOOKUP(D249,Prezzi!$S$12:$T$367,2,0)</f>
        <v>243.62541056369284</v>
      </c>
      <c r="G249" s="1">
        <v>0</v>
      </c>
      <c r="H249" s="21">
        <f>+VLOOKUP(D249,Prezzi!$M$12:$N$367,2,0)/VLOOKUP(D249,Prezzi!$S$12:$T$367,2,0)</f>
        <v>21.151265867731912</v>
      </c>
      <c r="I249" s="1">
        <v>0</v>
      </c>
      <c r="J249" s="21">
        <f>+VLOOKUP(D249,Prezzi!$O$12:$P$367,2,0)/VLOOKUP(D249,Prezzi!$S$12:$T$367,2,0)</f>
        <v>41.080475810031068</v>
      </c>
      <c r="K249" s="1">
        <v>0</v>
      </c>
      <c r="L249" s="21">
        <f>+VLOOKUP(D249,Prezzi!$Q$12:$R$367,2,0)/VLOOKUP(D249,Prezzi!$S$12:$T$367,2,0)</f>
        <v>92.651745228584105</v>
      </c>
      <c r="M249" s="1">
        <v>0</v>
      </c>
      <c r="O249" s="1" t="str">
        <f t="shared" si="71"/>
        <v>201846</v>
      </c>
      <c r="P249" s="35">
        <v>43416</v>
      </c>
      <c r="Q249" s="12">
        <f t="shared" si="70"/>
        <v>3.6742003941633166E-4</v>
      </c>
      <c r="R249" s="12">
        <f t="shared" si="72"/>
        <v>-1.2734884021913501E-2</v>
      </c>
      <c r="S249" s="12">
        <f t="shared" si="73"/>
        <v>-6.5202117059375841E-3</v>
      </c>
      <c r="T249" s="12">
        <f t="shared" si="74"/>
        <v>2.1018006181561621E-3</v>
      </c>
      <c r="U249" s="12">
        <f t="shared" si="75"/>
        <v>7.6240699475278676E-3</v>
      </c>
      <c r="AI249" s="15">
        <v>43416</v>
      </c>
      <c r="AJ249" s="99">
        <f>+VLOOKUP(AI249,benchmark!I$7:$J$362,2,0)</f>
        <v>237.56019999999998</v>
      </c>
      <c r="AK249" s="61">
        <f>+VLOOKUP(AI249,benchmark!K$7:$L$362,2,0)</f>
        <v>231.613</v>
      </c>
      <c r="AP249" s="15">
        <v>43416</v>
      </c>
      <c r="AQ249" s="12">
        <f t="shared" si="69"/>
        <v>-1.592716972425201E-2</v>
      </c>
      <c r="AR249" s="12">
        <f t="shared" si="69"/>
        <v>-9.9293719456383656E-5</v>
      </c>
      <c r="AY249" s="15">
        <v>43416</v>
      </c>
      <c r="AZ249" s="12">
        <f t="shared" si="76"/>
        <v>-6.4304441213746347E-3</v>
      </c>
    </row>
    <row r="250" spans="4:52" x14ac:dyDescent="0.75">
      <c r="D250" s="15">
        <v>43413</v>
      </c>
      <c r="E250" s="21">
        <f>+VLOOKUP(D250,Prezzi!$I$12:$J$367,2,0)</f>
        <v>4.8654710000000003</v>
      </c>
      <c r="F250" s="21">
        <f>+VLOOKUP(D250,Prezzi!$K$12:$L$367,2,0)/VLOOKUP(D250,Prezzi!$S$12:$T$367,2,0)</f>
        <v>246.74779129208528</v>
      </c>
      <c r="G250" s="1">
        <v>0</v>
      </c>
      <c r="H250" s="21">
        <f>+VLOOKUP(D250,Prezzi!$M$12:$N$367,2,0)/VLOOKUP(D250,Prezzi!$S$12:$T$367,2,0)</f>
        <v>21.289627181385512</v>
      </c>
      <c r="I250" s="1">
        <v>0</v>
      </c>
      <c r="J250" s="21">
        <f>+VLOOKUP(D250,Prezzi!$O$12:$P$367,2,0)/VLOOKUP(D250,Prezzi!$S$12:$T$367,2,0)</f>
        <v>40.994223514895111</v>
      </c>
      <c r="K250" s="1">
        <v>0</v>
      </c>
      <c r="L250" s="21">
        <f>+VLOOKUP(D250,Prezzi!$Q$12:$R$367,2,0)/VLOOKUP(D250,Prezzi!$S$12:$T$367,2,0)</f>
        <v>91.94804777013924</v>
      </c>
      <c r="M250" s="1">
        <v>0</v>
      </c>
      <c r="O250" s="1" t="str">
        <f t="shared" si="71"/>
        <v>201845</v>
      </c>
      <c r="P250" s="35">
        <v>43413</v>
      </c>
      <c r="Q250" s="12">
        <f t="shared" si="70"/>
        <v>1.2270890718660862E-4</v>
      </c>
      <c r="R250" s="12">
        <f t="shared" si="72"/>
        <v>-2.2250692063062794E-3</v>
      </c>
      <c r="S250" s="12">
        <f t="shared" si="73"/>
        <v>3.5425586006684697E-3</v>
      </c>
      <c r="T250" s="12">
        <f t="shared" si="74"/>
        <v>-5.7196934538598244E-3</v>
      </c>
      <c r="U250" s="12">
        <f t="shared" si="75"/>
        <v>5.5454002370802623E-3</v>
      </c>
      <c r="AI250" s="15">
        <v>43413</v>
      </c>
      <c r="AJ250" s="99">
        <f>+VLOOKUP(AI250,benchmark!I$7:$J$362,2,0)</f>
        <v>241.4051</v>
      </c>
      <c r="AK250" s="61">
        <f>+VLOOKUP(AI250,benchmark!K$7:$L$362,2,0)</f>
        <v>231.636</v>
      </c>
      <c r="AP250" s="15">
        <v>43413</v>
      </c>
      <c r="AQ250" s="12">
        <f t="shared" si="69"/>
        <v>-1.0104186998604159E-2</v>
      </c>
      <c r="AR250" s="12">
        <f t="shared" si="69"/>
        <v>1.4613182993368223E-3</v>
      </c>
      <c r="AY250" s="15">
        <v>43413</v>
      </c>
      <c r="AZ250" s="12">
        <f t="shared" si="76"/>
        <v>-3.1648838198395698E-3</v>
      </c>
    </row>
    <row r="251" spans="4:52" x14ac:dyDescent="0.75">
      <c r="D251" s="15">
        <v>43412</v>
      </c>
      <c r="E251" s="21">
        <f>+VLOOKUP(D251,Prezzi!$I$12:$J$367,2,0)</f>
        <v>4.8648740000000004</v>
      </c>
      <c r="F251" s="21">
        <f>+VLOOKUP(D251,Prezzi!$K$12:$L$367,2,0)/VLOOKUP(D251,Prezzi!$S$12:$T$367,2,0)</f>
        <v>247.29743347338933</v>
      </c>
      <c r="G251" s="1">
        <v>0</v>
      </c>
      <c r="H251" s="21">
        <f>+VLOOKUP(D251,Prezzi!$M$12:$N$367,2,0)/VLOOKUP(D251,Prezzi!$S$12:$T$367,2,0)</f>
        <v>21.214340861344535</v>
      </c>
      <c r="I251" s="1">
        <v>0</v>
      </c>
      <c r="J251" s="21">
        <f>+VLOOKUP(D251,Prezzi!$O$12:$P$367,2,0)/VLOOKUP(D251,Prezzi!$S$12:$T$367,2,0)</f>
        <v>41.229369747899156</v>
      </c>
      <c r="K251" s="1">
        <v>0</v>
      </c>
      <c r="L251" s="21">
        <f>+VLOOKUP(D251,Prezzi!$Q$12:$R$367,2,0)/VLOOKUP(D251,Prezzi!$S$12:$T$367,2,0)</f>
        <v>91.439570203081232</v>
      </c>
      <c r="M251" s="1">
        <v>0</v>
      </c>
      <c r="O251" s="1" t="str">
        <f t="shared" si="71"/>
        <v>201845</v>
      </c>
      <c r="P251" s="35">
        <v>43412</v>
      </c>
      <c r="Q251" s="12">
        <f t="shared" si="70"/>
        <v>1.7061224616034141E-5</v>
      </c>
      <c r="R251" s="12">
        <f t="shared" si="72"/>
        <v>3.5094418522077435E-3</v>
      </c>
      <c r="S251" s="12">
        <f t="shared" si="73"/>
        <v>4.4480053461874846E-3</v>
      </c>
      <c r="T251" s="12">
        <f t="shared" si="74"/>
        <v>2.7151808565861989E-3</v>
      </c>
      <c r="U251" s="12">
        <f t="shared" si="75"/>
        <v>2.8560824470611895E-3</v>
      </c>
      <c r="AI251" s="15">
        <v>43412</v>
      </c>
      <c r="AJ251" s="99">
        <f>+VLOOKUP(AI251,benchmark!I$7:$J$362,2,0)</f>
        <v>243.86920000000001</v>
      </c>
      <c r="AK251" s="61">
        <f>+VLOOKUP(AI251,benchmark!K$7:$L$362,2,0)</f>
        <v>231.298</v>
      </c>
      <c r="AP251" s="15">
        <v>43412</v>
      </c>
      <c r="AQ251" s="12">
        <f t="shared" si="69"/>
        <v>-1.0290004440431932E-3</v>
      </c>
      <c r="AR251" s="12">
        <f t="shared" si="69"/>
        <v>-9.7182569334364199E-4</v>
      </c>
      <c r="AY251" s="15">
        <v>43412</v>
      </c>
      <c r="AZ251" s="12">
        <f t="shared" si="76"/>
        <v>-9.9469559362346254E-4</v>
      </c>
    </row>
    <row r="252" spans="4:52" x14ac:dyDescent="0.75">
      <c r="D252" s="15">
        <v>43411</v>
      </c>
      <c r="E252" s="21">
        <f>+VLOOKUP(D252,Prezzi!$I$12:$J$367,2,0)</f>
        <v>4.8647910000000003</v>
      </c>
      <c r="F252" s="21">
        <f>+VLOOKUP(D252,Prezzi!$K$12:$L$367,2,0)/VLOOKUP(D252,Prezzi!$S$12:$T$367,2,0)</f>
        <v>246.43107861060327</v>
      </c>
      <c r="G252" s="1">
        <v>0</v>
      </c>
      <c r="H252" s="21">
        <f>+VLOOKUP(D252,Prezzi!$M$12:$N$367,2,0)/VLOOKUP(D252,Prezzi!$S$12:$T$367,2,0)</f>
        <v>21.120188909201705</v>
      </c>
      <c r="I252" s="1">
        <v>0</v>
      </c>
      <c r="J252" s="21">
        <f>+VLOOKUP(D252,Prezzi!$O$12:$P$367,2,0)/VLOOKUP(D252,Prezzi!$S$12:$T$367,2,0)</f>
        <v>41.117576390702531</v>
      </c>
      <c r="K252" s="1">
        <v>0</v>
      </c>
      <c r="L252" s="21">
        <f>+VLOOKUP(D252,Prezzi!$Q$12:$R$367,2,0)/VLOOKUP(D252,Prezzi!$S$12:$T$367,2,0)</f>
        <v>91.178783842604687</v>
      </c>
      <c r="M252" s="126">
        <f>0.46/VLOOKUP(D252,Prezzi!$S$12:$T$367,2,0)</f>
        <v>0.40045268564464176</v>
      </c>
      <c r="O252" s="1" t="str">
        <f t="shared" si="71"/>
        <v>201845</v>
      </c>
      <c r="P252" s="35">
        <v>43411</v>
      </c>
      <c r="Q252" s="12">
        <f t="shared" si="70"/>
        <v>3.8220661148158857E-4</v>
      </c>
      <c r="R252" s="12">
        <f t="shared" si="72"/>
        <v>1.5850593548747287E-2</v>
      </c>
      <c r="S252" s="12">
        <f t="shared" si="73"/>
        <v>9.2603655145301941E-3</v>
      </c>
      <c r="T252" s="12">
        <f t="shared" si="74"/>
        <v>-3.6301074283652864E-3</v>
      </c>
      <c r="U252" s="12">
        <f t="shared" si="75"/>
        <v>8.3795107299677667E-4</v>
      </c>
      <c r="AI252" s="15">
        <v>43411</v>
      </c>
      <c r="AJ252" s="99">
        <f>+VLOOKUP(AI252,benchmark!I$7:$J$362,2,0)</f>
        <v>244.12040000000002</v>
      </c>
      <c r="AK252" s="61">
        <f>+VLOOKUP(AI252,benchmark!K$7:$L$362,2,0)</f>
        <v>231.523</v>
      </c>
      <c r="AP252" s="15">
        <v>43411</v>
      </c>
      <c r="AQ252" s="12">
        <f t="shared" si="69"/>
        <v>1.5288779979396372E-2</v>
      </c>
      <c r="AR252" s="12">
        <f t="shared" si="69"/>
        <v>-9.5013928178122598E-5</v>
      </c>
      <c r="AY252" s="15">
        <v>43411</v>
      </c>
      <c r="AZ252" s="12">
        <f t="shared" si="76"/>
        <v>6.0585036348516754E-3</v>
      </c>
    </row>
    <row r="253" spans="4:52" x14ac:dyDescent="0.75">
      <c r="D253" s="15">
        <v>43410</v>
      </c>
      <c r="E253" s="21">
        <f>+VLOOKUP(D253,Prezzi!$I$12:$J$367,2,0)</f>
        <v>4.8629319999999998</v>
      </c>
      <c r="F253" s="21">
        <f>+VLOOKUP(D253,Prezzi!$K$12:$L$367,2,0)/VLOOKUP(D253,Prezzi!$S$12:$T$367,2,0)</f>
        <v>242.55579366468325</v>
      </c>
      <c r="G253" s="1">
        <v>0</v>
      </c>
      <c r="H253" s="21">
        <f>+VLOOKUP(D253,Prezzi!$M$12:$N$367,2,0)/VLOOKUP(D253,Prezzi!$S$12:$T$367,2,0)</f>
        <v>20.925511025551277</v>
      </c>
      <c r="I253" s="1">
        <v>0</v>
      </c>
      <c r="J253" s="21">
        <f>+VLOOKUP(D253,Prezzi!$O$12:$P$367,2,0)/VLOOKUP(D253,Prezzi!$S$12:$T$367,2,0)</f>
        <v>41.267108855442771</v>
      </c>
      <c r="K253" s="1">
        <v>0</v>
      </c>
      <c r="L253" s="21">
        <f>+VLOOKUP(D253,Prezzi!$Q$12:$R$367,2,0)/VLOOKUP(D253,Prezzi!$S$12:$T$367,2,0)</f>
        <v>91.502529751487572</v>
      </c>
      <c r="M253" s="1">
        <v>0</v>
      </c>
      <c r="O253" s="1" t="str">
        <f t="shared" si="71"/>
        <v>201845</v>
      </c>
      <c r="P253" s="35">
        <v>43410</v>
      </c>
      <c r="Q253" s="12">
        <f t="shared" si="70"/>
        <v>1.3756308128910805E-3</v>
      </c>
      <c r="R253" s="12">
        <f t="shared" si="72"/>
        <v>1.2302876289950924E-3</v>
      </c>
      <c r="S253" s="12">
        <f t="shared" si="73"/>
        <v>-5.1131410907586088E-3</v>
      </c>
      <c r="T253" s="12">
        <f t="shared" si="74"/>
        <v>-9.7159328952778727E-3</v>
      </c>
      <c r="U253" s="12">
        <f t="shared" si="75"/>
        <v>-5.3262014115361828E-3</v>
      </c>
      <c r="AI253" s="15">
        <v>43410</v>
      </c>
      <c r="AJ253" s="99">
        <f>+VLOOKUP(AI253,benchmark!I$7:$J$362,2,0)</f>
        <v>240.44430000000003</v>
      </c>
      <c r="AK253" s="61">
        <f>+VLOOKUP(AI253,benchmark!K$7:$L$362,2,0)</f>
        <v>231.54499999999999</v>
      </c>
      <c r="AP253" s="15">
        <v>43410</v>
      </c>
      <c r="AQ253" s="12">
        <f t="shared" ref="AQ253:AR316" si="77">+AJ253/AJ254-1</f>
        <v>4.3663507366364929E-3</v>
      </c>
      <c r="AR253" s="12">
        <f t="shared" si="77"/>
        <v>-1.1991907619175457E-3</v>
      </c>
      <c r="AY253" s="15">
        <v>43410</v>
      </c>
      <c r="AZ253" s="12">
        <f t="shared" si="76"/>
        <v>1.0270258375040698E-3</v>
      </c>
    </row>
    <row r="254" spans="4:52" x14ac:dyDescent="0.75">
      <c r="D254" s="15">
        <v>43409</v>
      </c>
      <c r="E254" s="21">
        <f>+VLOOKUP(D254,Prezzi!$I$12:$J$367,2,0)</f>
        <v>4.8562469999999998</v>
      </c>
      <c r="F254" s="21">
        <f>+VLOOKUP(D254,Prezzi!$K$12:$L$367,2,0)/VLOOKUP(D254,Prezzi!$S$12:$T$367,2,0)</f>
        <v>242.25756376429197</v>
      </c>
      <c r="G254" s="1">
        <v>0</v>
      </c>
      <c r="H254" s="21">
        <f>+VLOOKUP(D254,Prezzi!$M$12:$N$367,2,0)/VLOOKUP(D254,Prezzi!$S$12:$T$367,2,0)</f>
        <v>21.032780123131047</v>
      </c>
      <c r="I254" s="1">
        <v>0</v>
      </c>
      <c r="J254" s="21">
        <f>+VLOOKUP(D254,Prezzi!$O$12:$P$367,2,0)/VLOOKUP(D254,Prezzi!$S$12:$T$367,2,0)</f>
        <v>41.670011433597182</v>
      </c>
      <c r="K254" s="1">
        <v>0</v>
      </c>
      <c r="L254" s="21">
        <f>+VLOOKUP(D254,Prezzi!$Q$12:$R$367,2,0)/VLOOKUP(D254,Prezzi!$S$12:$T$367,2,0)</f>
        <v>91.991190853122262</v>
      </c>
      <c r="M254" s="1">
        <v>0</v>
      </c>
      <c r="O254" s="1" t="str">
        <f t="shared" si="71"/>
        <v>201845</v>
      </c>
      <c r="P254" s="35">
        <v>43409</v>
      </c>
      <c r="Q254" s="12">
        <f t="shared" si="70"/>
        <v>-9.1674882111932173E-4</v>
      </c>
      <c r="R254" s="12">
        <f t="shared" si="72"/>
        <v>9.7466818095725931E-3</v>
      </c>
      <c r="S254" s="12">
        <f t="shared" si="73"/>
        <v>7.7846926049555416E-3</v>
      </c>
      <c r="T254" s="12">
        <f t="shared" si="74"/>
        <v>3.1759293009937981E-3</v>
      </c>
      <c r="U254" s="12">
        <f t="shared" si="75"/>
        <v>4.9814315103094819E-3</v>
      </c>
      <c r="AI254" s="15">
        <v>43409</v>
      </c>
      <c r="AJ254" s="99">
        <f>+VLOOKUP(AI254,benchmark!I$7:$J$362,2,0)</f>
        <v>239.39899999999997</v>
      </c>
      <c r="AK254" s="61">
        <f>+VLOOKUP(AI254,benchmark!K$7:$L$362,2,0)</f>
        <v>231.82300000000001</v>
      </c>
      <c r="AP254" s="15">
        <v>43409</v>
      </c>
      <c r="AQ254" s="12">
        <f t="shared" si="77"/>
        <v>1.2588980250773929E-3</v>
      </c>
      <c r="AR254" s="12">
        <f t="shared" si="77"/>
        <v>4.3154973826498022E-4</v>
      </c>
      <c r="AY254" s="15">
        <v>43409</v>
      </c>
      <c r="AZ254" s="12">
        <f t="shared" si="76"/>
        <v>7.6248905298994521E-4</v>
      </c>
    </row>
    <row r="255" spans="4:52" x14ac:dyDescent="0.75">
      <c r="D255" s="15">
        <v>43406</v>
      </c>
      <c r="E255" s="21">
        <f>+VLOOKUP(D255,Prezzi!$I$12:$J$367,2,0)</f>
        <v>4.8607009999999997</v>
      </c>
      <c r="F255" s="21">
        <f>+VLOOKUP(D255,Prezzi!$K$12:$L$367,2,0)/VLOOKUP(D255,Prezzi!$S$12:$T$367,2,0)</f>
        <v>239.90782604887448</v>
      </c>
      <c r="G255" s="1">
        <v>0</v>
      </c>
      <c r="H255" s="21">
        <f>+VLOOKUP(D255,Prezzi!$M$12:$N$367,2,0)/VLOOKUP(D255,Prezzi!$S$12:$T$367,2,0)</f>
        <v>20.869682053078744</v>
      </c>
      <c r="I255" s="1">
        <v>0</v>
      </c>
      <c r="J255" s="21">
        <f>+VLOOKUP(D255,Prezzi!$O$12:$P$367,2,0)/VLOOKUP(D255,Prezzi!$S$12:$T$367,2,0)</f>
        <v>41.537880353858284</v>
      </c>
      <c r="K255" s="1">
        <v>0</v>
      </c>
      <c r="L255" s="21">
        <f>+VLOOKUP(D255,Prezzi!$Q$12:$R$367,2,0)/VLOOKUP(D255,Prezzi!$S$12:$T$367,2,0)</f>
        <v>91.53408250853991</v>
      </c>
      <c r="M255" s="1">
        <v>0</v>
      </c>
      <c r="O255" s="1" t="str">
        <f t="shared" si="71"/>
        <v>201844</v>
      </c>
      <c r="P255" s="35">
        <v>43406</v>
      </c>
      <c r="Q255" s="12">
        <f t="shared" si="70"/>
        <v>2.8744841378558857E-4</v>
      </c>
      <c r="R255" s="12">
        <f t="shared" si="72"/>
        <v>-8.351006283090958E-3</v>
      </c>
      <c r="S255" s="12">
        <f t="shared" si="73"/>
        <v>-4.2750718558504826E-3</v>
      </c>
      <c r="T255" s="12">
        <f t="shared" si="74"/>
        <v>-5.2439045861164338E-3</v>
      </c>
      <c r="U255" s="12">
        <f t="shared" si="75"/>
        <v>-7.1250398075944151E-4</v>
      </c>
      <c r="AI255" s="15">
        <v>43406</v>
      </c>
      <c r="AJ255" s="99">
        <f>+VLOOKUP(AI255,benchmark!I$7:$J$362,2,0)</f>
        <v>239.09800000000001</v>
      </c>
      <c r="AK255" s="61">
        <f>+VLOOKUP(AI255,benchmark!K$7:$L$362,2,0)</f>
        <v>231.72300000000001</v>
      </c>
      <c r="AP255" s="15">
        <v>43406</v>
      </c>
      <c r="AQ255" s="12">
        <f t="shared" si="77"/>
        <v>1.0521393010662905E-3</v>
      </c>
      <c r="AR255" s="12">
        <f t="shared" si="77"/>
        <v>-3.451206412340424E-4</v>
      </c>
      <c r="AY255" s="15">
        <v>43406</v>
      </c>
      <c r="AZ255" s="12">
        <f t="shared" si="76"/>
        <v>2.1378333568609079E-4</v>
      </c>
    </row>
    <row r="256" spans="4:52" x14ac:dyDescent="0.75">
      <c r="D256" s="15">
        <v>43405</v>
      </c>
      <c r="E256" s="21">
        <f>+VLOOKUP(D256,Prezzi!$I$12:$J$367,2,0)</f>
        <v>4.8593039999999998</v>
      </c>
      <c r="F256" s="21">
        <f>+VLOOKUP(D256,Prezzi!$K$12:$L$367,2,0)/VLOOKUP(D256,Prezzi!$S$12:$T$367,2,0)</f>
        <v>241.91968664969718</v>
      </c>
      <c r="G256" s="1">
        <v>0</v>
      </c>
      <c r="H256" s="21">
        <f>+VLOOKUP(D256,Prezzi!$M$12:$N$367,2,0)/VLOOKUP(D256,Prezzi!$S$12:$T$367,2,0)</f>
        <v>20.959092425173353</v>
      </c>
      <c r="I256" s="1">
        <v>0</v>
      </c>
      <c r="J256" s="21">
        <f>+VLOOKUP(D256,Prezzi!$O$12:$P$367,2,0)/VLOOKUP(D256,Prezzi!$S$12:$T$367,2,0)</f>
        <v>41.756273150179936</v>
      </c>
      <c r="K256" s="1">
        <v>0</v>
      </c>
      <c r="L256" s="21">
        <f>+VLOOKUP(D256,Prezzi!$Q$12:$R$367,2,0)/VLOOKUP(D256,Prezzi!$S$12:$T$367,2,0)</f>
        <v>91.599324146405692</v>
      </c>
      <c r="M256" s="1">
        <v>0</v>
      </c>
      <c r="O256" s="1" t="str">
        <f t="shared" si="71"/>
        <v>201844</v>
      </c>
      <c r="P256" s="35">
        <v>43405</v>
      </c>
      <c r="Q256" s="12">
        <f t="shared" si="70"/>
        <v>-4.8184591944482443E-4</v>
      </c>
      <c r="R256" s="12">
        <f t="shared" si="72"/>
        <v>3.922170146486173E-3</v>
      </c>
      <c r="S256" s="12">
        <f t="shared" si="73"/>
        <v>1.1385525861984673E-3</v>
      </c>
      <c r="T256" s="12">
        <f t="shared" si="74"/>
        <v>1.0577060386054242E-2</v>
      </c>
      <c r="U256" s="12">
        <f t="shared" si="75"/>
        <v>-8.6565640687369591E-3</v>
      </c>
      <c r="AI256" s="15">
        <v>43405</v>
      </c>
      <c r="AJ256" s="99">
        <f>+VLOOKUP(AI256,benchmark!I$7:$J$362,2,0)</f>
        <v>238.8467</v>
      </c>
      <c r="AK256" s="61">
        <f>+VLOOKUP(AI256,benchmark!K$7:$L$362,2,0)</f>
        <v>231.803</v>
      </c>
      <c r="AP256" s="15">
        <v>43405</v>
      </c>
      <c r="AQ256" s="12">
        <f t="shared" si="77"/>
        <v>1.0175058545285554E-2</v>
      </c>
      <c r="AR256" s="12">
        <f t="shared" si="77"/>
        <v>-2.4583800569311087E-4</v>
      </c>
      <c r="AY256" s="15">
        <v>43405</v>
      </c>
      <c r="AZ256" s="12">
        <f t="shared" si="76"/>
        <v>3.9225206146983552E-3</v>
      </c>
    </row>
    <row r="257" spans="4:52" x14ac:dyDescent="0.75">
      <c r="D257" s="15">
        <v>43404</v>
      </c>
      <c r="E257" s="21">
        <f>+VLOOKUP(D257,Prezzi!$I$12:$J$367,2,0)</f>
        <v>4.8616460000000004</v>
      </c>
      <c r="F257" s="21">
        <f>+VLOOKUP(D257,Prezzi!$K$12:$L$367,2,0)/VLOOKUP(D257,Prezzi!$S$12:$T$367,2,0)</f>
        <v>240.97269482240679</v>
      </c>
      <c r="G257" s="1">
        <v>0</v>
      </c>
      <c r="H257" s="21">
        <f>+VLOOKUP(D257,Prezzi!$M$12:$N$367,2,0)/VLOOKUP(D257,Prezzi!$S$12:$T$367,2,0)</f>
        <v>20.935242975790775</v>
      </c>
      <c r="I257" s="1">
        <v>0</v>
      </c>
      <c r="J257" s="21">
        <f>+VLOOKUP(D257,Prezzi!$O$12:$P$367,2,0)/VLOOKUP(D257,Prezzi!$S$12:$T$367,2,0)</f>
        <v>41.316942039229552</v>
      </c>
      <c r="K257" s="1">
        <v>0</v>
      </c>
      <c r="L257" s="21">
        <f>+VLOOKUP(D257,Prezzi!$Q$12:$R$367,2,0)/VLOOKUP(D257,Prezzi!$S$12:$T$367,2,0)</f>
        <v>92.395701537374094</v>
      </c>
      <c r="M257" s="1">
        <v>0</v>
      </c>
      <c r="O257" s="1" t="str">
        <f t="shared" si="71"/>
        <v>201844</v>
      </c>
      <c r="P257" s="35">
        <v>43404</v>
      </c>
      <c r="Q257" s="12">
        <f t="shared" si="70"/>
        <v>4.4007126202444277E-4</v>
      </c>
      <c r="R257" s="12">
        <f t="shared" si="72"/>
        <v>1.5584508921878796E-2</v>
      </c>
      <c r="S257" s="12">
        <f t="shared" si="73"/>
        <v>1.6121799951829833E-2</v>
      </c>
      <c r="T257" s="12">
        <f t="shared" si="74"/>
        <v>-2.6438968300615583E-3</v>
      </c>
      <c r="U257" s="12">
        <f t="shared" si="75"/>
        <v>3.3680500827905444E-3</v>
      </c>
      <c r="AI257" s="15">
        <v>43404</v>
      </c>
      <c r="AJ257" s="99">
        <f>+VLOOKUP(AI257,benchmark!I$7:$J$362,2,0)</f>
        <v>236.4409</v>
      </c>
      <c r="AK257" s="61">
        <f>+VLOOKUP(AI257,benchmark!K$7:$L$362,2,0)</f>
        <v>231.86</v>
      </c>
      <c r="AP257" s="15">
        <v>43404</v>
      </c>
      <c r="AQ257" s="12">
        <f t="shared" si="77"/>
        <v>1.3378221708858495E-2</v>
      </c>
      <c r="AR257" s="12">
        <f t="shared" si="77"/>
        <v>4.9623508597806953E-4</v>
      </c>
      <c r="AY257" s="15">
        <v>43404</v>
      </c>
      <c r="AZ257" s="12">
        <f t="shared" si="76"/>
        <v>5.6490297351302395E-3</v>
      </c>
    </row>
    <row r="258" spans="4:52" x14ac:dyDescent="0.75">
      <c r="D258" s="15">
        <v>43403</v>
      </c>
      <c r="E258" s="21">
        <f>+VLOOKUP(D258,Prezzi!$I$12:$J$367,2,0)</f>
        <v>4.8595069999999998</v>
      </c>
      <c r="F258" s="21">
        <f>+VLOOKUP(D258,Prezzi!$K$12:$L$367,2,0)/VLOOKUP(D258,Prezzi!$S$12:$T$367,2,0)</f>
        <v>237.2463656348927</v>
      </c>
      <c r="G258" s="1">
        <v>0</v>
      </c>
      <c r="H258" s="21">
        <f>+VLOOKUP(D258,Prezzi!$M$12:$N$367,2,0)/VLOOKUP(D258,Prezzi!$S$12:$T$367,2,0)</f>
        <v>20.600435279634191</v>
      </c>
      <c r="I258" s="1">
        <v>0</v>
      </c>
      <c r="J258" s="21">
        <f>+VLOOKUP(D258,Prezzi!$O$12:$P$367,2,0)/VLOOKUP(D258,Prezzi!$S$12:$T$367,2,0)</f>
        <v>41.42632430531129</v>
      </c>
      <c r="K258" s="1">
        <v>0</v>
      </c>
      <c r="L258" s="21">
        <f>+VLOOKUP(D258,Prezzi!$Q$12:$R$367,2,0)/VLOOKUP(D258,Prezzi!$S$12:$T$367,2,0)</f>
        <v>92.085031656700664</v>
      </c>
      <c r="M258" s="1">
        <v>0</v>
      </c>
      <c r="O258" s="1" t="str">
        <f t="shared" si="71"/>
        <v>201844</v>
      </c>
      <c r="P258" s="35">
        <v>43403</v>
      </c>
      <c r="Q258" s="12">
        <f t="shared" si="70"/>
        <v>-1.8517646238170656E-3</v>
      </c>
      <c r="R258" s="12">
        <f t="shared" si="72"/>
        <v>1.6421913443031001E-2</v>
      </c>
      <c r="S258" s="12">
        <f t="shared" si="73"/>
        <v>2.5796886861170667E-4</v>
      </c>
      <c r="T258" s="12">
        <f t="shared" si="74"/>
        <v>-1.4886968775001063E-3</v>
      </c>
      <c r="U258" s="12">
        <f t="shared" si="75"/>
        <v>-1.0359558166704984E-3</v>
      </c>
      <c r="AI258" s="15">
        <v>43403</v>
      </c>
      <c r="AJ258" s="99">
        <f>+VLOOKUP(AI258,benchmark!I$7:$J$362,2,0)</f>
        <v>233.31950000000001</v>
      </c>
      <c r="AK258" s="61">
        <f>+VLOOKUP(AI258,benchmark!K$7:$L$362,2,0)</f>
        <v>231.745</v>
      </c>
      <c r="AP258" s="15">
        <v>43403</v>
      </c>
      <c r="AQ258" s="12">
        <f t="shared" si="77"/>
        <v>9.9200225773792283E-3</v>
      </c>
      <c r="AR258" s="12">
        <f t="shared" si="77"/>
        <v>-1.5768317744526694E-3</v>
      </c>
      <c r="AY258" s="15">
        <v>43403</v>
      </c>
      <c r="AZ258" s="12">
        <f t="shared" si="76"/>
        <v>3.0219099662800899E-3</v>
      </c>
    </row>
    <row r="259" spans="4:52" x14ac:dyDescent="0.75">
      <c r="D259" s="15">
        <v>43402</v>
      </c>
      <c r="E259" s="21">
        <f>+VLOOKUP(D259,Prezzi!$I$12:$J$367,2,0)</f>
        <v>4.8685140000000002</v>
      </c>
      <c r="F259" s="21">
        <f>+VLOOKUP(D259,Prezzi!$K$12:$L$367,2,0)/VLOOKUP(D259,Prezzi!$S$12:$T$367,2,0)</f>
        <v>233.3821421667692</v>
      </c>
      <c r="G259" s="1">
        <v>0</v>
      </c>
      <c r="H259" s="21">
        <f>+VLOOKUP(D259,Prezzi!$M$12:$N$367,2,0)/VLOOKUP(D259,Prezzi!$S$12:$T$367,2,0)</f>
        <v>20.595121694051493</v>
      </c>
      <c r="I259" s="1">
        <v>0</v>
      </c>
      <c r="J259" s="21">
        <f>+VLOOKUP(D259,Prezzi!$O$12:$P$367,2,0)/VLOOKUP(D259,Prezzi!$S$12:$T$367,2,0)</f>
        <v>41.488041472629824</v>
      </c>
      <c r="K259" s="1">
        <v>0</v>
      </c>
      <c r="L259" s="21">
        <f>+VLOOKUP(D259,Prezzi!$Q$12:$R$367,2,0)/VLOOKUP(D259,Prezzi!$S$12:$T$367,2,0)</f>
        <v>92.180477110974437</v>
      </c>
      <c r="M259" s="1">
        <v>0</v>
      </c>
      <c r="O259" s="1" t="str">
        <f t="shared" si="71"/>
        <v>201844</v>
      </c>
      <c r="P259" s="35">
        <v>43402</v>
      </c>
      <c r="Q259" s="12">
        <f t="shared" si="70"/>
        <v>-8.4214253796249648E-6</v>
      </c>
      <c r="R259" s="12">
        <f t="shared" si="72"/>
        <v>-9.7428389044077537E-3</v>
      </c>
      <c r="S259" s="12">
        <f t="shared" si="73"/>
        <v>4.6292216466275226E-3</v>
      </c>
      <c r="T259" s="12">
        <f t="shared" si="74"/>
        <v>-8.9139492958214099E-3</v>
      </c>
      <c r="U259" s="12">
        <f t="shared" si="75"/>
        <v>-4.9510805339396573E-3</v>
      </c>
      <c r="AI259" s="15">
        <v>43402</v>
      </c>
      <c r="AJ259" s="99">
        <f>+VLOOKUP(AI259,benchmark!I$7:$J$362,2,0)</f>
        <v>231.02770000000001</v>
      </c>
      <c r="AK259" s="61">
        <f>+VLOOKUP(AI259,benchmark!K$7:$L$362,2,0)</f>
        <v>232.11099999999999</v>
      </c>
      <c r="AP259" s="15">
        <v>43402</v>
      </c>
      <c r="AQ259" s="12">
        <f t="shared" si="77"/>
        <v>-3.3253019324974709E-3</v>
      </c>
      <c r="AR259" s="12">
        <f t="shared" si="77"/>
        <v>8.321906880879304E-4</v>
      </c>
      <c r="AY259" s="15">
        <v>43402</v>
      </c>
      <c r="AZ259" s="12">
        <f t="shared" si="76"/>
        <v>-8.3080636014623013E-4</v>
      </c>
    </row>
    <row r="260" spans="4:52" x14ac:dyDescent="0.75">
      <c r="D260" s="15">
        <v>43399</v>
      </c>
      <c r="E260" s="21">
        <f>+VLOOKUP(D260,Prezzi!$I$12:$J$367,2,0)</f>
        <v>4.8685549999999997</v>
      </c>
      <c r="F260" s="21">
        <f>+VLOOKUP(D260,Prezzi!$K$12:$L$367,2,0)/VLOOKUP(D260,Prezzi!$S$12:$T$367,2,0)</f>
        <v>235.66705949757602</v>
      </c>
      <c r="G260" s="1">
        <v>0</v>
      </c>
      <c r="H260" s="21">
        <f>+VLOOKUP(D260,Prezzi!$M$12:$N$367,2,0)/VLOOKUP(D260,Prezzi!$S$12:$T$367,2,0)</f>
        <v>20.50000264433671</v>
      </c>
      <c r="I260" s="1">
        <v>0</v>
      </c>
      <c r="J260" s="21">
        <f>+VLOOKUP(D260,Prezzi!$O$12:$P$367,2,0)/VLOOKUP(D260,Prezzi!$S$12:$T$367,2,0)</f>
        <v>41.859516967827233</v>
      </c>
      <c r="K260" s="1">
        <v>0</v>
      </c>
      <c r="L260" s="21">
        <f>+VLOOKUP(D260,Prezzi!$Q$12:$R$367,2,0)/VLOOKUP(D260,Prezzi!$S$12:$T$367,2,0)</f>
        <v>92.638001762891136</v>
      </c>
      <c r="M260" s="1">
        <v>0</v>
      </c>
      <c r="O260" s="1" t="str">
        <f t="shared" si="71"/>
        <v>201843</v>
      </c>
      <c r="P260" s="35">
        <v>43399</v>
      </c>
      <c r="Q260" s="12">
        <f t="shared" si="70"/>
        <v>-1.4373809510872181E-3</v>
      </c>
      <c r="R260" s="12">
        <f t="shared" si="72"/>
        <v>-1.1221066235650307E-2</v>
      </c>
      <c r="S260" s="12">
        <f t="shared" si="73"/>
        <v>-1.6283919581401979E-3</v>
      </c>
      <c r="T260" s="12">
        <f t="shared" si="74"/>
        <v>8.8056663652917484E-3</v>
      </c>
      <c r="U260" s="12">
        <f t="shared" si="75"/>
        <v>6.7798234469270257E-3</v>
      </c>
      <c r="AI260" s="15">
        <v>43399</v>
      </c>
      <c r="AJ260" s="99">
        <f>+VLOOKUP(AI260,benchmark!I$7:$J$362,2,0)</f>
        <v>231.79850000000002</v>
      </c>
      <c r="AK260" s="61">
        <f>+VLOOKUP(AI260,benchmark!K$7:$L$362,2,0)</f>
        <v>231.91800000000001</v>
      </c>
      <c r="AP260" s="15">
        <v>43399</v>
      </c>
      <c r="AQ260" s="12">
        <f t="shared" si="77"/>
        <v>-1.1900326612109047E-2</v>
      </c>
      <c r="AR260" s="12">
        <f t="shared" si="77"/>
        <v>2.2212234879259718E-3</v>
      </c>
      <c r="AY260" s="15">
        <v>43399</v>
      </c>
      <c r="AZ260" s="12">
        <f t="shared" si="76"/>
        <v>-3.427396552088036E-3</v>
      </c>
    </row>
    <row r="261" spans="4:52" x14ac:dyDescent="0.75">
      <c r="D261" s="15">
        <v>43398</v>
      </c>
      <c r="E261" s="21">
        <f>+VLOOKUP(D261,Prezzi!$I$12:$J$367,2,0)</f>
        <v>4.8755579999999998</v>
      </c>
      <c r="F261" s="21">
        <f>+VLOOKUP(D261,Prezzi!$K$12:$L$367,2,0)/VLOOKUP(D261,Prezzi!$S$12:$T$367,2,0)</f>
        <v>238.32638752627889</v>
      </c>
      <c r="G261" s="1">
        <v>0</v>
      </c>
      <c r="H261" s="21">
        <f>+VLOOKUP(D261,Prezzi!$M$12:$N$367,2,0)/VLOOKUP(D261,Prezzi!$S$12:$T$367,2,0)</f>
        <v>20.533411878065873</v>
      </c>
      <c r="I261" s="1">
        <v>0</v>
      </c>
      <c r="J261" s="21">
        <f>+VLOOKUP(D261,Prezzi!$O$12:$P$367,2,0)/VLOOKUP(D261,Prezzi!$S$12:$T$367,2,0)</f>
        <v>41.492534162578842</v>
      </c>
      <c r="K261" s="1">
        <v>0</v>
      </c>
      <c r="L261" s="21">
        <f>+VLOOKUP(D261,Prezzi!$Q$12:$R$367,2,0)/VLOOKUP(D261,Prezzi!$S$12:$T$367,2,0)</f>
        <v>92.012056762438689</v>
      </c>
      <c r="M261" s="1">
        <v>0</v>
      </c>
      <c r="O261" s="1" t="str">
        <f t="shared" si="71"/>
        <v>201843</v>
      </c>
      <c r="P261" s="35">
        <v>43398</v>
      </c>
      <c r="Q261" s="12">
        <f t="shared" si="70"/>
        <v>-1.2622379606435626E-3</v>
      </c>
      <c r="R261" s="12">
        <f t="shared" si="72"/>
        <v>1.6066318297101118E-2</v>
      </c>
      <c r="S261" s="12">
        <f t="shared" si="73"/>
        <v>-2.7513889966962121E-3</v>
      </c>
      <c r="T261" s="12">
        <f t="shared" si="74"/>
        <v>-1.7323336534350933E-3</v>
      </c>
      <c r="U261" s="12">
        <f t="shared" si="75"/>
        <v>-2.7907437114476027E-3</v>
      </c>
      <c r="AI261" s="15">
        <v>43398</v>
      </c>
      <c r="AJ261" s="99">
        <f>+VLOOKUP(AI261,benchmark!I$7:$J$362,2,0)</f>
        <v>234.59020000000001</v>
      </c>
      <c r="AK261" s="61">
        <f>+VLOOKUP(AI261,benchmark!K$7:$L$362,2,0)</f>
        <v>231.404</v>
      </c>
      <c r="AP261" s="15">
        <v>43398</v>
      </c>
      <c r="AQ261" s="12">
        <f t="shared" si="77"/>
        <v>7.4436273951943299E-3</v>
      </c>
      <c r="AR261" s="12">
        <f t="shared" si="77"/>
        <v>1.129171119177208E-3</v>
      </c>
      <c r="AY261" s="15">
        <v>43398</v>
      </c>
      <c r="AZ261" s="12">
        <f t="shared" si="76"/>
        <v>3.654953629584057E-3</v>
      </c>
    </row>
    <row r="262" spans="4:52" x14ac:dyDescent="0.75">
      <c r="D262" s="15">
        <v>43397</v>
      </c>
      <c r="E262" s="21">
        <f>+VLOOKUP(D262,Prezzi!$I$12:$J$367,2,0)</f>
        <v>4.8817159999999999</v>
      </c>
      <c r="F262" s="21">
        <f>+VLOOKUP(D262,Prezzi!$K$12:$L$367,2,0)/VLOOKUP(D262,Prezzi!$S$12:$T$367,2,0)</f>
        <v>234.52795504434101</v>
      </c>
      <c r="G262" s="1">
        <v>0</v>
      </c>
      <c r="H262" s="21">
        <f>+VLOOKUP(D262,Prezzi!$M$12:$N$367,2,0)/VLOOKUP(D262,Prezzi!$S$12:$T$367,2,0)</f>
        <v>20.589985073316356</v>
      </c>
      <c r="I262" s="1">
        <v>0</v>
      </c>
      <c r="J262" s="21">
        <f>+VLOOKUP(D262,Prezzi!$O$12:$P$367,2,0)/VLOOKUP(D262,Prezzi!$S$12:$T$367,2,0)</f>
        <v>41.564475370971991</v>
      </c>
      <c r="K262" s="1">
        <v>0</v>
      </c>
      <c r="L262" s="21">
        <f>+VLOOKUP(D262,Prezzi!$Q$12:$R$367,2,0)/VLOOKUP(D262,Prezzi!$S$12:$T$367,2,0)</f>
        <v>92.269197471244183</v>
      </c>
      <c r="M262" s="1">
        <v>0</v>
      </c>
      <c r="O262" s="1" t="str">
        <f t="shared" si="71"/>
        <v>201843</v>
      </c>
      <c r="P262" s="35">
        <v>43397</v>
      </c>
      <c r="Q262" s="12">
        <f t="shared" si="70"/>
        <v>-3.7643608864973871E-4</v>
      </c>
      <c r="R262" s="12">
        <f t="shared" si="72"/>
        <v>-2.3566538889249856E-2</v>
      </c>
      <c r="S262" s="12">
        <f t="shared" si="73"/>
        <v>5.2763205106022455E-3</v>
      </c>
      <c r="T262" s="12">
        <f t="shared" si="74"/>
        <v>4.7409351514158165E-3</v>
      </c>
      <c r="U262" s="12">
        <f t="shared" si="75"/>
        <v>7.6504715070109079E-3</v>
      </c>
      <c r="AI262" s="15">
        <v>43397</v>
      </c>
      <c r="AJ262" s="99">
        <f>+VLOOKUP(AI262,benchmark!I$7:$J$362,2,0)</f>
        <v>232.8569</v>
      </c>
      <c r="AK262" s="61">
        <f>+VLOOKUP(AI262,benchmark!K$7:$L$362,2,0)</f>
        <v>231.143</v>
      </c>
      <c r="AP262" s="15">
        <v>43397</v>
      </c>
      <c r="AQ262" s="12">
        <f t="shared" si="77"/>
        <v>-2.0650889316011001E-2</v>
      </c>
      <c r="AR262" s="12">
        <f t="shared" si="77"/>
        <v>5.8006398019139205E-4</v>
      </c>
      <c r="AY262" s="15">
        <v>43397</v>
      </c>
      <c r="AZ262" s="12">
        <f t="shared" si="76"/>
        <v>-7.9123173382895651E-3</v>
      </c>
    </row>
    <row r="263" spans="4:52" x14ac:dyDescent="0.75">
      <c r="D263" s="15">
        <v>43396</v>
      </c>
      <c r="E263" s="21">
        <f>+VLOOKUP(D263,Prezzi!$I$12:$J$367,2,0)</f>
        <v>4.8835540000000002</v>
      </c>
      <c r="F263" s="21">
        <f>+VLOOKUP(D263,Prezzi!$K$12:$L$367,2,0)/VLOOKUP(D263,Prezzi!$S$12:$T$367,2,0)</f>
        <v>240.12060811988152</v>
      </c>
      <c r="G263" s="1">
        <v>0</v>
      </c>
      <c r="H263" s="21">
        <f>+VLOOKUP(D263,Prezzi!$M$12:$N$367,2,0)/VLOOKUP(D263,Prezzi!$S$12:$T$367,2,0)</f>
        <v>20.48163181738979</v>
      </c>
      <c r="I263" s="1">
        <v>0</v>
      </c>
      <c r="J263" s="21">
        <f>+VLOOKUP(D263,Prezzi!$O$12:$P$367,2,0)/VLOOKUP(D263,Prezzi!$S$12:$T$367,2,0)</f>
        <v>41.367887262589306</v>
      </c>
      <c r="K263" s="1">
        <v>0</v>
      </c>
      <c r="L263" s="21">
        <f>+VLOOKUP(D263,Prezzi!$Q$12:$R$367,2,0)/VLOOKUP(D263,Prezzi!$S$12:$T$367,2,0)</f>
        <v>91.56598797699948</v>
      </c>
      <c r="M263" s="1">
        <v>0</v>
      </c>
      <c r="O263" s="1" t="str">
        <f t="shared" si="71"/>
        <v>201843</v>
      </c>
      <c r="P263" s="35">
        <v>43396</v>
      </c>
      <c r="Q263" s="12">
        <f t="shared" si="70"/>
        <v>2.0657932965236262E-3</v>
      </c>
      <c r="R263" s="12">
        <f t="shared" si="72"/>
        <v>-4.0813664073921004E-3</v>
      </c>
      <c r="S263" s="12">
        <f t="shared" si="73"/>
        <v>-1.2503006582766603E-2</v>
      </c>
      <c r="T263" s="12">
        <f t="shared" si="74"/>
        <v>1.0345669588104402E-2</v>
      </c>
      <c r="U263" s="12">
        <f t="shared" si="75"/>
        <v>2.8690807632507061E-4</v>
      </c>
      <c r="AI263" s="15">
        <v>43396</v>
      </c>
      <c r="AJ263" s="99">
        <f>+VLOOKUP(AI263,benchmark!I$7:$J$362,2,0)</f>
        <v>237.767</v>
      </c>
      <c r="AK263" s="61">
        <f>+VLOOKUP(AI263,benchmark!K$7:$L$362,2,0)</f>
        <v>231.00899999999999</v>
      </c>
      <c r="AP263" s="15">
        <v>43396</v>
      </c>
      <c r="AQ263" s="12">
        <f t="shared" si="77"/>
        <v>-1.0957516019054925E-2</v>
      </c>
      <c r="AR263" s="12">
        <f t="shared" si="77"/>
        <v>8.5350848309428962E-4</v>
      </c>
      <c r="AY263" s="15">
        <v>43396</v>
      </c>
      <c r="AZ263" s="12">
        <f t="shared" si="76"/>
        <v>-3.8709013177653964E-3</v>
      </c>
    </row>
    <row r="264" spans="4:52" x14ac:dyDescent="0.75">
      <c r="D264" s="15">
        <v>43395</v>
      </c>
      <c r="E264" s="21">
        <f>+VLOOKUP(D264,Prezzi!$I$12:$J$367,2,0)</f>
        <v>4.8734760000000001</v>
      </c>
      <c r="F264" s="21">
        <f>+VLOOKUP(D264,Prezzi!$K$12:$L$367,2,0)/VLOOKUP(D264,Prezzi!$S$12:$T$367,2,0)</f>
        <v>241.10263093788063</v>
      </c>
      <c r="G264" s="1">
        <v>0</v>
      </c>
      <c r="H264" s="21">
        <f>+VLOOKUP(D264,Prezzi!$M$12:$N$367,2,0)/VLOOKUP(D264,Prezzi!$S$12:$T$367,2,0)</f>
        <v>20.739321385070472</v>
      </c>
      <c r="I264" s="1">
        <v>0</v>
      </c>
      <c r="J264" s="21">
        <f>+VLOOKUP(D264,Prezzi!$O$12:$P$367,2,0)/VLOOKUP(D264,Prezzi!$S$12:$T$367,2,0)</f>
        <v>40.942115016530366</v>
      </c>
      <c r="K264" s="1">
        <v>0</v>
      </c>
      <c r="L264" s="21">
        <f>+VLOOKUP(D264,Prezzi!$Q$12:$R$367,2,0)/VLOOKUP(D264,Prezzi!$S$12:$T$367,2,0)</f>
        <v>91.539720723855922</v>
      </c>
      <c r="M264" s="1">
        <v>0</v>
      </c>
      <c r="O264" s="1" t="str">
        <f t="shared" si="71"/>
        <v>201843</v>
      </c>
      <c r="P264" s="35">
        <v>43395</v>
      </c>
      <c r="Q264" s="12">
        <f t="shared" si="70"/>
        <v>3.8378333254714825E-4</v>
      </c>
      <c r="R264" s="12">
        <f t="shared" si="72"/>
        <v>-6.3756334710221964E-3</v>
      </c>
      <c r="S264" s="12">
        <f t="shared" si="73"/>
        <v>-7.6407100164221989E-3</v>
      </c>
      <c r="T264" s="12">
        <f t="shared" si="74"/>
        <v>-5.1337960257125592E-3</v>
      </c>
      <c r="U264" s="12">
        <f t="shared" si="75"/>
        <v>-2.8552398860399977E-3</v>
      </c>
      <c r="AI264" s="15">
        <v>43395</v>
      </c>
      <c r="AJ264" s="99">
        <f>+VLOOKUP(AI264,benchmark!I$7:$J$362,2,0)</f>
        <v>240.40120000000002</v>
      </c>
      <c r="AK264" s="61">
        <f>+VLOOKUP(AI264,benchmark!K$7:$L$362,2,0)</f>
        <v>230.81200000000001</v>
      </c>
      <c r="AP264" s="15">
        <v>43395</v>
      </c>
      <c r="AQ264" s="12">
        <f t="shared" si="77"/>
        <v>-2.5574895775245521E-3</v>
      </c>
      <c r="AR264" s="12">
        <f t="shared" si="77"/>
        <v>1.2189250035787857E-3</v>
      </c>
      <c r="AY264" s="15">
        <v>43395</v>
      </c>
      <c r="AZ264" s="12">
        <f t="shared" si="76"/>
        <v>-2.9164082886254947E-4</v>
      </c>
    </row>
    <row r="265" spans="4:52" x14ac:dyDescent="0.75">
      <c r="D265" s="15">
        <v>43392</v>
      </c>
      <c r="E265" s="21">
        <f>+VLOOKUP(D265,Prezzi!$I$12:$J$367,2,0)</f>
        <v>4.8716059999999999</v>
      </c>
      <c r="F265" s="21">
        <f>+VLOOKUP(D265,Prezzi!$K$12:$L$367,2,0)/VLOOKUP(D265,Prezzi!$S$12:$T$367,2,0)</f>
        <v>242.64472362685265</v>
      </c>
      <c r="G265" s="1">
        <v>0</v>
      </c>
      <c r="H265" s="21">
        <f>+VLOOKUP(D265,Prezzi!$M$12:$N$367,2,0)/VLOOKUP(D265,Prezzi!$S$12:$T$367,2,0)</f>
        <v>20.898391455972103</v>
      </c>
      <c r="I265" s="1">
        <v>0</v>
      </c>
      <c r="J265" s="21">
        <f>+VLOOKUP(D265,Prezzi!$O$12:$P$367,2,0)/VLOOKUP(D265,Prezzi!$S$12:$T$367,2,0)</f>
        <v>41.152843940714909</v>
      </c>
      <c r="K265" s="1">
        <v>0</v>
      </c>
      <c r="L265" s="21">
        <f>+VLOOKUP(D265,Prezzi!$Q$12:$R$367,2,0)/VLOOKUP(D265,Prezzi!$S$12:$T$367,2,0)</f>
        <v>91.801462074978204</v>
      </c>
      <c r="M265" s="1">
        <v>0</v>
      </c>
      <c r="O265" s="1" t="str">
        <f t="shared" si="71"/>
        <v>201842</v>
      </c>
      <c r="P265" s="35">
        <v>43392</v>
      </c>
      <c r="Q265" s="12">
        <f t="shared" si="70"/>
        <v>1.1676477294310069E-3</v>
      </c>
      <c r="R265" s="12">
        <f t="shared" si="72"/>
        <v>2.7089534836954501E-3</v>
      </c>
      <c r="S265" s="12">
        <f t="shared" si="73"/>
        <v>7.3026051009842316E-3</v>
      </c>
      <c r="T265" s="12">
        <f t="shared" si="74"/>
        <v>2.2707967881172471E-3</v>
      </c>
      <c r="U265" s="12">
        <f t="shared" si="75"/>
        <v>5.7245601063917709E-4</v>
      </c>
      <c r="AI265" s="15">
        <v>43392</v>
      </c>
      <c r="AJ265" s="99">
        <f>+VLOOKUP(AI265,benchmark!I$7:$J$362,2,0)</f>
        <v>241.01759999999999</v>
      </c>
      <c r="AK265" s="61">
        <f>+VLOOKUP(AI265,benchmark!K$7:$L$362,2,0)</f>
        <v>230.53100000000001</v>
      </c>
      <c r="AP265" s="15">
        <v>43392</v>
      </c>
      <c r="AQ265" s="12">
        <f t="shared" si="77"/>
        <v>-8.4113912374772504E-4</v>
      </c>
      <c r="AR265" s="12">
        <f t="shared" si="77"/>
        <v>3.6016802055116592E-4</v>
      </c>
      <c r="AY265" s="15">
        <v>43392</v>
      </c>
      <c r="AZ265" s="12">
        <f t="shared" si="76"/>
        <v>-1.2035483716839047E-4</v>
      </c>
    </row>
    <row r="266" spans="4:52" x14ac:dyDescent="0.75">
      <c r="D266" s="15">
        <v>43391</v>
      </c>
      <c r="E266" s="21">
        <f>+VLOOKUP(D266,Prezzi!$I$12:$J$367,2,0)</f>
        <v>4.8659210000000002</v>
      </c>
      <c r="F266" s="21">
        <f>+VLOOKUP(D266,Prezzi!$K$12:$L$367,2,0)/VLOOKUP(D266,Prezzi!$S$12:$T$367,2,0)</f>
        <v>241.98829986962187</v>
      </c>
      <c r="G266" s="1">
        <v>0</v>
      </c>
      <c r="H266" s="21">
        <f>+VLOOKUP(D266,Prezzi!$M$12:$N$367,2,0)/VLOOKUP(D266,Prezzi!$S$12:$T$367,2,0)</f>
        <v>20.746334637114298</v>
      </c>
      <c r="I266" s="1">
        <v>0</v>
      </c>
      <c r="J266" s="21">
        <f>+VLOOKUP(D266,Prezzi!$O$12:$P$367,2,0)/VLOOKUP(D266,Prezzi!$S$12:$T$367,2,0)</f>
        <v>41.059500217296822</v>
      </c>
      <c r="K266" s="1">
        <v>0</v>
      </c>
      <c r="L266" s="21">
        <f>+VLOOKUP(D266,Prezzi!$Q$12:$R$367,2,0)/VLOOKUP(D266,Prezzi!$S$12:$T$367,2,0)</f>
        <v>91.748924815297684</v>
      </c>
      <c r="M266" s="1">
        <v>0</v>
      </c>
      <c r="O266" s="1" t="str">
        <f t="shared" si="71"/>
        <v>201842</v>
      </c>
      <c r="P266" s="35">
        <v>43391</v>
      </c>
      <c r="Q266" s="12">
        <f t="shared" si="70"/>
        <v>9.7336235472297774E-4</v>
      </c>
      <c r="R266" s="12">
        <f t="shared" si="72"/>
        <v>-1.2232682192848784E-2</v>
      </c>
      <c r="S266" s="12">
        <f t="shared" si="73"/>
        <v>-2.0866620910449623E-3</v>
      </c>
      <c r="T266" s="12">
        <f t="shared" si="74"/>
        <v>4.4815646004039518E-3</v>
      </c>
      <c r="U266" s="12">
        <f t="shared" si="75"/>
        <v>-1.4648666630576309E-3</v>
      </c>
      <c r="AI266" s="15">
        <v>43391</v>
      </c>
      <c r="AJ266" s="99">
        <f>+VLOOKUP(AI266,benchmark!I$7:$J$362,2,0)</f>
        <v>241.22049999999999</v>
      </c>
      <c r="AK266" s="61">
        <f>+VLOOKUP(AI266,benchmark!K$7:$L$362,2,0)</f>
        <v>230.44800000000001</v>
      </c>
      <c r="AP266" s="15">
        <v>43391</v>
      </c>
      <c r="AQ266" s="12">
        <f t="shared" si="77"/>
        <v>-1.2038022654844438E-2</v>
      </c>
      <c r="AR266" s="12">
        <f t="shared" si="77"/>
        <v>-1.3217596304272439E-3</v>
      </c>
      <c r="AY266" s="15">
        <v>43391</v>
      </c>
      <c r="AZ266" s="12">
        <f t="shared" si="76"/>
        <v>-5.6082648401941217E-3</v>
      </c>
    </row>
    <row r="267" spans="4:52" x14ac:dyDescent="0.75">
      <c r="D267" s="15">
        <v>43390</v>
      </c>
      <c r="E267" s="21">
        <f>+VLOOKUP(D267,Prezzi!$I$12:$J$367,2,0)</f>
        <v>4.8611870000000001</v>
      </c>
      <c r="F267" s="21">
        <f>+VLOOKUP(D267,Prezzi!$K$12:$L$367,2,0)/VLOOKUP(D267,Prezzi!$S$12:$T$367,2,0)</f>
        <v>244.96664527320036</v>
      </c>
      <c r="G267" s="1">
        <v>0</v>
      </c>
      <c r="H267" s="21">
        <f>+VLOOKUP(D267,Prezzi!$M$12:$N$367,2,0)/VLOOKUP(D267,Prezzi!$S$12:$T$367,2,0)</f>
        <v>20.789670424978318</v>
      </c>
      <c r="I267" s="1">
        <v>0</v>
      </c>
      <c r="J267" s="21">
        <f>+VLOOKUP(D267,Prezzi!$O$12:$P$367,2,0)/VLOOKUP(D267,Prezzi!$S$12:$T$367,2,0)</f>
        <v>40.875901127493492</v>
      </c>
      <c r="K267" s="1">
        <v>0</v>
      </c>
      <c r="L267" s="21">
        <f>+VLOOKUP(D267,Prezzi!$Q$12:$R$367,2,0)/VLOOKUP(D267,Prezzi!$S$12:$T$367,2,0)</f>
        <v>91.883423243712059</v>
      </c>
      <c r="M267" s="1">
        <v>0</v>
      </c>
      <c r="O267" s="1" t="str">
        <f t="shared" si="71"/>
        <v>201842</v>
      </c>
      <c r="P267" s="35">
        <v>43390</v>
      </c>
      <c r="Q267" s="12">
        <f t="shared" si="70"/>
        <v>4.0883146477107407E-4</v>
      </c>
      <c r="R267" s="12">
        <f t="shared" si="72"/>
        <v>4.7177821076722073E-3</v>
      </c>
      <c r="S267" s="12">
        <f t="shared" si="73"/>
        <v>-3.3169598227112199E-3</v>
      </c>
      <c r="T267" s="12">
        <f t="shared" si="74"/>
        <v>2.1495086088696509E-3</v>
      </c>
      <c r="U267" s="12">
        <f t="shared" si="75"/>
        <v>6.048580995238563E-3</v>
      </c>
      <c r="AI267" s="15">
        <v>43390</v>
      </c>
      <c r="AJ267" s="99">
        <f>+VLOOKUP(AI267,benchmark!I$7:$J$362,2,0)</f>
        <v>244.15970000000002</v>
      </c>
      <c r="AK267" s="61">
        <f>+VLOOKUP(AI267,benchmark!K$7:$L$362,2,0)</f>
        <v>230.75299999999999</v>
      </c>
      <c r="AP267" s="15">
        <v>43390</v>
      </c>
      <c r="AQ267" s="12">
        <f t="shared" si="77"/>
        <v>-8.1110534998052319E-4</v>
      </c>
      <c r="AR267" s="12">
        <f t="shared" si="77"/>
        <v>4.8560316682633164E-4</v>
      </c>
      <c r="AY267" s="15">
        <v>43390</v>
      </c>
      <c r="AZ267" s="12">
        <f t="shared" si="76"/>
        <v>-3.3080239896410356E-5</v>
      </c>
    </row>
    <row r="268" spans="4:52" x14ac:dyDescent="0.75">
      <c r="D268" s="15">
        <v>43389</v>
      </c>
      <c r="E268" s="21">
        <f>+VLOOKUP(D268,Prezzi!$I$12:$J$367,2,0)</f>
        <v>4.8592000000000004</v>
      </c>
      <c r="F268" s="21">
        <f>+VLOOKUP(D268,Prezzi!$K$12:$L$367,2,0)/VLOOKUP(D268,Prezzi!$S$12:$T$367,2,0)</f>
        <v>243.81366790368514</v>
      </c>
      <c r="G268" s="1">
        <v>0</v>
      </c>
      <c r="H268" s="21">
        <f>+VLOOKUP(D268,Prezzi!$M$12:$N$367,2,0)/VLOOKUP(D268,Prezzi!$S$12:$T$367,2,0)</f>
        <v>20.858743419349267</v>
      </c>
      <c r="I268" s="1">
        <v>0</v>
      </c>
      <c r="J268" s="21">
        <f>+VLOOKUP(D268,Prezzi!$O$12:$P$367,2,0)/VLOOKUP(D268,Prezzi!$S$12:$T$367,2,0)</f>
        <v>40.788132389747126</v>
      </c>
      <c r="K268" s="1">
        <v>0</v>
      </c>
      <c r="L268" s="21">
        <f>+VLOOKUP(D268,Prezzi!$Q$12:$R$367,2,0)/VLOOKUP(D268,Prezzi!$S$12:$T$367,2,0)</f>
        <v>91.329336325192017</v>
      </c>
      <c r="M268" s="1">
        <v>0</v>
      </c>
      <c r="O268" s="1" t="str">
        <f t="shared" si="71"/>
        <v>201842</v>
      </c>
      <c r="P268" s="35">
        <v>43389</v>
      </c>
      <c r="Q268" s="12">
        <f t="shared" si="70"/>
        <v>-8.8206065606877444E-4</v>
      </c>
      <c r="R268" s="12">
        <f t="shared" si="72"/>
        <v>2.0783247494248831E-2</v>
      </c>
      <c r="S268" s="12">
        <f t="shared" si="73"/>
        <v>1.65270032201691E-2</v>
      </c>
      <c r="T268" s="12">
        <f t="shared" si="74"/>
        <v>-4.5744693374502197E-5</v>
      </c>
      <c r="U268" s="12">
        <f t="shared" si="75"/>
        <v>1.4975151212523669E-3</v>
      </c>
      <c r="AI268" s="15">
        <v>43389</v>
      </c>
      <c r="AJ268" s="99">
        <f>+VLOOKUP(AI268,benchmark!I$7:$J$362,2,0)</f>
        <v>244.35790000000003</v>
      </c>
      <c r="AK268" s="61">
        <f>+VLOOKUP(AI268,benchmark!K$7:$L$362,2,0)</f>
        <v>230.64099999999999</v>
      </c>
      <c r="AP268" s="15">
        <v>43389</v>
      </c>
      <c r="AQ268" s="12">
        <f t="shared" si="77"/>
        <v>1.7117913600010803E-2</v>
      </c>
      <c r="AR268" s="12">
        <f t="shared" si="77"/>
        <v>2.076789058189199E-3</v>
      </c>
      <c r="AY268" s="15">
        <v>43389</v>
      </c>
      <c r="AZ268" s="12">
        <f t="shared" si="76"/>
        <v>8.0932388749178404E-3</v>
      </c>
    </row>
    <row r="269" spans="4:52" x14ac:dyDescent="0.75">
      <c r="D269" s="15">
        <v>43388</v>
      </c>
      <c r="E269" s="21">
        <f>+VLOOKUP(D269,Prezzi!$I$12:$J$367,2,0)</f>
        <v>4.8634880000000003</v>
      </c>
      <c r="F269" s="21">
        <f>+VLOOKUP(D269,Prezzi!$K$12:$L$367,2,0)/VLOOKUP(D269,Prezzi!$S$12:$T$367,2,0)</f>
        <v>238.79872204472844</v>
      </c>
      <c r="G269" s="1">
        <v>0</v>
      </c>
      <c r="H269" s="21">
        <f>+VLOOKUP(D269,Prezzi!$M$12:$N$367,2,0)/VLOOKUP(D269,Prezzi!$S$12:$T$367,2,0)</f>
        <v>20.516843968569209</v>
      </c>
      <c r="I269" s="1">
        <v>0</v>
      </c>
      <c r="J269" s="21">
        <f>+VLOOKUP(D269,Prezzi!$O$12:$P$367,2,0)/VLOOKUP(D269,Prezzi!$S$12:$T$367,2,0)</f>
        <v>40.789998273033419</v>
      </c>
      <c r="K269" s="1">
        <v>0</v>
      </c>
      <c r="L269" s="21">
        <f>+VLOOKUP(D269,Prezzi!$Q$12:$R$367,2,0)/VLOOKUP(D269,Prezzi!$S$12:$T$367,2,0)</f>
        <v>91.192671617304214</v>
      </c>
      <c r="M269" s="1">
        <v>0</v>
      </c>
      <c r="O269" s="1" t="str">
        <f t="shared" si="71"/>
        <v>201842</v>
      </c>
      <c r="P269" s="35">
        <v>43388</v>
      </c>
      <c r="Q269" s="12">
        <f t="shared" si="70"/>
        <v>-4.3169567852342723E-4</v>
      </c>
      <c r="R269" s="12">
        <f t="shared" si="72"/>
        <v>-6.5101841472420385E-3</v>
      </c>
      <c r="S269" s="12">
        <f t="shared" si="73"/>
        <v>3.389235194445504E-3</v>
      </c>
      <c r="T269" s="12">
        <f t="shared" si="74"/>
        <v>6.0341812174669737E-3</v>
      </c>
      <c r="U269" s="12">
        <f t="shared" si="75"/>
        <v>3.3558769508921089E-4</v>
      </c>
      <c r="AI269" s="15">
        <v>43388</v>
      </c>
      <c r="AJ269" s="99">
        <f>+VLOOKUP(AI269,benchmark!I$7:$J$362,2,0)</f>
        <v>240.24540000000002</v>
      </c>
      <c r="AK269" s="61">
        <f>+VLOOKUP(AI269,benchmark!K$7:$L$362,2,0)</f>
        <v>230.16300000000001</v>
      </c>
      <c r="AP269" s="15">
        <v>43388</v>
      </c>
      <c r="AQ269" s="12">
        <f t="shared" si="77"/>
        <v>-4.5223107292380327E-3</v>
      </c>
      <c r="AR269" s="12">
        <f t="shared" si="77"/>
        <v>3.0414153878277617E-5</v>
      </c>
      <c r="AY269" s="15">
        <v>43388</v>
      </c>
      <c r="AZ269" s="12">
        <f t="shared" si="76"/>
        <v>-1.7906757993682465E-3</v>
      </c>
    </row>
    <row r="270" spans="4:52" x14ac:dyDescent="0.75">
      <c r="D270" s="15">
        <v>43385</v>
      </c>
      <c r="E270" s="21">
        <f>+VLOOKUP(D270,Prezzi!$I$12:$J$367,2,0)</f>
        <v>4.8655879999999998</v>
      </c>
      <c r="F270" s="21">
        <f>+VLOOKUP(D270,Prezzi!$K$12:$L$367,2,0)/VLOOKUP(D270,Prezzi!$S$12:$T$367,2,0)</f>
        <v>240.35841714186972</v>
      </c>
      <c r="G270" s="1">
        <v>0</v>
      </c>
      <c r="H270" s="21">
        <f>+VLOOKUP(D270,Prezzi!$M$12:$N$367,2,0)/VLOOKUP(D270,Prezzi!$S$12:$T$367,2,0)</f>
        <v>20.447425263521687</v>
      </c>
      <c r="I270" s="1">
        <v>0</v>
      </c>
      <c r="J270" s="21">
        <f>+VLOOKUP(D270,Prezzi!$O$12:$P$367,2,0)/VLOOKUP(D270,Prezzi!$S$12:$T$367,2,0)</f>
        <v>40.544605149472957</v>
      </c>
      <c r="K270" s="1">
        <v>0</v>
      </c>
      <c r="L270" s="21">
        <f>+VLOOKUP(D270,Prezzi!$Q$12:$R$367,2,0)/VLOOKUP(D270,Prezzi!$S$12:$T$367,2,0)</f>
        <v>91.162073613271119</v>
      </c>
      <c r="M270" s="1">
        <v>0</v>
      </c>
      <c r="O270" s="1" t="str">
        <f t="shared" si="71"/>
        <v>201841</v>
      </c>
      <c r="P270" s="35">
        <v>43385</v>
      </c>
      <c r="Q270" s="12">
        <f t="shared" si="70"/>
        <v>1.0461769999208561E-4</v>
      </c>
      <c r="R270" s="12">
        <f t="shared" si="72"/>
        <v>1.4288617634576905E-2</v>
      </c>
      <c r="S270" s="12">
        <f t="shared" si="73"/>
        <v>-1.6489452678222106E-3</v>
      </c>
      <c r="T270" s="12">
        <f t="shared" si="74"/>
        <v>-4.1115014921049445E-3</v>
      </c>
      <c r="U270" s="12">
        <f t="shared" si="75"/>
        <v>2.6768827212817017E-3</v>
      </c>
      <c r="AI270" s="15">
        <v>43385</v>
      </c>
      <c r="AJ270" s="99">
        <f>+VLOOKUP(AI270,benchmark!I$7:$J$362,2,0)</f>
        <v>241.33679999999998</v>
      </c>
      <c r="AK270" s="61">
        <f>+VLOOKUP(AI270,benchmark!K$7:$L$362,2,0)</f>
        <v>230.15600000000001</v>
      </c>
      <c r="AP270" s="15">
        <v>43385</v>
      </c>
      <c r="AQ270" s="12">
        <f t="shared" si="77"/>
        <v>1.0988476991475427E-2</v>
      </c>
      <c r="AR270" s="12">
        <f t="shared" si="77"/>
        <v>4.1728244805705472E-4</v>
      </c>
      <c r="AY270" s="15">
        <v>43385</v>
      </c>
      <c r="AZ270" s="12">
        <f t="shared" si="76"/>
        <v>4.6457602654244035E-3</v>
      </c>
    </row>
    <row r="271" spans="4:52" x14ac:dyDescent="0.75">
      <c r="D271" s="15">
        <v>43384</v>
      </c>
      <c r="E271" s="21">
        <f>+VLOOKUP(D271,Prezzi!$I$12:$J$367,2,0)</f>
        <v>4.8650789999999997</v>
      </c>
      <c r="F271" s="21">
        <f>+VLOOKUP(D271,Prezzi!$K$12:$L$367,2,0)/VLOOKUP(D271,Prezzi!$S$12:$T$367,2,0)</f>
        <v>236.94844751619871</v>
      </c>
      <c r="G271" s="1">
        <v>0</v>
      </c>
      <c r="H271" s="21">
        <f>+VLOOKUP(D271,Prezzi!$M$12:$N$367,2,0)/VLOOKUP(D271,Prezzi!$S$12:$T$367,2,0)</f>
        <v>20.481169762419007</v>
      </c>
      <c r="I271" s="1">
        <v>0</v>
      </c>
      <c r="J271" s="21">
        <f>+VLOOKUP(D271,Prezzi!$O$12:$P$367,2,0)/VLOOKUP(D271,Prezzi!$S$12:$T$367,2,0)</f>
        <v>40.711647516198703</v>
      </c>
      <c r="K271" s="1">
        <v>0</v>
      </c>
      <c r="L271" s="21">
        <f>+VLOOKUP(D271,Prezzi!$Q$12:$R$367,2,0)/VLOOKUP(D271,Prezzi!$S$12:$T$367,2,0)</f>
        <v>90.918369762419005</v>
      </c>
      <c r="M271" s="1">
        <v>0</v>
      </c>
      <c r="O271" s="1" t="str">
        <f t="shared" si="71"/>
        <v>201841</v>
      </c>
      <c r="P271" s="35">
        <v>43384</v>
      </c>
      <c r="Q271" s="12">
        <f t="shared" si="70"/>
        <v>6.6927780024152758E-4</v>
      </c>
      <c r="R271" s="12">
        <f t="shared" si="72"/>
        <v>-2.7271907006426049E-2</v>
      </c>
      <c r="S271" s="12">
        <f t="shared" si="73"/>
        <v>-2.2449129565794566E-2</v>
      </c>
      <c r="T271" s="12">
        <f t="shared" si="74"/>
        <v>2.0681173578895106E-2</v>
      </c>
      <c r="U271" s="12">
        <f t="shared" si="75"/>
        <v>-7.4777660307633886E-3</v>
      </c>
      <c r="AI271" s="15">
        <v>43384</v>
      </c>
      <c r="AJ271" s="99">
        <f>+VLOOKUP(AI271,benchmark!I$7:$J$362,2,0)</f>
        <v>238.71370000000002</v>
      </c>
      <c r="AK271" s="61">
        <f>+VLOOKUP(AI271,benchmark!K$7:$L$362,2,0)</f>
        <v>230.06</v>
      </c>
      <c r="AP271" s="15">
        <v>43384</v>
      </c>
      <c r="AQ271" s="12">
        <f t="shared" si="77"/>
        <v>-2.216490178994579E-2</v>
      </c>
      <c r="AR271" s="12">
        <f t="shared" si="77"/>
        <v>1.0867911404788266E-4</v>
      </c>
      <c r="AY271" s="15">
        <v>43384</v>
      </c>
      <c r="AZ271" s="12">
        <f t="shared" si="76"/>
        <v>-8.8007532475495864E-3</v>
      </c>
    </row>
    <row r="272" spans="4:52" x14ac:dyDescent="0.75">
      <c r="D272" s="15">
        <v>43383</v>
      </c>
      <c r="E272" s="21">
        <f>+VLOOKUP(D272,Prezzi!$I$12:$J$367,2,0)</f>
        <v>4.8618240000000004</v>
      </c>
      <c r="F272" s="21">
        <f>+VLOOKUP(D272,Prezzi!$K$12:$L$367,2,0)/VLOOKUP(D272,Prezzi!$S$12:$T$367,2,0)</f>
        <v>243.49940608695653</v>
      </c>
      <c r="G272" s="1">
        <v>0</v>
      </c>
      <c r="H272" s="21">
        <f>+VLOOKUP(D272,Prezzi!$M$12:$N$367,2,0)/VLOOKUP(D272,Prezzi!$S$12:$T$367,2,0)</f>
        <v>20.946153913043478</v>
      </c>
      <c r="I272" s="1">
        <v>0</v>
      </c>
      <c r="J272" s="21">
        <f>+VLOOKUP(D272,Prezzi!$O$12:$P$367,2,0)/VLOOKUP(D272,Prezzi!$S$12:$T$367,2,0)</f>
        <v>39.878329565217392</v>
      </c>
      <c r="K272" s="1">
        <v>0</v>
      </c>
      <c r="L272" s="21">
        <f>+VLOOKUP(D272,Prezzi!$Q$12:$R$367,2,0)/VLOOKUP(D272,Prezzi!$S$12:$T$367,2,0)</f>
        <v>91.600784347826092</v>
      </c>
      <c r="M272" s="1">
        <v>0</v>
      </c>
      <c r="O272" s="1" t="str">
        <f t="shared" si="71"/>
        <v>201841</v>
      </c>
      <c r="P272" s="35">
        <v>43383</v>
      </c>
      <c r="Q272" s="12">
        <f t="shared" si="70"/>
        <v>-5.7903881177782035E-4</v>
      </c>
      <c r="R272" s="12">
        <f t="shared" si="72"/>
        <v>-3.908674535167396E-2</v>
      </c>
      <c r="S272" s="12">
        <f t="shared" si="73"/>
        <v>-1.3203529440511596E-2</v>
      </c>
      <c r="T272" s="12">
        <f t="shared" si="74"/>
        <v>-4.0044637874500234E-3</v>
      </c>
      <c r="U272" s="12">
        <f t="shared" si="75"/>
        <v>-6.9840857410387513E-3</v>
      </c>
      <c r="AI272" s="15">
        <v>43383</v>
      </c>
      <c r="AJ272" s="99">
        <f>+VLOOKUP(AI272,benchmark!I$7:$J$362,2,0)</f>
        <v>244.12469999999999</v>
      </c>
      <c r="AK272" s="61">
        <f>+VLOOKUP(AI272,benchmark!K$7:$L$362,2,0)</f>
        <v>230.035</v>
      </c>
      <c r="AP272" s="15">
        <v>43383</v>
      </c>
      <c r="AQ272" s="12">
        <f t="shared" si="77"/>
        <v>-2.1485460047698246E-2</v>
      </c>
      <c r="AR272" s="12">
        <f t="shared" si="77"/>
        <v>-3.867480141140911E-4</v>
      </c>
      <c r="AY272" s="15">
        <v>43383</v>
      </c>
      <c r="AZ272" s="12">
        <f t="shared" si="76"/>
        <v>-8.8262328275477524E-3</v>
      </c>
    </row>
    <row r="273" spans="4:52" x14ac:dyDescent="0.75">
      <c r="D273" s="15">
        <v>43382</v>
      </c>
      <c r="E273" s="21">
        <f>+VLOOKUP(D273,Prezzi!$I$12:$J$367,2,0)</f>
        <v>4.8646399999999996</v>
      </c>
      <c r="F273" s="21">
        <f>+VLOOKUP(D273,Prezzi!$K$12:$L$367,2,0)/VLOOKUP(D273,Prezzi!$S$12:$T$367,2,0)</f>
        <v>253.20545867949278</v>
      </c>
      <c r="G273" s="1">
        <v>0</v>
      </c>
      <c r="H273" s="21">
        <f>+VLOOKUP(D273,Prezzi!$M$12:$N$367,2,0)/VLOOKUP(D273,Prezzi!$S$12:$T$367,2,0)</f>
        <v>21.224550940096197</v>
      </c>
      <c r="I273" s="1">
        <v>0</v>
      </c>
      <c r="J273" s="21">
        <f>+VLOOKUP(D273,Prezzi!$O$12:$P$367,2,0)/VLOOKUP(D273,Prezzi!$S$12:$T$367,2,0)</f>
        <v>40.038341058154785</v>
      </c>
      <c r="K273" s="1">
        <v>0</v>
      </c>
      <c r="L273" s="21">
        <f>+VLOOKUP(D273,Prezzi!$Q$12:$R$367,2,0)/VLOOKUP(D273,Prezzi!$S$12:$T$367,2,0)</f>
        <v>92.242771316134679</v>
      </c>
      <c r="M273" s="1">
        <v>0</v>
      </c>
      <c r="O273" s="1" t="str">
        <f t="shared" si="71"/>
        <v>201841</v>
      </c>
      <c r="P273" s="35">
        <v>43382</v>
      </c>
      <c r="Q273" s="12">
        <f t="shared" si="70"/>
        <v>6.5166246415472411E-5</v>
      </c>
      <c r="R273" s="12">
        <f t="shared" si="72"/>
        <v>2.6256388731455776E-3</v>
      </c>
      <c r="S273" s="12">
        <f t="shared" si="73"/>
        <v>5.1959712024247824E-3</v>
      </c>
      <c r="T273" s="12">
        <f t="shared" si="74"/>
        <v>6.267703995503025E-3</v>
      </c>
      <c r="U273" s="12">
        <f t="shared" si="75"/>
        <v>2.2171255882693524E-3</v>
      </c>
      <c r="AI273" s="15">
        <v>43382</v>
      </c>
      <c r="AJ273" s="99">
        <f>+VLOOKUP(AI273,benchmark!I$7:$J$362,2,0)</f>
        <v>249.48499999999999</v>
      </c>
      <c r="AK273" s="61">
        <f>+VLOOKUP(AI273,benchmark!K$7:$L$362,2,0)</f>
        <v>230.124</v>
      </c>
      <c r="AP273" s="15">
        <v>43382</v>
      </c>
      <c r="AQ273" s="12">
        <f t="shared" si="77"/>
        <v>-2.1585867316309404E-3</v>
      </c>
      <c r="AR273" s="12">
        <f t="shared" si="77"/>
        <v>3.1297271921126857E-4</v>
      </c>
      <c r="AY273" s="15">
        <v>43382</v>
      </c>
      <c r="AZ273" s="12">
        <f t="shared" si="76"/>
        <v>-6.7565106112561497E-4</v>
      </c>
    </row>
    <row r="274" spans="4:52" x14ac:dyDescent="0.75">
      <c r="D274" s="15">
        <v>43381</v>
      </c>
      <c r="E274" s="21">
        <f>+VLOOKUP(D274,Prezzi!$I$12:$J$367,2,0)</f>
        <v>4.8643229999999997</v>
      </c>
      <c r="F274" s="21">
        <f>+VLOOKUP(D274,Prezzi!$K$12:$L$367,2,0)/VLOOKUP(D274,Prezzi!$S$12:$T$367,2,0)</f>
        <v>252.5415046175292</v>
      </c>
      <c r="G274" s="1">
        <v>0</v>
      </c>
      <c r="H274" s="21">
        <f>+VLOOKUP(D274,Prezzi!$M$12:$N$367,2,0)/VLOOKUP(D274,Prezzi!$S$12:$T$367,2,0)</f>
        <v>21.114554800487891</v>
      </c>
      <c r="I274" s="1">
        <v>0</v>
      </c>
      <c r="J274" s="21">
        <f>+VLOOKUP(D274,Prezzi!$O$12:$P$367,2,0)/VLOOKUP(D274,Prezzi!$S$12:$T$367,2,0)</f>
        <v>39.788177382819306</v>
      </c>
      <c r="K274" s="1">
        <v>0</v>
      </c>
      <c r="L274" s="21">
        <f>+VLOOKUP(D274,Prezzi!$Q$12:$R$367,2,0)/VLOOKUP(D274,Prezzi!$S$12:$T$367,2,0)</f>
        <v>92.038484056455843</v>
      </c>
      <c r="M274" s="1">
        <v>0</v>
      </c>
      <c r="O274" s="1" t="str">
        <f t="shared" si="71"/>
        <v>201841</v>
      </c>
      <c r="P274" s="35">
        <v>43381</v>
      </c>
      <c r="Q274" s="12">
        <f t="shared" si="70"/>
        <v>2.3277995341681691E-3</v>
      </c>
      <c r="R274" s="12">
        <f t="shared" si="72"/>
        <v>2.0392652937462293E-3</v>
      </c>
      <c r="S274" s="12">
        <f t="shared" si="73"/>
        <v>-9.9151259042900165E-3</v>
      </c>
      <c r="T274" s="12">
        <f t="shared" si="74"/>
        <v>-1.1147141077150046E-2</v>
      </c>
      <c r="U274" s="12">
        <f t="shared" si="75"/>
        <v>2.8894798437119175E-3</v>
      </c>
      <c r="AI274" s="15">
        <v>43381</v>
      </c>
      <c r="AJ274" s="99">
        <f>+VLOOKUP(AI274,benchmark!I$7:$J$362,2,0)</f>
        <v>250.0247</v>
      </c>
      <c r="AK274" s="61">
        <f>+VLOOKUP(AI274,benchmark!K$7:$L$362,2,0)</f>
        <v>230.05199999999999</v>
      </c>
      <c r="AP274" s="15">
        <v>43381</v>
      </c>
      <c r="AQ274" s="12">
        <f t="shared" si="77"/>
        <v>-3.8011193778594299E-3</v>
      </c>
      <c r="AR274" s="12">
        <f t="shared" si="77"/>
        <v>-1.1028805154881249E-3</v>
      </c>
      <c r="AY274" s="15">
        <v>43381</v>
      </c>
      <c r="AZ274" s="12">
        <f t="shared" si="76"/>
        <v>-2.1821760604366471E-3</v>
      </c>
    </row>
    <row r="275" spans="4:52" x14ac:dyDescent="0.75">
      <c r="D275" s="15">
        <v>43378</v>
      </c>
      <c r="E275" s="21">
        <f>+VLOOKUP(D275,Prezzi!$I$12:$J$367,2,0)</f>
        <v>4.8530129999999998</v>
      </c>
      <c r="F275" s="21">
        <f>+VLOOKUP(D275,Prezzi!$K$12:$L$367,2,0)/VLOOKUP(D275,Prezzi!$S$12:$T$367,2,0)</f>
        <v>252.02703024508952</v>
      </c>
      <c r="G275" s="1">
        <v>0</v>
      </c>
      <c r="H275" s="21">
        <f>+VLOOKUP(D275,Prezzi!$M$12:$N$367,2,0)/VLOOKUP(D275,Prezzi!$S$12:$T$367,2,0)</f>
        <v>21.32494959151747</v>
      </c>
      <c r="I275" s="1">
        <v>0</v>
      </c>
      <c r="J275" s="21">
        <f>+VLOOKUP(D275,Prezzi!$O$12:$P$367,2,0)/VLOOKUP(D275,Prezzi!$S$12:$T$367,2,0)</f>
        <v>40.23418303493829</v>
      </c>
      <c r="K275" s="1">
        <v>0</v>
      </c>
      <c r="L275" s="21">
        <f>+VLOOKUP(D275,Prezzi!$Q$12:$R$367,2,0)/VLOOKUP(D275,Prezzi!$S$12:$T$367,2,0)</f>
        <v>91.772924561098549</v>
      </c>
      <c r="M275" s="126">
        <f>0.45/VLOOKUP(D275,Prezzi!$S$12:$T$367,2,0)</f>
        <v>0.39110029549800102</v>
      </c>
      <c r="O275" s="1" t="str">
        <f t="shared" si="71"/>
        <v>201840</v>
      </c>
      <c r="P275" s="35">
        <v>43378</v>
      </c>
      <c r="Q275" s="12">
        <f t="shared" si="70"/>
        <v>-7.9774263468577924E-4</v>
      </c>
      <c r="R275" s="12">
        <f t="shared" si="72"/>
        <v>-5.8768674363273527E-3</v>
      </c>
      <c r="S275" s="12">
        <f t="shared" si="73"/>
        <v>-6.1063688036900451E-3</v>
      </c>
      <c r="T275" s="12">
        <f t="shared" si="74"/>
        <v>3.0919290468289459E-3</v>
      </c>
      <c r="U275" s="12">
        <f t="shared" si="75"/>
        <v>8.1474350373348737E-4</v>
      </c>
      <c r="AI275" s="15">
        <v>43378</v>
      </c>
      <c r="AJ275" s="99">
        <f>+VLOOKUP(AI275,benchmark!I$7:$J$362,2,0)</f>
        <v>250.97869999999998</v>
      </c>
      <c r="AK275" s="61">
        <f>+VLOOKUP(AI275,benchmark!K$7:$L$362,2,0)</f>
        <v>230.30600000000001</v>
      </c>
      <c r="AP275" s="15">
        <v>43378</v>
      </c>
      <c r="AQ275" s="12">
        <f t="shared" si="77"/>
        <v>-6.7880519521636984E-3</v>
      </c>
      <c r="AR275" s="12">
        <f t="shared" si="77"/>
        <v>-2.7150732030502001E-3</v>
      </c>
      <c r="AY275" s="15">
        <v>43378</v>
      </c>
      <c r="AZ275" s="12">
        <f t="shared" si="76"/>
        <v>-4.3442647026955992E-3</v>
      </c>
    </row>
    <row r="276" spans="4:52" x14ac:dyDescent="0.75">
      <c r="D276" s="15">
        <v>43377</v>
      </c>
      <c r="E276" s="21">
        <f>+VLOOKUP(D276,Prezzi!$I$12:$J$367,2,0)</f>
        <v>4.8568860000000003</v>
      </c>
      <c r="F276" s="21">
        <f>+VLOOKUP(D276,Prezzi!$K$12:$L$367,2,0)/VLOOKUP(D276,Prezzi!$S$12:$T$367,2,0)</f>
        <v>253.51252043122938</v>
      </c>
      <c r="G276" s="1">
        <v>0</v>
      </c>
      <c r="H276" s="21">
        <f>+VLOOKUP(D276,Prezzi!$M$12:$N$367,2,0)/VLOOKUP(D276,Prezzi!$S$12:$T$367,2,0)</f>
        <v>21.455565988523738</v>
      </c>
      <c r="I276" s="1">
        <v>0</v>
      </c>
      <c r="J276" s="21">
        <f>+VLOOKUP(D276,Prezzi!$O$12:$P$367,2,0)/VLOOKUP(D276,Prezzi!$S$12:$T$367,2,0)</f>
        <v>40.109973917579559</v>
      </c>
      <c r="K276" s="1">
        <v>0</v>
      </c>
      <c r="L276" s="21">
        <f>+VLOOKUP(D276,Prezzi!$Q$12:$R$367,2,0)/VLOOKUP(D276,Prezzi!$S$12:$T$367,2,0)</f>
        <v>92.088965397322212</v>
      </c>
      <c r="M276" s="1">
        <v>0</v>
      </c>
      <c r="O276" s="1" t="str">
        <f t="shared" si="71"/>
        <v>201840</v>
      </c>
      <c r="P276" s="35">
        <v>43377</v>
      </c>
      <c r="Q276" s="12">
        <f t="shared" si="70"/>
        <v>3.389577144610638E-4</v>
      </c>
      <c r="R276" s="12">
        <f t="shared" si="72"/>
        <v>-3.9777774126048991E-3</v>
      </c>
      <c r="S276" s="12">
        <f t="shared" si="73"/>
        <v>-1.1934104233022789E-2</v>
      </c>
      <c r="T276" s="12">
        <f t="shared" si="74"/>
        <v>3.0425756786583141E-3</v>
      </c>
      <c r="U276" s="12">
        <f t="shared" si="75"/>
        <v>-5.2295035034032886E-3</v>
      </c>
      <c r="AI276" s="15">
        <v>43377</v>
      </c>
      <c r="AJ276" s="99">
        <f>+VLOOKUP(AI276,benchmark!I$7:$J$362,2,0)</f>
        <v>252.69400000000002</v>
      </c>
      <c r="AK276" s="61">
        <f>+VLOOKUP(AI276,benchmark!K$7:$L$362,2,0)</f>
        <v>230.93299999999999</v>
      </c>
      <c r="AP276" s="15">
        <v>43377</v>
      </c>
      <c r="AQ276" s="12">
        <f t="shared" si="77"/>
        <v>-9.8895845904284352E-3</v>
      </c>
      <c r="AR276" s="12">
        <f t="shared" si="77"/>
        <v>-2.1992551049507814E-3</v>
      </c>
      <c r="AY276" s="15">
        <v>43377</v>
      </c>
      <c r="AZ276" s="12">
        <f t="shared" si="76"/>
        <v>-5.2753868991418425E-3</v>
      </c>
    </row>
    <row r="277" spans="4:52" x14ac:dyDescent="0.75">
      <c r="D277" s="15">
        <v>43376</v>
      </c>
      <c r="E277" s="21">
        <f>+VLOOKUP(D277,Prezzi!$I$12:$J$367,2,0)</f>
        <v>4.8552400000000002</v>
      </c>
      <c r="F277" s="21">
        <f>+VLOOKUP(D277,Prezzi!$K$12:$L$367,2,0)/VLOOKUP(D277,Prezzi!$S$12:$T$367,2,0)</f>
        <v>254.52294509871837</v>
      </c>
      <c r="G277" s="1">
        <v>0</v>
      </c>
      <c r="H277" s="21">
        <f>+VLOOKUP(D277,Prezzi!$M$12:$N$367,2,0)/VLOOKUP(D277,Prezzi!$S$12:$T$367,2,0)</f>
        <v>21.71315292691375</v>
      </c>
      <c r="I277" s="1">
        <v>0</v>
      </c>
      <c r="J277" s="21">
        <f>+VLOOKUP(D277,Prezzi!$O$12:$P$367,2,0)/VLOOKUP(D277,Prezzi!$S$12:$T$367,2,0)</f>
        <v>39.988121752684449</v>
      </c>
      <c r="K277" s="1">
        <v>0</v>
      </c>
      <c r="L277" s="21">
        <f>+VLOOKUP(D277,Prezzi!$Q$12:$R$367,2,0)/VLOOKUP(D277,Prezzi!$S$12:$T$367,2,0)</f>
        <v>92.57180637339799</v>
      </c>
      <c r="M277" s="1">
        <v>0</v>
      </c>
      <c r="O277" s="1" t="str">
        <f t="shared" si="71"/>
        <v>201840</v>
      </c>
      <c r="P277" s="35">
        <v>43376</v>
      </c>
      <c r="Q277" s="12">
        <f t="shared" si="70"/>
        <v>9.0215881722728592E-5</v>
      </c>
      <c r="R277" s="12">
        <f t="shared" si="72"/>
        <v>2.7851627410096542E-4</v>
      </c>
      <c r="S277" s="12">
        <f t="shared" si="73"/>
        <v>6.3217170272906326E-4</v>
      </c>
      <c r="T277" s="12">
        <f t="shared" si="74"/>
        <v>-3.5855099269678525E-3</v>
      </c>
      <c r="U277" s="12">
        <f t="shared" si="75"/>
        <v>-1.0911662762881241E-3</v>
      </c>
      <c r="AI277" s="15">
        <v>43376</v>
      </c>
      <c r="AJ277" s="99">
        <f>+VLOOKUP(AI277,benchmark!I$7:$J$362,2,0)</f>
        <v>255.21799999999999</v>
      </c>
      <c r="AK277" s="61">
        <f>+VLOOKUP(AI277,benchmark!K$7:$L$362,2,0)</f>
        <v>231.44200000000001</v>
      </c>
      <c r="AP277" s="15">
        <v>43376</v>
      </c>
      <c r="AQ277" s="12">
        <f t="shared" si="77"/>
        <v>1.9830119364772081E-4</v>
      </c>
      <c r="AR277" s="12">
        <f t="shared" si="77"/>
        <v>-1.9439536561438597E-4</v>
      </c>
      <c r="AY277" s="15">
        <v>43376</v>
      </c>
      <c r="AZ277" s="12">
        <f t="shared" si="76"/>
        <v>-3.7316741909543247E-5</v>
      </c>
    </row>
    <row r="278" spans="4:52" x14ac:dyDescent="0.75">
      <c r="D278" s="15">
        <v>43375</v>
      </c>
      <c r="E278" s="21">
        <f>+VLOOKUP(D278,Prezzi!$I$12:$J$367,2,0)</f>
        <v>4.8548020000000003</v>
      </c>
      <c r="F278" s="21">
        <f>+VLOOKUP(D278,Prezzi!$K$12:$L$367,2,0)/VLOOKUP(D278,Prezzi!$S$12:$T$367,2,0)</f>
        <v>254.45206618729964</v>
      </c>
      <c r="G278" s="126">
        <f>1.28/VLOOKUP(D278,Prezzi!$S$12:$T$367,2,0)</f>
        <v>1.1088971671142682</v>
      </c>
      <c r="H278" s="21">
        <f>+VLOOKUP(D278,Prezzi!$M$12:$N$367,2,0)/VLOOKUP(D278,Prezzi!$S$12:$T$367,2,0)</f>
        <v>21.699430823875939</v>
      </c>
      <c r="I278" s="1">
        <v>0</v>
      </c>
      <c r="J278" s="21">
        <f>+VLOOKUP(D278,Prezzi!$O$12:$P$367,2,0)/VLOOKUP(D278,Prezzi!$S$12:$T$367,2,0)</f>
        <v>40.131756908949143</v>
      </c>
      <c r="K278" s="1">
        <v>0</v>
      </c>
      <c r="L278" s="21">
        <f>+VLOOKUP(D278,Prezzi!$Q$12:$R$367,2,0)/VLOOKUP(D278,Prezzi!$S$12:$T$367,2,0)</f>
        <v>92.672872736723548</v>
      </c>
      <c r="M278" s="1">
        <v>0</v>
      </c>
      <c r="O278" s="1" t="str">
        <f t="shared" si="71"/>
        <v>201840</v>
      </c>
      <c r="P278" s="35">
        <v>43375</v>
      </c>
      <c r="Q278" s="12">
        <f t="shared" si="70"/>
        <v>-1.7826230098664261E-3</v>
      </c>
      <c r="R278" s="12">
        <f t="shared" si="72"/>
        <v>9.4288367936658634E-3</v>
      </c>
      <c r="S278" s="12">
        <f t="shared" si="73"/>
        <v>-1.8057041945839366E-3</v>
      </c>
      <c r="T278" s="12">
        <f t="shared" si="74"/>
        <v>1.7840107160318436E-2</v>
      </c>
      <c r="U278" s="12">
        <f t="shared" si="75"/>
        <v>4.7356876299702788E-3</v>
      </c>
      <c r="AI278" s="15">
        <v>43375</v>
      </c>
      <c r="AJ278" s="99">
        <f>+VLOOKUP(AI278,benchmark!I$7:$J$362,2,0)</f>
        <v>255.16739999999999</v>
      </c>
      <c r="AK278" s="61">
        <f>+VLOOKUP(AI278,benchmark!K$7:$L$362,2,0)</f>
        <v>231.48699999999999</v>
      </c>
      <c r="AP278" s="15">
        <v>43375</v>
      </c>
      <c r="AQ278" s="12">
        <f t="shared" si="77"/>
        <v>-3.2246988100061991E-3</v>
      </c>
      <c r="AR278" s="12">
        <f t="shared" si="77"/>
        <v>2.4629477595805582E-4</v>
      </c>
      <c r="AY278" s="15">
        <v>43375</v>
      </c>
      <c r="AZ278" s="12">
        <f t="shared" si="76"/>
        <v>-1.1421026584276463E-3</v>
      </c>
    </row>
    <row r="279" spans="4:52" x14ac:dyDescent="0.75">
      <c r="D279" s="15">
        <v>43374</v>
      </c>
      <c r="E279" s="21">
        <f>+VLOOKUP(D279,Prezzi!$I$12:$J$367,2,0)</f>
        <v>4.8634639999999996</v>
      </c>
      <c r="F279" s="21">
        <f>+VLOOKUP(D279,Prezzi!$K$12:$L$367,2,0)/VLOOKUP(D279,Prezzi!$S$12:$T$367,2,0)</f>
        <v>253.16264518352574</v>
      </c>
      <c r="G279" s="1">
        <v>0</v>
      </c>
      <c r="H279" s="21">
        <f>+VLOOKUP(D279,Prezzi!$M$12:$N$367,2,0)/VLOOKUP(D279,Prezzi!$S$12:$T$367,2,0)</f>
        <v>21.738648974668273</v>
      </c>
      <c r="I279" s="1">
        <v>0</v>
      </c>
      <c r="J279" s="21">
        <f>+VLOOKUP(D279,Prezzi!$O$12:$P$367,2,0)/VLOOKUP(D279,Prezzi!$S$12:$T$367,2,0)</f>
        <v>39.422150611752542</v>
      </c>
      <c r="K279" s="1">
        <v>0</v>
      </c>
      <c r="L279" s="21">
        <f>+VLOOKUP(D279,Prezzi!$Q$12:$R$367,2,0)/VLOOKUP(D279,Prezzi!$S$12:$T$367,2,0)</f>
        <v>92.235040496295014</v>
      </c>
      <c r="M279" s="1">
        <v>0</v>
      </c>
      <c r="O279" s="1" t="str">
        <f t="shared" si="71"/>
        <v>201840</v>
      </c>
      <c r="P279" s="35">
        <v>43374</v>
      </c>
      <c r="Q279" s="12">
        <f t="shared" si="70"/>
        <v>-2.7008005365019932E-3</v>
      </c>
      <c r="R279" s="12">
        <f t="shared" si="72"/>
        <v>1.0521534379515736E-3</v>
      </c>
      <c r="S279" s="12">
        <f t="shared" si="73"/>
        <v>-4.0865458573972882E-3</v>
      </c>
      <c r="T279" s="12">
        <f t="shared" si="74"/>
        <v>-5.8955043636632169E-3</v>
      </c>
      <c r="U279" s="12">
        <f t="shared" si="75"/>
        <v>-8.1618398201916374E-3</v>
      </c>
      <c r="AI279" s="15">
        <v>43374</v>
      </c>
      <c r="AJ279" s="99">
        <f>+VLOOKUP(AI279,benchmark!I$7:$J$362,2,0)</f>
        <v>255.99290000000002</v>
      </c>
      <c r="AK279" s="61">
        <f>+VLOOKUP(AI279,benchmark!K$7:$L$362,2,0)</f>
        <v>231.43</v>
      </c>
      <c r="AP279" s="15">
        <v>43374</v>
      </c>
      <c r="AQ279" s="12">
        <f t="shared" si="77"/>
        <v>1.5571515707082373E-3</v>
      </c>
      <c r="AR279" s="12">
        <f t="shared" si="77"/>
        <v>-1.9923067634932679E-3</v>
      </c>
      <c r="AY279" s="15">
        <v>43374</v>
      </c>
      <c r="AZ279" s="12">
        <f t="shared" si="76"/>
        <v>-5.7252342981266562E-4</v>
      </c>
    </row>
    <row r="280" spans="4:52" x14ac:dyDescent="0.75">
      <c r="D280" s="15">
        <v>43371</v>
      </c>
      <c r="E280" s="21">
        <f>+VLOOKUP(D280,Prezzi!$I$12:$J$367,2,0)</f>
        <v>4.8766170000000004</v>
      </c>
      <c r="F280" s="21">
        <f>+VLOOKUP(D280,Prezzi!$K$12:$L$367,2,0)/VLOOKUP(D280,Prezzi!$S$12:$T$367,2,0)</f>
        <v>252.89641931582588</v>
      </c>
      <c r="G280" s="1">
        <v>0</v>
      </c>
      <c r="H280" s="21">
        <f>+VLOOKUP(D280,Prezzi!$M$12:$N$367,2,0)/VLOOKUP(D280,Prezzi!$S$12:$T$367,2,0)</f>
        <v>21.827666724257085</v>
      </c>
      <c r="I280" s="1">
        <v>0</v>
      </c>
      <c r="J280" s="21">
        <f>+VLOOKUP(D280,Prezzi!$O$12:$P$367,2,0)/VLOOKUP(D280,Prezzi!$S$12:$T$367,2,0)</f>
        <v>39.655250518313757</v>
      </c>
      <c r="K280" s="1">
        <v>0</v>
      </c>
      <c r="L280" s="21">
        <f>+VLOOKUP(D280,Prezzi!$Q$12:$R$367,2,0)/VLOOKUP(D280,Prezzi!$S$12:$T$367,2,0)</f>
        <v>92.990928645473389</v>
      </c>
      <c r="M280" s="1">
        <v>0</v>
      </c>
      <c r="O280" s="1" t="str">
        <f t="shared" si="71"/>
        <v>201839</v>
      </c>
      <c r="P280" s="35">
        <v>43371</v>
      </c>
      <c r="Q280" s="12">
        <f t="shared" si="70"/>
        <v>-2.7205206263930257E-3</v>
      </c>
      <c r="R280" s="12">
        <f t="shared" si="72"/>
        <v>1.1290423081913675E-2</v>
      </c>
      <c r="S280" s="12">
        <f t="shared" si="73"/>
        <v>3.9976030353127889E-3</v>
      </c>
      <c r="T280" s="12">
        <f t="shared" si="74"/>
        <v>1.8309687100818758E-2</v>
      </c>
      <c r="U280" s="12">
        <f t="shared" si="75"/>
        <v>1.0753499056682799E-2</v>
      </c>
      <c r="AI280" s="15">
        <v>43371</v>
      </c>
      <c r="AJ280" s="99">
        <f>+VLOOKUP(AI280,benchmark!I$7:$J$362,2,0)</f>
        <v>255.5949</v>
      </c>
      <c r="AK280" s="61">
        <f>+VLOOKUP(AI280,benchmark!K$7:$L$362,2,0)</f>
        <v>231.892</v>
      </c>
      <c r="AP280" s="15">
        <v>43371</v>
      </c>
      <c r="AQ280" s="12">
        <f t="shared" si="77"/>
        <v>-2.2188970863508128E-3</v>
      </c>
      <c r="AR280" s="12">
        <f t="shared" si="77"/>
        <v>-1.1844921974268896E-3</v>
      </c>
      <c r="AY280" s="15">
        <v>43371</v>
      </c>
      <c r="AZ280" s="12">
        <f t="shared" si="76"/>
        <v>-1.5982541529964589E-3</v>
      </c>
    </row>
    <row r="281" spans="4:52" x14ac:dyDescent="0.75">
      <c r="D281" s="15">
        <v>43370</v>
      </c>
      <c r="E281" s="21">
        <f>+VLOOKUP(D281,Prezzi!$I$12:$J$367,2,0)</f>
        <v>4.8899020000000002</v>
      </c>
      <c r="F281" s="21">
        <f>+VLOOKUP(D281,Prezzi!$K$12:$L$367,2,0)/VLOOKUP(D281,Prezzi!$S$12:$T$367,2,0)</f>
        <v>250.05717006918937</v>
      </c>
      <c r="G281" s="1">
        <v>0</v>
      </c>
      <c r="H281" s="21">
        <f>+VLOOKUP(D281,Prezzi!$M$12:$N$367,2,0)/VLOOKUP(D281,Prezzi!$S$12:$T$367,2,0)</f>
        <v>21.740582557444263</v>
      </c>
      <c r="I281" s="1">
        <v>0</v>
      </c>
      <c r="J281" s="21">
        <f>+VLOOKUP(D281,Prezzi!$O$12:$P$367,2,0)/VLOOKUP(D281,Prezzi!$S$12:$T$367,2,0)</f>
        <v>38.935782010762793</v>
      </c>
      <c r="K281" s="1">
        <v>0</v>
      </c>
      <c r="L281" s="21">
        <f>+VLOOKUP(D281,Prezzi!$Q$12:$R$367,2,0)/VLOOKUP(D281,Prezzi!$S$12:$T$367,2,0)</f>
        <v>91.996308191680185</v>
      </c>
      <c r="M281" s="1">
        <v>0</v>
      </c>
      <c r="O281" s="1" t="str">
        <f t="shared" si="71"/>
        <v>201839</v>
      </c>
      <c r="P281" s="35">
        <v>43370</v>
      </c>
      <c r="Q281" s="12">
        <f t="shared" ref="Q281:Q344" si="78">+LN(E281/E282)</f>
        <v>8.3942834195292445E-4</v>
      </c>
      <c r="R281" s="12">
        <f t="shared" si="72"/>
        <v>5.5034222696345256E-3</v>
      </c>
      <c r="S281" s="12">
        <f t="shared" si="73"/>
        <v>2.2302911063053731E-3</v>
      </c>
      <c r="T281" s="12">
        <f t="shared" si="74"/>
        <v>-6.7186024256532624E-3</v>
      </c>
      <c r="U281" s="12">
        <f t="shared" si="75"/>
        <v>7.4672828714175844E-3</v>
      </c>
      <c r="AI281" s="15">
        <v>43370</v>
      </c>
      <c r="AJ281" s="99">
        <f>+VLOOKUP(AI281,benchmark!I$7:$J$362,2,0)</f>
        <v>256.16329999999999</v>
      </c>
      <c r="AK281" s="61">
        <f>+VLOOKUP(AI281,benchmark!K$7:$L$362,2,0)</f>
        <v>232.167</v>
      </c>
      <c r="AP281" s="15">
        <v>43370</v>
      </c>
      <c r="AQ281" s="12">
        <f t="shared" si="77"/>
        <v>4.5655787388532154E-4</v>
      </c>
      <c r="AR281" s="12">
        <f t="shared" si="77"/>
        <v>-3.100254479222464E-4</v>
      </c>
      <c r="AY281" s="15">
        <v>43370</v>
      </c>
      <c r="AZ281" s="12">
        <f t="shared" si="76"/>
        <v>-3.3921191992191909E-6</v>
      </c>
    </row>
    <row r="282" spans="4:52" x14ac:dyDescent="0.75">
      <c r="D282" s="15">
        <v>43369</v>
      </c>
      <c r="E282" s="21">
        <f>+VLOOKUP(D282,Prezzi!$I$12:$J$367,2,0)</f>
        <v>4.8857989999999996</v>
      </c>
      <c r="F282" s="21">
        <f>+VLOOKUP(D282,Prezzi!$K$12:$L$367,2,0)/VLOOKUP(D282,Prezzi!$S$12:$T$367,2,0)</f>
        <v>248.68477975632615</v>
      </c>
      <c r="G282" s="1">
        <v>0</v>
      </c>
      <c r="H282" s="21">
        <f>+VLOOKUP(D282,Prezzi!$M$12:$N$367,2,0)/VLOOKUP(D282,Prezzi!$S$12:$T$367,2,0)</f>
        <v>21.692148760330578</v>
      </c>
      <c r="I282" s="1">
        <v>0</v>
      </c>
      <c r="J282" s="21">
        <f>+VLOOKUP(D282,Prezzi!$O$12:$P$367,2,0)/VLOOKUP(D282,Prezzi!$S$12:$T$367,2,0)</f>
        <v>39.198256794751643</v>
      </c>
      <c r="K282" s="1">
        <v>0</v>
      </c>
      <c r="L282" s="21">
        <f>+VLOOKUP(D282,Prezzi!$Q$12:$R$367,2,0)/VLOOKUP(D282,Prezzi!$S$12:$T$367,2,0)</f>
        <v>91.311904234472181</v>
      </c>
      <c r="M282" s="1">
        <v>0</v>
      </c>
      <c r="O282" s="1" t="str">
        <f t="shared" ref="O282:O345" si="79">+YEAR( P282) &amp; WEEKNUM(P282,2)</f>
        <v>201839</v>
      </c>
      <c r="P282" s="35">
        <v>43369</v>
      </c>
      <c r="Q282" s="12">
        <f t="shared" si="78"/>
        <v>-1.0940022647957246E-3</v>
      </c>
      <c r="R282" s="12">
        <f t="shared" ref="R282:R345" si="80">+LN((F282+G282)/F283)</f>
        <v>-4.2645407828844368E-3</v>
      </c>
      <c r="S282" s="12">
        <f t="shared" ref="S282:S345" si="81">+LN((H282+I282)/H283)</f>
        <v>4.5946120468220416E-3</v>
      </c>
      <c r="T282" s="12">
        <f t="shared" ref="T282:T345" si="82">+LN((J282+K282)/J283)</f>
        <v>-1.7972825406444909E-3</v>
      </c>
      <c r="U282" s="12">
        <f t="shared" ref="U282:U345" si="83">+LN((L282+M282)/L283)</f>
        <v>6.202193713810999E-3</v>
      </c>
      <c r="AI282" s="15">
        <v>43369</v>
      </c>
      <c r="AJ282" s="99">
        <f>+VLOOKUP(AI282,benchmark!I$7:$J$362,2,0)</f>
        <v>256.04640000000001</v>
      </c>
      <c r="AK282" s="61">
        <f>+VLOOKUP(AI282,benchmark!K$7:$L$362,2,0)</f>
        <v>232.239</v>
      </c>
      <c r="AP282" s="15">
        <v>43369</v>
      </c>
      <c r="AQ282" s="12">
        <f t="shared" si="77"/>
        <v>-9.9959969192653375E-4</v>
      </c>
      <c r="AR282" s="12">
        <f t="shared" si="77"/>
        <v>1.2545915463810786E-3</v>
      </c>
      <c r="AY282" s="15">
        <v>43369</v>
      </c>
      <c r="AZ282" s="12">
        <f t="shared" ref="AZ282:AZ345" si="84">+SUMPRODUCT($AV$4:$AW$4,AQ282:AR282)</f>
        <v>3.5291505105803365E-4</v>
      </c>
    </row>
    <row r="283" spans="4:52" x14ac:dyDescent="0.75">
      <c r="D283" s="15">
        <v>43368</v>
      </c>
      <c r="E283" s="21">
        <f>+VLOOKUP(D283,Prezzi!$I$12:$J$367,2,0)</f>
        <v>4.8911470000000001</v>
      </c>
      <c r="F283" s="21">
        <f>+VLOOKUP(D283,Prezzi!$K$12:$L$367,2,0)/VLOOKUP(D283,Prezzi!$S$12:$T$367,2,0)</f>
        <v>249.74757068863042</v>
      </c>
      <c r="G283" s="1">
        <v>0</v>
      </c>
      <c r="H283" s="21">
        <f>+VLOOKUP(D283,Prezzi!$M$12:$N$367,2,0)/VLOOKUP(D283,Prezzi!$S$12:$T$367,2,0)</f>
        <v>21.592710367665791</v>
      </c>
      <c r="I283" s="1">
        <v>0</v>
      </c>
      <c r="J283" s="21">
        <f>+VLOOKUP(D283,Prezzi!$O$12:$P$367,2,0)/VLOOKUP(D283,Prezzi!$S$12:$T$367,2,0)</f>
        <v>39.268770484843337</v>
      </c>
      <c r="K283" s="1">
        <v>0</v>
      </c>
      <c r="L283" s="21">
        <f>+VLOOKUP(D283,Prezzi!$Q$12:$R$367,2,0)/VLOOKUP(D283,Prezzi!$S$12:$T$367,2,0)</f>
        <v>90.747322747728617</v>
      </c>
      <c r="M283" s="1">
        <v>0</v>
      </c>
      <c r="O283" s="1" t="str">
        <f t="shared" si="79"/>
        <v>201839</v>
      </c>
      <c r="P283" s="35">
        <v>43368</v>
      </c>
      <c r="Q283" s="12">
        <f t="shared" si="78"/>
        <v>0</v>
      </c>
      <c r="R283" s="12">
        <f t="shared" si="80"/>
        <v>-1.5746004695245158E-3</v>
      </c>
      <c r="S283" s="12">
        <f t="shared" si="81"/>
        <v>3.7611869114340026E-3</v>
      </c>
      <c r="T283" s="12">
        <f t="shared" si="82"/>
        <v>7.5279563872201842E-4</v>
      </c>
      <c r="U283" s="12">
        <f t="shared" si="83"/>
        <v>-3.1096734263997688E-4</v>
      </c>
      <c r="AI283" s="15">
        <v>43368</v>
      </c>
      <c r="AJ283" s="99">
        <f>+VLOOKUP(AI283,benchmark!I$7:$J$362,2,0)</f>
        <v>256.30259999999998</v>
      </c>
      <c r="AK283" s="61">
        <f>+VLOOKUP(AI283,benchmark!K$7:$L$362,2,0)</f>
        <v>231.94800000000001</v>
      </c>
      <c r="AP283" s="15">
        <v>43368</v>
      </c>
      <c r="AQ283" s="12">
        <f t="shared" si="77"/>
        <v>4.7856975564042337E-4</v>
      </c>
      <c r="AR283" s="12">
        <f t="shared" si="77"/>
        <v>-7.1947095189883736E-4</v>
      </c>
      <c r="AY283" s="15">
        <v>43368</v>
      </c>
      <c r="AZ283" s="12">
        <f t="shared" si="84"/>
        <v>-2.4025466888313307E-4</v>
      </c>
    </row>
    <row r="284" spans="4:52" x14ac:dyDescent="0.75">
      <c r="D284" s="15">
        <v>43367</v>
      </c>
      <c r="E284" s="21">
        <f>+VLOOKUP(D284,Prezzi!$I$12:$J$367,2,0)</f>
        <v>4.8911470000000001</v>
      </c>
      <c r="F284" s="21">
        <f>+VLOOKUP(D284,Prezzi!$K$12:$L$367,2,0)/VLOOKUP(D284,Prezzi!$S$12:$T$367,2,0)</f>
        <v>250.14113310116366</v>
      </c>
      <c r="G284" s="1">
        <v>0</v>
      </c>
      <c r="H284" s="21">
        <f>+VLOOKUP(D284,Prezzi!$M$12:$N$367,2,0)/VLOOKUP(D284,Prezzi!$S$12:$T$367,2,0)</f>
        <v>21.511648687675187</v>
      </c>
      <c r="I284" s="1">
        <v>0</v>
      </c>
      <c r="J284" s="21">
        <f>+VLOOKUP(D284,Prezzi!$O$12:$P$367,2,0)/VLOOKUP(D284,Prezzi!$S$12:$T$367,2,0)</f>
        <v>39.239220249723942</v>
      </c>
      <c r="K284" s="1">
        <v>0</v>
      </c>
      <c r="L284" s="21">
        <f>+VLOOKUP(D284,Prezzi!$Q$12:$R$367,2,0)/VLOOKUP(D284,Prezzi!$S$12:$T$367,2,0)</f>
        <v>90.775546589654297</v>
      </c>
      <c r="M284" s="1">
        <v>0</v>
      </c>
      <c r="O284" s="1" t="str">
        <f t="shared" si="79"/>
        <v>201839</v>
      </c>
      <c r="P284" s="35">
        <v>43367</v>
      </c>
      <c r="Q284" s="12">
        <f t="shared" si="78"/>
        <v>-1.4187894356296432E-4</v>
      </c>
      <c r="R284" s="12">
        <f t="shared" si="80"/>
        <v>-4.7099658837423961E-3</v>
      </c>
      <c r="S284" s="12">
        <f t="shared" si="81"/>
        <v>-3.40094839552924E-3</v>
      </c>
      <c r="T284" s="12">
        <f t="shared" si="82"/>
        <v>8.4573917688820967E-4</v>
      </c>
      <c r="U284" s="12">
        <f t="shared" si="83"/>
        <v>-4.6185131612855833E-4</v>
      </c>
      <c r="AI284" s="15">
        <v>43367</v>
      </c>
      <c r="AJ284" s="99">
        <f>+VLOOKUP(AI284,benchmark!I$7:$J$362,2,0)</f>
        <v>256.18</v>
      </c>
      <c r="AK284" s="61">
        <f>+VLOOKUP(AI284,benchmark!K$7:$L$362,2,0)</f>
        <v>232.11500000000001</v>
      </c>
      <c r="AP284" s="15">
        <v>43367</v>
      </c>
      <c r="AQ284" s="12">
        <f t="shared" si="77"/>
        <v>-3.7492596563559744E-3</v>
      </c>
      <c r="AR284" s="12">
        <f t="shared" si="77"/>
        <v>-3.1651005789085085E-3</v>
      </c>
      <c r="AY284" s="15">
        <v>43367</v>
      </c>
      <c r="AZ284" s="12">
        <f t="shared" si="84"/>
        <v>-3.3987642098874948E-3</v>
      </c>
    </row>
    <row r="285" spans="4:52" x14ac:dyDescent="0.75">
      <c r="D285" s="15">
        <v>43364</v>
      </c>
      <c r="E285" s="21">
        <f>+VLOOKUP(D285,Prezzi!$I$12:$J$367,2,0)</f>
        <v>4.8918410000000003</v>
      </c>
      <c r="F285" s="21">
        <f>+VLOOKUP(D285,Prezzi!$K$12:$L$367,2,0)/VLOOKUP(D285,Prezzi!$S$12:$T$367,2,0)</f>
        <v>251.32206820307852</v>
      </c>
      <c r="G285" s="1">
        <v>0</v>
      </c>
      <c r="H285" s="21">
        <f>+VLOOKUP(D285,Prezzi!$M$12:$N$367,2,0)/VLOOKUP(D285,Prezzi!$S$12:$T$367,2,0)</f>
        <v>21.584933242622675</v>
      </c>
      <c r="I285" s="1">
        <v>0</v>
      </c>
      <c r="J285" s="21">
        <f>+VLOOKUP(D285,Prezzi!$O$12:$P$367,2,0)/VLOOKUP(D285,Prezzi!$S$12:$T$367,2,0)</f>
        <v>39.206048133344673</v>
      </c>
      <c r="K285" s="1">
        <v>0</v>
      </c>
      <c r="L285" s="21">
        <f>+VLOOKUP(D285,Prezzi!$Q$12:$R$367,2,0)/VLOOKUP(D285,Prezzi!$S$12:$T$367,2,0)</f>
        <v>90.817481078322999</v>
      </c>
      <c r="M285" s="1">
        <v>0</v>
      </c>
      <c r="O285" s="1" t="str">
        <f t="shared" si="79"/>
        <v>201838</v>
      </c>
      <c r="P285" s="35">
        <v>43364</v>
      </c>
      <c r="Q285" s="12">
        <f t="shared" si="78"/>
        <v>4.465573752187585E-4</v>
      </c>
      <c r="R285" s="12">
        <f t="shared" si="80"/>
        <v>4.9516484123686888E-4</v>
      </c>
      <c r="S285" s="12">
        <f t="shared" si="81"/>
        <v>5.8868018223194795E-3</v>
      </c>
      <c r="T285" s="12">
        <f t="shared" si="82"/>
        <v>-7.0176828571164645E-3</v>
      </c>
      <c r="U285" s="12">
        <f t="shared" si="83"/>
        <v>3.765302684221991E-3</v>
      </c>
      <c r="AI285" s="15">
        <v>43364</v>
      </c>
      <c r="AJ285" s="99">
        <f>+VLOOKUP(AI285,benchmark!I$7:$J$362,2,0)</f>
        <v>257.14409999999998</v>
      </c>
      <c r="AK285" s="61">
        <f>+VLOOKUP(AI285,benchmark!K$7:$L$362,2,0)</f>
        <v>232.852</v>
      </c>
      <c r="AP285" s="15">
        <v>43364</v>
      </c>
      <c r="AQ285" s="12">
        <f t="shared" si="77"/>
        <v>3.2996694477998023E-3</v>
      </c>
      <c r="AR285" s="12">
        <f t="shared" si="77"/>
        <v>1.4364479309127987E-3</v>
      </c>
      <c r="AY285" s="15">
        <v>43364</v>
      </c>
      <c r="AZ285" s="12">
        <f t="shared" si="84"/>
        <v>2.1817365376676002E-3</v>
      </c>
    </row>
    <row r="286" spans="4:52" x14ac:dyDescent="0.75">
      <c r="D286" s="15">
        <v>43363</v>
      </c>
      <c r="E286" s="21">
        <f>+VLOOKUP(D286,Prezzi!$I$12:$J$367,2,0)</f>
        <v>4.8896569999999997</v>
      </c>
      <c r="F286" s="21">
        <f>+VLOOKUP(D286,Prezzi!$K$12:$L$367,2,0)/VLOOKUP(D286,Prezzi!$S$12:$T$367,2,0)</f>
        <v>251.19765315659785</v>
      </c>
      <c r="G286" s="1">
        <v>0</v>
      </c>
      <c r="H286" s="21">
        <f>+VLOOKUP(D286,Prezzi!$M$12:$N$367,2,0)/VLOOKUP(D286,Prezzi!$S$12:$T$367,2,0)</f>
        <v>21.458240292293311</v>
      </c>
      <c r="I286" s="1">
        <v>0</v>
      </c>
      <c r="J286" s="21">
        <f>+VLOOKUP(D286,Prezzi!$O$12:$P$367,2,0)/VLOOKUP(D286,Prezzi!$S$12:$T$367,2,0)</f>
        <v>39.482151414733622</v>
      </c>
      <c r="K286" s="1">
        <v>0</v>
      </c>
      <c r="L286" s="21">
        <f>+VLOOKUP(D286,Prezzi!$Q$12:$R$367,2,0)/VLOOKUP(D286,Prezzi!$S$12:$T$367,2,0)</f>
        <v>90.47616874840682</v>
      </c>
      <c r="M286" s="1">
        <v>0</v>
      </c>
      <c r="O286" s="1" t="str">
        <f t="shared" si="79"/>
        <v>201838</v>
      </c>
      <c r="P286" s="35">
        <v>43363</v>
      </c>
      <c r="Q286" s="12">
        <f t="shared" si="78"/>
        <v>1.5098340076043536E-3</v>
      </c>
      <c r="R286" s="12">
        <f t="shared" si="80"/>
        <v>-8.4879552977874394E-4</v>
      </c>
      <c r="S286" s="12">
        <f t="shared" si="81"/>
        <v>1.8190031420258713E-3</v>
      </c>
      <c r="T286" s="12">
        <f t="shared" si="82"/>
        <v>-6.0035212449487379E-3</v>
      </c>
      <c r="U286" s="12">
        <f t="shared" si="83"/>
        <v>-3.9849042643268469E-3</v>
      </c>
      <c r="AI286" s="15">
        <v>43363</v>
      </c>
      <c r="AJ286" s="99">
        <f>+VLOOKUP(AI286,benchmark!I$7:$J$362,2,0)</f>
        <v>256.29840000000002</v>
      </c>
      <c r="AK286" s="61">
        <f>+VLOOKUP(AI286,benchmark!K$7:$L$362,2,0)</f>
        <v>232.518</v>
      </c>
      <c r="AP286" s="15">
        <v>43363</v>
      </c>
      <c r="AQ286" s="12">
        <f t="shared" si="77"/>
        <v>7.9920146712324502E-3</v>
      </c>
      <c r="AR286" s="12">
        <f t="shared" si="77"/>
        <v>6.0214017823412291E-5</v>
      </c>
      <c r="AY286" s="15">
        <v>43363</v>
      </c>
      <c r="AZ286" s="12">
        <f t="shared" si="84"/>
        <v>3.2329342791870275E-3</v>
      </c>
    </row>
    <row r="287" spans="4:52" x14ac:dyDescent="0.75">
      <c r="D287" s="15">
        <v>43362</v>
      </c>
      <c r="E287" s="21">
        <f>+VLOOKUP(D287,Prezzi!$I$12:$J$367,2,0)</f>
        <v>4.8822799999999997</v>
      </c>
      <c r="F287" s="21">
        <f>+VLOOKUP(D287,Prezzi!$K$12:$L$367,2,0)/VLOOKUP(D287,Prezzi!$S$12:$T$367,2,0)</f>
        <v>251.41095911545384</v>
      </c>
      <c r="G287" s="1">
        <v>0</v>
      </c>
      <c r="H287" s="21">
        <f>+VLOOKUP(D287,Prezzi!$M$12:$N$367,2,0)/VLOOKUP(D287,Prezzi!$S$12:$T$367,2,0)</f>
        <v>21.419243164481014</v>
      </c>
      <c r="I287" s="1">
        <v>0</v>
      </c>
      <c r="J287" s="21">
        <f>+VLOOKUP(D287,Prezzi!$O$12:$P$367,2,0)/VLOOKUP(D287,Prezzi!$S$12:$T$367,2,0)</f>
        <v>39.719896288677461</v>
      </c>
      <c r="K287" s="1">
        <v>0</v>
      </c>
      <c r="L287" s="21">
        <f>+VLOOKUP(D287,Prezzi!$Q$12:$R$367,2,0)/VLOOKUP(D287,Prezzi!$S$12:$T$367,2,0)</f>
        <v>90.83742693065912</v>
      </c>
      <c r="M287" s="1">
        <v>0</v>
      </c>
      <c r="O287" s="1" t="str">
        <f t="shared" si="79"/>
        <v>201838</v>
      </c>
      <c r="P287" s="35">
        <v>43362</v>
      </c>
      <c r="Q287" s="12">
        <f t="shared" si="78"/>
        <v>-1.1003144938608301E-3</v>
      </c>
      <c r="R287" s="12">
        <f t="shared" si="80"/>
        <v>3.8204019641830422E-3</v>
      </c>
      <c r="S287" s="12">
        <f t="shared" si="81"/>
        <v>-3.3638168020556775E-3</v>
      </c>
      <c r="T287" s="12">
        <f t="shared" si="82"/>
        <v>6.8301216011224372E-3</v>
      </c>
      <c r="U287" s="12">
        <f t="shared" si="83"/>
        <v>3.6151396546057432E-3</v>
      </c>
      <c r="AI287" s="15">
        <v>43362</v>
      </c>
      <c r="AJ287" s="99">
        <f>+VLOOKUP(AI287,benchmark!I$7:$J$362,2,0)</f>
        <v>254.2663</v>
      </c>
      <c r="AK287" s="61">
        <f>+VLOOKUP(AI287,benchmark!K$7:$L$362,2,0)</f>
        <v>232.50399999999999</v>
      </c>
      <c r="AP287" s="15">
        <v>43362</v>
      </c>
      <c r="AQ287" s="12">
        <f t="shared" si="77"/>
        <v>3.4907795271799102E-3</v>
      </c>
      <c r="AR287" s="12">
        <f t="shared" si="77"/>
        <v>-1.3701395480687495E-3</v>
      </c>
      <c r="AY287" s="15">
        <v>43362</v>
      </c>
      <c r="AZ287" s="12">
        <f t="shared" si="84"/>
        <v>5.7422808203071445E-4</v>
      </c>
    </row>
    <row r="288" spans="4:52" x14ac:dyDescent="0.75">
      <c r="D288" s="15">
        <v>43361</v>
      </c>
      <c r="E288" s="21">
        <f>+VLOOKUP(D288,Prezzi!$I$12:$J$367,2,0)</f>
        <v>4.8876549999999996</v>
      </c>
      <c r="F288" s="21">
        <f>+VLOOKUP(D288,Prezzi!$K$12:$L$367,2,0)/VLOOKUP(D288,Prezzi!$S$12:$T$367,2,0)</f>
        <v>250.45230058989483</v>
      </c>
      <c r="G288" s="1">
        <v>0</v>
      </c>
      <c r="H288" s="21">
        <f>+VLOOKUP(D288,Prezzi!$M$12:$N$367,2,0)/VLOOKUP(D288,Prezzi!$S$12:$T$367,2,0)</f>
        <v>21.491414892707535</v>
      </c>
      <c r="I288" s="1">
        <v>0</v>
      </c>
      <c r="J288" s="21">
        <f>+VLOOKUP(D288,Prezzi!$O$12:$P$367,2,0)/VLOOKUP(D288,Prezzi!$S$12:$T$367,2,0)</f>
        <v>39.4495289390442</v>
      </c>
      <c r="K288" s="1">
        <v>0</v>
      </c>
      <c r="L288" s="21">
        <f>+VLOOKUP(D288,Prezzi!$Q$12:$R$367,2,0)/VLOOKUP(D288,Prezzi!$S$12:$T$367,2,0)</f>
        <v>90.50962981961186</v>
      </c>
      <c r="M288" s="1">
        <v>0</v>
      </c>
      <c r="O288" s="1" t="str">
        <f t="shared" si="79"/>
        <v>201838</v>
      </c>
      <c r="P288" s="35">
        <v>43361</v>
      </c>
      <c r="Q288" s="12">
        <f t="shared" si="78"/>
        <v>-1.2764845925186496E-3</v>
      </c>
      <c r="R288" s="12">
        <f t="shared" si="80"/>
        <v>3.1672132411622576E-3</v>
      </c>
      <c r="S288" s="12">
        <f t="shared" si="81"/>
        <v>-1.0753326564070182E-3</v>
      </c>
      <c r="T288" s="12">
        <f t="shared" si="82"/>
        <v>-4.2203658162626445E-3</v>
      </c>
      <c r="U288" s="12">
        <f t="shared" si="83"/>
        <v>-3.5546474373394075E-3</v>
      </c>
      <c r="AI288" s="15">
        <v>43361</v>
      </c>
      <c r="AJ288" s="99">
        <f>+VLOOKUP(AI288,benchmark!I$7:$J$362,2,0)</f>
        <v>253.38180000000003</v>
      </c>
      <c r="AK288" s="61">
        <f>+VLOOKUP(AI288,benchmark!K$7:$L$362,2,0)</f>
        <v>232.82300000000001</v>
      </c>
      <c r="AP288" s="15">
        <v>43361</v>
      </c>
      <c r="AQ288" s="12">
        <f t="shared" si="77"/>
        <v>5.2407990453096076E-3</v>
      </c>
      <c r="AR288" s="12">
        <f t="shared" si="77"/>
        <v>2.1476002714626574E-5</v>
      </c>
      <c r="AY288" s="15">
        <v>43361</v>
      </c>
      <c r="AZ288" s="12">
        <f t="shared" si="84"/>
        <v>2.1092052197526192E-3</v>
      </c>
    </row>
    <row r="289" spans="4:52" x14ac:dyDescent="0.75">
      <c r="D289" s="15">
        <v>43360</v>
      </c>
      <c r="E289" s="21">
        <f>+VLOOKUP(D289,Prezzi!$I$12:$J$367,2,0)</f>
        <v>4.8938980000000001</v>
      </c>
      <c r="F289" s="21">
        <f>+VLOOKUP(D289,Prezzi!$K$12:$L$367,2,0)/VLOOKUP(D289,Prezzi!$S$12:$T$367,2,0)</f>
        <v>249.66031959557878</v>
      </c>
      <c r="G289" s="1">
        <v>0</v>
      </c>
      <c r="H289" s="21">
        <f>+VLOOKUP(D289,Prezzi!$M$12:$N$367,2,0)/VLOOKUP(D289,Prezzi!$S$12:$T$367,2,0)</f>
        <v>21.514537743123981</v>
      </c>
      <c r="I289" s="1">
        <v>0</v>
      </c>
      <c r="J289" s="21">
        <f>+VLOOKUP(D289,Prezzi!$O$12:$P$367,2,0)/VLOOKUP(D289,Prezzi!$S$12:$T$367,2,0)</f>
        <v>39.616372204609718</v>
      </c>
      <c r="K289" s="1">
        <v>0</v>
      </c>
      <c r="L289" s="21">
        <f>+VLOOKUP(D289,Prezzi!$Q$12:$R$367,2,0)/VLOOKUP(D289,Prezzi!$S$12:$T$367,2,0)</f>
        <v>90.831932139491045</v>
      </c>
      <c r="M289" s="1">
        <v>0</v>
      </c>
      <c r="O289" s="1" t="str">
        <f t="shared" si="79"/>
        <v>201838</v>
      </c>
      <c r="P289" s="35">
        <v>43360</v>
      </c>
      <c r="Q289" s="12">
        <f t="shared" si="78"/>
        <v>6.313934801771094E-4</v>
      </c>
      <c r="R289" s="12">
        <f t="shared" si="80"/>
        <v>-4.0297229928127065E-3</v>
      </c>
      <c r="S289" s="12">
        <f t="shared" si="81"/>
        <v>4.6534291132007827E-3</v>
      </c>
      <c r="T289" s="12">
        <f t="shared" si="82"/>
        <v>5.510051682474401E-3</v>
      </c>
      <c r="U289" s="12">
        <f t="shared" si="83"/>
        <v>-3.6348549505009226E-4</v>
      </c>
      <c r="AI289" s="15">
        <v>43360</v>
      </c>
      <c r="AJ289" s="99">
        <f>+VLOOKUP(AI289,benchmark!I$7:$J$362,2,0)</f>
        <v>252.06080000000003</v>
      </c>
      <c r="AK289" s="61">
        <f>+VLOOKUP(AI289,benchmark!K$7:$L$362,2,0)</f>
        <v>232.81800000000001</v>
      </c>
      <c r="AP289" s="15">
        <v>43360</v>
      </c>
      <c r="AQ289" s="12">
        <f t="shared" si="77"/>
        <v>-3.7587179728374442E-3</v>
      </c>
      <c r="AR289" s="12">
        <f t="shared" si="77"/>
        <v>1.0448242502418825E-3</v>
      </c>
      <c r="AY289" s="15">
        <v>43360</v>
      </c>
      <c r="AZ289" s="12">
        <f t="shared" si="84"/>
        <v>-8.7659263898984838E-4</v>
      </c>
    </row>
    <row r="290" spans="4:52" x14ac:dyDescent="0.75">
      <c r="D290" s="15">
        <v>43357</v>
      </c>
      <c r="E290" s="21">
        <f>+VLOOKUP(D290,Prezzi!$I$12:$J$367,2,0)</f>
        <v>4.890809</v>
      </c>
      <c r="F290" s="21">
        <f>+VLOOKUP(D290,Prezzi!$K$12:$L$367,2,0)/VLOOKUP(D290,Prezzi!$S$12:$T$367,2,0)</f>
        <v>250.6684113268885</v>
      </c>
      <c r="G290" s="1">
        <v>0</v>
      </c>
      <c r="H290" s="21">
        <f>+VLOOKUP(D290,Prezzi!$M$12:$N$367,2,0)/VLOOKUP(D290,Prezzi!$S$12:$T$367,2,0)</f>
        <v>21.414653948156385</v>
      </c>
      <c r="I290" s="1">
        <v>0</v>
      </c>
      <c r="J290" s="21">
        <f>+VLOOKUP(D290,Prezzi!$O$12:$P$367,2,0)/VLOOKUP(D290,Prezzi!$S$12:$T$367,2,0)</f>
        <v>39.39868423303961</v>
      </c>
      <c r="K290" s="1">
        <v>0</v>
      </c>
      <c r="L290" s="21">
        <f>+VLOOKUP(D290,Prezzi!$Q$12:$R$367,2,0)/VLOOKUP(D290,Prezzi!$S$12:$T$367,2,0)</f>
        <v>90.864954230473089</v>
      </c>
      <c r="M290" s="1">
        <v>0</v>
      </c>
      <c r="O290" s="1" t="str">
        <f t="shared" si="79"/>
        <v>201837</v>
      </c>
      <c r="P290" s="35">
        <v>43357</v>
      </c>
      <c r="Q290" s="12">
        <f t="shared" si="78"/>
        <v>4.8449529127244186E-4</v>
      </c>
      <c r="R290" s="12">
        <f t="shared" si="80"/>
        <v>-5.4975026642082947E-3</v>
      </c>
      <c r="S290" s="12">
        <f t="shared" si="81"/>
        <v>-5.4563558233411778E-3</v>
      </c>
      <c r="T290" s="12">
        <f t="shared" si="82"/>
        <v>-1.1574329350383595E-2</v>
      </c>
      <c r="U290" s="12">
        <f t="shared" si="83"/>
        <v>-3.7517816463841286E-3</v>
      </c>
      <c r="AI290" s="15">
        <v>43357</v>
      </c>
      <c r="AJ290" s="99">
        <f>+VLOOKUP(AI290,benchmark!I$7:$J$362,2,0)</f>
        <v>253.01179999999999</v>
      </c>
      <c r="AK290" s="61">
        <f>+VLOOKUP(AI290,benchmark!K$7:$L$362,2,0)</f>
        <v>232.57499999999999</v>
      </c>
      <c r="AP290" s="15">
        <v>43357</v>
      </c>
      <c r="AQ290" s="12">
        <f t="shared" si="77"/>
        <v>2.8343612897037129E-3</v>
      </c>
      <c r="AR290" s="12">
        <f t="shared" si="77"/>
        <v>-1.2367787067932845E-3</v>
      </c>
      <c r="AY290" s="15">
        <v>43357</v>
      </c>
      <c r="AZ290" s="12">
        <f t="shared" si="84"/>
        <v>3.9167729180551454E-4</v>
      </c>
    </row>
    <row r="291" spans="4:52" x14ac:dyDescent="0.75">
      <c r="D291" s="15">
        <v>43356</v>
      </c>
      <c r="E291" s="21">
        <f>+VLOOKUP(D291,Prezzi!$I$12:$J$367,2,0)</f>
        <v>4.8884400000000001</v>
      </c>
      <c r="F291" s="21">
        <f>+VLOOKUP(D291,Prezzi!$K$12:$L$367,2,0)/VLOOKUP(D291,Prezzi!$S$12:$T$367,2,0)</f>
        <v>252.05025645438903</v>
      </c>
      <c r="G291" s="1">
        <v>0</v>
      </c>
      <c r="H291" s="21">
        <f>+VLOOKUP(D291,Prezzi!$M$12:$N$367,2,0)/VLOOKUP(D291,Prezzi!$S$12:$T$367,2,0)</f>
        <v>21.531819277108436</v>
      </c>
      <c r="I291" s="1">
        <v>0</v>
      </c>
      <c r="J291" s="21">
        <f>+VLOOKUP(D291,Prezzi!$O$12:$P$367,2,0)/VLOOKUP(D291,Prezzi!$S$12:$T$367,2,0)</f>
        <v>39.857346815834767</v>
      </c>
      <c r="K291" s="1">
        <v>0</v>
      </c>
      <c r="L291" s="21">
        <f>+VLOOKUP(D291,Prezzi!$Q$12:$R$367,2,0)/VLOOKUP(D291,Prezzi!$S$12:$T$367,2,0)</f>
        <v>91.206500000000005</v>
      </c>
      <c r="M291" s="1">
        <v>0</v>
      </c>
      <c r="O291" s="1" t="str">
        <f t="shared" si="79"/>
        <v>201837</v>
      </c>
      <c r="P291" s="35">
        <v>43356</v>
      </c>
      <c r="Q291" s="12">
        <f t="shared" si="78"/>
        <v>-1.4730044897254583E-3</v>
      </c>
      <c r="R291" s="12">
        <f t="shared" si="80"/>
        <v>2.5166694458125956E-3</v>
      </c>
      <c r="S291" s="12">
        <f t="shared" si="81"/>
        <v>-1.6597967981280054E-3</v>
      </c>
      <c r="T291" s="12">
        <f t="shared" si="82"/>
        <v>-5.496101368558895E-3</v>
      </c>
      <c r="U291" s="12">
        <f t="shared" si="83"/>
        <v>3.425080121304535E-3</v>
      </c>
      <c r="AI291" s="15">
        <v>43356</v>
      </c>
      <c r="AJ291" s="99">
        <f>+VLOOKUP(AI291,benchmark!I$7:$J$362,2,0)</f>
        <v>252.29670000000002</v>
      </c>
      <c r="AK291" s="61">
        <f>+VLOOKUP(AI291,benchmark!K$7:$L$362,2,0)</f>
        <v>232.863</v>
      </c>
      <c r="AP291" s="15">
        <v>43356</v>
      </c>
      <c r="AQ291" s="12">
        <f t="shared" si="77"/>
        <v>5.696630413811965E-3</v>
      </c>
      <c r="AR291" s="12">
        <f t="shared" si="77"/>
        <v>-2.8334814471364655E-4</v>
      </c>
      <c r="AY291" s="15">
        <v>43356</v>
      </c>
      <c r="AZ291" s="12">
        <f t="shared" si="84"/>
        <v>2.1086432786965982E-3</v>
      </c>
    </row>
    <row r="292" spans="4:52" x14ac:dyDescent="0.75">
      <c r="D292" s="15">
        <v>43355</v>
      </c>
      <c r="E292" s="21">
        <f>+VLOOKUP(D292,Prezzi!$I$12:$J$367,2,0)</f>
        <v>4.8956460000000002</v>
      </c>
      <c r="F292" s="21">
        <f>+VLOOKUP(D292,Prezzi!$K$12:$L$367,2,0)/VLOOKUP(D292,Prezzi!$S$12:$T$367,2,0)</f>
        <v>251.41672680189899</v>
      </c>
      <c r="G292" s="1">
        <v>0</v>
      </c>
      <c r="H292" s="21">
        <f>+VLOOKUP(D292,Prezzi!$M$12:$N$367,2,0)/VLOOKUP(D292,Prezzi!$S$12:$T$367,2,0)</f>
        <v>21.567587397496759</v>
      </c>
      <c r="I292" s="1">
        <v>0</v>
      </c>
      <c r="J292" s="21">
        <f>+VLOOKUP(D292,Prezzi!$O$12:$P$367,2,0)/VLOOKUP(D292,Prezzi!$S$12:$T$367,2,0)</f>
        <v>40.077009926629259</v>
      </c>
      <c r="K292" s="1">
        <v>0</v>
      </c>
      <c r="L292" s="21">
        <f>+VLOOKUP(D292,Prezzi!$Q$12:$R$367,2,0)/VLOOKUP(D292,Prezzi!$S$12:$T$367,2,0)</f>
        <v>90.894644799309447</v>
      </c>
      <c r="M292" s="1">
        <v>0</v>
      </c>
      <c r="O292" s="1" t="str">
        <f t="shared" si="79"/>
        <v>201837</v>
      </c>
      <c r="P292" s="35">
        <v>43355</v>
      </c>
      <c r="Q292" s="12">
        <f t="shared" si="78"/>
        <v>-1.4251492011209995E-3</v>
      </c>
      <c r="R292" s="12">
        <f t="shared" si="80"/>
        <v>-5.8887281786404802E-4</v>
      </c>
      <c r="S292" s="12">
        <f t="shared" si="81"/>
        <v>6.158684434476468E-3</v>
      </c>
      <c r="T292" s="12">
        <f t="shared" si="82"/>
        <v>6.1903285181585076E-3</v>
      </c>
      <c r="U292" s="12">
        <f t="shared" si="83"/>
        <v>2.8446575853019306E-3</v>
      </c>
      <c r="AI292" s="15">
        <v>43355</v>
      </c>
      <c r="AJ292" s="99">
        <f>+VLOOKUP(AI292,benchmark!I$7:$J$362,2,0)</f>
        <v>250.86759999999998</v>
      </c>
      <c r="AK292" s="61">
        <f>+VLOOKUP(AI292,benchmark!K$7:$L$362,2,0)</f>
        <v>232.929</v>
      </c>
      <c r="AP292" s="15">
        <v>43355</v>
      </c>
      <c r="AQ292" s="12">
        <f t="shared" si="77"/>
        <v>2.2556661326471605E-3</v>
      </c>
      <c r="AR292" s="12">
        <f t="shared" si="77"/>
        <v>4.7247003036710034E-4</v>
      </c>
      <c r="AY292" s="15">
        <v>43355</v>
      </c>
      <c r="AZ292" s="12">
        <f t="shared" si="84"/>
        <v>1.1857484712791246E-3</v>
      </c>
    </row>
    <row r="293" spans="4:52" x14ac:dyDescent="0.75">
      <c r="D293" s="15">
        <v>43354</v>
      </c>
      <c r="E293" s="21">
        <f>+VLOOKUP(D293,Prezzi!$I$12:$J$367,2,0)</f>
        <v>4.902628</v>
      </c>
      <c r="F293" s="21">
        <f>+VLOOKUP(D293,Prezzi!$K$12:$L$367,2,0)/VLOOKUP(D293,Prezzi!$S$12:$T$367,2,0)</f>
        <v>251.56482287886644</v>
      </c>
      <c r="G293" s="1">
        <v>0</v>
      </c>
      <c r="H293" s="21">
        <f>+VLOOKUP(D293,Prezzi!$M$12:$N$367,2,0)/VLOOKUP(D293,Prezzi!$S$12:$T$367,2,0)</f>
        <v>21.435167617072747</v>
      </c>
      <c r="I293" s="1">
        <v>0</v>
      </c>
      <c r="J293" s="21">
        <f>+VLOOKUP(D293,Prezzi!$O$12:$P$367,2,0)/VLOOKUP(D293,Prezzi!$S$12:$T$367,2,0)</f>
        <v>39.829686365992742</v>
      </c>
      <c r="K293" s="1">
        <v>0</v>
      </c>
      <c r="L293" s="21">
        <f>+VLOOKUP(D293,Prezzi!$Q$12:$R$367,2,0)/VLOOKUP(D293,Prezzi!$S$12:$T$367,2,0)</f>
        <v>90.636448073267672</v>
      </c>
      <c r="M293" s="1">
        <v>0</v>
      </c>
      <c r="O293" s="1" t="str">
        <f t="shared" si="79"/>
        <v>201837</v>
      </c>
      <c r="P293" s="35">
        <v>43354</v>
      </c>
      <c r="Q293" s="12">
        <f t="shared" si="78"/>
        <v>-1.5153988929053841E-4</v>
      </c>
      <c r="R293" s="12">
        <f t="shared" si="80"/>
        <v>3.5384625903232643E-3</v>
      </c>
      <c r="S293" s="12">
        <f t="shared" si="81"/>
        <v>-1.7217030701007423E-3</v>
      </c>
      <c r="T293" s="12">
        <f t="shared" si="82"/>
        <v>1.708712982862688E-3</v>
      </c>
      <c r="U293" s="12">
        <f t="shared" si="83"/>
        <v>-2.6309369152568672E-3</v>
      </c>
      <c r="AI293" s="15">
        <v>43354</v>
      </c>
      <c r="AJ293" s="99">
        <f>+VLOOKUP(AI293,benchmark!I$7:$J$362,2,0)</f>
        <v>250.30300000000003</v>
      </c>
      <c r="AK293" s="61">
        <f>+VLOOKUP(AI293,benchmark!K$7:$L$362,2,0)</f>
        <v>232.81899999999999</v>
      </c>
      <c r="AP293" s="15">
        <v>43354</v>
      </c>
      <c r="AQ293" s="12">
        <f t="shared" si="77"/>
        <v>1.2880978954401545E-3</v>
      </c>
      <c r="AR293" s="12">
        <f t="shared" si="77"/>
        <v>-1.2440532111588354E-3</v>
      </c>
      <c r="AY293" s="15">
        <v>43354</v>
      </c>
      <c r="AZ293" s="12">
        <f t="shared" si="84"/>
        <v>-2.3119276851923942E-4</v>
      </c>
    </row>
    <row r="294" spans="4:52" x14ac:dyDescent="0.75">
      <c r="D294" s="15">
        <v>43353</v>
      </c>
      <c r="E294" s="21">
        <f>+VLOOKUP(D294,Prezzi!$I$12:$J$367,2,0)</f>
        <v>4.9033709999999999</v>
      </c>
      <c r="F294" s="21">
        <f>+VLOOKUP(D294,Prezzi!$K$12:$L$367,2,0)/VLOOKUP(D294,Prezzi!$S$12:$T$367,2,0)</f>
        <v>250.67624319419238</v>
      </c>
      <c r="G294" s="1">
        <v>0</v>
      </c>
      <c r="H294" s="21">
        <f>+VLOOKUP(D294,Prezzi!$M$12:$N$367,2,0)/VLOOKUP(D294,Prezzi!$S$12:$T$367,2,0)</f>
        <v>21.472104398928355</v>
      </c>
      <c r="I294" s="1">
        <v>0</v>
      </c>
      <c r="J294" s="21">
        <f>+VLOOKUP(D294,Prezzi!$O$12:$P$367,2,0)/VLOOKUP(D294,Prezzi!$S$12:$T$367,2,0)</f>
        <v>39.761686976060844</v>
      </c>
      <c r="K294" s="1">
        <v>0</v>
      </c>
      <c r="L294" s="21">
        <f>+VLOOKUP(D294,Prezzi!$Q$12:$R$367,2,0)/VLOOKUP(D294,Prezzi!$S$12:$T$367,2,0)</f>
        <v>90.875220810647306</v>
      </c>
      <c r="M294" s="126">
        <f>0.44/VLOOKUP(D294,Prezzi!$S$12:$T$367,2,0)</f>
        <v>0.38026099732088842</v>
      </c>
      <c r="O294" s="1" t="str">
        <f t="shared" si="79"/>
        <v>201837</v>
      </c>
      <c r="P294" s="35">
        <v>43353</v>
      </c>
      <c r="Q294" s="12">
        <f t="shared" si="78"/>
        <v>-1.0130750729471386E-3</v>
      </c>
      <c r="R294" s="12">
        <f t="shared" si="80"/>
        <v>5.6868493746347493E-3</v>
      </c>
      <c r="S294" s="12">
        <f t="shared" si="81"/>
        <v>9.4599889982744292E-3</v>
      </c>
      <c r="T294" s="12">
        <f t="shared" si="82"/>
        <v>3.5255266207788777E-3</v>
      </c>
      <c r="U294" s="12">
        <f t="shared" si="83"/>
        <v>5.2881440561903664E-3</v>
      </c>
      <c r="AI294" s="15">
        <v>43353</v>
      </c>
      <c r="AJ294" s="99">
        <f>+VLOOKUP(AI294,benchmark!I$7:$J$362,2,0)</f>
        <v>249.98099999999999</v>
      </c>
      <c r="AK294" s="61">
        <f>+VLOOKUP(AI294,benchmark!K$7:$L$362,2,0)</f>
        <v>233.10900000000001</v>
      </c>
      <c r="AP294" s="15">
        <v>43353</v>
      </c>
      <c r="AQ294" s="12">
        <f t="shared" si="77"/>
        <v>8.5239067759257381E-4</v>
      </c>
      <c r="AR294" s="12">
        <f t="shared" si="77"/>
        <v>8.7589360468864896E-4</v>
      </c>
      <c r="AY294" s="15">
        <v>43353</v>
      </c>
      <c r="AZ294" s="12">
        <f t="shared" si="84"/>
        <v>8.6649243385021884E-4</v>
      </c>
    </row>
    <row r="295" spans="4:52" x14ac:dyDescent="0.75">
      <c r="D295" s="15">
        <v>43350</v>
      </c>
      <c r="E295" s="21">
        <f>+VLOOKUP(D295,Prezzi!$I$12:$J$367,2,0)</f>
        <v>4.9083410000000001</v>
      </c>
      <c r="F295" s="21">
        <f>+VLOOKUP(D295,Prezzi!$K$12:$L$367,2,0)/VLOOKUP(D295,Prezzi!$S$12:$T$367,2,0)</f>
        <v>249.25473095135601</v>
      </c>
      <c r="G295" s="1">
        <v>0</v>
      </c>
      <c r="H295" s="21">
        <f>+VLOOKUP(D295,Prezzi!$M$12:$N$367,2,0)/VLOOKUP(D295,Prezzi!$S$12:$T$367,2,0)</f>
        <v>21.269936289281105</v>
      </c>
      <c r="I295" s="1">
        <v>0</v>
      </c>
      <c r="J295" s="21">
        <f>+VLOOKUP(D295,Prezzi!$O$12:$P$367,2,0)/VLOOKUP(D295,Prezzi!$S$12:$T$367,2,0)</f>
        <v>39.621752905725351</v>
      </c>
      <c r="K295" s="1">
        <v>0</v>
      </c>
      <c r="L295" s="21">
        <f>+VLOOKUP(D295,Prezzi!$Q$12:$R$367,2,0)/VLOOKUP(D295,Prezzi!$S$12:$T$367,2,0)</f>
        <v>90.774183383555751</v>
      </c>
      <c r="M295" s="1">
        <v>0</v>
      </c>
      <c r="O295" s="1" t="str">
        <f t="shared" si="79"/>
        <v>201836</v>
      </c>
      <c r="P295" s="35">
        <v>43350</v>
      </c>
      <c r="Q295" s="12">
        <f t="shared" si="78"/>
        <v>2.0984907268370299E-5</v>
      </c>
      <c r="R295" s="12">
        <f t="shared" si="80"/>
        <v>-4.9620608189956223E-4</v>
      </c>
      <c r="S295" s="12">
        <f t="shared" si="81"/>
        <v>1.0489805221288082E-3</v>
      </c>
      <c r="T295" s="12">
        <f t="shared" si="82"/>
        <v>-1.8154667398968568E-3</v>
      </c>
      <c r="U295" s="12">
        <f t="shared" si="83"/>
        <v>7.4680301100250629E-4</v>
      </c>
      <c r="AI295" s="15">
        <v>43350</v>
      </c>
      <c r="AJ295" s="99">
        <f>+VLOOKUP(AI295,benchmark!I$7:$J$362,2,0)</f>
        <v>249.7681</v>
      </c>
      <c r="AK295" s="61">
        <f>+VLOOKUP(AI295,benchmark!K$7:$L$362,2,0)</f>
        <v>232.905</v>
      </c>
      <c r="AP295" s="15">
        <v>43350</v>
      </c>
      <c r="AQ295" s="12">
        <f t="shared" si="77"/>
        <v>-2.1154817305479856E-3</v>
      </c>
      <c r="AR295" s="12">
        <f t="shared" si="77"/>
        <v>-9.7369730453134018E-4</v>
      </c>
      <c r="AY295" s="15">
        <v>43350</v>
      </c>
      <c r="AZ295" s="12">
        <f t="shared" si="84"/>
        <v>-1.4304110749379984E-3</v>
      </c>
    </row>
    <row r="296" spans="4:52" x14ac:dyDescent="0.75">
      <c r="D296" s="15">
        <v>43349</v>
      </c>
      <c r="E296" s="21">
        <f>+VLOOKUP(D296,Prezzi!$I$12:$J$367,2,0)</f>
        <v>4.9082379999999999</v>
      </c>
      <c r="F296" s="21">
        <f>+VLOOKUP(D296,Prezzi!$K$12:$L$367,2,0)/VLOOKUP(D296,Prezzi!$S$12:$T$367,2,0)</f>
        <v>249.37844335568164</v>
      </c>
      <c r="G296" s="1">
        <v>0</v>
      </c>
      <c r="H296" s="21">
        <f>+VLOOKUP(D296,Prezzi!$M$12:$N$367,2,0)/VLOOKUP(D296,Prezzi!$S$12:$T$367,2,0)</f>
        <v>21.247636238610969</v>
      </c>
      <c r="I296" s="1">
        <v>0</v>
      </c>
      <c r="J296" s="21">
        <f>+VLOOKUP(D296,Prezzi!$O$12:$P$367,2,0)/VLOOKUP(D296,Prezzi!$S$12:$T$367,2,0)</f>
        <v>39.693750214887402</v>
      </c>
      <c r="K296" s="1">
        <v>0</v>
      </c>
      <c r="L296" s="21">
        <f>+VLOOKUP(D296,Prezzi!$Q$12:$R$367,2,0)/VLOOKUP(D296,Prezzi!$S$12:$T$367,2,0)</f>
        <v>90.706418256833416</v>
      </c>
      <c r="M296" s="1">
        <v>0</v>
      </c>
      <c r="O296" s="1" t="str">
        <f t="shared" si="79"/>
        <v>201836</v>
      </c>
      <c r="P296" s="35">
        <v>43349</v>
      </c>
      <c r="Q296" s="12">
        <f t="shared" si="78"/>
        <v>6.6502176611384848E-4</v>
      </c>
      <c r="R296" s="12">
        <f t="shared" si="80"/>
        <v>-7.8432909819459093E-3</v>
      </c>
      <c r="S296" s="12">
        <f t="shared" si="81"/>
        <v>-7.0634028784325288E-3</v>
      </c>
      <c r="T296" s="12">
        <f t="shared" si="82"/>
        <v>-1.895510132666979E-3</v>
      </c>
      <c r="U296" s="12">
        <f t="shared" si="83"/>
        <v>-8.5227844219697664E-6</v>
      </c>
      <c r="AI296" s="15">
        <v>43349</v>
      </c>
      <c r="AJ296" s="99">
        <f>+VLOOKUP(AI296,benchmark!I$7:$J$362,2,0)</f>
        <v>250.29760000000002</v>
      </c>
      <c r="AK296" s="61">
        <f>+VLOOKUP(AI296,benchmark!K$7:$L$362,2,0)</f>
        <v>233.13200000000001</v>
      </c>
      <c r="AP296" s="15">
        <v>43349</v>
      </c>
      <c r="AQ296" s="12">
        <f t="shared" si="77"/>
        <v>-3.7208576600789023E-3</v>
      </c>
      <c r="AR296" s="12">
        <f t="shared" si="77"/>
        <v>1.7445407904574939E-3</v>
      </c>
      <c r="AY296" s="15">
        <v>43349</v>
      </c>
      <c r="AZ296" s="12">
        <f t="shared" si="84"/>
        <v>-4.4161858975706454E-4</v>
      </c>
    </row>
    <row r="297" spans="4:52" x14ac:dyDescent="0.75">
      <c r="D297" s="15">
        <v>43348</v>
      </c>
      <c r="E297" s="21">
        <f>+VLOOKUP(D297,Prezzi!$I$12:$J$367,2,0)</f>
        <v>4.9049750000000003</v>
      </c>
      <c r="F297" s="21">
        <f>+VLOOKUP(D297,Prezzi!$K$12:$L$367,2,0)/VLOOKUP(D297,Prezzi!$S$12:$T$367,2,0)</f>
        <v>251.3420816784666</v>
      </c>
      <c r="G297" s="1">
        <v>0</v>
      </c>
      <c r="H297" s="21">
        <f>+VLOOKUP(D297,Prezzi!$M$12:$N$367,2,0)/VLOOKUP(D297,Prezzi!$S$12:$T$367,2,0)</f>
        <v>21.398248143671214</v>
      </c>
      <c r="I297" s="1">
        <v>0</v>
      </c>
      <c r="J297" s="21">
        <f>+VLOOKUP(D297,Prezzi!$O$12:$P$367,2,0)/VLOOKUP(D297,Prezzi!$S$12:$T$367,2,0)</f>
        <v>39.769061474702127</v>
      </c>
      <c r="K297" s="1">
        <v>0</v>
      </c>
      <c r="L297" s="21">
        <f>+VLOOKUP(D297,Prezzi!$Q$12:$R$367,2,0)/VLOOKUP(D297,Prezzi!$S$12:$T$367,2,0)</f>
        <v>90.707191331376279</v>
      </c>
      <c r="M297" s="1">
        <v>0</v>
      </c>
      <c r="O297" s="1" t="str">
        <f t="shared" si="79"/>
        <v>201836</v>
      </c>
      <c r="P297" s="35">
        <v>43348</v>
      </c>
      <c r="Q297" s="12">
        <f t="shared" si="78"/>
        <v>-1.3169780602732884E-3</v>
      </c>
      <c r="R297" s="12">
        <f t="shared" si="80"/>
        <v>-4.5319429315033889E-3</v>
      </c>
      <c r="S297" s="12">
        <f t="shared" si="81"/>
        <v>-6.9216629385731874E-3</v>
      </c>
      <c r="T297" s="12">
        <f t="shared" si="82"/>
        <v>3.2366170382861951E-4</v>
      </c>
      <c r="U297" s="12">
        <f t="shared" si="83"/>
        <v>-1.2407133813943469E-3</v>
      </c>
      <c r="AI297" s="15">
        <v>43348</v>
      </c>
      <c r="AJ297" s="99">
        <f>+VLOOKUP(AI297,benchmark!I$7:$J$362,2,0)</f>
        <v>251.23240000000001</v>
      </c>
      <c r="AK297" s="61">
        <f>+VLOOKUP(AI297,benchmark!K$7:$L$362,2,0)</f>
        <v>232.726</v>
      </c>
      <c r="AP297" s="15">
        <v>43348</v>
      </c>
      <c r="AQ297" s="12">
        <f t="shared" si="77"/>
        <v>-6.0664852602685393E-3</v>
      </c>
      <c r="AR297" s="12">
        <f t="shared" si="77"/>
        <v>-2.5774745903961449E-4</v>
      </c>
      <c r="AY297" s="15">
        <v>43348</v>
      </c>
      <c r="AZ297" s="12">
        <f t="shared" si="84"/>
        <v>-2.5812425795311848E-3</v>
      </c>
    </row>
    <row r="298" spans="4:52" x14ac:dyDescent="0.75">
      <c r="D298" s="15">
        <v>43347</v>
      </c>
      <c r="E298" s="21">
        <f>+VLOOKUP(D298,Prezzi!$I$12:$J$367,2,0)</f>
        <v>4.9114389999999997</v>
      </c>
      <c r="F298" s="21">
        <f>+VLOOKUP(D298,Prezzi!$K$12:$L$367,2,0)/VLOOKUP(D298,Prezzi!$S$12:$T$367,2,0)</f>
        <v>252.48373464798479</v>
      </c>
      <c r="G298" s="1">
        <v>0</v>
      </c>
      <c r="H298" s="21">
        <f>+VLOOKUP(D298,Prezzi!$M$12:$N$367,2,0)/VLOOKUP(D298,Prezzi!$S$12:$T$367,2,0)</f>
        <v>21.546873378308252</v>
      </c>
      <c r="I298" s="1">
        <v>0</v>
      </c>
      <c r="J298" s="21">
        <f>+VLOOKUP(D298,Prezzi!$O$12:$P$367,2,0)/VLOOKUP(D298,Prezzi!$S$12:$T$367,2,0)</f>
        <v>39.756191835322618</v>
      </c>
      <c r="K298" s="1">
        <v>0</v>
      </c>
      <c r="L298" s="21">
        <f>+VLOOKUP(D298,Prezzi!$Q$12:$R$367,2,0)/VLOOKUP(D298,Prezzi!$S$12:$T$367,2,0)</f>
        <v>90.819802802283348</v>
      </c>
      <c r="M298" s="1">
        <v>0</v>
      </c>
      <c r="O298" s="1" t="str">
        <f t="shared" si="79"/>
        <v>201836</v>
      </c>
      <c r="P298" s="35">
        <v>43347</v>
      </c>
      <c r="Q298" s="12">
        <f t="shared" si="78"/>
        <v>1.7511676362172307E-4</v>
      </c>
      <c r="R298" s="12">
        <f t="shared" si="80"/>
        <v>6.1033328688830059E-3</v>
      </c>
      <c r="S298" s="12">
        <f t="shared" si="81"/>
        <v>-4.4202935887449829E-3</v>
      </c>
      <c r="T298" s="12">
        <f t="shared" si="82"/>
        <v>1.9704034246618624E-3</v>
      </c>
      <c r="U298" s="12">
        <f t="shared" si="83"/>
        <v>-3.7422300866978456E-3</v>
      </c>
      <c r="AI298" s="15">
        <v>43347</v>
      </c>
      <c r="AJ298" s="99">
        <f>+VLOOKUP(AI298,benchmark!I$7:$J$362,2,0)</f>
        <v>252.76579999999998</v>
      </c>
      <c r="AK298" s="61">
        <f>+VLOOKUP(AI298,benchmark!K$7:$L$362,2,0)</f>
        <v>232.786</v>
      </c>
      <c r="AP298" s="15">
        <v>43347</v>
      </c>
      <c r="AQ298" s="12">
        <f t="shared" si="77"/>
        <v>-6.7645811794930788E-3</v>
      </c>
      <c r="AR298" s="12">
        <f t="shared" si="77"/>
        <v>1.4670137021661755E-3</v>
      </c>
      <c r="AY298" s="15">
        <v>43347</v>
      </c>
      <c r="AZ298" s="12">
        <f t="shared" si="84"/>
        <v>-1.8256242504975262E-3</v>
      </c>
    </row>
    <row r="299" spans="4:52" x14ac:dyDescent="0.75">
      <c r="D299" s="15">
        <v>43343</v>
      </c>
      <c r="E299" s="21">
        <f>+VLOOKUP(D299,Prezzi!$I$12:$J$367,2,0)</f>
        <v>4.9105790000000002</v>
      </c>
      <c r="F299" s="21">
        <f>+VLOOKUP(D299,Prezzi!$K$12:$L$367,2,0)/VLOOKUP(D299,Prezzi!$S$12:$T$367,2,0)</f>
        <v>250.94743541326923</v>
      </c>
      <c r="G299" s="1">
        <v>0</v>
      </c>
      <c r="H299" s="21">
        <f>+VLOOKUP(D299,Prezzi!$M$12:$N$367,2,0)/VLOOKUP(D299,Prezzi!$S$12:$T$367,2,0)</f>
        <v>21.642327697193373</v>
      </c>
      <c r="I299" s="1">
        <v>0</v>
      </c>
      <c r="J299" s="21">
        <f>+VLOOKUP(D299,Prezzi!$O$12:$P$367,2,0)/VLOOKUP(D299,Prezzi!$S$12:$T$367,2,0)</f>
        <v>39.677933224615913</v>
      </c>
      <c r="K299" s="1">
        <v>0</v>
      </c>
      <c r="L299" s="21">
        <f>+VLOOKUP(D299,Prezzi!$Q$12:$R$367,2,0)/VLOOKUP(D299,Prezzi!$S$12:$T$367,2,0)</f>
        <v>91.160308128057679</v>
      </c>
      <c r="M299" s="1">
        <v>0</v>
      </c>
      <c r="O299" s="1" t="str">
        <f t="shared" si="79"/>
        <v>201835</v>
      </c>
      <c r="P299" s="35">
        <v>43343</v>
      </c>
      <c r="Q299" s="12">
        <f t="shared" si="78"/>
        <v>-1.9880119619203828E-3</v>
      </c>
      <c r="R299" s="12">
        <f t="shared" si="80"/>
        <v>3.7475604705620703E-3</v>
      </c>
      <c r="S299" s="12">
        <f t="shared" si="81"/>
        <v>-3.3949476726892846E-3</v>
      </c>
      <c r="T299" s="12">
        <f t="shared" si="82"/>
        <v>4.4247385351422197E-3</v>
      </c>
      <c r="U299" s="12">
        <f t="shared" si="83"/>
        <v>6.4774458617021025E-4</v>
      </c>
      <c r="AI299" s="15">
        <v>43343</v>
      </c>
      <c r="AJ299" s="99">
        <f>+VLOOKUP(AI299,benchmark!I$7:$J$362,2,0)</f>
        <v>254.4873</v>
      </c>
      <c r="AK299" s="61">
        <f>+VLOOKUP(AI299,benchmark!K$7:$L$362,2,0)</f>
        <v>232.44499999999999</v>
      </c>
      <c r="AP299" s="15">
        <v>43343</v>
      </c>
      <c r="AQ299" s="12">
        <f t="shared" si="77"/>
        <v>-2.610586415858096E-3</v>
      </c>
      <c r="AR299" s="12">
        <f t="shared" si="77"/>
        <v>-9.4637088274951431E-5</v>
      </c>
      <c r="AY299" s="15">
        <v>43343</v>
      </c>
      <c r="AZ299" s="12">
        <f t="shared" si="84"/>
        <v>-1.1010168193082092E-3</v>
      </c>
    </row>
    <row r="300" spans="4:52" x14ac:dyDescent="0.75">
      <c r="D300" s="15">
        <v>43342</v>
      </c>
      <c r="E300" s="21">
        <f>+VLOOKUP(D300,Prezzi!$I$12:$J$367,2,0)</f>
        <v>4.9203510000000001</v>
      </c>
      <c r="F300" s="21">
        <f>+VLOOKUP(D300,Prezzi!$K$12:$L$367,2,0)/VLOOKUP(D300,Prezzi!$S$12:$T$367,2,0)</f>
        <v>250.00875470407112</v>
      </c>
      <c r="G300" s="1">
        <v>0</v>
      </c>
      <c r="H300" s="21">
        <f>+VLOOKUP(D300,Prezzi!$M$12:$N$367,2,0)/VLOOKUP(D300,Prezzi!$S$12:$T$367,2,0)</f>
        <v>21.715927129661306</v>
      </c>
      <c r="I300" s="1">
        <v>0</v>
      </c>
      <c r="J300" s="21">
        <f>+VLOOKUP(D300,Prezzi!$O$12:$P$367,2,0)/VLOOKUP(D300,Prezzi!$S$12:$T$367,2,0)</f>
        <v>39.502756585699622</v>
      </c>
      <c r="K300" s="1">
        <v>0</v>
      </c>
      <c r="L300" s="21">
        <f>+VLOOKUP(D300,Prezzi!$Q$12:$R$367,2,0)/VLOOKUP(D300,Prezzi!$S$12:$T$367,2,0)</f>
        <v>91.101278652069794</v>
      </c>
      <c r="M300" s="1">
        <v>0</v>
      </c>
      <c r="O300" s="1" t="str">
        <f t="shared" si="79"/>
        <v>201835</v>
      </c>
      <c r="P300" s="35">
        <v>43342</v>
      </c>
      <c r="Q300" s="12">
        <f t="shared" si="78"/>
        <v>1.3681143279832592E-3</v>
      </c>
      <c r="R300" s="12">
        <f t="shared" si="80"/>
        <v>-7.0170590599903616E-3</v>
      </c>
      <c r="S300" s="12">
        <f t="shared" si="81"/>
        <v>-7.0543841961262154E-3</v>
      </c>
      <c r="T300" s="12">
        <f t="shared" si="82"/>
        <v>-8.015296884638784E-3</v>
      </c>
      <c r="U300" s="12">
        <f t="shared" si="83"/>
        <v>-5.8585540694908169E-3</v>
      </c>
      <c r="AI300" s="15">
        <v>43342</v>
      </c>
      <c r="AJ300" s="99">
        <f>+VLOOKUP(AI300,benchmark!I$7:$J$362,2,0)</f>
        <v>255.1534</v>
      </c>
      <c r="AK300" s="61">
        <f>+VLOOKUP(AI300,benchmark!K$7:$L$362,2,0)</f>
        <v>232.46700000000001</v>
      </c>
      <c r="AP300" s="15">
        <v>43342</v>
      </c>
      <c r="AQ300" s="12">
        <f t="shared" si="77"/>
        <v>-4.9348955692797292E-3</v>
      </c>
      <c r="AR300" s="12">
        <f t="shared" si="77"/>
        <v>1.2188609034213815E-3</v>
      </c>
      <c r="AY300" s="15">
        <v>43342</v>
      </c>
      <c r="AZ300" s="12">
        <f t="shared" si="84"/>
        <v>-1.242641685659063E-3</v>
      </c>
    </row>
    <row r="301" spans="4:52" x14ac:dyDescent="0.75">
      <c r="D301" s="15">
        <v>43341</v>
      </c>
      <c r="E301" s="21">
        <f>+VLOOKUP(D301,Prezzi!$I$12:$J$367,2,0)</f>
        <v>4.9136240000000004</v>
      </c>
      <c r="F301" s="21">
        <f>+VLOOKUP(D301,Prezzi!$K$12:$L$367,2,0)/VLOOKUP(D301,Prezzi!$S$12:$T$367,2,0)</f>
        <v>251.76925042881649</v>
      </c>
      <c r="G301" s="1">
        <v>0</v>
      </c>
      <c r="H301" s="21">
        <f>+VLOOKUP(D301,Prezzi!$M$12:$N$367,2,0)/VLOOKUP(D301,Prezzi!$S$12:$T$367,2,0)</f>
        <v>21.869661234991426</v>
      </c>
      <c r="I301" s="1">
        <v>0</v>
      </c>
      <c r="J301" s="21">
        <f>+VLOOKUP(D301,Prezzi!$O$12:$P$367,2,0)/VLOOKUP(D301,Prezzi!$S$12:$T$367,2,0)</f>
        <v>39.820655231560892</v>
      </c>
      <c r="K301" s="1">
        <v>0</v>
      </c>
      <c r="L301" s="21">
        <f>+VLOOKUP(D301,Prezzi!$Q$12:$R$367,2,0)/VLOOKUP(D301,Prezzi!$S$12:$T$367,2,0)</f>
        <v>91.636566895368787</v>
      </c>
      <c r="M301" s="1">
        <v>0</v>
      </c>
      <c r="O301" s="1" t="str">
        <f t="shared" si="79"/>
        <v>201835</v>
      </c>
      <c r="P301" s="35">
        <v>43341</v>
      </c>
      <c r="Q301" s="12">
        <f t="shared" si="78"/>
        <v>-3.3981360228462951E-4</v>
      </c>
      <c r="R301" s="12">
        <f t="shared" si="80"/>
        <v>1.0048219629978336E-2</v>
      </c>
      <c r="S301" s="12">
        <f t="shared" si="81"/>
        <v>5.9115426526064382E-3</v>
      </c>
      <c r="T301" s="12">
        <f t="shared" si="82"/>
        <v>3.5446691153497127E-3</v>
      </c>
      <c r="U301" s="12">
        <f t="shared" si="83"/>
        <v>1.8210901143599783E-3</v>
      </c>
      <c r="AI301" s="15">
        <v>43341</v>
      </c>
      <c r="AJ301" s="99">
        <f>+VLOOKUP(AI301,benchmark!I$7:$J$362,2,0)</f>
        <v>256.41880000000003</v>
      </c>
      <c r="AK301" s="61">
        <f>+VLOOKUP(AI301,benchmark!K$7:$L$362,2,0)</f>
        <v>232.184</v>
      </c>
      <c r="AP301" s="15">
        <v>43341</v>
      </c>
      <c r="AQ301" s="12">
        <f t="shared" si="77"/>
        <v>3.4158247109425943E-3</v>
      </c>
      <c r="AR301" s="12">
        <f t="shared" si="77"/>
        <v>-6.8433307652904229E-4</v>
      </c>
      <c r="AY301" s="15">
        <v>43341</v>
      </c>
      <c r="AZ301" s="12">
        <f t="shared" si="84"/>
        <v>9.5573003845961257E-4</v>
      </c>
    </row>
    <row r="302" spans="4:52" x14ac:dyDescent="0.75">
      <c r="D302" s="15">
        <v>43340</v>
      </c>
      <c r="E302" s="21">
        <f>+VLOOKUP(D302,Prezzi!$I$12:$J$367,2,0)</f>
        <v>4.9152940000000003</v>
      </c>
      <c r="F302" s="21">
        <f>+VLOOKUP(D302,Prezzi!$K$12:$L$367,2,0)/VLOOKUP(D302,Prezzi!$S$12:$T$367,2,0)</f>
        <v>249.25208539709649</v>
      </c>
      <c r="G302" s="1">
        <v>0</v>
      </c>
      <c r="H302" s="21">
        <f>+VLOOKUP(D302,Prezzi!$M$12:$N$367,2,0)/VLOOKUP(D302,Prezzi!$S$12:$T$367,2,0)</f>
        <v>21.740759180187872</v>
      </c>
      <c r="I302" s="1">
        <v>0</v>
      </c>
      <c r="J302" s="21">
        <f>+VLOOKUP(D302,Prezzi!$O$12:$P$367,2,0)/VLOOKUP(D302,Prezzi!$S$12:$T$367,2,0)</f>
        <v>39.679754056362086</v>
      </c>
      <c r="K302" s="1">
        <v>0</v>
      </c>
      <c r="L302" s="21">
        <f>+VLOOKUP(D302,Prezzi!$Q$12:$R$367,2,0)/VLOOKUP(D302,Prezzi!$S$12:$T$367,2,0)</f>
        <v>91.469840307429536</v>
      </c>
      <c r="M302" s="1">
        <v>0</v>
      </c>
      <c r="O302" s="1" t="str">
        <f t="shared" si="79"/>
        <v>201835</v>
      </c>
      <c r="P302" s="35">
        <v>43340</v>
      </c>
      <c r="Q302" s="12">
        <f t="shared" si="78"/>
        <v>-1.3211231344557252E-3</v>
      </c>
      <c r="R302" s="12">
        <f t="shared" si="80"/>
        <v>-6.3200849944504804E-3</v>
      </c>
      <c r="S302" s="12">
        <f t="shared" si="81"/>
        <v>-3.4744347218796678E-3</v>
      </c>
      <c r="T302" s="12">
        <f t="shared" si="82"/>
        <v>-9.2266088991498803E-3</v>
      </c>
      <c r="U302" s="12">
        <f t="shared" si="83"/>
        <v>-6.2056676829762474E-3</v>
      </c>
      <c r="AI302" s="15">
        <v>43340</v>
      </c>
      <c r="AJ302" s="99">
        <f>+VLOOKUP(AI302,benchmark!I$7:$J$362,2,0)</f>
        <v>255.54589999999999</v>
      </c>
      <c r="AK302" s="61">
        <f>+VLOOKUP(AI302,benchmark!K$7:$L$362,2,0)</f>
        <v>232.34299999999999</v>
      </c>
      <c r="AP302" s="15">
        <v>43340</v>
      </c>
      <c r="AQ302" s="12">
        <f t="shared" si="77"/>
        <v>1.2243695378426622E-3</v>
      </c>
      <c r="AR302" s="12">
        <f>+AK302/AK303-1</f>
        <v>-1.3067007096588812E-3</v>
      </c>
      <c r="AY302" s="15">
        <v>43340</v>
      </c>
      <c r="AZ302" s="12">
        <f t="shared" si="84"/>
        <v>-2.9427261065826369E-4</v>
      </c>
    </row>
    <row r="303" spans="4:52" x14ac:dyDescent="0.75">
      <c r="D303" s="15">
        <v>43339</v>
      </c>
      <c r="E303" s="21">
        <f>+VLOOKUP(D303,Prezzi!$I$12:$J$367,2,0)</f>
        <v>4.9217919999999999</v>
      </c>
      <c r="F303" s="21">
        <f>+VLOOKUP(D303,Prezzi!$K$12:$L$367,2,0)/VLOOKUP(D303,Prezzi!$S$12:$T$367,2,0)</f>
        <v>250.83236826270095</v>
      </c>
      <c r="G303" s="1">
        <v>0</v>
      </c>
      <c r="H303" s="21">
        <f>+VLOOKUP(D303,Prezzi!$M$12:$N$367,2,0)/VLOOKUP(D303,Prezzi!$S$12:$T$367,2,0)</f>
        <v>21.816427404796698</v>
      </c>
      <c r="I303" s="1">
        <v>0</v>
      </c>
      <c r="J303" s="21">
        <f>+VLOOKUP(D303,Prezzi!$O$12:$P$367,2,0)/VLOOKUP(D303,Prezzi!$S$12:$T$367,2,0)</f>
        <v>40.047557809679361</v>
      </c>
      <c r="K303" s="1">
        <v>0</v>
      </c>
      <c r="L303" s="21">
        <f>+VLOOKUP(D303,Prezzi!$Q$12:$R$367,2,0)/VLOOKUP(D303,Prezzi!$S$12:$T$367,2,0)</f>
        <v>92.039236654345402</v>
      </c>
      <c r="M303" s="1">
        <v>0</v>
      </c>
      <c r="O303" s="1" t="str">
        <f t="shared" si="79"/>
        <v>201835</v>
      </c>
      <c r="P303" s="35">
        <v>43339</v>
      </c>
      <c r="Q303" s="12">
        <f t="shared" si="78"/>
        <v>2.1537103045054332E-5</v>
      </c>
      <c r="R303" s="12">
        <f t="shared" si="80"/>
        <v>3.8749124712914576E-3</v>
      </c>
      <c r="S303" s="12">
        <f t="shared" si="81"/>
        <v>2.9459687939784947E-3</v>
      </c>
      <c r="T303" s="12">
        <f t="shared" si="82"/>
        <v>-1.2556784754160105E-3</v>
      </c>
      <c r="U303" s="12">
        <f t="shared" si="83"/>
        <v>-2.9357396272993242E-3</v>
      </c>
      <c r="AI303" s="15">
        <v>43339</v>
      </c>
      <c r="AJ303" s="99">
        <f>+VLOOKUP(AI303,benchmark!I$7:$J$362,2,0)</f>
        <v>255.23339999999999</v>
      </c>
      <c r="AK303" s="61">
        <f>+VLOOKUP(AI303,benchmark!K$7:$L$362,2,0)</f>
        <v>232.64699999999999</v>
      </c>
      <c r="AP303" s="15">
        <v>43339</v>
      </c>
      <c r="AQ303" s="12">
        <f t="shared" si="77"/>
        <v>9.5994329261974709E-3</v>
      </c>
      <c r="AR303" s="12">
        <f t="shared" si="77"/>
        <v>-1.3392914633048036E-3</v>
      </c>
      <c r="AY303" s="15">
        <v>43339</v>
      </c>
      <c r="AZ303" s="12">
        <f t="shared" si="84"/>
        <v>3.0361982924961063E-3</v>
      </c>
    </row>
    <row r="304" spans="4:52" x14ac:dyDescent="0.75">
      <c r="D304" s="15">
        <v>43336</v>
      </c>
      <c r="E304" s="21">
        <f>+VLOOKUP(D304,Prezzi!$I$12:$J$367,2,0)</f>
        <v>4.9216860000000002</v>
      </c>
      <c r="F304" s="21">
        <f>+VLOOKUP(D304,Prezzi!$K$12:$L$367,2,0)/VLOOKUP(D304,Prezzi!$S$12:$T$367,2,0)</f>
        <v>249.86229547808077</v>
      </c>
      <c r="G304" s="1">
        <v>0</v>
      </c>
      <c r="H304" s="21">
        <f>+VLOOKUP(D304,Prezzi!$M$12:$N$367,2,0)/VLOOKUP(D304,Prezzi!$S$12:$T$367,2,0)</f>
        <v>21.752251467034863</v>
      </c>
      <c r="I304" s="1">
        <v>0</v>
      </c>
      <c r="J304" s="21">
        <f>+VLOOKUP(D304,Prezzi!$O$12:$P$367,2,0)/VLOOKUP(D304,Prezzi!$S$12:$T$367,2,0)</f>
        <v>40.097876251294437</v>
      </c>
      <c r="K304" s="1">
        <v>0</v>
      </c>
      <c r="L304" s="21">
        <f>+VLOOKUP(D304,Prezzi!$Q$12:$R$367,2,0)/VLOOKUP(D304,Prezzi!$S$12:$T$367,2,0)</f>
        <v>92.309836900241621</v>
      </c>
      <c r="M304" s="1">
        <v>0</v>
      </c>
      <c r="O304" s="1" t="str">
        <f t="shared" si="79"/>
        <v>201834</v>
      </c>
      <c r="P304" s="35">
        <v>43336</v>
      </c>
      <c r="Q304" s="12">
        <f t="shared" si="78"/>
        <v>3.895765462010116E-4</v>
      </c>
      <c r="R304" s="12">
        <f t="shared" si="80"/>
        <v>5.4134648739227811E-3</v>
      </c>
      <c r="S304" s="12">
        <f t="shared" si="81"/>
        <v>2.1270518617495138E-3</v>
      </c>
      <c r="T304" s="12">
        <f t="shared" si="82"/>
        <v>1.5381379177243623E-2</v>
      </c>
      <c r="U304" s="12">
        <f t="shared" si="83"/>
        <v>-2.0681475397790962E-3</v>
      </c>
      <c r="AI304" s="15">
        <v>43336</v>
      </c>
      <c r="AJ304" s="99">
        <f>+VLOOKUP(AI304,benchmark!I$7:$J$362,2,0)</f>
        <v>252.80659999999997</v>
      </c>
      <c r="AK304" s="61">
        <f>+VLOOKUP(AI304,benchmark!K$7:$L$362,2,0)</f>
        <v>232.959</v>
      </c>
      <c r="AP304" s="15">
        <v>43336</v>
      </c>
      <c r="AQ304" s="12">
        <f t="shared" si="77"/>
        <v>5.3507282040841098E-3</v>
      </c>
      <c r="AR304" s="12">
        <f t="shared" si="77"/>
        <v>-5.1055869708849233E-4</v>
      </c>
      <c r="AY304" s="15">
        <v>43336</v>
      </c>
      <c r="AZ304" s="12">
        <f t="shared" si="84"/>
        <v>1.8339560633805485E-3</v>
      </c>
    </row>
    <row r="305" spans="4:52" x14ac:dyDescent="0.75">
      <c r="D305" s="15">
        <v>43335</v>
      </c>
      <c r="E305" s="21">
        <f>+VLOOKUP(D305,Prezzi!$I$12:$J$367,2,0)</f>
        <v>4.9197689999999996</v>
      </c>
      <c r="F305" s="21">
        <f>+VLOOKUP(D305,Prezzi!$K$12:$L$367,2,0)/VLOOKUP(D305,Prezzi!$S$12:$T$367,2,0)</f>
        <v>248.51332930304864</v>
      </c>
      <c r="G305" s="1">
        <v>0</v>
      </c>
      <c r="H305" s="21">
        <f>+VLOOKUP(D305,Prezzi!$M$12:$N$367,2,0)/VLOOKUP(D305,Prezzi!$S$12:$T$367,2,0)</f>
        <v>21.706032472579672</v>
      </c>
      <c r="I305" s="1">
        <v>0</v>
      </c>
      <c r="J305" s="21">
        <f>+VLOOKUP(D305,Prezzi!$O$12:$P$367,2,0)/VLOOKUP(D305,Prezzi!$S$12:$T$367,2,0)</f>
        <v>39.485834700751361</v>
      </c>
      <c r="K305" s="1">
        <v>0</v>
      </c>
      <c r="L305" s="21">
        <f>+VLOOKUP(D305,Prezzi!$Q$12:$R$367,2,0)/VLOOKUP(D305,Prezzi!$S$12:$T$367,2,0)</f>
        <v>92.500944813887216</v>
      </c>
      <c r="M305" s="1">
        <v>0</v>
      </c>
      <c r="O305" s="1" t="str">
        <f t="shared" si="79"/>
        <v>201834</v>
      </c>
      <c r="P305" s="35">
        <v>43335</v>
      </c>
      <c r="Q305" s="12">
        <f t="shared" si="78"/>
        <v>6.85022823772713E-4</v>
      </c>
      <c r="R305" s="12">
        <f t="shared" si="80"/>
        <v>1.5593351793673454E-3</v>
      </c>
      <c r="S305" s="12">
        <f t="shared" si="81"/>
        <v>2.8684205352334362E-4</v>
      </c>
      <c r="T305" s="12">
        <f t="shared" si="82"/>
        <v>-4.7439050783503484E-3</v>
      </c>
      <c r="U305" s="12">
        <f t="shared" si="83"/>
        <v>2.6981451223539333E-3</v>
      </c>
      <c r="AI305" s="15">
        <v>43335</v>
      </c>
      <c r="AJ305" s="99">
        <f>+VLOOKUP(AI305,benchmark!I$7:$J$362,2,0)</f>
        <v>251.46109999999999</v>
      </c>
      <c r="AK305" s="61">
        <f>+VLOOKUP(AI305,benchmark!K$7:$L$362,2,0)</f>
        <v>233.078</v>
      </c>
      <c r="AP305" s="15">
        <v>43335</v>
      </c>
      <c r="AQ305" s="12">
        <f t="shared" si="77"/>
        <v>-2.965397745520626E-3</v>
      </c>
      <c r="AR305" s="12">
        <f t="shared" si="77"/>
        <v>-3.9027486501208575E-4</v>
      </c>
      <c r="AY305" s="15">
        <v>43335</v>
      </c>
      <c r="AZ305" s="12">
        <f t="shared" si="84"/>
        <v>-1.420324017215502E-3</v>
      </c>
    </row>
    <row r="306" spans="4:52" x14ac:dyDescent="0.75">
      <c r="D306" s="15">
        <v>43334</v>
      </c>
      <c r="E306" s="21">
        <f>+VLOOKUP(D306,Prezzi!$I$12:$J$367,2,0)</f>
        <v>4.9164000000000003</v>
      </c>
      <c r="F306" s="21">
        <f>+VLOOKUP(D306,Prezzi!$K$12:$L$367,2,0)/VLOOKUP(D306,Prezzi!$S$12:$T$367,2,0)</f>
        <v>248.12611570247935</v>
      </c>
      <c r="G306" s="1">
        <v>0</v>
      </c>
      <c r="H306" s="21">
        <f>+VLOOKUP(D306,Prezzi!$M$12:$N$367,2,0)/VLOOKUP(D306,Prezzi!$S$12:$T$367,2,0)</f>
        <v>21.699807162534437</v>
      </c>
      <c r="I306" s="1">
        <v>0</v>
      </c>
      <c r="J306" s="21">
        <f>+VLOOKUP(D306,Prezzi!$O$12:$P$367,2,0)/VLOOKUP(D306,Prezzi!$S$12:$T$367,2,0)</f>
        <v>39.673596763085406</v>
      </c>
      <c r="K306" s="1">
        <v>0</v>
      </c>
      <c r="L306" s="21">
        <f>+VLOOKUP(D306,Prezzi!$Q$12:$R$367,2,0)/VLOOKUP(D306,Prezzi!$S$12:$T$367,2,0)</f>
        <v>92.251700241046834</v>
      </c>
      <c r="M306" s="1">
        <v>0</v>
      </c>
      <c r="O306" s="1" t="str">
        <f t="shared" si="79"/>
        <v>201834</v>
      </c>
      <c r="P306" s="35">
        <v>43334</v>
      </c>
      <c r="Q306" s="12">
        <f t="shared" si="78"/>
        <v>-3.6666452528890769E-4</v>
      </c>
      <c r="R306" s="12">
        <f t="shared" si="80"/>
        <v>-1.0230924710158509E-2</v>
      </c>
      <c r="S306" s="12">
        <f t="shared" si="81"/>
        <v>-2.1032217030029967E-3</v>
      </c>
      <c r="T306" s="12">
        <f t="shared" si="82"/>
        <v>-7.3315306846718064E-3</v>
      </c>
      <c r="U306" s="12">
        <f t="shared" si="83"/>
        <v>-5.4151837399110852E-3</v>
      </c>
      <c r="AI306" s="15">
        <v>43334</v>
      </c>
      <c r="AJ306" s="99">
        <f>+VLOOKUP(AI306,benchmark!I$7:$J$362,2,0)</f>
        <v>252.209</v>
      </c>
      <c r="AK306" s="61">
        <f>+VLOOKUP(AI306,benchmark!K$7:$L$362,2,0)</f>
        <v>233.16900000000001</v>
      </c>
      <c r="AP306" s="15">
        <v>43334</v>
      </c>
      <c r="AQ306" s="12">
        <f t="shared" si="77"/>
        <v>2.4380394569698538E-3</v>
      </c>
      <c r="AR306" s="12">
        <f t="shared" si="77"/>
        <v>-1.4688752612285194E-3</v>
      </c>
      <c r="AY306" s="15">
        <v>43334</v>
      </c>
      <c r="AZ306" s="12">
        <f t="shared" si="84"/>
        <v>9.3890626050829895E-5</v>
      </c>
    </row>
    <row r="307" spans="4:52" x14ac:dyDescent="0.75">
      <c r="D307" s="15">
        <v>43333</v>
      </c>
      <c r="E307" s="21">
        <f>+VLOOKUP(D307,Prezzi!$I$12:$J$367,2,0)</f>
        <v>4.9182030000000001</v>
      </c>
      <c r="F307" s="21">
        <f>+VLOOKUP(D307,Prezzi!$K$12:$L$367,2,0)/VLOOKUP(D307,Prezzi!$S$12:$T$367,2,0)</f>
        <v>250.67770561641456</v>
      </c>
      <c r="G307" s="1">
        <v>0</v>
      </c>
      <c r="H307" s="21">
        <f>+VLOOKUP(D307,Prezzi!$M$12:$N$367,2,0)/VLOOKUP(D307,Prezzi!$S$12:$T$367,2,0)</f>
        <v>21.745494696574511</v>
      </c>
      <c r="I307" s="1">
        <v>0</v>
      </c>
      <c r="J307" s="21">
        <f>+VLOOKUP(D307,Prezzi!$O$12:$P$367,2,0)/VLOOKUP(D307,Prezzi!$S$12:$T$367,2,0)</f>
        <v>39.965533820205181</v>
      </c>
      <c r="K307" s="1">
        <v>0</v>
      </c>
      <c r="L307" s="21">
        <f>+VLOOKUP(D307,Prezzi!$Q$12:$R$367,2,0)/VLOOKUP(D307,Prezzi!$S$12:$T$367,2,0)</f>
        <v>92.752615197356988</v>
      </c>
      <c r="M307" s="1">
        <v>0</v>
      </c>
      <c r="O307" s="1" t="str">
        <f t="shared" si="79"/>
        <v>201834</v>
      </c>
      <c r="P307" s="35">
        <v>43333</v>
      </c>
      <c r="Q307" s="12">
        <f t="shared" si="78"/>
        <v>-2.0652876044452975E-3</v>
      </c>
      <c r="R307" s="12">
        <f t="shared" si="80"/>
        <v>-5.0577097631714961E-3</v>
      </c>
      <c r="S307" s="12">
        <f t="shared" si="81"/>
        <v>1.9153267743096333E-4</v>
      </c>
      <c r="T307" s="12">
        <f t="shared" si="82"/>
        <v>-2.8689861215199183E-3</v>
      </c>
      <c r="U307" s="12">
        <f t="shared" si="83"/>
        <v>-5.500152426723505E-3</v>
      </c>
      <c r="AI307" s="15">
        <v>43333</v>
      </c>
      <c r="AJ307" s="99">
        <f>+VLOOKUP(AI307,benchmark!I$7:$J$362,2,0)</f>
        <v>251.59560000000002</v>
      </c>
      <c r="AK307" s="61">
        <f>+VLOOKUP(AI307,benchmark!K$7:$L$362,2,0)</f>
        <v>233.512</v>
      </c>
      <c r="AP307" s="15">
        <v>43333</v>
      </c>
      <c r="AQ307" s="12">
        <f t="shared" si="77"/>
        <v>3.9063653405242427E-3</v>
      </c>
      <c r="AR307" s="12">
        <f t="shared" si="77"/>
        <v>1.3705670721275709E-4</v>
      </c>
      <c r="AY307" s="15">
        <v>43333</v>
      </c>
      <c r="AZ307" s="12">
        <f t="shared" si="84"/>
        <v>1.6447801605373514E-3</v>
      </c>
    </row>
    <row r="308" spans="4:52" x14ac:dyDescent="0.75">
      <c r="D308" s="15">
        <v>43332</v>
      </c>
      <c r="E308" s="21">
        <f>+VLOOKUP(D308,Prezzi!$I$12:$J$367,2,0)</f>
        <v>4.9283710000000003</v>
      </c>
      <c r="F308" s="21">
        <f>+VLOOKUP(D308,Prezzi!$K$12:$L$367,2,0)/VLOOKUP(D308,Prezzi!$S$12:$T$367,2,0)</f>
        <v>251.94877232924696</v>
      </c>
      <c r="G308" s="1">
        <v>0</v>
      </c>
      <c r="H308" s="21">
        <f>+VLOOKUP(D308,Prezzi!$M$12:$N$367,2,0)/VLOOKUP(D308,Prezzi!$S$12:$T$367,2,0)</f>
        <v>21.741330122591947</v>
      </c>
      <c r="I308" s="1">
        <v>0</v>
      </c>
      <c r="J308" s="21">
        <f>+VLOOKUP(D308,Prezzi!$O$12:$P$367,2,0)/VLOOKUP(D308,Prezzi!$S$12:$T$367,2,0)</f>
        <v>40.080359019264449</v>
      </c>
      <c r="K308" s="1">
        <v>0</v>
      </c>
      <c r="L308" s="21">
        <f>+VLOOKUP(D308,Prezzi!$Q$12:$R$367,2,0)/VLOOKUP(D308,Prezzi!$S$12:$T$367,2,0)</f>
        <v>93.264174255691785</v>
      </c>
      <c r="M308" s="1">
        <v>0</v>
      </c>
      <c r="O308" s="1" t="str">
        <f t="shared" si="79"/>
        <v>201834</v>
      </c>
      <c r="P308" s="35">
        <v>43332</v>
      </c>
      <c r="Q308" s="12">
        <f t="shared" si="78"/>
        <v>-3.5583521431813142E-4</v>
      </c>
      <c r="R308" s="12">
        <f t="shared" si="80"/>
        <v>-8.4762528084730431E-5</v>
      </c>
      <c r="S308" s="12">
        <f t="shared" si="81"/>
        <v>4.8606320332071316E-3</v>
      </c>
      <c r="T308" s="12">
        <f t="shared" si="82"/>
        <v>5.4844684212822384E-3</v>
      </c>
      <c r="U308" s="12">
        <f t="shared" si="83"/>
        <v>-1.8174190361194323E-3</v>
      </c>
      <c r="AI308" s="15">
        <v>43332</v>
      </c>
      <c r="AJ308" s="99">
        <f>+VLOOKUP(AI308,benchmark!I$7:$J$362,2,0)</f>
        <v>250.61660000000001</v>
      </c>
      <c r="AK308" s="61">
        <f>+VLOOKUP(AI308,benchmark!K$7:$L$362,2,0)</f>
        <v>233.48</v>
      </c>
      <c r="AP308" s="15">
        <v>43332</v>
      </c>
      <c r="AQ308" s="12">
        <f t="shared" si="77"/>
        <v>4.1855656884588477E-3</v>
      </c>
      <c r="AR308" s="12">
        <f t="shared" si="77"/>
        <v>1.3810377512244454E-3</v>
      </c>
      <c r="AY308" s="15">
        <v>43332</v>
      </c>
      <c r="AZ308" s="12">
        <f t="shared" si="84"/>
        <v>2.5028489261182062E-3</v>
      </c>
    </row>
    <row r="309" spans="4:52" x14ac:dyDescent="0.75">
      <c r="D309" s="15">
        <v>43329</v>
      </c>
      <c r="E309" s="21">
        <f>+VLOOKUP(D309,Prezzi!$I$12:$J$367,2,0)</f>
        <v>4.9301250000000003</v>
      </c>
      <c r="F309" s="21">
        <f>+VLOOKUP(D309,Prezzi!$K$12:$L$367,2,0)/VLOOKUP(D309,Prezzi!$S$12:$T$367,2,0)</f>
        <v>251.97012904924944</v>
      </c>
      <c r="G309" s="1">
        <v>0</v>
      </c>
      <c r="H309" s="21">
        <f>+VLOOKUP(D309,Prezzi!$M$12:$N$367,2,0)/VLOOKUP(D309,Prezzi!$S$12:$T$367,2,0)</f>
        <v>21.63590992889123</v>
      </c>
      <c r="I309" s="1">
        <v>0</v>
      </c>
      <c r="J309" s="21">
        <f>+VLOOKUP(D309,Prezzi!$O$12:$P$367,2,0)/VLOOKUP(D309,Prezzi!$S$12:$T$367,2,0)</f>
        <v>39.861141251865504</v>
      </c>
      <c r="K309" s="1">
        <v>0</v>
      </c>
      <c r="L309" s="21">
        <f>+VLOOKUP(D309,Prezzi!$Q$12:$R$367,2,0)/VLOOKUP(D309,Prezzi!$S$12:$T$367,2,0)</f>
        <v>93.433828461065758</v>
      </c>
      <c r="M309" s="1">
        <v>0</v>
      </c>
      <c r="O309" s="1" t="str">
        <f t="shared" si="79"/>
        <v>201833</v>
      </c>
      <c r="P309" s="35">
        <v>43329</v>
      </c>
      <c r="Q309" s="12">
        <f t="shared" si="78"/>
        <v>4.6653049393815679E-5</v>
      </c>
      <c r="R309" s="12">
        <f t="shared" si="80"/>
        <v>1.5499830114345324E-3</v>
      </c>
      <c r="S309" s="12">
        <f t="shared" si="81"/>
        <v>-1.256997064157415E-4</v>
      </c>
      <c r="T309" s="12">
        <f t="shared" si="82"/>
        <v>1.981922716250025E-4</v>
      </c>
      <c r="U309" s="12">
        <f t="shared" si="83"/>
        <v>-1.0770479961876513E-3</v>
      </c>
      <c r="AI309" s="15">
        <v>43329</v>
      </c>
      <c r="AJ309" s="99">
        <f>+VLOOKUP(AI309,benchmark!I$7:$J$362,2,0)</f>
        <v>249.57199999999997</v>
      </c>
      <c r="AK309" s="61">
        <f>+VLOOKUP(AI309,benchmark!K$7:$L$362,2,0)</f>
        <v>233.15799999999999</v>
      </c>
      <c r="AP309" s="15">
        <v>43329</v>
      </c>
      <c r="AQ309" s="12">
        <f t="shared" si="77"/>
        <v>3.1448259895106023E-3</v>
      </c>
      <c r="AR309" s="12">
        <f t="shared" si="77"/>
        <v>1.8874885249275941E-4</v>
      </c>
      <c r="AY309" s="15">
        <v>43329</v>
      </c>
      <c r="AZ309" s="12">
        <f t="shared" si="84"/>
        <v>1.3711797072998965E-3</v>
      </c>
    </row>
    <row r="310" spans="4:52" x14ac:dyDescent="0.75">
      <c r="D310" s="15">
        <v>43328</v>
      </c>
      <c r="E310" s="21">
        <f>+VLOOKUP(D310,Prezzi!$I$12:$J$367,2,0)</f>
        <v>4.9298950000000001</v>
      </c>
      <c r="F310" s="21">
        <f>+VLOOKUP(D310,Prezzi!$K$12:$L$367,2,0)/VLOOKUP(D310,Prezzi!$S$12:$T$367,2,0)</f>
        <v>251.57988214599825</v>
      </c>
      <c r="G310" s="1">
        <v>0</v>
      </c>
      <c r="H310" s="21">
        <f>+VLOOKUP(D310,Prezzi!$M$12:$N$367,2,0)/VLOOKUP(D310,Prezzi!$S$12:$T$367,2,0)</f>
        <v>21.638629727352683</v>
      </c>
      <c r="I310" s="1">
        <v>0</v>
      </c>
      <c r="J310" s="21">
        <f>+VLOOKUP(D310,Prezzi!$O$12:$P$367,2,0)/VLOOKUP(D310,Prezzi!$S$12:$T$367,2,0)</f>
        <v>39.853241864555848</v>
      </c>
      <c r="K310" s="1">
        <v>0</v>
      </c>
      <c r="L310" s="21">
        <f>+VLOOKUP(D310,Prezzi!$Q$12:$R$367,2,0)/VLOOKUP(D310,Prezzi!$S$12:$T$367,2,0)</f>
        <v>93.534515391380822</v>
      </c>
      <c r="M310" s="1">
        <v>0</v>
      </c>
      <c r="O310" s="1" t="str">
        <f t="shared" si="79"/>
        <v>201833</v>
      </c>
      <c r="P310" s="35">
        <v>43328</v>
      </c>
      <c r="Q310" s="12">
        <f t="shared" si="78"/>
        <v>-2.0809636924616821E-4</v>
      </c>
      <c r="R310" s="12">
        <f t="shared" si="80"/>
        <v>3.8670007420285569E-3</v>
      </c>
      <c r="S310" s="12">
        <f t="shared" si="81"/>
        <v>7.4948910531312382E-3</v>
      </c>
      <c r="T310" s="12">
        <f t="shared" si="82"/>
        <v>-5.1331442323025332E-3</v>
      </c>
      <c r="U310" s="12">
        <f t="shared" si="83"/>
        <v>-1.882675843451812E-3</v>
      </c>
      <c r="AI310" s="15">
        <v>43328</v>
      </c>
      <c r="AJ310" s="99">
        <f>+VLOOKUP(AI310,benchmark!I$7:$J$362,2,0)</f>
        <v>248.78960000000001</v>
      </c>
      <c r="AK310" s="61">
        <f>+VLOOKUP(AI310,benchmark!K$7:$L$362,2,0)</f>
        <v>233.114</v>
      </c>
      <c r="AP310" s="15">
        <v>43328</v>
      </c>
      <c r="AQ310" s="12">
        <f t="shared" si="77"/>
        <v>6.500452296842818E-3</v>
      </c>
      <c r="AR310" s="12">
        <f t="shared" si="77"/>
        <v>1.4587266174692637E-4</v>
      </c>
      <c r="AY310" s="15">
        <v>43328</v>
      </c>
      <c r="AZ310" s="12">
        <f t="shared" si="84"/>
        <v>2.6877045157852829E-3</v>
      </c>
    </row>
    <row r="311" spans="4:52" x14ac:dyDescent="0.75">
      <c r="D311" s="15">
        <v>43327</v>
      </c>
      <c r="E311" s="21">
        <f>+VLOOKUP(D311,Prezzi!$I$12:$J$367,2,0)</f>
        <v>4.9309209999999997</v>
      </c>
      <c r="F311" s="21">
        <f>+VLOOKUP(D311,Prezzi!$K$12:$L$367,2,0)/VLOOKUP(D311,Prezzi!$S$12:$T$367,2,0)</f>
        <v>250.60890115714156</v>
      </c>
      <c r="G311" s="1">
        <v>0</v>
      </c>
      <c r="H311" s="21">
        <f>+VLOOKUP(D311,Prezzi!$M$12:$N$367,2,0)/VLOOKUP(D311,Prezzi!$S$12:$T$367,2,0)</f>
        <v>21.477056797102726</v>
      </c>
      <c r="I311" s="1">
        <v>0</v>
      </c>
      <c r="J311" s="21">
        <f>+VLOOKUP(D311,Prezzi!$O$12:$P$367,2,0)/VLOOKUP(D311,Prezzi!$S$12:$T$367,2,0)</f>
        <v>40.058340252627858</v>
      </c>
      <c r="K311" s="1">
        <v>0</v>
      </c>
      <c r="L311" s="21">
        <f>+VLOOKUP(D311,Prezzi!$Q$12:$R$367,2,0)/VLOOKUP(D311,Prezzi!$S$12:$T$367,2,0)</f>
        <v>93.710776433177273</v>
      </c>
      <c r="M311" s="1">
        <v>0</v>
      </c>
      <c r="O311" s="1" t="str">
        <f t="shared" si="79"/>
        <v>201833</v>
      </c>
      <c r="P311" s="35">
        <v>43327</v>
      </c>
      <c r="Q311" s="12">
        <f t="shared" si="78"/>
        <v>-5.1701109542309027E-4</v>
      </c>
      <c r="R311" s="12">
        <f t="shared" si="80"/>
        <v>3.5858108690173745E-5</v>
      </c>
      <c r="S311" s="12">
        <f t="shared" si="81"/>
        <v>-6.9955947345951737E-3</v>
      </c>
      <c r="T311" s="12">
        <f t="shared" si="82"/>
        <v>-6.4777827121953978E-3</v>
      </c>
      <c r="U311" s="12">
        <f t="shared" si="83"/>
        <v>6.7946586099411482E-3</v>
      </c>
      <c r="AI311" s="15">
        <v>43327</v>
      </c>
      <c r="AJ311" s="99">
        <f>+VLOOKUP(AI311,benchmark!I$7:$J$362,2,0)</f>
        <v>247.18279999999999</v>
      </c>
      <c r="AK311" s="61">
        <f>+VLOOKUP(AI311,benchmark!K$7:$L$362,2,0)</f>
        <v>233.08</v>
      </c>
      <c r="AP311" s="15">
        <v>43327</v>
      </c>
      <c r="AQ311" s="12">
        <f t="shared" si="77"/>
        <v>-1.0878690555555237E-2</v>
      </c>
      <c r="AR311" s="12">
        <f t="shared" si="77"/>
        <v>-2.9594808470112532E-4</v>
      </c>
      <c r="AY311" s="15">
        <v>43327</v>
      </c>
      <c r="AZ311" s="12">
        <f t="shared" si="84"/>
        <v>-4.5290450730427704E-3</v>
      </c>
    </row>
    <row r="312" spans="4:52" x14ac:dyDescent="0.75">
      <c r="D312" s="15">
        <v>43326</v>
      </c>
      <c r="E312" s="21">
        <f>+VLOOKUP(D312,Prezzi!$I$12:$J$367,2,0)</f>
        <v>4.9334709999999999</v>
      </c>
      <c r="F312" s="21">
        <f>+VLOOKUP(D312,Prezzi!$K$12:$L$367,2,0)/VLOOKUP(D312,Prezzi!$S$12:$T$367,2,0)</f>
        <v>250.59991495704017</v>
      </c>
      <c r="G312" s="1">
        <v>0</v>
      </c>
      <c r="H312" s="21">
        <f>+VLOOKUP(D312,Prezzi!$M$12:$N$367,2,0)/VLOOKUP(D312,Prezzi!$S$12:$T$367,2,0)</f>
        <v>21.627828335963525</v>
      </c>
      <c r="I312" s="1">
        <v>0</v>
      </c>
      <c r="J312" s="21">
        <f>+VLOOKUP(D312,Prezzi!$O$12:$P$367,2,0)/VLOOKUP(D312,Prezzi!$S$12:$T$367,2,0)</f>
        <v>40.318671751709623</v>
      </c>
      <c r="K312" s="1">
        <v>0</v>
      </c>
      <c r="L312" s="21">
        <f>+VLOOKUP(D312,Prezzi!$Q$12:$R$367,2,0)/VLOOKUP(D312,Prezzi!$S$12:$T$367,2,0)</f>
        <v>93.076201998947923</v>
      </c>
      <c r="M312" s="1">
        <v>0</v>
      </c>
      <c r="O312" s="1" t="str">
        <f t="shared" si="79"/>
        <v>201833</v>
      </c>
      <c r="P312" s="35">
        <v>43326</v>
      </c>
      <c r="Q312" s="12">
        <f t="shared" si="78"/>
        <v>1.5800549236802991E-3</v>
      </c>
      <c r="R312" s="12">
        <f t="shared" si="80"/>
        <v>6.1897556651556518E-3</v>
      </c>
      <c r="S312" s="12">
        <f t="shared" si="81"/>
        <v>-2.40096895914169E-3</v>
      </c>
      <c r="T312" s="12">
        <f t="shared" si="82"/>
        <v>1.1108282702441642E-3</v>
      </c>
      <c r="U312" s="12">
        <f t="shared" si="83"/>
        <v>7.0568910791253148E-3</v>
      </c>
      <c r="AI312" s="15">
        <v>43326</v>
      </c>
      <c r="AJ312" s="99">
        <f>+VLOOKUP(AI312,benchmark!I$7:$J$362,2,0)</f>
        <v>249.90140000000002</v>
      </c>
      <c r="AK312" s="61">
        <f>+VLOOKUP(AI312,benchmark!K$7:$L$362,2,0)</f>
        <v>233.149</v>
      </c>
      <c r="AP312" s="15">
        <v>43326</v>
      </c>
      <c r="AQ312" s="12">
        <f t="shared" si="77"/>
        <v>4.1261760445527873E-3</v>
      </c>
      <c r="AR312" s="12">
        <f t="shared" si="77"/>
        <v>2.316652008838016E-4</v>
      </c>
      <c r="AY312" s="15">
        <v>43326</v>
      </c>
      <c r="AZ312" s="12">
        <f t="shared" si="84"/>
        <v>1.7894695383513959E-3</v>
      </c>
    </row>
    <row r="313" spans="4:52" x14ac:dyDescent="0.75">
      <c r="D313" s="15">
        <v>43325</v>
      </c>
      <c r="E313" s="21">
        <f>+VLOOKUP(D313,Prezzi!$I$12:$J$367,2,0)</f>
        <v>4.9256820000000001</v>
      </c>
      <c r="F313" s="21">
        <f>+VLOOKUP(D313,Prezzi!$K$12:$L$367,2,0)/VLOOKUP(D313,Prezzi!$S$12:$T$367,2,0)</f>
        <v>249.05355345084624</v>
      </c>
      <c r="G313" s="1">
        <v>0</v>
      </c>
      <c r="H313" s="21">
        <f>+VLOOKUP(D313,Prezzi!$M$12:$N$367,2,0)/VLOOKUP(D313,Prezzi!$S$12:$T$367,2,0)</f>
        <v>21.679818468823992</v>
      </c>
      <c r="I313" s="1">
        <v>0</v>
      </c>
      <c r="J313" s="21">
        <f>+VLOOKUP(D313,Prezzi!$O$12:$P$367,2,0)/VLOOKUP(D313,Prezzi!$S$12:$T$367,2,0)</f>
        <v>40.273909497500661</v>
      </c>
      <c r="K313" s="1">
        <v>0</v>
      </c>
      <c r="L313" s="21">
        <f>+VLOOKUP(D313,Prezzi!$Q$12:$R$367,2,0)/VLOOKUP(D313,Prezzi!$S$12:$T$367,2,0)</f>
        <v>92.421685521354021</v>
      </c>
      <c r="M313" s="1">
        <v>0</v>
      </c>
      <c r="O313" s="1" t="str">
        <f t="shared" si="79"/>
        <v>201833</v>
      </c>
      <c r="P313" s="35">
        <v>43325</v>
      </c>
      <c r="Q313" s="12">
        <f t="shared" si="78"/>
        <v>1.5430525915131034E-4</v>
      </c>
      <c r="R313" s="12">
        <f t="shared" si="80"/>
        <v>6.363426738502843E-4</v>
      </c>
      <c r="S313" s="12">
        <f t="shared" si="81"/>
        <v>3.4741245233225241E-3</v>
      </c>
      <c r="T313" s="12">
        <f t="shared" si="82"/>
        <v>-1.1197651554245661E-2</v>
      </c>
      <c r="U313" s="12">
        <f t="shared" si="83"/>
        <v>-5.2561012235933513E-3</v>
      </c>
      <c r="AI313" s="15">
        <v>43325</v>
      </c>
      <c r="AJ313" s="99">
        <f>+VLOOKUP(AI313,benchmark!I$7:$J$362,2,0)</f>
        <v>248.87449999999998</v>
      </c>
      <c r="AK313" s="61">
        <f>+VLOOKUP(AI313,benchmark!K$7:$L$362,2,0)</f>
        <v>233.095</v>
      </c>
      <c r="AP313" s="15">
        <v>43325</v>
      </c>
      <c r="AQ313" s="12">
        <f t="shared" si="77"/>
        <v>-7.1473565831200458E-3</v>
      </c>
      <c r="AR313" s="12">
        <f t="shared" si="77"/>
        <v>-1.8541673803569303E-3</v>
      </c>
      <c r="AY313" s="15">
        <v>43325</v>
      </c>
      <c r="AZ313" s="12">
        <f t="shared" si="84"/>
        <v>-3.9714430614621763E-3</v>
      </c>
    </row>
    <row r="314" spans="4:52" x14ac:dyDescent="0.75">
      <c r="D314" s="15">
        <v>43322</v>
      </c>
      <c r="E314" s="21">
        <f>+VLOOKUP(D314,Prezzi!$I$12:$J$367,2,0)</f>
        <v>4.9249219999999996</v>
      </c>
      <c r="F314" s="21">
        <f>+VLOOKUP(D314,Prezzi!$K$12:$L$367,2,0)/VLOOKUP(D314,Prezzi!$S$12:$T$367,2,0)</f>
        <v>248.89512046089388</v>
      </c>
      <c r="G314" s="1">
        <v>0</v>
      </c>
      <c r="H314" s="21">
        <f>+VLOOKUP(D314,Prezzi!$M$12:$N$367,2,0)/VLOOKUP(D314,Prezzi!$S$12:$T$367,2,0)</f>
        <v>21.604630761173183</v>
      </c>
      <c r="I314" s="1">
        <v>0</v>
      </c>
      <c r="J314" s="21">
        <f>+VLOOKUP(D314,Prezzi!$O$12:$P$367,2,0)/VLOOKUP(D314,Prezzi!$S$12:$T$367,2,0)</f>
        <v>40.727417074022348</v>
      </c>
      <c r="K314" s="1">
        <v>0</v>
      </c>
      <c r="L314" s="21">
        <f>+VLOOKUP(D314,Prezzi!$Q$12:$R$367,2,0)/VLOOKUP(D314,Prezzi!$S$12:$T$367,2,0)</f>
        <v>92.908742143854752</v>
      </c>
      <c r="M314" s="1">
        <v>0</v>
      </c>
      <c r="O314" s="1" t="str">
        <f t="shared" si="79"/>
        <v>201832</v>
      </c>
      <c r="P314" s="35">
        <v>43322</v>
      </c>
      <c r="Q314" s="12">
        <f t="shared" si="78"/>
        <v>-5.0282568994449361E-4</v>
      </c>
      <c r="R314" s="12">
        <f t="shared" si="80"/>
        <v>5.0532794273714732E-3</v>
      </c>
      <c r="S314" s="12">
        <f t="shared" si="81"/>
        <v>-5.9384959877341785E-3</v>
      </c>
      <c r="T314" s="12">
        <f t="shared" si="82"/>
        <v>1.1177096423128377E-2</v>
      </c>
      <c r="U314" s="12">
        <f t="shared" si="83"/>
        <v>3.5875991621054366E-3</v>
      </c>
      <c r="AI314" s="15">
        <v>43322</v>
      </c>
      <c r="AJ314" s="99">
        <f>+VLOOKUP(AI314,benchmark!I$7:$J$362,2,0)</f>
        <v>250.6661</v>
      </c>
      <c r="AK314" s="61">
        <f>+VLOOKUP(AI314,benchmark!K$7:$L$362,2,0)</f>
        <v>233.52799999999999</v>
      </c>
      <c r="AP314" s="15">
        <v>43322</v>
      </c>
      <c r="AQ314" s="12">
        <f t="shared" si="77"/>
        <v>-1.1350302649758004E-2</v>
      </c>
      <c r="AR314" s="12">
        <f t="shared" si="77"/>
        <v>1.0373532916676531E-3</v>
      </c>
      <c r="AY314" s="15">
        <v>43322</v>
      </c>
      <c r="AZ314" s="12">
        <f t="shared" si="84"/>
        <v>-3.9177090849026094E-3</v>
      </c>
    </row>
    <row r="315" spans="4:52" x14ac:dyDescent="0.75">
      <c r="D315" s="15">
        <v>43321</v>
      </c>
      <c r="E315" s="21">
        <f>+VLOOKUP(D315,Prezzi!$I$12:$J$367,2,0)</f>
        <v>4.9273990000000003</v>
      </c>
      <c r="F315" s="21">
        <f>+VLOOKUP(D315,Prezzi!$K$12:$L$367,2,0)/VLOOKUP(D315,Prezzi!$S$12:$T$367,2,0)</f>
        <v>247.64055637022341</v>
      </c>
      <c r="G315" s="1">
        <v>0</v>
      </c>
      <c r="H315" s="21">
        <f>+VLOOKUP(D315,Prezzi!$M$12:$N$367,2,0)/VLOOKUP(D315,Prezzi!$S$12:$T$367,2,0)</f>
        <v>21.73331148106616</v>
      </c>
      <c r="I315" s="1">
        <v>0</v>
      </c>
      <c r="J315" s="21">
        <f>+VLOOKUP(D315,Prezzi!$O$12:$P$367,2,0)/VLOOKUP(D315,Prezzi!$S$12:$T$367,2,0)</f>
        <v>40.274737341499183</v>
      </c>
      <c r="K315" s="1">
        <v>0</v>
      </c>
      <c r="L315" s="21">
        <f>+VLOOKUP(D315,Prezzi!$Q$12:$R$367,2,0)/VLOOKUP(D315,Prezzi!$S$12:$T$367,2,0)</f>
        <v>92.576020012076256</v>
      </c>
      <c r="M315" s="1">
        <v>0</v>
      </c>
      <c r="O315" s="1" t="str">
        <f t="shared" si="79"/>
        <v>201832</v>
      </c>
      <c r="P315" s="35">
        <v>43321</v>
      </c>
      <c r="Q315" s="12">
        <f t="shared" si="78"/>
        <v>1.2574370049675758E-3</v>
      </c>
      <c r="R315" s="12">
        <f t="shared" si="80"/>
        <v>-1.5288917736083255E-3</v>
      </c>
      <c r="S315" s="12">
        <f t="shared" si="81"/>
        <v>5.0963119342732394E-4</v>
      </c>
      <c r="T315" s="12">
        <f t="shared" si="82"/>
        <v>-1.1985663337958842E-3</v>
      </c>
      <c r="U315" s="12">
        <f t="shared" si="83"/>
        <v>-2.8678559163226244E-3</v>
      </c>
      <c r="AI315" s="15">
        <v>43321</v>
      </c>
      <c r="AJ315" s="99">
        <f>+VLOOKUP(AI315,benchmark!I$7:$J$362,2,0)</f>
        <v>253.54389999999998</v>
      </c>
      <c r="AK315" s="61">
        <f>+VLOOKUP(AI315,benchmark!K$7:$L$362,2,0)</f>
        <v>233.286</v>
      </c>
      <c r="AP315" s="15">
        <v>43321</v>
      </c>
      <c r="AQ315" s="12">
        <f t="shared" si="77"/>
        <v>-7.1888487712945537E-4</v>
      </c>
      <c r="AR315" s="12">
        <f t="shared" si="77"/>
        <v>8.2370202579218343E-4</v>
      </c>
      <c r="AY315" s="15">
        <v>43321</v>
      </c>
      <c r="AZ315" s="12">
        <f t="shared" si="84"/>
        <v>2.0666726462352785E-4</v>
      </c>
    </row>
    <row r="316" spans="4:52" x14ac:dyDescent="0.75">
      <c r="D316" s="15">
        <v>43320</v>
      </c>
      <c r="E316" s="21">
        <f>+VLOOKUP(D316,Prezzi!$I$12:$J$367,2,0)</f>
        <v>4.9212069999999999</v>
      </c>
      <c r="F316" s="21">
        <f>+VLOOKUP(D316,Prezzi!$K$12:$L$367,2,0)/VLOOKUP(D316,Prezzi!$S$12:$T$367,2,0)</f>
        <v>248.0194615583743</v>
      </c>
      <c r="G316" s="1">
        <v>0</v>
      </c>
      <c r="H316" s="21">
        <f>+VLOOKUP(D316,Prezzi!$M$12:$N$367,2,0)/VLOOKUP(D316,Prezzi!$S$12:$T$367,2,0)</f>
        <v>21.722238329450338</v>
      </c>
      <c r="I316" s="1">
        <v>0</v>
      </c>
      <c r="J316" s="21">
        <f>+VLOOKUP(D316,Prezzi!$O$12:$P$367,2,0)/VLOOKUP(D316,Prezzi!$S$12:$T$367,2,0)</f>
        <v>40.323038225903879</v>
      </c>
      <c r="K316" s="1">
        <v>0</v>
      </c>
      <c r="L316" s="21">
        <f>+VLOOKUP(D316,Prezzi!$Q$12:$R$367,2,0)/VLOOKUP(D316,Prezzi!$S$12:$T$367,2,0)</f>
        <v>92.841895763223732</v>
      </c>
      <c r="M316" s="1">
        <v>0</v>
      </c>
      <c r="O316" s="1" t="str">
        <f t="shared" si="79"/>
        <v>201832</v>
      </c>
      <c r="P316" s="35">
        <v>43320</v>
      </c>
      <c r="Q316" s="12">
        <f t="shared" si="78"/>
        <v>-4.2683667644332821E-4</v>
      </c>
      <c r="R316" s="12">
        <f t="shared" si="80"/>
        <v>8.8374529639810735E-4</v>
      </c>
      <c r="S316" s="12">
        <f t="shared" si="81"/>
        <v>-1.9692450826259531E-3</v>
      </c>
      <c r="T316" s="12">
        <f t="shared" si="82"/>
        <v>3.4554143210693724E-3</v>
      </c>
      <c r="U316" s="12">
        <f t="shared" si="83"/>
        <v>-1.122021252603792E-3</v>
      </c>
      <c r="AI316" s="15">
        <v>43320</v>
      </c>
      <c r="AJ316" s="99">
        <f>+VLOOKUP(AI316,benchmark!I$7:$J$362,2,0)</f>
        <v>253.72629999999998</v>
      </c>
      <c r="AK316" s="61">
        <f>+VLOOKUP(AI316,benchmark!K$7:$L$362,2,0)</f>
        <v>233.09399999999999</v>
      </c>
      <c r="AP316" s="15">
        <v>43320</v>
      </c>
      <c r="AQ316" s="12">
        <f t="shared" si="77"/>
        <v>-2.6123693125812419E-4</v>
      </c>
      <c r="AR316" s="12">
        <f t="shared" si="77"/>
        <v>7.7228028625864198E-5</v>
      </c>
      <c r="AY316" s="15">
        <v>43320</v>
      </c>
      <c r="AZ316" s="12">
        <f t="shared" si="84"/>
        <v>-5.8157955327731174E-5</v>
      </c>
    </row>
    <row r="317" spans="4:52" x14ac:dyDescent="0.75">
      <c r="D317" s="15">
        <v>43319</v>
      </c>
      <c r="E317" s="21">
        <f>+VLOOKUP(D317,Prezzi!$I$12:$J$367,2,0)</f>
        <v>4.9233079999999996</v>
      </c>
      <c r="F317" s="21">
        <f>+VLOOKUP(D317,Prezzi!$K$12:$L$367,2,0)/VLOOKUP(D317,Prezzi!$S$12:$T$367,2,0)</f>
        <v>247.80037234959494</v>
      </c>
      <c r="G317" s="1">
        <v>0</v>
      </c>
      <c r="H317" s="21">
        <f>+VLOOKUP(D317,Prezzi!$M$12:$N$367,2,0)/VLOOKUP(D317,Prezzi!$S$12:$T$367,2,0)</f>
        <v>21.765056886743668</v>
      </c>
      <c r="I317" s="1">
        <v>0</v>
      </c>
      <c r="J317" s="21">
        <f>+VLOOKUP(D317,Prezzi!$O$12:$P$367,2,0)/VLOOKUP(D317,Prezzi!$S$12:$T$367,2,0)</f>
        <v>40.183945871401484</v>
      </c>
      <c r="K317" s="1">
        <v>0</v>
      </c>
      <c r="L317" s="21">
        <f>+VLOOKUP(D317,Prezzi!$Q$12:$R$367,2,0)/VLOOKUP(D317,Prezzi!$S$12:$T$367,2,0)</f>
        <v>92.946124806067928</v>
      </c>
      <c r="M317" s="126">
        <f>0.44/VLOOKUP(D317,Prezzi!$S$12:$T$367,2,0)</f>
        <v>0.37924495776590245</v>
      </c>
      <c r="O317" s="1" t="str">
        <f t="shared" si="79"/>
        <v>201832</v>
      </c>
      <c r="P317" s="35">
        <v>43319</v>
      </c>
      <c r="Q317" s="12">
        <f t="shared" si="78"/>
        <v>-1.0690344243900966E-3</v>
      </c>
      <c r="R317" s="12">
        <f t="shared" si="80"/>
        <v>-2.2660898960216408E-3</v>
      </c>
      <c r="S317" s="12">
        <f t="shared" si="81"/>
        <v>-1.7327705825547371E-3</v>
      </c>
      <c r="T317" s="12">
        <f t="shared" si="82"/>
        <v>-4.2758548048980865E-3</v>
      </c>
      <c r="U317" s="12">
        <f t="shared" si="83"/>
        <v>-2.4737028467698881E-3</v>
      </c>
      <c r="AI317" s="15">
        <v>43319</v>
      </c>
      <c r="AJ317" s="99">
        <f>+VLOOKUP(AI317,benchmark!I$7:$J$362,2,0)</f>
        <v>253.79259999999999</v>
      </c>
      <c r="AK317" s="61">
        <f>+VLOOKUP(AI317,benchmark!K$7:$L$362,2,0)</f>
        <v>233.07599999999999</v>
      </c>
      <c r="AP317" s="15">
        <v>43319</v>
      </c>
      <c r="AQ317" s="12">
        <f t="shared" ref="AQ317:AR359" si="85">+AJ317/AJ318-1</f>
        <v>4.8489930826520755E-3</v>
      </c>
      <c r="AR317" s="12">
        <f t="shared" si="85"/>
        <v>-5.5316138161709549E-4</v>
      </c>
      <c r="AY317" s="15">
        <v>43319</v>
      </c>
      <c r="AZ317" s="12">
        <f t="shared" si="84"/>
        <v>1.6077004040905732E-3</v>
      </c>
    </row>
    <row r="318" spans="4:52" x14ac:dyDescent="0.75">
      <c r="D318" s="15">
        <v>43318</v>
      </c>
      <c r="E318" s="21">
        <f>+VLOOKUP(D318,Prezzi!$I$12:$J$367,2,0)</f>
        <v>4.9285740000000002</v>
      </c>
      <c r="F318" s="21">
        <f>+VLOOKUP(D318,Prezzi!$K$12:$L$367,2,0)/VLOOKUP(D318,Prezzi!$S$12:$T$367,2,0)</f>
        <v>248.3625469981807</v>
      </c>
      <c r="G318" s="1">
        <v>0</v>
      </c>
      <c r="H318" s="21">
        <f>+VLOOKUP(D318,Prezzi!$M$12:$N$367,2,0)/VLOOKUP(D318,Prezzi!$S$12:$T$367,2,0)</f>
        <v>21.802803430650606</v>
      </c>
      <c r="I318" s="1">
        <v>0</v>
      </c>
      <c r="J318" s="21">
        <f>+VLOOKUP(D318,Prezzi!$O$12:$P$367,2,0)/VLOOKUP(D318,Prezzi!$S$12:$T$367,2,0)</f>
        <v>40.356134453781507</v>
      </c>
      <c r="K318" s="1">
        <v>0</v>
      </c>
      <c r="L318" s="21">
        <f>+VLOOKUP(D318,Prezzi!$Q$12:$R$367,2,0)/VLOOKUP(D318,Prezzi!$S$12:$T$367,2,0)</f>
        <v>93.556514770856779</v>
      </c>
      <c r="M318" s="1">
        <v>0</v>
      </c>
      <c r="O318" s="1" t="str">
        <f t="shared" si="79"/>
        <v>201832</v>
      </c>
      <c r="P318" s="35">
        <v>43318</v>
      </c>
      <c r="Q318" s="12">
        <f t="shared" si="78"/>
        <v>2.2994521106514806E-3</v>
      </c>
      <c r="R318" s="12">
        <f t="shared" si="80"/>
        <v>7.5140620067493087E-3</v>
      </c>
      <c r="S318" s="12">
        <f t="shared" si="81"/>
        <v>-9.1006208983662368E-5</v>
      </c>
      <c r="T318" s="12">
        <f t="shared" si="82"/>
        <v>-6.8522670762352828E-4</v>
      </c>
      <c r="U318" s="12">
        <f t="shared" si="83"/>
        <v>3.0998196443550938E-3</v>
      </c>
      <c r="AI318" s="15">
        <v>43318</v>
      </c>
      <c r="AJ318" s="99">
        <f>+VLOOKUP(AI318,benchmark!I$7:$J$362,2,0)</f>
        <v>252.56790000000001</v>
      </c>
      <c r="AK318" s="61">
        <f>+VLOOKUP(AI318,benchmark!K$7:$L$362,2,0)</f>
        <v>233.20500000000001</v>
      </c>
      <c r="AP318" s="15">
        <v>43318</v>
      </c>
      <c r="AQ318" s="12">
        <f t="shared" si="85"/>
        <v>6.128839537709041E-4</v>
      </c>
      <c r="AR318" s="12">
        <f t="shared" si="85"/>
        <v>1.6536380036080711E-3</v>
      </c>
      <c r="AY318" s="15">
        <v>43318</v>
      </c>
      <c r="AZ318" s="12">
        <f t="shared" si="84"/>
        <v>1.2373363836732042E-3</v>
      </c>
    </row>
    <row r="319" spans="4:52" x14ac:dyDescent="0.75">
      <c r="D319" s="15">
        <v>43315</v>
      </c>
      <c r="E319" s="21">
        <f>+VLOOKUP(D319,Prezzi!$I$12:$J$367,2,0)</f>
        <v>4.9172539999999998</v>
      </c>
      <c r="F319" s="21">
        <f>+VLOOKUP(D319,Prezzi!$K$12:$L$367,2,0)/VLOOKUP(D319,Prezzi!$S$12:$T$367,2,0)</f>
        <v>246.50332930617878</v>
      </c>
      <c r="G319" s="1">
        <v>0</v>
      </c>
      <c r="H319" s="21">
        <f>+VLOOKUP(D319,Prezzi!$M$12:$N$367,2,0)/VLOOKUP(D319,Prezzi!$S$12:$T$367,2,0)</f>
        <v>21.804787711425611</v>
      </c>
      <c r="I319" s="1">
        <v>0</v>
      </c>
      <c r="J319" s="21">
        <f>+VLOOKUP(D319,Prezzi!$O$12:$P$367,2,0)/VLOOKUP(D319,Prezzi!$S$12:$T$367,2,0)</f>
        <v>40.383797031411802</v>
      </c>
      <c r="K319" s="1">
        <v>0</v>
      </c>
      <c r="L319" s="21">
        <f>+VLOOKUP(D319,Prezzi!$Q$12:$R$367,2,0)/VLOOKUP(D319,Prezzi!$S$12:$T$367,2,0)</f>
        <v>93.26695547117707</v>
      </c>
      <c r="M319" s="1">
        <v>0</v>
      </c>
      <c r="O319" s="1" t="str">
        <f t="shared" si="79"/>
        <v>201831</v>
      </c>
      <c r="P319" s="35">
        <v>43315</v>
      </c>
      <c r="Q319" s="12">
        <f t="shared" si="78"/>
        <v>9.8558819347541182E-4</v>
      </c>
      <c r="R319" s="12">
        <f t="shared" si="80"/>
        <v>7.2652389817845567E-3</v>
      </c>
      <c r="S319" s="12">
        <f t="shared" si="81"/>
        <v>6.0482234599117434E-3</v>
      </c>
      <c r="T319" s="12">
        <f t="shared" si="82"/>
        <v>5.5175340479316336E-3</v>
      </c>
      <c r="U319" s="12">
        <f t="shared" si="83"/>
        <v>4.9043358166120741E-3</v>
      </c>
      <c r="AI319" s="15">
        <v>43315</v>
      </c>
      <c r="AJ319" s="99">
        <f>+VLOOKUP(AI319,benchmark!I$7:$J$362,2,0)</f>
        <v>252.41320000000002</v>
      </c>
      <c r="AK319" s="61">
        <f>+VLOOKUP(AI319,benchmark!K$7:$L$362,2,0)</f>
        <v>232.82</v>
      </c>
      <c r="AP319" s="15">
        <v>43315</v>
      </c>
      <c r="AQ319" s="12">
        <f t="shared" si="85"/>
        <v>3.9291988515077758E-3</v>
      </c>
      <c r="AR319" s="12">
        <f t="shared" si="85"/>
        <v>1.6175939150935292E-3</v>
      </c>
      <c r="AY319" s="15">
        <v>43315</v>
      </c>
      <c r="AZ319" s="12">
        <f t="shared" si="84"/>
        <v>2.5422358896592277E-3</v>
      </c>
    </row>
    <row r="320" spans="4:52" x14ac:dyDescent="0.75">
      <c r="D320" s="15">
        <v>43314</v>
      </c>
      <c r="E320" s="21">
        <f>+VLOOKUP(D320,Prezzi!$I$12:$J$367,2,0)</f>
        <v>4.9124100000000004</v>
      </c>
      <c r="F320" s="21">
        <f>+VLOOKUP(D320,Prezzi!$K$12:$L$367,2,0)/VLOOKUP(D320,Prezzi!$S$12:$T$367,2,0)</f>
        <v>244.71891366101406</v>
      </c>
      <c r="G320" s="1">
        <v>0</v>
      </c>
      <c r="H320" s="21">
        <f>+VLOOKUP(D320,Prezzi!$M$12:$N$367,2,0)/VLOOKUP(D320,Prezzi!$S$12:$T$367,2,0)</f>
        <v>21.673305500559525</v>
      </c>
      <c r="I320" s="1">
        <v>0</v>
      </c>
      <c r="J320" s="21">
        <f>+VLOOKUP(D320,Prezzi!$O$12:$P$367,2,0)/VLOOKUP(D320,Prezzi!$S$12:$T$367,2,0)</f>
        <v>40.161591632951712</v>
      </c>
      <c r="K320" s="1">
        <v>0</v>
      </c>
      <c r="L320" s="21">
        <f>+VLOOKUP(D320,Prezzi!$Q$12:$R$367,2,0)/VLOOKUP(D320,Prezzi!$S$12:$T$367,2,0)</f>
        <v>92.81066282172678</v>
      </c>
      <c r="M320" s="1">
        <v>0</v>
      </c>
      <c r="O320" s="1" t="str">
        <f t="shared" si="79"/>
        <v>201831</v>
      </c>
      <c r="P320" s="35">
        <v>43314</v>
      </c>
      <c r="Q320" s="12">
        <f t="shared" si="78"/>
        <v>7.1250662915752047E-5</v>
      </c>
      <c r="R320" s="12">
        <f t="shared" si="80"/>
        <v>1.1794601278361865E-2</v>
      </c>
      <c r="S320" s="12">
        <f t="shared" si="81"/>
        <v>-2.8793275504798591E-4</v>
      </c>
      <c r="T320" s="12">
        <f t="shared" si="82"/>
        <v>7.2513832365507795E-4</v>
      </c>
      <c r="U320" s="12">
        <f t="shared" si="83"/>
        <v>4.6950663823511546E-3</v>
      </c>
      <c r="AI320" s="15">
        <v>43314</v>
      </c>
      <c r="AJ320" s="99">
        <f>+VLOOKUP(AI320,benchmark!I$7:$J$362,2,0)</f>
        <v>251.42530000000002</v>
      </c>
      <c r="AK320" s="61">
        <f>+VLOOKUP(AI320,benchmark!K$7:$L$362,2,0)</f>
        <v>232.44399999999999</v>
      </c>
      <c r="AP320" s="15">
        <v>43314</v>
      </c>
      <c r="AQ320" s="12">
        <f t="shared" si="85"/>
        <v>-2.6917473311598439E-3</v>
      </c>
      <c r="AR320" s="12">
        <f t="shared" si="85"/>
        <v>-6.8786435314971417E-4</v>
      </c>
      <c r="AY320" s="15">
        <v>43314</v>
      </c>
      <c r="AZ320" s="12">
        <f t="shared" si="84"/>
        <v>-1.4894175443537659E-3</v>
      </c>
    </row>
    <row r="321" spans="4:52" x14ac:dyDescent="0.75">
      <c r="D321" s="15">
        <v>43313</v>
      </c>
      <c r="E321" s="21">
        <f>+VLOOKUP(D321,Prezzi!$I$12:$J$367,2,0)</f>
        <v>4.9120600000000003</v>
      </c>
      <c r="F321" s="21">
        <f>+VLOOKUP(D321,Prezzi!$K$12:$L$367,2,0)/VLOOKUP(D321,Prezzi!$S$12:$T$367,2,0)</f>
        <v>241.84950666894667</v>
      </c>
      <c r="G321" s="1">
        <v>0</v>
      </c>
      <c r="H321" s="21">
        <f>+VLOOKUP(D321,Prezzi!$M$12:$N$367,2,0)/VLOOKUP(D321,Prezzi!$S$12:$T$367,2,0)</f>
        <v>21.679546853625169</v>
      </c>
      <c r="I321" s="1">
        <v>0</v>
      </c>
      <c r="J321" s="21">
        <f>+VLOOKUP(D321,Prezzi!$O$12:$P$367,2,0)/VLOOKUP(D321,Prezzi!$S$12:$T$367,2,0)</f>
        <v>40.132479480164164</v>
      </c>
      <c r="K321" s="1">
        <v>0</v>
      </c>
      <c r="L321" s="21">
        <f>+VLOOKUP(D321,Prezzi!$Q$12:$R$367,2,0)/VLOOKUP(D321,Prezzi!$S$12:$T$367,2,0)</f>
        <v>92.375931942544469</v>
      </c>
      <c r="M321" s="1">
        <v>0</v>
      </c>
      <c r="O321" s="1" t="str">
        <f t="shared" si="79"/>
        <v>201831</v>
      </c>
      <c r="P321" s="35">
        <v>43313</v>
      </c>
      <c r="Q321" s="12">
        <f t="shared" si="78"/>
        <v>-1.2034546599056283E-3</v>
      </c>
      <c r="R321" s="12">
        <f t="shared" si="80"/>
        <v>2.3707259981274229E-3</v>
      </c>
      <c r="S321" s="12">
        <f t="shared" si="81"/>
        <v>1.5161192486318886E-4</v>
      </c>
      <c r="T321" s="12">
        <f t="shared" si="82"/>
        <v>-1.6780172198004809E-3</v>
      </c>
      <c r="U321" s="12">
        <f t="shared" si="83"/>
        <v>-4.9162459108365577E-3</v>
      </c>
      <c r="AI321" s="15">
        <v>43313</v>
      </c>
      <c r="AJ321" s="99">
        <f>+VLOOKUP(AI321,benchmark!I$7:$J$362,2,0)</f>
        <v>252.10390000000001</v>
      </c>
      <c r="AK321" s="61">
        <f>+VLOOKUP(AI321,benchmark!K$7:$L$362,2,0)</f>
        <v>232.60400000000001</v>
      </c>
      <c r="AP321" s="15">
        <v>43313</v>
      </c>
      <c r="AQ321" s="12">
        <f t="shared" si="85"/>
        <v>-1.5825523210567516E-3</v>
      </c>
      <c r="AR321" s="12">
        <f t="shared" si="85"/>
        <v>-2.6712173118892402E-3</v>
      </c>
      <c r="AY321" s="15">
        <v>43313</v>
      </c>
      <c r="AZ321" s="12">
        <f t="shared" si="84"/>
        <v>-2.2357513155562446E-3</v>
      </c>
    </row>
    <row r="322" spans="4:52" x14ac:dyDescent="0.75">
      <c r="D322" s="15">
        <v>43312</v>
      </c>
      <c r="E322" s="21">
        <f>+VLOOKUP(D322,Prezzi!$I$12:$J$367,2,0)</f>
        <v>4.9179750000000002</v>
      </c>
      <c r="F322" s="21">
        <f>+VLOOKUP(D322,Prezzi!$K$12:$L$367,2,0)/VLOOKUP(D322,Prezzi!$S$12:$T$367,2,0)</f>
        <v>241.2768268575324</v>
      </c>
      <c r="G322" s="1">
        <v>0</v>
      </c>
      <c r="H322" s="21">
        <f>+VLOOKUP(D322,Prezzi!$M$12:$N$367,2,0)/VLOOKUP(D322,Prezzi!$S$12:$T$367,2,0)</f>
        <v>21.676260224948876</v>
      </c>
      <c r="I322" s="1">
        <v>0</v>
      </c>
      <c r="J322" s="21">
        <f>+VLOOKUP(D322,Prezzi!$O$12:$P$367,2,0)/VLOOKUP(D322,Prezzi!$S$12:$T$367,2,0)</f>
        <v>40.199879004771645</v>
      </c>
      <c r="K322" s="1">
        <v>0</v>
      </c>
      <c r="L322" s="21">
        <f>+VLOOKUP(D322,Prezzi!$Q$12:$R$367,2,0)/VLOOKUP(D322,Prezzi!$S$12:$T$367,2,0)</f>
        <v>92.831192910702114</v>
      </c>
      <c r="M322" s="1">
        <v>0</v>
      </c>
      <c r="O322" s="1" t="str">
        <f t="shared" si="79"/>
        <v>201831</v>
      </c>
      <c r="P322" s="35">
        <v>43312</v>
      </c>
      <c r="Q322" s="12">
        <f t="shared" si="78"/>
        <v>9.907355851746073E-4</v>
      </c>
      <c r="R322" s="12">
        <f t="shared" si="80"/>
        <v>4.673168212251608E-4</v>
      </c>
      <c r="S322" s="12">
        <f t="shared" si="81"/>
        <v>-5.631451867829115E-3</v>
      </c>
      <c r="T322" s="12">
        <f t="shared" si="82"/>
        <v>-2.7303045004051112E-3</v>
      </c>
      <c r="U322" s="12">
        <f t="shared" si="83"/>
        <v>-4.6632358313334378E-3</v>
      </c>
      <c r="AI322" s="15">
        <v>43312</v>
      </c>
      <c r="AJ322" s="99">
        <f>+VLOOKUP(AI322,benchmark!I$7:$J$362,2,0)</f>
        <v>252.50349999999997</v>
      </c>
      <c r="AK322" s="61">
        <f>+VLOOKUP(AI322,benchmark!K$7:$L$362,2,0)</f>
        <v>233.227</v>
      </c>
      <c r="AP322" s="15">
        <v>43312</v>
      </c>
      <c r="AQ322" s="12">
        <f t="shared" si="85"/>
        <v>1.7507583445672825E-3</v>
      </c>
      <c r="AR322" s="12">
        <f t="shared" si="85"/>
        <v>1.2750611771776832E-3</v>
      </c>
      <c r="AY322" s="15">
        <v>43312</v>
      </c>
      <c r="AZ322" s="12">
        <f t="shared" si="84"/>
        <v>1.4653400441335229E-3</v>
      </c>
    </row>
    <row r="323" spans="4:52" x14ac:dyDescent="0.75">
      <c r="D323" s="15">
        <v>43311</v>
      </c>
      <c r="E323" s="21">
        <f>+VLOOKUP(D323,Prezzi!$I$12:$J$367,2,0)</f>
        <v>4.9131049999999998</v>
      </c>
      <c r="F323" s="21">
        <f>+VLOOKUP(D323,Prezzi!$K$12:$L$367,2,0)/VLOOKUP(D323,Prezzi!$S$12:$T$367,2,0)</f>
        <v>241.1641004792879</v>
      </c>
      <c r="G323" s="1">
        <v>0</v>
      </c>
      <c r="H323" s="21">
        <f>+VLOOKUP(D323,Prezzi!$M$12:$N$367,2,0)/VLOOKUP(D323,Prezzi!$S$12:$T$367,2,0)</f>
        <v>21.798673399520712</v>
      </c>
      <c r="I323" s="1">
        <v>0</v>
      </c>
      <c r="J323" s="21">
        <f>+VLOOKUP(D323,Prezzi!$O$12:$P$367,2,0)/VLOOKUP(D323,Prezzi!$S$12:$T$367,2,0)</f>
        <v>40.309786888052031</v>
      </c>
      <c r="K323" s="1">
        <v>0</v>
      </c>
      <c r="L323" s="21">
        <f>+VLOOKUP(D323,Prezzi!$Q$12:$R$367,2,0)/VLOOKUP(D323,Prezzi!$S$12:$T$367,2,0)</f>
        <v>93.265097569325562</v>
      </c>
      <c r="M323" s="1">
        <v>0</v>
      </c>
      <c r="O323" s="1" t="str">
        <f t="shared" si="79"/>
        <v>201831</v>
      </c>
      <c r="P323" s="35">
        <v>43311</v>
      </c>
      <c r="Q323" s="12">
        <f t="shared" si="78"/>
        <v>1.4204773513238895E-3</v>
      </c>
      <c r="R323" s="12">
        <f t="shared" si="80"/>
        <v>-1.0754401128356249E-2</v>
      </c>
      <c r="S323" s="12">
        <f t="shared" si="81"/>
        <v>-2.977540499113869E-3</v>
      </c>
      <c r="T323" s="12">
        <f t="shared" si="82"/>
        <v>-6.0398533061893234E-3</v>
      </c>
      <c r="U323" s="12">
        <f t="shared" si="83"/>
        <v>-6.6626981916370395E-3</v>
      </c>
      <c r="AI323" s="15">
        <v>43311</v>
      </c>
      <c r="AJ323" s="99">
        <f>+VLOOKUP(AI323,benchmark!I$7:$J$362,2,0)</f>
        <v>252.06219999999999</v>
      </c>
      <c r="AK323" s="61">
        <f>+VLOOKUP(AI323,benchmark!K$7:$L$362,2,0)</f>
        <v>232.93</v>
      </c>
      <c r="AP323" s="15">
        <v>43311</v>
      </c>
      <c r="AQ323" s="12">
        <f t="shared" si="85"/>
        <v>-3.3876458470895043E-3</v>
      </c>
      <c r="AR323" s="12">
        <f t="shared" si="85"/>
        <v>-2.6931096639393193E-3</v>
      </c>
      <c r="AY323" s="15">
        <v>43311</v>
      </c>
      <c r="AZ323" s="12">
        <f t="shared" si="84"/>
        <v>-2.9709241371993931E-3</v>
      </c>
    </row>
    <row r="324" spans="4:52" x14ac:dyDescent="0.75">
      <c r="D324" s="15">
        <v>43308</v>
      </c>
      <c r="E324" s="21">
        <f>+VLOOKUP(D324,Prezzi!$I$12:$J$367,2,0)</f>
        <v>4.9061310000000002</v>
      </c>
      <c r="F324" s="21">
        <f>+VLOOKUP(D324,Prezzi!$K$12:$L$367,2,0)/VLOOKUP(D324,Prezzi!$S$12:$T$367,2,0)</f>
        <v>243.77167225806448</v>
      </c>
      <c r="G324" s="1">
        <v>0</v>
      </c>
      <c r="H324" s="21">
        <f>+VLOOKUP(D324,Prezzi!$M$12:$N$367,2,0)/VLOOKUP(D324,Prezzi!$S$12:$T$367,2,0)</f>
        <v>21.863676559139783</v>
      </c>
      <c r="I324" s="1">
        <v>0</v>
      </c>
      <c r="J324" s="21">
        <f>+VLOOKUP(D324,Prezzi!$O$12:$P$367,2,0)/VLOOKUP(D324,Prezzi!$S$12:$T$367,2,0)</f>
        <v>40.553988817204292</v>
      </c>
      <c r="K324" s="1">
        <v>0</v>
      </c>
      <c r="L324" s="21">
        <f>+VLOOKUP(D324,Prezzi!$Q$12:$R$367,2,0)/VLOOKUP(D324,Prezzi!$S$12:$T$367,2,0)</f>
        <v>93.888569462365581</v>
      </c>
      <c r="M324" s="1">
        <v>0</v>
      </c>
      <c r="O324" s="1" t="str">
        <f t="shared" si="79"/>
        <v>201830</v>
      </c>
      <c r="P324" s="35">
        <v>43308</v>
      </c>
      <c r="Q324" s="12">
        <f t="shared" si="78"/>
        <v>3.147578011614025E-4</v>
      </c>
      <c r="R324" s="12">
        <f t="shared" si="80"/>
        <v>1.2079622309823623E-3</v>
      </c>
      <c r="S324" s="12">
        <f t="shared" si="81"/>
        <v>1.1273301142527602E-2</v>
      </c>
      <c r="T324" s="12">
        <f t="shared" si="82"/>
        <v>6.2204512238640758E-3</v>
      </c>
      <c r="U324" s="12">
        <f t="shared" si="83"/>
        <v>8.5865709661035114E-3</v>
      </c>
      <c r="AI324" s="15">
        <v>43308</v>
      </c>
      <c r="AJ324" s="99">
        <f>+VLOOKUP(AI324,benchmark!I$7:$J$362,2,0)</f>
        <v>252.91900000000001</v>
      </c>
      <c r="AK324" s="61">
        <f>+VLOOKUP(AI324,benchmark!K$7:$L$362,2,0)</f>
        <v>233.559</v>
      </c>
      <c r="AP324" s="15">
        <v>43308</v>
      </c>
      <c r="AQ324" s="12">
        <f t="shared" si="85"/>
        <v>-2.0419316081147221E-3</v>
      </c>
      <c r="AR324" s="12">
        <f t="shared" si="85"/>
        <v>-7.1878730313568173E-4</v>
      </c>
      <c r="AY324" s="15">
        <v>43308</v>
      </c>
      <c r="AZ324" s="12">
        <f t="shared" si="84"/>
        <v>-1.248045025127298E-3</v>
      </c>
    </row>
    <row r="325" spans="4:52" x14ac:dyDescent="0.75">
      <c r="D325" s="15">
        <v>43307</v>
      </c>
      <c r="E325" s="21">
        <f>+VLOOKUP(D325,Prezzi!$I$12:$J$367,2,0)</f>
        <v>4.9045870000000003</v>
      </c>
      <c r="F325" s="21">
        <f>+VLOOKUP(D325,Prezzi!$K$12:$L$367,2,0)/VLOOKUP(D325,Prezzi!$S$12:$T$367,2,0)</f>
        <v>243.47738306589281</v>
      </c>
      <c r="G325" s="1">
        <v>0</v>
      </c>
      <c r="H325" s="21">
        <f>+VLOOKUP(D325,Prezzi!$M$12:$N$367,2,0)/VLOOKUP(D325,Prezzi!$S$12:$T$367,2,0)</f>
        <v>21.618584841242747</v>
      </c>
      <c r="I325" s="1">
        <v>0</v>
      </c>
      <c r="J325" s="21">
        <f>+VLOOKUP(D325,Prezzi!$O$12:$P$367,2,0)/VLOOKUP(D325,Prezzi!$S$12:$T$367,2,0)</f>
        <v>40.302507681802666</v>
      </c>
      <c r="K325" s="1">
        <v>0</v>
      </c>
      <c r="L325" s="21">
        <f>+VLOOKUP(D325,Prezzi!$Q$12:$R$367,2,0)/VLOOKUP(D325,Prezzi!$S$12:$T$367,2,0)</f>
        <v>93.085839877091161</v>
      </c>
      <c r="M325" s="1">
        <v>0</v>
      </c>
      <c r="O325" s="1" t="str">
        <f t="shared" si="79"/>
        <v>201830</v>
      </c>
      <c r="P325" s="35">
        <v>43307</v>
      </c>
      <c r="Q325" s="12">
        <f t="shared" si="78"/>
        <v>-2.5817953176109371E-3</v>
      </c>
      <c r="R325" s="12">
        <f t="shared" si="80"/>
        <v>-5.25371609856816E-3</v>
      </c>
      <c r="S325" s="12">
        <f t="shared" si="81"/>
        <v>3.7677811235223963E-3</v>
      </c>
      <c r="T325" s="12">
        <f t="shared" si="82"/>
        <v>-7.7502176182390773E-3</v>
      </c>
      <c r="U325" s="12">
        <f t="shared" si="83"/>
        <v>2.1428059827929367E-3</v>
      </c>
      <c r="AI325" s="15">
        <v>43307</v>
      </c>
      <c r="AJ325" s="99">
        <f>+VLOOKUP(AI325,benchmark!I$7:$J$362,2,0)</f>
        <v>253.43649999999997</v>
      </c>
      <c r="AK325" s="61">
        <f>+VLOOKUP(AI325,benchmark!K$7:$L$362,2,0)</f>
        <v>233.727</v>
      </c>
      <c r="AP325" s="15">
        <v>43307</v>
      </c>
      <c r="AQ325" s="12">
        <f t="shared" si="85"/>
        <v>1.6456533441089327E-4</v>
      </c>
      <c r="AR325" s="12">
        <f t="shared" si="85"/>
        <v>-6.6272735824046691E-4</v>
      </c>
      <c r="AY325" s="15">
        <v>43307</v>
      </c>
      <c r="AZ325" s="12">
        <f t="shared" si="84"/>
        <v>-3.3181028117992286E-4</v>
      </c>
    </row>
    <row r="326" spans="4:52" x14ac:dyDescent="0.75">
      <c r="D326" s="15">
        <v>43306</v>
      </c>
      <c r="E326" s="21">
        <f>+VLOOKUP(D326,Prezzi!$I$12:$J$367,2,0)</f>
        <v>4.9172659999999997</v>
      </c>
      <c r="F326" s="21">
        <f>+VLOOKUP(D326,Prezzi!$K$12:$L$367,2,0)/VLOOKUP(D326,Prezzi!$S$12:$T$367,2,0)</f>
        <v>244.75991017964068</v>
      </c>
      <c r="G326" s="1">
        <v>0</v>
      </c>
      <c r="H326" s="21">
        <f>+VLOOKUP(D326,Prezzi!$M$12:$N$367,2,0)/VLOOKUP(D326,Prezzi!$S$12:$T$367,2,0)</f>
        <v>21.537284003421728</v>
      </c>
      <c r="I326" s="1">
        <v>0</v>
      </c>
      <c r="J326" s="21">
        <f>+VLOOKUP(D326,Prezzi!$O$12:$P$367,2,0)/VLOOKUP(D326,Prezzi!$S$12:$T$367,2,0)</f>
        <v>40.616074422583402</v>
      </c>
      <c r="K326" s="1">
        <v>0</v>
      </c>
      <c r="L326" s="21">
        <f>+VLOOKUP(D326,Prezzi!$Q$12:$R$367,2,0)/VLOOKUP(D326,Prezzi!$S$12:$T$367,2,0)</f>
        <v>92.886588537211296</v>
      </c>
      <c r="M326" s="1">
        <v>0</v>
      </c>
      <c r="O326" s="1" t="str">
        <f t="shared" si="79"/>
        <v>201830</v>
      </c>
      <c r="P326" s="35">
        <v>43306</v>
      </c>
      <c r="Q326" s="12">
        <f t="shared" si="78"/>
        <v>1.4824091818796056E-3</v>
      </c>
      <c r="R326" s="12">
        <f t="shared" si="80"/>
        <v>1.0430524622069578E-2</v>
      </c>
      <c r="S326" s="12">
        <f t="shared" si="81"/>
        <v>-1.0081306023052767E-3</v>
      </c>
      <c r="T326" s="12">
        <f t="shared" si="82"/>
        <v>6.7018804078119382E-3</v>
      </c>
      <c r="U326" s="12">
        <f t="shared" si="83"/>
        <v>4.6441108465267019E-3</v>
      </c>
      <c r="AI326" s="15">
        <v>43306</v>
      </c>
      <c r="AJ326" s="99">
        <f>+VLOOKUP(AI326,benchmark!I$7:$J$362,2,0)</f>
        <v>253.39479999999998</v>
      </c>
      <c r="AK326" s="61">
        <f>+VLOOKUP(AI326,benchmark!K$7:$L$362,2,0)</f>
        <v>233.88200000000001</v>
      </c>
      <c r="AP326" s="15">
        <v>43306</v>
      </c>
      <c r="AQ326" s="12">
        <f t="shared" si="85"/>
        <v>5.3346515892469526E-3</v>
      </c>
      <c r="AR326" s="12">
        <f t="shared" si="85"/>
        <v>5.3474334458436523E-4</v>
      </c>
      <c r="AY326" s="15">
        <v>43306</v>
      </c>
      <c r="AZ326" s="12">
        <f t="shared" si="84"/>
        <v>2.4547066424494002E-3</v>
      </c>
    </row>
    <row r="327" spans="4:52" x14ac:dyDescent="0.75">
      <c r="D327" s="15">
        <v>43305</v>
      </c>
      <c r="E327" s="21">
        <f>+VLOOKUP(D327,Prezzi!$I$12:$J$367,2,0)</f>
        <v>4.9099820000000003</v>
      </c>
      <c r="F327" s="21">
        <f>+VLOOKUP(D327,Prezzi!$K$12:$L$367,2,0)/VLOOKUP(D327,Prezzi!$S$12:$T$367,2,0)</f>
        <v>242.22020416880233</v>
      </c>
      <c r="G327" s="1">
        <v>0</v>
      </c>
      <c r="H327" s="21">
        <f>+VLOOKUP(D327,Prezzi!$M$12:$N$367,2,0)/VLOOKUP(D327,Prezzi!$S$12:$T$367,2,0)</f>
        <v>21.559007346659833</v>
      </c>
      <c r="I327" s="1">
        <v>0</v>
      </c>
      <c r="J327" s="21">
        <f>+VLOOKUP(D327,Prezzi!$O$12:$P$367,2,0)/VLOOKUP(D327,Prezzi!$S$12:$T$367,2,0)</f>
        <v>40.344780454467795</v>
      </c>
      <c r="K327" s="1">
        <v>0</v>
      </c>
      <c r="L327" s="21">
        <f>+VLOOKUP(D327,Prezzi!$Q$12:$R$367,2,0)/VLOOKUP(D327,Prezzi!$S$12:$T$367,2,0)</f>
        <v>92.45621305313513</v>
      </c>
      <c r="M327" s="1">
        <v>0</v>
      </c>
      <c r="O327" s="1" t="str">
        <f t="shared" si="79"/>
        <v>201830</v>
      </c>
      <c r="P327" s="35">
        <v>43305</v>
      </c>
      <c r="Q327" s="12">
        <f t="shared" si="78"/>
        <v>-1.5448403004978924E-3</v>
      </c>
      <c r="R327" s="12">
        <f t="shared" si="80"/>
        <v>5.6707132011645954E-3</v>
      </c>
      <c r="S327" s="12">
        <f t="shared" si="81"/>
        <v>2.1165736380575305E-3</v>
      </c>
      <c r="T327" s="12">
        <f t="shared" si="82"/>
        <v>8.218199112250609E-4</v>
      </c>
      <c r="U327" s="12">
        <f t="shared" si="83"/>
        <v>9.246485762647767E-4</v>
      </c>
      <c r="AI327" s="15">
        <v>43305</v>
      </c>
      <c r="AJ327" s="99">
        <f>+VLOOKUP(AI327,benchmark!I$7:$J$362,2,0)</f>
        <v>252.05019999999999</v>
      </c>
      <c r="AK327" s="61">
        <f>+VLOOKUP(AI327,benchmark!K$7:$L$362,2,0)</f>
        <v>233.75700000000001</v>
      </c>
      <c r="AP327" s="15">
        <v>43305</v>
      </c>
      <c r="AQ327" s="12">
        <f t="shared" si="85"/>
        <v>6.0000742375978522E-3</v>
      </c>
      <c r="AR327" s="12">
        <f t="shared" si="85"/>
        <v>5.5644253446729408E-4</v>
      </c>
      <c r="AY327" s="15">
        <v>43305</v>
      </c>
      <c r="AZ327" s="12">
        <f t="shared" si="84"/>
        <v>2.7338952157195174E-3</v>
      </c>
    </row>
    <row r="328" spans="4:52" x14ac:dyDescent="0.75">
      <c r="D328" s="15">
        <v>43304</v>
      </c>
      <c r="E328" s="21">
        <f>+VLOOKUP(D328,Prezzi!$I$12:$J$367,2,0)</f>
        <v>4.917573</v>
      </c>
      <c r="F328" s="21">
        <f>+VLOOKUP(D328,Prezzi!$K$12:$L$367,2,0)/VLOOKUP(D328,Prezzi!$S$12:$T$367,2,0)</f>
        <v>240.85053004438373</v>
      </c>
      <c r="G328" s="1">
        <v>0</v>
      </c>
      <c r="H328" s="21">
        <f>+VLOOKUP(D328,Prezzi!$M$12:$N$367,2,0)/VLOOKUP(D328,Prezzi!$S$12:$T$367,2,0)</f>
        <v>21.513424376920451</v>
      </c>
      <c r="I328" s="1">
        <v>0</v>
      </c>
      <c r="J328" s="21">
        <f>+VLOOKUP(D328,Prezzi!$O$12:$P$367,2,0)/VLOOKUP(D328,Prezzi!$S$12:$T$367,2,0)</f>
        <v>40.311637931034483</v>
      </c>
      <c r="K328" s="1">
        <v>0</v>
      </c>
      <c r="L328" s="21">
        <f>+VLOOKUP(D328,Prezzi!$Q$12:$R$367,2,0)/VLOOKUP(D328,Prezzi!$S$12:$T$367,2,0)</f>
        <v>92.370763059064529</v>
      </c>
      <c r="M328" s="1">
        <v>0</v>
      </c>
      <c r="O328" s="1" t="str">
        <f t="shared" si="79"/>
        <v>201830</v>
      </c>
      <c r="P328" s="35">
        <v>43304</v>
      </c>
      <c r="Q328" s="12">
        <f t="shared" si="78"/>
        <v>1.8301727774436783E-6</v>
      </c>
      <c r="R328" s="12">
        <f t="shared" si="80"/>
        <v>-2.0968076925987583E-3</v>
      </c>
      <c r="S328" s="12">
        <f t="shared" si="81"/>
        <v>-5.783204675236759E-3</v>
      </c>
      <c r="T328" s="12">
        <f t="shared" si="82"/>
        <v>-8.407699131493352E-3</v>
      </c>
      <c r="U328" s="12">
        <f t="shared" si="83"/>
        <v>-5.5652370209700649E-3</v>
      </c>
      <c r="AI328" s="15">
        <v>43304</v>
      </c>
      <c r="AJ328" s="99">
        <f>+VLOOKUP(AI328,benchmark!I$7:$J$362,2,0)</f>
        <v>250.54689999999999</v>
      </c>
      <c r="AK328" s="61">
        <f>+VLOOKUP(AI328,benchmark!K$7:$L$362,2,0)</f>
        <v>233.62700000000001</v>
      </c>
      <c r="AP328" s="15">
        <v>43304</v>
      </c>
      <c r="AQ328" s="12">
        <f t="shared" si="85"/>
        <v>8.6218836979679025E-5</v>
      </c>
      <c r="AR328" s="12">
        <f t="shared" si="85"/>
        <v>-1.849953003503324E-3</v>
      </c>
      <c r="AY328" s="15">
        <v>43304</v>
      </c>
      <c r="AZ328" s="12">
        <f t="shared" si="84"/>
        <v>-1.0754842673101229E-3</v>
      </c>
    </row>
    <row r="329" spans="4:52" x14ac:dyDescent="0.75">
      <c r="D329" s="15">
        <v>43301</v>
      </c>
      <c r="E329" s="21">
        <f>+VLOOKUP(D329,Prezzi!$I$12:$J$367,2,0)</f>
        <v>4.9175639999999996</v>
      </c>
      <c r="F329" s="21">
        <f>+VLOOKUP(D329,Prezzi!$K$12:$L$367,2,0)/VLOOKUP(D329,Prezzi!$S$12:$T$367,2,0)</f>
        <v>241.35607712082259</v>
      </c>
      <c r="G329" s="1">
        <v>0</v>
      </c>
      <c r="H329" s="21">
        <f>+VLOOKUP(D329,Prezzi!$M$12:$N$367,2,0)/VLOOKUP(D329,Prezzi!$S$12:$T$367,2,0)</f>
        <v>21.638201371036846</v>
      </c>
      <c r="I329" s="1">
        <v>0</v>
      </c>
      <c r="J329" s="21">
        <f>+VLOOKUP(D329,Prezzi!$O$12:$P$367,2,0)/VLOOKUP(D329,Prezzi!$S$12:$T$367,2,0)</f>
        <v>40.651994858611822</v>
      </c>
      <c r="K329" s="1">
        <v>0</v>
      </c>
      <c r="L329" s="21">
        <f>+VLOOKUP(D329,Prezzi!$Q$12:$R$367,2,0)/VLOOKUP(D329,Prezzi!$S$12:$T$367,2,0)</f>
        <v>92.886261353898888</v>
      </c>
      <c r="M329" s="1">
        <v>0</v>
      </c>
      <c r="O329" s="1" t="str">
        <f t="shared" si="79"/>
        <v>201829</v>
      </c>
      <c r="P329" s="35">
        <v>43301</v>
      </c>
      <c r="Q329" s="12">
        <f t="shared" si="78"/>
        <v>-1.0995334899466058E-3</v>
      </c>
      <c r="R329" s="12">
        <f t="shared" si="80"/>
        <v>-7.9612331226370063E-3</v>
      </c>
      <c r="S329" s="12">
        <f t="shared" si="81"/>
        <v>2.760598448565162E-3</v>
      </c>
      <c r="T329" s="12">
        <f t="shared" si="82"/>
        <v>-1.0205335926992765E-3</v>
      </c>
      <c r="U329" s="12">
        <f t="shared" si="83"/>
        <v>-6.7135917756961233E-3</v>
      </c>
      <c r="AI329" s="15">
        <v>43301</v>
      </c>
      <c r="AJ329" s="99">
        <f>+VLOOKUP(AI329,benchmark!I$7:$J$362,2,0)</f>
        <v>250.52530000000002</v>
      </c>
      <c r="AK329" s="61">
        <f>+VLOOKUP(AI329,benchmark!K$7:$L$362,2,0)</f>
        <v>234.06</v>
      </c>
      <c r="AP329" s="15">
        <v>43301</v>
      </c>
      <c r="AQ329" s="12">
        <f t="shared" si="85"/>
        <v>2.8188171455494349E-3</v>
      </c>
      <c r="AR329" s="12">
        <f t="shared" si="85"/>
        <v>-2.6333955462377601E-3</v>
      </c>
      <c r="AY329" s="15">
        <v>43301</v>
      </c>
      <c r="AZ329" s="12">
        <f t="shared" si="84"/>
        <v>-4.525104695228821E-4</v>
      </c>
    </row>
    <row r="330" spans="4:52" x14ac:dyDescent="0.75">
      <c r="D330" s="15">
        <v>43300</v>
      </c>
      <c r="E330" s="21">
        <f>+VLOOKUP(D330,Prezzi!$I$12:$J$367,2,0)</f>
        <v>4.922974</v>
      </c>
      <c r="F330" s="21">
        <f>+VLOOKUP(D330,Prezzi!$K$12:$L$367,2,0)/VLOOKUP(D330,Prezzi!$S$12:$T$367,2,0)</f>
        <v>243.2852381774249</v>
      </c>
      <c r="G330" s="1">
        <v>0</v>
      </c>
      <c r="H330" s="21">
        <f>+VLOOKUP(D330,Prezzi!$M$12:$N$367,2,0)/VLOOKUP(D330,Prezzi!$S$12:$T$367,2,0)</f>
        <v>21.578549361408353</v>
      </c>
      <c r="I330" s="1">
        <v>0</v>
      </c>
      <c r="J330" s="21">
        <f>+VLOOKUP(D330,Prezzi!$O$12:$P$367,2,0)/VLOOKUP(D330,Prezzi!$S$12:$T$367,2,0)</f>
        <v>40.69350276147739</v>
      </c>
      <c r="K330" s="1">
        <v>0</v>
      </c>
      <c r="L330" s="21">
        <f>+VLOOKUP(D330,Prezzi!$Q$12:$R$367,2,0)/VLOOKUP(D330,Prezzi!$S$12:$T$367,2,0)</f>
        <v>93.511959785985496</v>
      </c>
      <c r="M330" s="1">
        <v>0</v>
      </c>
      <c r="O330" s="1" t="str">
        <f t="shared" si="79"/>
        <v>201829</v>
      </c>
      <c r="P330" s="35">
        <v>43300</v>
      </c>
      <c r="Q330" s="12">
        <f t="shared" si="78"/>
        <v>7.864193312534021E-4</v>
      </c>
      <c r="R330" s="12">
        <f t="shared" si="80"/>
        <v>-1.8732895512367095E-3</v>
      </c>
      <c r="S330" s="12">
        <f t="shared" si="81"/>
        <v>-2.6952562263706827E-3</v>
      </c>
      <c r="T330" s="12">
        <f t="shared" si="82"/>
        <v>-1.1868480678545502E-3</v>
      </c>
      <c r="U330" s="12">
        <f t="shared" si="83"/>
        <v>1.1931723971735973E-3</v>
      </c>
      <c r="AI330" s="15">
        <v>43300</v>
      </c>
      <c r="AJ330" s="99">
        <f>+VLOOKUP(AI330,benchmark!I$7:$J$362,2,0)</f>
        <v>249.82109999999997</v>
      </c>
      <c r="AK330" s="61">
        <f>+VLOOKUP(AI330,benchmark!K$7:$L$362,2,0)</f>
        <v>234.678</v>
      </c>
      <c r="AP330" s="15">
        <v>43300</v>
      </c>
      <c r="AQ330" s="12">
        <f t="shared" si="85"/>
        <v>-3.8681580533925786E-3</v>
      </c>
      <c r="AR330" s="12">
        <f t="shared" si="85"/>
        <v>3.5806542366811911E-4</v>
      </c>
      <c r="AY330" s="15">
        <v>43300</v>
      </c>
      <c r="AZ330" s="12">
        <f t="shared" si="84"/>
        <v>-1.3324239671561602E-3</v>
      </c>
    </row>
    <row r="331" spans="4:52" x14ac:dyDescent="0.75">
      <c r="D331" s="15">
        <v>43299</v>
      </c>
      <c r="E331" s="21">
        <f>+VLOOKUP(D331,Prezzi!$I$12:$J$367,2,0)</f>
        <v>4.9191039999999999</v>
      </c>
      <c r="F331" s="21">
        <f>+VLOOKUP(D331,Prezzi!$K$12:$L$367,2,0)/VLOOKUP(D331,Prezzi!$S$12:$T$367,2,0)</f>
        <v>243.74140900869864</v>
      </c>
      <c r="G331" s="1">
        <v>0</v>
      </c>
      <c r="H331" s="21">
        <f>+VLOOKUP(D331,Prezzi!$M$12:$N$367,2,0)/VLOOKUP(D331,Prezzi!$S$12:$T$367,2,0)</f>
        <v>21.636787529067263</v>
      </c>
      <c r="I331" s="1">
        <v>0</v>
      </c>
      <c r="J331" s="21">
        <f>+VLOOKUP(D331,Prezzi!$O$12:$P$367,2,0)/VLOOKUP(D331,Prezzi!$S$12:$T$367,2,0)</f>
        <v>40.741828438549653</v>
      </c>
      <c r="K331" s="1">
        <v>0</v>
      </c>
      <c r="L331" s="21">
        <f>+VLOOKUP(D331,Prezzi!$Q$12:$R$367,2,0)/VLOOKUP(D331,Prezzi!$S$12:$T$367,2,0)</f>
        <v>93.400450434932395</v>
      </c>
      <c r="M331" s="1">
        <v>0</v>
      </c>
      <c r="O331" s="1" t="str">
        <f t="shared" si="79"/>
        <v>201829</v>
      </c>
      <c r="P331" s="35">
        <v>43299</v>
      </c>
      <c r="Q331" s="12">
        <f t="shared" si="78"/>
        <v>3.633435412453347E-4</v>
      </c>
      <c r="R331" s="12">
        <f t="shared" si="80"/>
        <v>1.0389121322620988E-2</v>
      </c>
      <c r="S331" s="12">
        <f t="shared" si="81"/>
        <v>5.8861032957422685E-3</v>
      </c>
      <c r="T331" s="12">
        <f t="shared" si="82"/>
        <v>8.5741540261095768E-3</v>
      </c>
      <c r="U331" s="12">
        <f t="shared" si="83"/>
        <v>9.2822947128785617E-3</v>
      </c>
      <c r="AI331" s="15">
        <v>43299</v>
      </c>
      <c r="AJ331" s="99">
        <f>+VLOOKUP(AI331,benchmark!I$7:$J$362,2,0)</f>
        <v>250.79119999999998</v>
      </c>
      <c r="AK331" s="61">
        <f>+VLOOKUP(AI331,benchmark!K$7:$L$362,2,0)</f>
        <v>234.59399999999999</v>
      </c>
      <c r="AP331" s="15">
        <v>43299</v>
      </c>
      <c r="AQ331" s="12">
        <f t="shared" si="85"/>
        <v>1.5023061717547304E-3</v>
      </c>
      <c r="AR331" s="12">
        <f t="shared" si="85"/>
        <v>-4.5164039198974937E-4</v>
      </c>
      <c r="AY331" s="15">
        <v>43299</v>
      </c>
      <c r="AZ331" s="12">
        <f t="shared" si="84"/>
        <v>3.299382335080426E-4</v>
      </c>
    </row>
    <row r="332" spans="4:52" x14ac:dyDescent="0.75">
      <c r="D332" s="15">
        <v>43298</v>
      </c>
      <c r="E332" s="21">
        <f>+VLOOKUP(D332,Prezzi!$I$12:$J$367,2,0)</f>
        <v>4.9173169999999997</v>
      </c>
      <c r="F332" s="21">
        <f>+VLOOKUP(D332,Prezzi!$K$12:$L$367,2,0)/VLOOKUP(D332,Prezzi!$S$12:$T$367,2,0)</f>
        <v>241.22225847783375</v>
      </c>
      <c r="G332" s="1">
        <v>0</v>
      </c>
      <c r="H332" s="21">
        <f>+VLOOKUP(D332,Prezzi!$M$12:$N$367,2,0)/VLOOKUP(D332,Prezzi!$S$12:$T$367,2,0)</f>
        <v>21.509805244725378</v>
      </c>
      <c r="I332" s="1">
        <v>0</v>
      </c>
      <c r="J332" s="21">
        <f>+VLOOKUP(D332,Prezzi!$O$12:$P$367,2,0)/VLOOKUP(D332,Prezzi!$S$12:$T$367,2,0)</f>
        <v>40.393995045699157</v>
      </c>
      <c r="K332" s="1">
        <v>0</v>
      </c>
      <c r="L332" s="21">
        <f>+VLOOKUP(D332,Prezzi!$Q$12:$R$367,2,0)/VLOOKUP(D332,Prezzi!$S$12:$T$367,2,0)</f>
        <v>92.537491244554531</v>
      </c>
      <c r="M332" s="1">
        <v>0</v>
      </c>
      <c r="O332" s="1" t="str">
        <f t="shared" si="79"/>
        <v>201829</v>
      </c>
      <c r="P332" s="35">
        <v>43298</v>
      </c>
      <c r="Q332" s="12">
        <f t="shared" si="78"/>
        <v>-2.9385432307063356E-3</v>
      </c>
      <c r="R332" s="12">
        <f t="shared" si="80"/>
        <v>5.0930555088004592E-3</v>
      </c>
      <c r="S332" s="12">
        <f t="shared" si="81"/>
        <v>1.3315653599469742E-3</v>
      </c>
      <c r="T332" s="12">
        <f t="shared" si="82"/>
        <v>-9.2321668047370339E-3</v>
      </c>
      <c r="U332" s="12">
        <f t="shared" si="83"/>
        <v>-5.9243790544666883E-4</v>
      </c>
      <c r="AI332" s="15">
        <v>43298</v>
      </c>
      <c r="AJ332" s="99">
        <f>+VLOOKUP(AI332,benchmark!I$7:$J$362,2,0)</f>
        <v>250.41500000000002</v>
      </c>
      <c r="AK332" s="61">
        <f>+VLOOKUP(AI332,benchmark!K$7:$L$362,2,0)</f>
        <v>234.7</v>
      </c>
      <c r="AP332" s="15">
        <v>43298</v>
      </c>
      <c r="AQ332" s="12">
        <f t="shared" si="85"/>
        <v>2.3090953701618844E-3</v>
      </c>
      <c r="AR332" s="12">
        <f t="shared" si="85"/>
        <v>2.3532024480137359E-3</v>
      </c>
      <c r="AY332" s="15">
        <v>43298</v>
      </c>
      <c r="AZ332" s="12">
        <f t="shared" si="84"/>
        <v>2.3355596168729955E-3</v>
      </c>
    </row>
    <row r="333" spans="4:52" x14ac:dyDescent="0.75">
      <c r="D333" s="15">
        <v>43297</v>
      </c>
      <c r="E333" s="21">
        <f>+VLOOKUP(D333,Prezzi!$I$12:$J$367,2,0)</f>
        <v>4.9317880000000001</v>
      </c>
      <c r="F333" s="21">
        <f>+VLOOKUP(D333,Prezzi!$K$12:$L$367,2,0)/VLOOKUP(D333,Prezzi!$S$12:$T$367,2,0)</f>
        <v>239.99682337883959</v>
      </c>
      <c r="G333" s="1">
        <v>0</v>
      </c>
      <c r="H333" s="21">
        <f>+VLOOKUP(D333,Prezzi!$M$12:$N$367,2,0)/VLOOKUP(D333,Prezzi!$S$12:$T$367,2,0)</f>
        <v>21.481182593856655</v>
      </c>
      <c r="I333" s="1">
        <v>0</v>
      </c>
      <c r="J333" s="21">
        <f>+VLOOKUP(D333,Prezzi!$O$12:$P$367,2,0)/VLOOKUP(D333,Prezzi!$S$12:$T$367,2,0)</f>
        <v>40.768645904436866</v>
      </c>
      <c r="K333" s="1">
        <v>0</v>
      </c>
      <c r="L333" s="21">
        <f>+VLOOKUP(D333,Prezzi!$Q$12:$R$367,2,0)/VLOOKUP(D333,Prezzi!$S$12:$T$367,2,0)</f>
        <v>92.59233020477815</v>
      </c>
      <c r="M333" s="1">
        <v>0</v>
      </c>
      <c r="O333" s="1" t="str">
        <f t="shared" si="79"/>
        <v>201829</v>
      </c>
      <c r="P333" s="35">
        <v>43297</v>
      </c>
      <c r="Q333" s="12">
        <f t="shared" si="78"/>
        <v>-2.0316799050089959E-3</v>
      </c>
      <c r="R333" s="12">
        <f t="shared" si="80"/>
        <v>-7.5783989639103813E-3</v>
      </c>
      <c r="S333" s="12">
        <f t="shared" si="81"/>
        <v>-6.9703059191665714E-3</v>
      </c>
      <c r="T333" s="12">
        <f t="shared" si="82"/>
        <v>-7.1328222527563614E-3</v>
      </c>
      <c r="U333" s="12">
        <f t="shared" si="83"/>
        <v>-8.0460365156667848E-3</v>
      </c>
      <c r="AI333" s="15">
        <v>43297</v>
      </c>
      <c r="AJ333" s="99">
        <f>+VLOOKUP(AI333,benchmark!I$7:$J$362,2,0)</f>
        <v>249.8381</v>
      </c>
      <c r="AK333" s="61">
        <f>+VLOOKUP(AI333,benchmark!K$7:$L$362,2,0)</f>
        <v>234.149</v>
      </c>
      <c r="AP333" s="15">
        <v>43297</v>
      </c>
      <c r="AQ333" s="12">
        <f t="shared" si="85"/>
        <v>-1.2919664232636796E-3</v>
      </c>
      <c r="AR333" s="12">
        <f t="shared" si="85"/>
        <v>-1.4584781505474487E-3</v>
      </c>
      <c r="AY333" s="15">
        <v>43297</v>
      </c>
      <c r="AZ333" s="12">
        <f t="shared" si="84"/>
        <v>-1.3918734596339412E-3</v>
      </c>
    </row>
    <row r="334" spans="4:52" x14ac:dyDescent="0.75">
      <c r="D334" s="15">
        <v>43294</v>
      </c>
      <c r="E334" s="21">
        <f>+VLOOKUP(D334,Prezzi!$I$12:$J$367,2,0)</f>
        <v>4.9418179999999996</v>
      </c>
      <c r="F334" s="21">
        <f>+VLOOKUP(D334,Prezzi!$K$12:$L$367,2,0)/VLOOKUP(D334,Prezzi!$S$12:$T$367,2,0)</f>
        <v>241.82252426350598</v>
      </c>
      <c r="G334" s="1">
        <v>0</v>
      </c>
      <c r="H334" s="21">
        <f>+VLOOKUP(D334,Prezzi!$M$12:$N$367,2,0)/VLOOKUP(D334,Prezzi!$S$12:$T$367,2,0)</f>
        <v>21.631436055999313</v>
      </c>
      <c r="I334" s="1">
        <v>0</v>
      </c>
      <c r="J334" s="21">
        <f>+VLOOKUP(D334,Prezzi!$O$12:$P$367,2,0)/VLOOKUP(D334,Prezzi!$S$12:$T$367,2,0)</f>
        <v>41.060480975693551</v>
      </c>
      <c r="K334" s="1">
        <v>0</v>
      </c>
      <c r="L334" s="21">
        <f>+VLOOKUP(D334,Prezzi!$Q$12:$R$367,2,0)/VLOOKUP(D334,Prezzi!$S$12:$T$367,2,0)</f>
        <v>93.340336682985495</v>
      </c>
      <c r="M334" s="1">
        <v>0</v>
      </c>
      <c r="O334" s="1" t="str">
        <f t="shared" si="79"/>
        <v>201828</v>
      </c>
      <c r="P334" s="35">
        <v>43294</v>
      </c>
      <c r="Q334" s="12">
        <f t="shared" si="78"/>
        <v>9.6286226119583274E-4</v>
      </c>
      <c r="R334" s="12">
        <f t="shared" si="80"/>
        <v>2.3707087454085452E-3</v>
      </c>
      <c r="S334" s="12">
        <f t="shared" si="81"/>
        <v>-2.2961172008607441E-3</v>
      </c>
      <c r="T334" s="12">
        <f t="shared" si="82"/>
        <v>-2.9388412798803717E-3</v>
      </c>
      <c r="U334" s="12">
        <f t="shared" si="83"/>
        <v>5.9361395294298758E-3</v>
      </c>
      <c r="AI334" s="15">
        <v>43294</v>
      </c>
      <c r="AJ334" s="99">
        <f>+VLOOKUP(AI334,benchmark!I$7:$J$362,2,0)</f>
        <v>250.16129999999998</v>
      </c>
      <c r="AK334" s="61">
        <f>+VLOOKUP(AI334,benchmark!K$7:$L$362,2,0)</f>
        <v>234.49100000000001</v>
      </c>
      <c r="AP334" s="15">
        <v>43294</v>
      </c>
      <c r="AQ334" s="12">
        <f t="shared" si="85"/>
        <v>2.1379847420719411E-3</v>
      </c>
      <c r="AR334" s="12">
        <f t="shared" si="85"/>
        <v>1.6060483095914346E-3</v>
      </c>
      <c r="AY334" s="15">
        <v>43294</v>
      </c>
      <c r="AZ334" s="12">
        <f t="shared" si="84"/>
        <v>1.8188228825836371E-3</v>
      </c>
    </row>
    <row r="335" spans="4:52" x14ac:dyDescent="0.75">
      <c r="D335" s="15">
        <v>43293</v>
      </c>
      <c r="E335" s="21">
        <f>+VLOOKUP(D335,Prezzi!$I$12:$J$367,2,0)</f>
        <v>4.9370620000000001</v>
      </c>
      <c r="F335" s="21">
        <f>+VLOOKUP(D335,Prezzi!$K$12:$L$367,2,0)/VLOOKUP(D335,Prezzi!$S$12:$T$367,2,0)</f>
        <v>241.24991250643336</v>
      </c>
      <c r="G335" s="1">
        <v>0</v>
      </c>
      <c r="H335" s="21">
        <f>+VLOOKUP(D335,Prezzi!$M$12:$N$367,2,0)/VLOOKUP(D335,Prezzi!$S$12:$T$367,2,0)</f>
        <v>21.681161434208271</v>
      </c>
      <c r="I335" s="1">
        <v>0</v>
      </c>
      <c r="J335" s="21">
        <f>+VLOOKUP(D335,Prezzi!$O$12:$P$367,2,0)/VLOOKUP(D335,Prezzi!$S$12:$T$367,2,0)</f>
        <v>41.181328701320986</v>
      </c>
      <c r="K335" s="1">
        <v>0</v>
      </c>
      <c r="L335" s="21">
        <f>+VLOOKUP(D335,Prezzi!$Q$12:$R$367,2,0)/VLOOKUP(D335,Prezzi!$S$12:$T$367,2,0)</f>
        <v>92.787896723280156</v>
      </c>
      <c r="M335" s="1">
        <v>0</v>
      </c>
      <c r="O335" s="1" t="str">
        <f t="shared" si="79"/>
        <v>201828</v>
      </c>
      <c r="P335" s="35">
        <v>43293</v>
      </c>
      <c r="Q335" s="12">
        <f t="shared" si="78"/>
        <v>-1.6931714194225024E-4</v>
      </c>
      <c r="R335" s="12">
        <f t="shared" si="80"/>
        <v>1.5392909011357715E-2</v>
      </c>
      <c r="S335" s="12">
        <f t="shared" si="81"/>
        <v>1.2314313910586202E-2</v>
      </c>
      <c r="T335" s="12">
        <f t="shared" si="82"/>
        <v>8.9562993171326804E-3</v>
      </c>
      <c r="U335" s="12">
        <f t="shared" si="83"/>
        <v>7.7930312048899381E-3</v>
      </c>
      <c r="AI335" s="15">
        <v>43293</v>
      </c>
      <c r="AJ335" s="99">
        <f>+VLOOKUP(AI335,benchmark!I$7:$J$362,2,0)</f>
        <v>249.62759999999997</v>
      </c>
      <c r="AK335" s="61">
        <f>+VLOOKUP(AI335,benchmark!K$7:$L$362,2,0)</f>
        <v>234.11500000000001</v>
      </c>
      <c r="AP335" s="15">
        <v>43293</v>
      </c>
      <c r="AQ335" s="12">
        <f t="shared" si="85"/>
        <v>6.3397230452921782E-3</v>
      </c>
      <c r="AR335" s="12">
        <f t="shared" si="85"/>
        <v>8.5929016647146028E-4</v>
      </c>
      <c r="AY335" s="15">
        <v>43293</v>
      </c>
      <c r="AZ335" s="12">
        <f t="shared" si="84"/>
        <v>3.0514633179997475E-3</v>
      </c>
    </row>
    <row r="336" spans="4:52" x14ac:dyDescent="0.75">
      <c r="D336" s="15">
        <v>43292</v>
      </c>
      <c r="E336" s="21">
        <f>+VLOOKUP(D336,Prezzi!$I$12:$J$367,2,0)</f>
        <v>4.9378979999999997</v>
      </c>
      <c r="F336" s="21">
        <f>+VLOOKUP(D336,Prezzi!$K$12:$L$367,2,0)/VLOOKUP(D336,Prezzi!$S$12:$T$367,2,0)</f>
        <v>237.56480954409886</v>
      </c>
      <c r="G336" s="1">
        <v>0</v>
      </c>
      <c r="H336" s="21">
        <f>+VLOOKUP(D336,Prezzi!$M$12:$N$367,2,0)/VLOOKUP(D336,Prezzi!$S$12:$T$367,2,0)</f>
        <v>21.415809970174692</v>
      </c>
      <c r="I336" s="1">
        <v>0</v>
      </c>
      <c r="J336" s="21">
        <f>+VLOOKUP(D336,Prezzi!$O$12:$P$367,2,0)/VLOOKUP(D336,Prezzi!$S$12:$T$367,2,0)</f>
        <v>40.814143161482747</v>
      </c>
      <c r="K336" s="1">
        <v>0</v>
      </c>
      <c r="L336" s="21">
        <f>+VLOOKUP(D336,Prezzi!$Q$12:$R$367,2,0)/VLOOKUP(D336,Prezzi!$S$12:$T$367,2,0)</f>
        <v>92.067608010225811</v>
      </c>
      <c r="M336" s="1">
        <v>0</v>
      </c>
      <c r="O336" s="1" t="str">
        <f t="shared" si="79"/>
        <v>201828</v>
      </c>
      <c r="P336" s="35">
        <v>43292</v>
      </c>
      <c r="Q336" s="12">
        <f t="shared" si="78"/>
        <v>6.2049689752082427E-4</v>
      </c>
      <c r="R336" s="12">
        <f t="shared" si="80"/>
        <v>-8.9991104170266418E-3</v>
      </c>
      <c r="S336" s="12">
        <f t="shared" si="81"/>
        <v>-9.0089591718977916E-3</v>
      </c>
      <c r="T336" s="12">
        <f t="shared" si="82"/>
        <v>-1.1262089205695557E-2</v>
      </c>
      <c r="U336" s="12">
        <f t="shared" si="83"/>
        <v>-3.6568457636950041E-3</v>
      </c>
      <c r="AI336" s="15">
        <v>43292</v>
      </c>
      <c r="AJ336" s="99">
        <f>+VLOOKUP(AI336,benchmark!I$7:$J$362,2,0)</f>
        <v>248.05500000000001</v>
      </c>
      <c r="AK336" s="61">
        <f>+VLOOKUP(AI336,benchmark!K$7:$L$362,2,0)</f>
        <v>233.91399999999999</v>
      </c>
      <c r="AP336" s="15">
        <v>43292</v>
      </c>
      <c r="AQ336" s="12">
        <f t="shared" si="85"/>
        <v>-8.8955871271296783E-3</v>
      </c>
      <c r="AR336" s="12">
        <f t="shared" si="85"/>
        <v>-3.8474198774895996E-5</v>
      </c>
      <c r="AY336" s="15">
        <v>43292</v>
      </c>
      <c r="AZ336" s="12">
        <f t="shared" si="84"/>
        <v>-3.5813193701168091E-3</v>
      </c>
    </row>
    <row r="337" spans="4:52" x14ac:dyDescent="0.75">
      <c r="D337" s="15">
        <v>43291</v>
      </c>
      <c r="E337" s="21">
        <f>+VLOOKUP(D337,Prezzi!$I$12:$J$367,2,0)</f>
        <v>4.9348349999999996</v>
      </c>
      <c r="F337" s="21">
        <f>+VLOOKUP(D337,Prezzi!$K$12:$L$367,2,0)/VLOOKUP(D337,Prezzi!$S$12:$T$367,2,0)</f>
        <v>239.71232988986597</v>
      </c>
      <c r="G337" s="1">
        <v>0</v>
      </c>
      <c r="H337" s="21">
        <f>+VLOOKUP(D337,Prezzi!$M$12:$N$367,2,0)/VLOOKUP(D337,Prezzi!$S$12:$T$367,2,0)</f>
        <v>21.609615811491505</v>
      </c>
      <c r="I337" s="1">
        <v>0</v>
      </c>
      <c r="J337" s="21">
        <f>+VLOOKUP(D337,Prezzi!$O$12:$P$367,2,0)/VLOOKUP(D337,Prezzi!$S$12:$T$367,2,0)</f>
        <v>41.276393750533593</v>
      </c>
      <c r="K337" s="1">
        <v>0</v>
      </c>
      <c r="L337" s="21">
        <f>+VLOOKUP(D337,Prezzi!$Q$12:$R$367,2,0)/VLOOKUP(D337,Prezzi!$S$12:$T$367,2,0)</f>
        <v>92.40490139161615</v>
      </c>
      <c r="M337" s="1">
        <v>0</v>
      </c>
      <c r="O337" s="1" t="str">
        <f t="shared" si="79"/>
        <v>201828</v>
      </c>
      <c r="P337" s="35">
        <v>43291</v>
      </c>
      <c r="Q337" s="12">
        <f t="shared" si="78"/>
        <v>-1.2142980001083122E-3</v>
      </c>
      <c r="R337" s="12">
        <f t="shared" si="80"/>
        <v>9.9537688206439E-3</v>
      </c>
      <c r="S337" s="12">
        <f t="shared" si="81"/>
        <v>8.0691888427146825E-3</v>
      </c>
      <c r="T337" s="12">
        <f t="shared" si="82"/>
        <v>3.587560783402389E-3</v>
      </c>
      <c r="U337" s="12">
        <f t="shared" si="83"/>
        <v>6.5265146321290286E-3</v>
      </c>
      <c r="AI337" s="15">
        <v>43291</v>
      </c>
      <c r="AJ337" s="99">
        <f>+VLOOKUP(AI337,benchmark!I$7:$J$362,2,0)</f>
        <v>250.28139999999999</v>
      </c>
      <c r="AK337" s="61">
        <f>+VLOOKUP(AI337,benchmark!K$7:$L$362,2,0)</f>
        <v>233.923</v>
      </c>
      <c r="AP337" s="15">
        <v>43291</v>
      </c>
      <c r="AQ337" s="12">
        <f t="shared" si="85"/>
        <v>2.0671422868927536E-3</v>
      </c>
      <c r="AR337" s="12">
        <f t="shared" si="85"/>
        <v>-3.6750723262768403E-4</v>
      </c>
      <c r="AY337" s="15">
        <v>43291</v>
      </c>
      <c r="AZ337" s="12">
        <f t="shared" si="84"/>
        <v>6.0635257518049112E-4</v>
      </c>
    </row>
    <row r="338" spans="4:52" x14ac:dyDescent="0.75">
      <c r="D338" s="15">
        <v>43290</v>
      </c>
      <c r="E338" s="21">
        <f>+VLOOKUP(D338,Prezzi!$I$12:$J$367,2,0)</f>
        <v>4.9408310000000002</v>
      </c>
      <c r="F338" s="21">
        <f>+VLOOKUP(D338,Prezzi!$K$12:$L$367,2,0)/VLOOKUP(D338,Prezzi!$S$12:$T$367,2,0)</f>
        <v>237.33812452286028</v>
      </c>
      <c r="G338" s="1">
        <v>0</v>
      </c>
      <c r="H338" s="21">
        <f>+VLOOKUP(D338,Prezzi!$M$12:$N$367,2,0)/VLOOKUP(D338,Prezzi!$S$12:$T$367,2,0)</f>
        <v>21.435945372805154</v>
      </c>
      <c r="I338" s="1">
        <v>0</v>
      </c>
      <c r="J338" s="21">
        <f>+VLOOKUP(D338,Prezzi!$O$12:$P$367,2,0)/VLOOKUP(D338,Prezzi!$S$12:$T$367,2,0)</f>
        <v>41.128577487488336</v>
      </c>
      <c r="K338" s="1">
        <v>0</v>
      </c>
      <c r="L338" s="21">
        <f>+VLOOKUP(D338,Prezzi!$Q$12:$R$367,2,0)/VLOOKUP(D338,Prezzi!$S$12:$T$367,2,0)</f>
        <v>91.803783187717357</v>
      </c>
      <c r="M338" s="126">
        <f>0.45/VLOOKUP(D338,Prezzi!$S$12:$T$367,2,0)</f>
        <v>0.38171176520485195</v>
      </c>
      <c r="O338" s="1" t="str">
        <f t="shared" si="79"/>
        <v>201828</v>
      </c>
      <c r="P338" s="35">
        <v>43290</v>
      </c>
      <c r="Q338" s="12">
        <f t="shared" si="78"/>
        <v>1.1052830734658561E-3</v>
      </c>
      <c r="R338" s="12">
        <f t="shared" si="80"/>
        <v>3.5398130275638147E-3</v>
      </c>
      <c r="S338" s="12">
        <f t="shared" si="81"/>
        <v>-2.1499915834781078E-3</v>
      </c>
      <c r="T338" s="12">
        <f t="shared" si="82"/>
        <v>-2.5396162777599775E-3</v>
      </c>
      <c r="U338" s="12">
        <f t="shared" si="83"/>
        <v>4.3139522684248833E-3</v>
      </c>
      <c r="AI338" s="15">
        <v>43290</v>
      </c>
      <c r="AJ338" s="99">
        <f>+VLOOKUP(AI338,benchmark!I$7:$J$362,2,0)</f>
        <v>249.76509999999999</v>
      </c>
      <c r="AK338" s="61">
        <f>+VLOOKUP(AI338,benchmark!K$7:$L$362,2,0)</f>
        <v>234.00899999999999</v>
      </c>
      <c r="AP338" s="15">
        <v>43290</v>
      </c>
      <c r="AQ338" s="12">
        <f t="shared" si="85"/>
        <v>9.2212394386683716E-3</v>
      </c>
      <c r="AR338" s="12">
        <f t="shared" si="85"/>
        <v>-1.0682208567991403E-4</v>
      </c>
      <c r="AY338" s="15">
        <v>43290</v>
      </c>
      <c r="AZ338" s="12">
        <f t="shared" si="84"/>
        <v>3.6244025240594001E-3</v>
      </c>
    </row>
    <row r="339" spans="4:52" x14ac:dyDescent="0.75">
      <c r="D339" s="15">
        <v>43287</v>
      </c>
      <c r="E339" s="21">
        <f>+VLOOKUP(D339,Prezzi!$I$12:$J$367,2,0)</f>
        <v>4.9353730000000002</v>
      </c>
      <c r="F339" s="21">
        <f>+VLOOKUP(D339,Prezzi!$K$12:$L$367,2,0)/VLOOKUP(D339,Prezzi!$S$12:$T$367,2,0)</f>
        <v>236.49947714090754</v>
      </c>
      <c r="G339" s="1">
        <v>0</v>
      </c>
      <c r="H339" s="21">
        <f>+VLOOKUP(D339,Prezzi!$M$12:$N$367,2,0)/VLOOKUP(D339,Prezzi!$S$12:$T$367,2,0)</f>
        <v>21.482082053906517</v>
      </c>
      <c r="I339" s="1">
        <v>0</v>
      </c>
      <c r="J339" s="21">
        <f>+VLOOKUP(D339,Prezzi!$O$12:$P$367,2,0)/VLOOKUP(D339,Prezzi!$S$12:$T$367,2,0)</f>
        <v>41.233161037188665</v>
      </c>
      <c r="K339" s="1">
        <v>0</v>
      </c>
      <c r="L339" s="21">
        <f>+VLOOKUP(D339,Prezzi!$Q$12:$R$367,2,0)/VLOOKUP(D339,Prezzi!$S$12:$T$367,2,0)</f>
        <v>91.788667690208115</v>
      </c>
      <c r="M339" s="1">
        <v>0</v>
      </c>
      <c r="O339" s="1" t="str">
        <f t="shared" si="79"/>
        <v>201827</v>
      </c>
      <c r="P339" s="35">
        <v>43287</v>
      </c>
      <c r="Q339" s="12">
        <f t="shared" si="78"/>
        <v>2.7499169574782267E-4</v>
      </c>
      <c r="R339" s="12">
        <f t="shared" si="80"/>
        <v>7.2367160187504272E-3</v>
      </c>
      <c r="S339" s="12">
        <f t="shared" si="81"/>
        <v>7.3424455425091465E-3</v>
      </c>
      <c r="T339" s="12">
        <f t="shared" si="82"/>
        <v>-3.4268072943918204E-3</v>
      </c>
      <c r="U339" s="12">
        <f t="shared" si="83"/>
        <v>4.4055446124375546E-3</v>
      </c>
      <c r="AI339" s="15">
        <v>43287</v>
      </c>
      <c r="AJ339" s="99">
        <f>+VLOOKUP(AI339,benchmark!I$7:$J$362,2,0)</f>
        <v>247.483</v>
      </c>
      <c r="AK339" s="61">
        <f>+VLOOKUP(AI339,benchmark!K$7:$L$362,2,0)</f>
        <v>234.03399999999999</v>
      </c>
      <c r="AP339" s="15">
        <v>43287</v>
      </c>
      <c r="AQ339" s="12">
        <f t="shared" si="85"/>
        <v>8.0650745612069752E-3</v>
      </c>
      <c r="AR339" s="12">
        <f t="shared" si="85"/>
        <v>-1.0253868699217072E-4</v>
      </c>
      <c r="AY339" s="15">
        <v>43287</v>
      </c>
      <c r="AZ339" s="12">
        <f t="shared" si="84"/>
        <v>3.1645066122874877E-3</v>
      </c>
    </row>
    <row r="340" spans="4:52" x14ac:dyDescent="0.75">
      <c r="D340" s="15">
        <v>43286</v>
      </c>
      <c r="E340" s="21">
        <f>+VLOOKUP(D340,Prezzi!$I$12:$J$367,2,0)</f>
        <v>4.9340159999999997</v>
      </c>
      <c r="F340" s="21">
        <f>+VLOOKUP(D340,Prezzi!$K$12:$L$367,2,0)/VLOOKUP(D340,Prezzi!$S$12:$T$367,2,0)</f>
        <v>234.79417542061663</v>
      </c>
      <c r="G340" s="1">
        <v>0</v>
      </c>
      <c r="H340" s="21">
        <f>+VLOOKUP(D340,Prezzi!$M$12:$N$367,2,0)/VLOOKUP(D340,Prezzi!$S$12:$T$367,2,0)</f>
        <v>21.324928687334527</v>
      </c>
      <c r="I340" s="1">
        <v>0</v>
      </c>
      <c r="J340" s="21">
        <f>+VLOOKUP(D340,Prezzi!$O$12:$P$367,2,0)/VLOOKUP(D340,Prezzi!$S$12:$T$367,2,0)</f>
        <v>41.374701511657697</v>
      </c>
      <c r="K340" s="1">
        <v>0</v>
      </c>
      <c r="L340" s="21">
        <f>+VLOOKUP(D340,Prezzi!$Q$12:$R$367,2,0)/VLOOKUP(D340,Prezzi!$S$12:$T$367,2,0)</f>
        <v>91.385178068152698</v>
      </c>
      <c r="M340" s="1">
        <v>0</v>
      </c>
      <c r="O340" s="1" t="str">
        <f t="shared" si="79"/>
        <v>201827</v>
      </c>
      <c r="P340" s="35">
        <v>43286</v>
      </c>
      <c r="Q340" s="12">
        <f t="shared" si="78"/>
        <v>6.2706928068207584E-4</v>
      </c>
      <c r="R340" s="12">
        <f t="shared" si="80"/>
        <v>5.0600099119477993E-3</v>
      </c>
      <c r="S340" s="12">
        <f t="shared" si="81"/>
        <v>4.2887836395812413E-3</v>
      </c>
      <c r="T340" s="12">
        <f t="shared" si="82"/>
        <v>2.9219487546026604E-4</v>
      </c>
      <c r="U340" s="12">
        <f t="shared" si="83"/>
        <v>1.5545280842029724E-3</v>
      </c>
      <c r="AI340" s="15">
        <v>43286</v>
      </c>
      <c r="AJ340" s="99">
        <f>+VLOOKUP(AI340,benchmark!I$7:$J$362,2,0)</f>
        <v>245.50300000000001</v>
      </c>
      <c r="AK340" s="61">
        <f>+VLOOKUP(AI340,benchmark!K$7:$L$362,2,0)</f>
        <v>234.05799999999999</v>
      </c>
      <c r="AP340" s="15">
        <v>43286</v>
      </c>
      <c r="AQ340" s="12">
        <f t="shared" si="85"/>
        <v>5.9203115979349352E-3</v>
      </c>
      <c r="AR340" s="12">
        <f t="shared" si="85"/>
        <v>-1.0328638497653087E-3</v>
      </c>
      <c r="AY340" s="15">
        <v>43286</v>
      </c>
      <c r="AZ340" s="12">
        <f t="shared" si="84"/>
        <v>1.7484063293147891E-3</v>
      </c>
    </row>
    <row r="341" spans="4:52" x14ac:dyDescent="0.75">
      <c r="D341" s="15">
        <v>43284</v>
      </c>
      <c r="E341" s="21">
        <f>+VLOOKUP(D341,Prezzi!$I$12:$J$367,2,0)</f>
        <v>4.9309229999999999</v>
      </c>
      <c r="F341" s="21">
        <f>+VLOOKUP(D341,Prezzi!$K$12:$L$367,2,0)/VLOOKUP(D341,Prezzi!$S$12:$T$367,2,0)</f>
        <v>233.60911530218604</v>
      </c>
      <c r="G341" s="1">
        <v>0</v>
      </c>
      <c r="H341" s="21">
        <f>+VLOOKUP(D341,Prezzi!$M$12:$N$367,2,0)/VLOOKUP(D341,Prezzi!$S$12:$T$367,2,0)</f>
        <v>21.233666523789111</v>
      </c>
      <c r="I341" s="1">
        <v>0</v>
      </c>
      <c r="J341" s="21">
        <f>+VLOOKUP(D341,Prezzi!$O$12:$P$367,2,0)/VLOOKUP(D341,Prezzi!$S$12:$T$367,2,0)</f>
        <v>41.362613801971705</v>
      </c>
      <c r="K341" s="1">
        <v>0</v>
      </c>
      <c r="L341" s="21">
        <f>+VLOOKUP(D341,Prezzi!$Q$12:$R$367,2,0)/VLOOKUP(D341,Prezzi!$S$12:$T$367,2,0)</f>
        <v>91.24322760394341</v>
      </c>
      <c r="M341" s="1">
        <v>0</v>
      </c>
      <c r="O341" s="1" t="str">
        <f t="shared" si="79"/>
        <v>201827</v>
      </c>
      <c r="P341" s="35">
        <v>43284</v>
      </c>
      <c r="Q341" s="12">
        <f t="shared" si="78"/>
        <v>-3.7977562469319523E-4</v>
      </c>
      <c r="R341" s="12">
        <f t="shared" si="80"/>
        <v>-7.1924052552751524E-3</v>
      </c>
      <c r="S341" s="12">
        <f t="shared" si="81"/>
        <v>1.0336186192303509E-2</v>
      </c>
      <c r="T341" s="12">
        <f t="shared" si="82"/>
        <v>7.0696861926593533E-3</v>
      </c>
      <c r="U341" s="12">
        <f t="shared" si="83"/>
        <v>2.5748258651899134E-3</v>
      </c>
      <c r="AI341" s="15">
        <v>43284</v>
      </c>
      <c r="AJ341" s="99">
        <f>+VLOOKUP(AI341,benchmark!I$7:$J$362,2,0)</f>
        <v>244.05810000000002</v>
      </c>
      <c r="AK341" s="61">
        <f>+VLOOKUP(AI341,benchmark!K$7:$L$362,2,0)</f>
        <v>234.3</v>
      </c>
      <c r="AP341" s="15">
        <v>43284</v>
      </c>
      <c r="AQ341" s="12">
        <f t="shared" si="85"/>
        <v>-1.667357643706513E-4</v>
      </c>
      <c r="AR341" s="12">
        <f t="shared" si="85"/>
        <v>4.5261620707637285E-4</v>
      </c>
      <c r="AY341" s="15">
        <v>43284</v>
      </c>
      <c r="AZ341" s="12">
        <f t="shared" si="84"/>
        <v>2.0487541849756313E-4</v>
      </c>
    </row>
    <row r="342" spans="4:52" x14ac:dyDescent="0.75">
      <c r="D342" s="15">
        <v>43283</v>
      </c>
      <c r="E342" s="21">
        <f>+VLOOKUP(D342,Prezzi!$I$12:$J$367,2,0)</f>
        <v>4.9327959999999997</v>
      </c>
      <c r="F342" s="21">
        <f>+VLOOKUP(D342,Prezzi!$K$12:$L$367,2,0)/VLOOKUP(D342,Prezzi!$S$12:$T$367,2,0)</f>
        <v>235.29538362402269</v>
      </c>
      <c r="G342" s="126">
        <f>1.28/VLOOKUP(D342,Prezzi!$S$12:$T$367,2,0)</f>
        <v>1.0997508377008336</v>
      </c>
      <c r="H342" s="21">
        <f>+VLOOKUP(D342,Prezzi!$M$12:$N$367,2,0)/VLOOKUP(D342,Prezzi!$S$12:$T$367,2,0)</f>
        <v>21.015321763038063</v>
      </c>
      <c r="I342" s="1">
        <v>0</v>
      </c>
      <c r="J342" s="21">
        <f>+VLOOKUP(D342,Prezzi!$O$12:$P$367,2,0)/VLOOKUP(D342,Prezzi!$S$12:$T$367,2,0)</f>
        <v>41.071224331987288</v>
      </c>
      <c r="K342" s="1">
        <v>0</v>
      </c>
      <c r="L342" s="21">
        <f>+VLOOKUP(D342,Prezzi!$Q$12:$R$367,2,0)/VLOOKUP(D342,Prezzi!$S$12:$T$367,2,0)</f>
        <v>91.008594380960574</v>
      </c>
      <c r="M342" s="1">
        <v>0</v>
      </c>
      <c r="O342" s="1" t="str">
        <f t="shared" si="79"/>
        <v>201827</v>
      </c>
      <c r="P342" s="35">
        <v>43283</v>
      </c>
      <c r="Q342" s="12">
        <f t="shared" si="78"/>
        <v>-4.7304773941842502E-4</v>
      </c>
      <c r="R342" s="12">
        <f t="shared" si="80"/>
        <v>9.4000381956385361E-3</v>
      </c>
      <c r="S342" s="12">
        <f t="shared" si="81"/>
        <v>-9.6524956746232658E-3</v>
      </c>
      <c r="T342" s="12">
        <f t="shared" si="82"/>
        <v>-8.3850406694118574E-3</v>
      </c>
      <c r="U342" s="12">
        <f t="shared" si="83"/>
        <v>-3.5048341760330875E-3</v>
      </c>
      <c r="AI342" s="15">
        <v>43283</v>
      </c>
      <c r="AJ342" s="99">
        <f>+VLOOKUP(AI342,benchmark!I$7:$J$362,2,0)</f>
        <v>244.09879999999998</v>
      </c>
      <c r="AK342" s="61">
        <f>+VLOOKUP(AI342,benchmark!K$7:$L$362,2,0)</f>
        <v>234.19399999999999</v>
      </c>
      <c r="AP342" s="15">
        <v>43283</v>
      </c>
      <c r="AQ342" s="12">
        <f t="shared" si="85"/>
        <v>-4.1328079676294927E-3</v>
      </c>
      <c r="AR342" s="12">
        <f t="shared" si="85"/>
        <v>1.2141421914411143E-3</v>
      </c>
      <c r="AY342" s="15">
        <v>43283</v>
      </c>
      <c r="AZ342" s="12">
        <f t="shared" si="84"/>
        <v>-9.2463787218712847E-4</v>
      </c>
    </row>
    <row r="343" spans="4:52" x14ac:dyDescent="0.75">
      <c r="D343" s="15">
        <v>43280</v>
      </c>
      <c r="E343" s="21">
        <f>+VLOOKUP(D343,Prezzi!$I$12:$J$367,2,0)</f>
        <v>4.93513</v>
      </c>
      <c r="F343" s="21">
        <f>+VLOOKUP(D343,Prezzi!$K$12:$L$367,2,0)/VLOOKUP(D343,Prezzi!$S$12:$T$367,2,0)</f>
        <v>234.18342254246011</v>
      </c>
      <c r="G343" s="1">
        <v>0</v>
      </c>
      <c r="H343" s="21">
        <f>+VLOOKUP(D343,Prezzi!$M$12:$N$367,2,0)/VLOOKUP(D343,Prezzi!$S$12:$T$367,2,0)</f>
        <v>21.219154228855725</v>
      </c>
      <c r="I343" s="1">
        <v>0</v>
      </c>
      <c r="J343" s="21">
        <f>+VLOOKUP(D343,Prezzi!$O$12:$P$367,2,0)/VLOOKUP(D343,Prezzi!$S$12:$T$367,2,0)</f>
        <v>41.417056098816268</v>
      </c>
      <c r="K343" s="1">
        <v>0</v>
      </c>
      <c r="L343" s="21">
        <f>+VLOOKUP(D343,Prezzi!$Q$12:$R$367,2,0)/VLOOKUP(D343,Prezzi!$S$12:$T$367,2,0)</f>
        <v>91.32812403499743</v>
      </c>
      <c r="M343" s="1">
        <v>0</v>
      </c>
      <c r="O343" s="1" t="str">
        <f t="shared" si="79"/>
        <v>201826</v>
      </c>
      <c r="P343" s="35">
        <v>43280</v>
      </c>
      <c r="Q343" s="12">
        <f t="shared" si="78"/>
        <v>5.3893546452871578E-4</v>
      </c>
      <c r="R343" s="12">
        <f t="shared" si="80"/>
        <v>-5.63191687598605E-3</v>
      </c>
      <c r="S343" s="12">
        <f t="shared" si="81"/>
        <v>7.645198234338204E-3</v>
      </c>
      <c r="T343" s="12">
        <f t="shared" si="82"/>
        <v>-3.3089602674185514E-3</v>
      </c>
      <c r="U343" s="12">
        <f t="shared" si="83"/>
        <v>-5.8817259336034922E-3</v>
      </c>
      <c r="AI343" s="15">
        <v>43280</v>
      </c>
      <c r="AJ343" s="99">
        <f>+VLOOKUP(AI343,benchmark!I$7:$J$362,2,0)</f>
        <v>245.11179999999999</v>
      </c>
      <c r="AK343" s="61">
        <f>+VLOOKUP(AI343,benchmark!K$7:$L$362,2,0)</f>
        <v>233.91</v>
      </c>
      <c r="AP343" s="15">
        <v>43280</v>
      </c>
      <c r="AQ343" s="12">
        <f t="shared" si="85"/>
        <v>6.6664312004751647E-3</v>
      </c>
      <c r="AR343" s="12">
        <f t="shared" si="85"/>
        <v>2.9456785994519397E-3</v>
      </c>
      <c r="AY343" s="15">
        <v>43280</v>
      </c>
      <c r="AZ343" s="12">
        <f t="shared" si="84"/>
        <v>4.4339796398612293E-3</v>
      </c>
    </row>
    <row r="344" spans="4:52" x14ac:dyDescent="0.75">
      <c r="D344" s="15">
        <v>43279</v>
      </c>
      <c r="E344" s="21">
        <f>+VLOOKUP(D344,Prezzi!$I$12:$J$367,2,0)</f>
        <v>4.9324709999999996</v>
      </c>
      <c r="F344" s="21">
        <f>+VLOOKUP(D344,Prezzi!$K$12:$L$367,2,0)/VLOOKUP(D344,Prezzi!$S$12:$T$367,2,0)</f>
        <v>235.50604506604506</v>
      </c>
      <c r="G344" s="1">
        <v>0</v>
      </c>
      <c r="H344" s="21">
        <f>+VLOOKUP(D344,Prezzi!$M$12:$N$367,2,0)/VLOOKUP(D344,Prezzi!$S$12:$T$367,2,0)</f>
        <v>21.057548130881464</v>
      </c>
      <c r="I344" s="1">
        <v>0</v>
      </c>
      <c r="J344" s="21">
        <f>+VLOOKUP(D344,Prezzi!$O$12:$P$367,2,0)/VLOOKUP(D344,Prezzi!$S$12:$T$367,2,0)</f>
        <v>41.554330484330485</v>
      </c>
      <c r="K344" s="1">
        <v>0</v>
      </c>
      <c r="L344" s="21">
        <f>+VLOOKUP(D344,Prezzi!$Q$12:$R$367,2,0)/VLOOKUP(D344,Prezzi!$S$12:$T$367,2,0)</f>
        <v>91.86687386687386</v>
      </c>
      <c r="M344" s="1">
        <v>0</v>
      </c>
      <c r="O344" s="1" t="str">
        <f t="shared" si="79"/>
        <v>201826</v>
      </c>
      <c r="P344" s="35">
        <v>43279</v>
      </c>
      <c r="Q344" s="12">
        <f t="shared" si="78"/>
        <v>3.3193742159042666E-4</v>
      </c>
      <c r="R344" s="12">
        <f t="shared" si="80"/>
        <v>9.1361840436803357E-3</v>
      </c>
      <c r="S344" s="12">
        <f t="shared" si="81"/>
        <v>-3.5094730389756733E-3</v>
      </c>
      <c r="T344" s="12">
        <f t="shared" si="82"/>
        <v>-7.6598136255308922E-4</v>
      </c>
      <c r="U344" s="12">
        <f t="shared" si="83"/>
        <v>2.0636723252689024E-3</v>
      </c>
      <c r="AI344" s="15">
        <v>43279</v>
      </c>
      <c r="AJ344" s="99">
        <f>+VLOOKUP(AI344,benchmark!I$7:$J$362,2,0)</f>
        <v>243.48859999999999</v>
      </c>
      <c r="AK344" s="61">
        <f>+VLOOKUP(AI344,benchmark!K$7:$L$362,2,0)</f>
        <v>233.22300000000001</v>
      </c>
      <c r="AP344" s="15">
        <v>43279</v>
      </c>
      <c r="AQ344" s="12">
        <f t="shared" si="85"/>
        <v>1.0541367466971874E-3</v>
      </c>
      <c r="AR344" s="12">
        <f t="shared" si="85"/>
        <v>1.1848188643768243E-3</v>
      </c>
      <c r="AY344" s="15">
        <v>43279</v>
      </c>
      <c r="AZ344" s="12">
        <f t="shared" si="84"/>
        <v>1.1325460173049694E-3</v>
      </c>
    </row>
    <row r="345" spans="4:52" x14ac:dyDescent="0.75">
      <c r="D345" s="15">
        <v>43278</v>
      </c>
      <c r="E345" s="21">
        <f>+VLOOKUP(D345,Prezzi!$I$12:$J$367,2,0)</f>
        <v>4.9308339999999999</v>
      </c>
      <c r="F345" s="21">
        <f>+VLOOKUP(D345,Prezzi!$K$12:$L$367,2,0)/VLOOKUP(D345,Prezzi!$S$12:$T$367,2,0)</f>
        <v>233.3642174586777</v>
      </c>
      <c r="G345" s="1">
        <v>0</v>
      </c>
      <c r="H345" s="21">
        <f>+VLOOKUP(D345,Prezzi!$M$12:$N$367,2,0)/VLOOKUP(D345,Prezzi!$S$12:$T$367,2,0)</f>
        <v>21.131578856749311</v>
      </c>
      <c r="I345" s="1">
        <v>0</v>
      </c>
      <c r="J345" s="21">
        <f>+VLOOKUP(D345,Prezzi!$O$12:$P$367,2,0)/VLOOKUP(D345,Prezzi!$S$12:$T$367,2,0)</f>
        <v>41.586172520661158</v>
      </c>
      <c r="K345" s="1">
        <v>0</v>
      </c>
      <c r="L345" s="21">
        <f>+VLOOKUP(D345,Prezzi!$Q$12:$R$367,2,0)/VLOOKUP(D345,Prezzi!$S$12:$T$367,2,0)</f>
        <v>91.677486225895322</v>
      </c>
      <c r="M345" s="1">
        <v>0</v>
      </c>
      <c r="O345" s="1" t="str">
        <f t="shared" si="79"/>
        <v>201826</v>
      </c>
      <c r="P345" s="35">
        <v>43278</v>
      </c>
      <c r="Q345" s="12">
        <f t="shared" ref="Q345:Q359" si="86">+LN(E345/E346)</f>
        <v>-1.115367761229624E-4</v>
      </c>
      <c r="R345" s="12">
        <f t="shared" si="80"/>
        <v>-3.8348650904688323E-3</v>
      </c>
      <c r="S345" s="12">
        <f t="shared" si="81"/>
        <v>5.456051008852319E-3</v>
      </c>
      <c r="T345" s="12">
        <f t="shared" si="82"/>
        <v>1.1810700209691179E-3</v>
      </c>
      <c r="U345" s="12">
        <f t="shared" si="83"/>
        <v>4.5620706817212538E-3</v>
      </c>
      <c r="AI345" s="15">
        <v>43278</v>
      </c>
      <c r="AJ345" s="99">
        <f>+VLOOKUP(AI345,benchmark!I$7:$J$362,2,0)</f>
        <v>243.23220000000001</v>
      </c>
      <c r="AK345" s="61">
        <f>+VLOOKUP(AI345,benchmark!K$7:$L$362,2,0)</f>
        <v>232.947</v>
      </c>
      <c r="AP345" s="15">
        <v>43278</v>
      </c>
      <c r="AQ345" s="12">
        <f t="shared" si="85"/>
        <v>-6.7042669716943504E-3</v>
      </c>
      <c r="AR345" s="12">
        <f t="shared" si="85"/>
        <v>2.1424054308687435E-3</v>
      </c>
      <c r="AY345" s="15">
        <v>43278</v>
      </c>
      <c r="AZ345" s="12">
        <f t="shared" si="84"/>
        <v>-1.396263530156494E-3</v>
      </c>
    </row>
    <row r="346" spans="4:52" x14ac:dyDescent="0.75">
      <c r="D346" s="15">
        <v>43277</v>
      </c>
      <c r="E346" s="21">
        <f>+VLOOKUP(D346,Prezzi!$I$12:$J$367,2,0)</f>
        <v>4.9313840000000004</v>
      </c>
      <c r="F346" s="21">
        <f>+VLOOKUP(D346,Prezzi!$K$12:$L$367,2,0)/VLOOKUP(D346,Prezzi!$S$12:$T$367,2,0)</f>
        <v>234.26085589444827</v>
      </c>
      <c r="G346" s="1">
        <v>0</v>
      </c>
      <c r="H346" s="21">
        <f>+VLOOKUP(D346,Prezzi!$M$12:$N$367,2,0)/VLOOKUP(D346,Prezzi!$S$12:$T$367,2,0)</f>
        <v>21.016597840986979</v>
      </c>
      <c r="I346" s="1">
        <v>0</v>
      </c>
      <c r="J346" s="21">
        <f>+VLOOKUP(D346,Prezzi!$O$12:$P$367,2,0)/VLOOKUP(D346,Prezzi!$S$12:$T$367,2,0)</f>
        <v>41.537085332419466</v>
      </c>
      <c r="K346" s="1">
        <v>0</v>
      </c>
      <c r="L346" s="21">
        <f>+VLOOKUP(D346,Prezzi!$Q$12:$R$367,2,0)/VLOOKUP(D346,Prezzi!$S$12:$T$367,2,0)</f>
        <v>91.260199623029479</v>
      </c>
      <c r="M346" s="1">
        <v>0</v>
      </c>
      <c r="O346" s="1" t="str">
        <f t="shared" ref="O346:O359" si="87">+YEAR( P346) &amp; WEEKNUM(P346,2)</f>
        <v>201826</v>
      </c>
      <c r="P346" s="35">
        <v>43277</v>
      </c>
      <c r="Q346" s="12">
        <f t="shared" si="86"/>
        <v>8.6077790784805678E-4</v>
      </c>
      <c r="R346" s="12">
        <f t="shared" ref="R346:R359" si="88">+LN((F346+G346)/F347)</f>
        <v>-7.7788855823159798E-5</v>
      </c>
      <c r="S346" s="12">
        <f t="shared" ref="S346:S359" si="89">+LN((H346+I346)/H347)</f>
        <v>1.6331922776854247E-3</v>
      </c>
      <c r="T346" s="12">
        <f t="shared" ref="T346:T359" si="90">+LN((J346+K346)/J347)</f>
        <v>-4.3540502948129882E-3</v>
      </c>
      <c r="U346" s="12">
        <f t="shared" ref="U346:U359" si="91">+LN((L346+M346)/L347)</f>
        <v>4.8209073124331028E-4</v>
      </c>
      <c r="AI346" s="15">
        <v>43277</v>
      </c>
      <c r="AJ346" s="99">
        <f>+VLOOKUP(AI346,benchmark!I$7:$J$362,2,0)</f>
        <v>244.87389999999999</v>
      </c>
      <c r="AK346" s="61">
        <f>+VLOOKUP(AI346,benchmark!K$7:$L$362,2,0)</f>
        <v>232.44900000000001</v>
      </c>
      <c r="AP346" s="15">
        <v>43277</v>
      </c>
      <c r="AQ346" s="12">
        <f t="shared" si="85"/>
        <v>8.6363833295299841E-4</v>
      </c>
      <c r="AR346" s="12">
        <f t="shared" si="85"/>
        <v>-1.8078756387683859E-3</v>
      </c>
      <c r="AY346" s="15">
        <v>43277</v>
      </c>
      <c r="AZ346" s="12">
        <f t="shared" ref="AZ346:AZ359" si="92">+SUMPRODUCT($AV$4:$AW$4,AQ346:AR346)</f>
        <v>-7.392700500798322E-4</v>
      </c>
    </row>
    <row r="347" spans="4:52" x14ac:dyDescent="0.75">
      <c r="D347" s="15">
        <v>43276</v>
      </c>
      <c r="E347" s="21">
        <f>+VLOOKUP(D347,Prezzi!$I$12:$J$367,2,0)</f>
        <v>4.9271409999999998</v>
      </c>
      <c r="F347" s="21">
        <f>+VLOOKUP(D347,Prezzi!$K$12:$L$367,2,0)/VLOOKUP(D347,Prezzi!$S$12:$T$367,2,0)</f>
        <v>234.27907948717947</v>
      </c>
      <c r="G347" s="1">
        <v>0</v>
      </c>
      <c r="H347" s="21">
        <f>+VLOOKUP(D347,Prezzi!$M$12:$N$367,2,0)/VLOOKUP(D347,Prezzi!$S$12:$T$367,2,0)</f>
        <v>20.98230170940171</v>
      </c>
      <c r="I347" s="126">
        <f>0.48/VLOOKUP(D347,Prezzi!$S$12:$T$367,2,0)</f>
        <v>0.41025641025641024</v>
      </c>
      <c r="J347" s="21">
        <f>+VLOOKUP(D347,Prezzi!$O$12:$P$367,2,0)/VLOOKUP(D347,Prezzi!$S$12:$T$367,2,0)</f>
        <v>41.718334188034191</v>
      </c>
      <c r="K347" s="1">
        <v>0</v>
      </c>
      <c r="L347" s="21">
        <f>+VLOOKUP(D347,Prezzi!$Q$12:$R$367,2,0)/VLOOKUP(D347,Prezzi!$S$12:$T$367,2,0)</f>
        <v>91.216214529914538</v>
      </c>
      <c r="M347" s="1">
        <v>0</v>
      </c>
      <c r="O347" s="1" t="str">
        <f t="shared" si="87"/>
        <v>201826</v>
      </c>
      <c r="P347" s="35">
        <v>43276</v>
      </c>
      <c r="Q347" s="12">
        <f t="shared" si="86"/>
        <v>-8.2194391405564907E-5</v>
      </c>
      <c r="R347" s="12">
        <f t="shared" si="88"/>
        <v>-1.8268797382434109E-2</v>
      </c>
      <c r="S347" s="12">
        <f t="shared" si="89"/>
        <v>4.3268073977860083E-3</v>
      </c>
      <c r="T347" s="12">
        <f t="shared" si="90"/>
        <v>-6.123254979959707E-3</v>
      </c>
      <c r="U347" s="12">
        <f t="shared" si="91"/>
        <v>-6.9021645870660266E-3</v>
      </c>
      <c r="AI347" s="15">
        <v>43276</v>
      </c>
      <c r="AJ347" s="99">
        <f>+VLOOKUP(AI347,benchmark!I$7:$J$362,2,0)</f>
        <v>244.66260000000003</v>
      </c>
      <c r="AK347" s="61">
        <f>+VLOOKUP(AI347,benchmark!K$7:$L$362,2,0)</f>
        <v>232.87</v>
      </c>
      <c r="AP347" s="15">
        <v>43276</v>
      </c>
      <c r="AQ347" s="12">
        <f t="shared" si="85"/>
        <v>-1.3898617957285198E-2</v>
      </c>
      <c r="AR347" s="12">
        <f t="shared" si="85"/>
        <v>-1.1238268448775512E-3</v>
      </c>
      <c r="AY347" s="15">
        <v>43276</v>
      </c>
      <c r="AZ347" s="12">
        <f t="shared" si="92"/>
        <v>-6.2337432898406098E-3</v>
      </c>
    </row>
    <row r="348" spans="4:52" x14ac:dyDescent="0.75">
      <c r="D348" s="15">
        <v>43273</v>
      </c>
      <c r="E348" s="21">
        <f>+VLOOKUP(D348,Prezzi!$I$12:$J$367,2,0)</f>
        <v>4.9275460000000004</v>
      </c>
      <c r="F348" s="21">
        <f>+VLOOKUP(D348,Prezzi!$K$12:$L$367,2,0)/VLOOKUP(D348,Prezzi!$S$12:$T$367,2,0)</f>
        <v>238.59841088598898</v>
      </c>
      <c r="G348" s="1">
        <v>0</v>
      </c>
      <c r="H348" s="21">
        <f>+VLOOKUP(D348,Prezzi!$M$12:$N$367,2,0)/VLOOKUP(D348,Prezzi!$S$12:$T$367,2,0)</f>
        <v>21.300196600274724</v>
      </c>
      <c r="I348" s="1">
        <v>0</v>
      </c>
      <c r="J348" s="21">
        <f>+VLOOKUP(D348,Prezzi!$O$12:$P$367,2,0)/VLOOKUP(D348,Prezzi!$S$12:$T$367,2,0)</f>
        <v>41.974569883241756</v>
      </c>
      <c r="K348" s="1">
        <v>0</v>
      </c>
      <c r="L348" s="21">
        <f>+VLOOKUP(D348,Prezzi!$Q$12:$R$367,2,0)/VLOOKUP(D348,Prezzi!$S$12:$T$367,2,0)</f>
        <v>91.847981627747245</v>
      </c>
      <c r="M348" s="1">
        <v>0</v>
      </c>
      <c r="O348" s="1" t="str">
        <f t="shared" si="87"/>
        <v>201825</v>
      </c>
      <c r="P348" s="35">
        <v>43273</v>
      </c>
      <c r="Q348" s="12">
        <f t="shared" si="86"/>
        <v>0</v>
      </c>
      <c r="R348" s="12">
        <f t="shared" si="88"/>
        <v>-7.5993979404188391E-3</v>
      </c>
      <c r="S348" s="12">
        <f t="shared" si="89"/>
        <v>2.1035898522832634E-3</v>
      </c>
      <c r="T348" s="12">
        <f t="shared" si="90"/>
        <v>-8.7801108582106664E-3</v>
      </c>
      <c r="U348" s="12">
        <f t="shared" si="91"/>
        <v>-3.8533154971197229E-3</v>
      </c>
      <c r="AI348" s="15">
        <v>43273</v>
      </c>
      <c r="AJ348" s="99">
        <f>+VLOOKUP(AI348,benchmark!I$7:$J$362,2,0)</f>
        <v>248.11100000000002</v>
      </c>
      <c r="AK348" s="61">
        <f>+VLOOKUP(AI348,benchmark!K$7:$L$362,2,0)</f>
        <v>233.13200000000001</v>
      </c>
      <c r="AP348" s="15">
        <v>43273</v>
      </c>
      <c r="AQ348" s="12">
        <f t="shared" si="85"/>
        <v>4.6199943312954517E-3</v>
      </c>
      <c r="AR348" s="12">
        <f t="shared" si="85"/>
        <v>-2.4443691597797468E-4</v>
      </c>
      <c r="AY348" s="15">
        <v>43273</v>
      </c>
      <c r="AZ348" s="12">
        <f t="shared" si="92"/>
        <v>1.7013355829313959E-3</v>
      </c>
    </row>
    <row r="349" spans="4:52" x14ac:dyDescent="0.75">
      <c r="D349" s="15">
        <v>43272</v>
      </c>
      <c r="E349" s="21">
        <f>+VLOOKUP(D349,Prezzi!$I$12:$J$367,2,0)</f>
        <v>4.9275460000000004</v>
      </c>
      <c r="F349" s="21">
        <f>+VLOOKUP(D349,Prezzi!$K$12:$L$367,2,0)/VLOOKUP(D349,Prezzi!$S$12:$T$367,2,0)</f>
        <v>240.4185222742243</v>
      </c>
      <c r="G349" s="1">
        <v>0</v>
      </c>
      <c r="H349" s="21">
        <f>+VLOOKUP(D349,Prezzi!$M$12:$N$367,2,0)/VLOOKUP(D349,Prezzi!$S$12:$T$367,2,0)</f>
        <v>21.255436817472699</v>
      </c>
      <c r="I349" s="1">
        <v>0</v>
      </c>
      <c r="J349" s="21">
        <f>+VLOOKUP(D349,Prezzi!$O$12:$P$367,2,0)/VLOOKUP(D349,Prezzi!$S$12:$T$367,2,0)</f>
        <v>42.344733922690246</v>
      </c>
      <c r="K349" s="1">
        <v>0</v>
      </c>
      <c r="L349" s="21">
        <f>+VLOOKUP(D349,Prezzi!$Q$12:$R$367,2,0)/VLOOKUP(D349,Prezzi!$S$12:$T$367,2,0)</f>
        <v>92.20258363667881</v>
      </c>
      <c r="M349" s="1">
        <v>0</v>
      </c>
      <c r="O349" s="1" t="str">
        <f t="shared" si="87"/>
        <v>201825</v>
      </c>
      <c r="P349" s="35">
        <v>43272</v>
      </c>
      <c r="Q349" s="12">
        <f t="shared" si="86"/>
        <v>6.1022611724678602E-4</v>
      </c>
      <c r="R349" s="12">
        <f t="shared" si="88"/>
        <v>-2.8094732648802534E-3</v>
      </c>
      <c r="S349" s="12">
        <f t="shared" si="89"/>
        <v>1.092216081282236E-4</v>
      </c>
      <c r="T349" s="12">
        <f t="shared" si="90"/>
        <v>5.4670706198131234E-4</v>
      </c>
      <c r="U349" s="12">
        <f t="shared" si="91"/>
        <v>5.9553424989521311E-3</v>
      </c>
      <c r="AI349" s="15">
        <v>43272</v>
      </c>
      <c r="AJ349" s="99">
        <f>+VLOOKUP(AI349,benchmark!I$7:$J$362,2,0)</f>
        <v>246.96999999999997</v>
      </c>
      <c r="AK349" s="61">
        <f>+VLOOKUP(AI349,benchmark!K$7:$L$362,2,0)</f>
        <v>233.18899999999999</v>
      </c>
      <c r="AP349" s="15">
        <v>43272</v>
      </c>
      <c r="AQ349" s="12">
        <f t="shared" si="85"/>
        <v>-6.2449199668440647E-3</v>
      </c>
      <c r="AR349" s="12">
        <f t="shared" si="85"/>
        <v>-1.6183793087208853E-3</v>
      </c>
      <c r="AY349" s="15">
        <v>43272</v>
      </c>
      <c r="AZ349" s="12">
        <f t="shared" si="92"/>
        <v>-3.4689955719701569E-3</v>
      </c>
    </row>
    <row r="350" spans="4:52" x14ac:dyDescent="0.75">
      <c r="D350" s="15">
        <v>43271</v>
      </c>
      <c r="E350" s="21">
        <f>+VLOOKUP(D350,Prezzi!$I$12:$J$367,2,0)</f>
        <v>4.9245400000000004</v>
      </c>
      <c r="F350" s="21">
        <f>+VLOOKUP(D350,Prezzi!$K$12:$L$367,2,0)/VLOOKUP(D350,Prezzi!$S$12:$T$367,2,0)</f>
        <v>241.09492140266025</v>
      </c>
      <c r="G350" s="1">
        <v>0</v>
      </c>
      <c r="H350" s="21">
        <f>+VLOOKUP(D350,Prezzi!$M$12:$N$367,2,0)/VLOOKUP(D350,Prezzi!$S$12:$T$367,2,0)</f>
        <v>21.253115391259286</v>
      </c>
      <c r="I350" s="1">
        <v>0</v>
      </c>
      <c r="J350" s="21">
        <f>+VLOOKUP(D350,Prezzi!$O$12:$P$367,2,0)/VLOOKUP(D350,Prezzi!$S$12:$T$367,2,0)</f>
        <v>42.32159008464329</v>
      </c>
      <c r="K350" s="1">
        <v>0</v>
      </c>
      <c r="L350" s="21">
        <f>+VLOOKUP(D350,Prezzi!$Q$12:$R$367,2,0)/VLOOKUP(D350,Prezzi!$S$12:$T$367,2,0)</f>
        <v>91.655117464156163</v>
      </c>
      <c r="M350" s="1">
        <v>0</v>
      </c>
      <c r="O350" s="1" t="str">
        <f t="shared" si="87"/>
        <v>201825</v>
      </c>
      <c r="P350" s="35">
        <v>43271</v>
      </c>
      <c r="Q350" s="12">
        <f t="shared" si="86"/>
        <v>-3.2586566603288721E-4</v>
      </c>
      <c r="R350" s="12">
        <f t="shared" si="88"/>
        <v>-2.0967825219437228E-3</v>
      </c>
      <c r="S350" s="12">
        <f t="shared" si="89"/>
        <v>5.3504739373133863E-4</v>
      </c>
      <c r="T350" s="12">
        <f t="shared" si="90"/>
        <v>-7.1615768042368336E-3</v>
      </c>
      <c r="U350" s="12">
        <f t="shared" si="91"/>
        <v>2.603968671992511E-3</v>
      </c>
      <c r="AI350" s="15">
        <v>43271</v>
      </c>
      <c r="AJ350" s="99">
        <f>+VLOOKUP(AI350,benchmark!I$7:$J$362,2,0)</f>
        <v>248.52199999999999</v>
      </c>
      <c r="AK350" s="61">
        <f>+VLOOKUP(AI350,benchmark!K$7:$L$362,2,0)</f>
        <v>233.56700000000001</v>
      </c>
      <c r="AP350" s="15">
        <v>43271</v>
      </c>
      <c r="AQ350" s="12">
        <f t="shared" si="85"/>
        <v>3.5535167701763459E-3</v>
      </c>
      <c r="AR350" s="12">
        <f t="shared" si="85"/>
        <v>-2.4398178269346982E-4</v>
      </c>
      <c r="AY350" s="15">
        <v>43271</v>
      </c>
      <c r="AZ350" s="12">
        <f t="shared" si="92"/>
        <v>1.2750176384544567E-3</v>
      </c>
    </row>
    <row r="351" spans="4:52" x14ac:dyDescent="0.75">
      <c r="D351" s="15">
        <v>43270</v>
      </c>
      <c r="E351" s="21">
        <f>+VLOOKUP(D351,Prezzi!$I$12:$J$367,2,0)</f>
        <v>4.926145</v>
      </c>
      <c r="F351" s="21">
        <f>+VLOOKUP(D351,Prezzi!$K$12:$L$367,2,0)/VLOOKUP(D351,Prezzi!$S$12:$T$367,2,0)</f>
        <v>241.6009753771458</v>
      </c>
      <c r="G351" s="1">
        <v>0</v>
      </c>
      <c r="H351" s="21">
        <f>+VLOOKUP(D351,Prezzi!$M$12:$N$367,2,0)/VLOOKUP(D351,Prezzi!$S$12:$T$367,2,0)</f>
        <v>21.241747008843419</v>
      </c>
      <c r="I351" s="1">
        <v>0</v>
      </c>
      <c r="J351" s="21">
        <f>+VLOOKUP(D351,Prezzi!$O$12:$P$367,2,0)/VLOOKUP(D351,Prezzi!$S$12:$T$367,2,0)</f>
        <v>42.625767296688053</v>
      </c>
      <c r="K351" s="1">
        <v>0</v>
      </c>
      <c r="L351" s="21">
        <f>+VLOOKUP(D351,Prezzi!$Q$12:$R$367,2,0)/VLOOKUP(D351,Prezzi!$S$12:$T$367,2,0)</f>
        <v>91.416760880873952</v>
      </c>
      <c r="M351" s="1">
        <v>0</v>
      </c>
      <c r="O351" s="1" t="str">
        <f t="shared" si="87"/>
        <v>201825</v>
      </c>
      <c r="P351" s="35">
        <v>43270</v>
      </c>
      <c r="Q351" s="12">
        <f t="shared" si="86"/>
        <v>1.8296742423237627E-3</v>
      </c>
      <c r="R351" s="12">
        <f t="shared" si="88"/>
        <v>2.8410611320017331E-3</v>
      </c>
      <c r="S351" s="12">
        <f t="shared" si="89"/>
        <v>-2.1315919685885556E-2</v>
      </c>
      <c r="T351" s="12">
        <f t="shared" si="90"/>
        <v>5.3998975124981159E-3</v>
      </c>
      <c r="U351" s="12">
        <f t="shared" si="91"/>
        <v>1.6102514435408913E-3</v>
      </c>
      <c r="AI351" s="15">
        <v>43270</v>
      </c>
      <c r="AJ351" s="99">
        <f>+VLOOKUP(AI351,benchmark!I$7:$J$362,2,0)</f>
        <v>247.642</v>
      </c>
      <c r="AK351" s="61">
        <f>+VLOOKUP(AI351,benchmark!K$7:$L$362,2,0)</f>
        <v>233.624</v>
      </c>
      <c r="AP351" s="15">
        <v>43270</v>
      </c>
      <c r="AQ351" s="12">
        <f t="shared" si="85"/>
        <v>-8.1465579390891385E-3</v>
      </c>
      <c r="AR351" s="12">
        <f t="shared" si="85"/>
        <v>1.2342716083244554E-3</v>
      </c>
      <c r="AY351" s="15">
        <v>43270</v>
      </c>
      <c r="AZ351" s="12">
        <f t="shared" si="92"/>
        <v>-2.5180602106409824E-3</v>
      </c>
    </row>
    <row r="352" spans="4:52" x14ac:dyDescent="0.75">
      <c r="D352" s="15">
        <v>43269</v>
      </c>
      <c r="E352" s="21">
        <f>+VLOOKUP(D352,Prezzi!$I$12:$J$367,2,0)</f>
        <v>4.9171399999999998</v>
      </c>
      <c r="F352" s="21">
        <f>+VLOOKUP(D352,Prezzi!$K$12:$L$367,2,0)/VLOOKUP(D352,Prezzi!$S$12:$T$367,2,0)</f>
        <v>240.91554637044689</v>
      </c>
      <c r="G352" s="1">
        <v>0</v>
      </c>
      <c r="H352" s="21">
        <f>+VLOOKUP(D352,Prezzi!$M$12:$N$367,2,0)/VLOOKUP(D352,Prezzi!$S$12:$T$367,2,0)</f>
        <v>21.699394643933523</v>
      </c>
      <c r="I352" s="1">
        <v>0</v>
      </c>
      <c r="J352" s="21">
        <f>+VLOOKUP(D352,Prezzi!$O$12:$P$367,2,0)/VLOOKUP(D352,Prezzi!$S$12:$T$367,2,0)</f>
        <v>42.396212864892789</v>
      </c>
      <c r="K352" s="1">
        <v>0</v>
      </c>
      <c r="L352" s="21">
        <f>+VLOOKUP(D352,Prezzi!$Q$12:$R$367,2,0)/VLOOKUP(D352,Prezzi!$S$12:$T$367,2,0)</f>
        <v>91.269675363816404</v>
      </c>
      <c r="M352" s="1">
        <v>0</v>
      </c>
      <c r="O352" s="1" t="str">
        <f t="shared" si="87"/>
        <v>201825</v>
      </c>
      <c r="P352" s="35">
        <v>43269</v>
      </c>
      <c r="Q352" s="12">
        <f t="shared" si="86"/>
        <v>-3.9466376877753275E-4</v>
      </c>
      <c r="R352" s="12">
        <f t="shared" si="88"/>
        <v>-3.5770715887426512E-3</v>
      </c>
      <c r="S352" s="12">
        <f t="shared" si="89"/>
        <v>-1.1274568442594538E-2</v>
      </c>
      <c r="T352" s="12">
        <f t="shared" si="90"/>
        <v>-9.9746653941962206E-4</v>
      </c>
      <c r="U352" s="12">
        <f t="shared" si="91"/>
        <v>-7.0436207290008792E-3</v>
      </c>
      <c r="AI352" s="15">
        <v>43269</v>
      </c>
      <c r="AJ352" s="99">
        <f>+VLOOKUP(AI352,benchmark!I$7:$J$362,2,0)</f>
        <v>249.67600000000002</v>
      </c>
      <c r="AK352" s="61">
        <f>+VLOOKUP(AI352,benchmark!K$7:$L$362,2,0)</f>
        <v>233.33600000000001</v>
      </c>
      <c r="AP352" s="15">
        <v>43269</v>
      </c>
      <c r="AQ352" s="12">
        <f t="shared" si="85"/>
        <v>-4.2315254629351484E-3</v>
      </c>
      <c r="AR352" s="12">
        <f t="shared" si="85"/>
        <v>8.1493999468151834E-4</v>
      </c>
      <c r="AY352" s="15">
        <v>43269</v>
      </c>
      <c r="AZ352" s="12">
        <f t="shared" si="92"/>
        <v>-1.2036461883651486E-3</v>
      </c>
    </row>
    <row r="353" spans="4:52" x14ac:dyDescent="0.75">
      <c r="D353" s="15">
        <v>43266</v>
      </c>
      <c r="E353" s="21">
        <f>+VLOOKUP(D353,Prezzi!$I$12:$J$367,2,0)</f>
        <v>4.9190810000000003</v>
      </c>
      <c r="F353" s="21">
        <f>+VLOOKUP(D353,Prezzi!$K$12:$L$367,2,0)/VLOOKUP(D353,Prezzi!$S$12:$T$367,2,0)</f>
        <v>241.77886167644013</v>
      </c>
      <c r="G353" s="1">
        <v>0</v>
      </c>
      <c r="H353" s="21">
        <f>+VLOOKUP(D353,Prezzi!$M$12:$N$367,2,0)/VLOOKUP(D353,Prezzi!$S$12:$T$367,2,0)</f>
        <v>21.945430320800277</v>
      </c>
      <c r="I353" s="1">
        <v>0</v>
      </c>
      <c r="J353" s="21">
        <f>+VLOOKUP(D353,Prezzi!$O$12:$P$367,2,0)/VLOOKUP(D353,Prezzi!$S$12:$T$367,2,0)</f>
        <v>42.438522766471202</v>
      </c>
      <c r="K353" s="1">
        <v>0</v>
      </c>
      <c r="L353" s="21">
        <f>+VLOOKUP(D353,Prezzi!$Q$12:$R$367,2,0)/VLOOKUP(D353,Prezzi!$S$12:$T$367,2,0)</f>
        <v>91.914813728872033</v>
      </c>
      <c r="M353" s="1">
        <v>0</v>
      </c>
      <c r="O353" s="1" t="str">
        <f t="shared" si="87"/>
        <v>201824</v>
      </c>
      <c r="P353" s="35">
        <v>43266</v>
      </c>
      <c r="Q353" s="12">
        <f t="shared" si="86"/>
        <v>1.0734288356479363E-4</v>
      </c>
      <c r="R353" s="12">
        <f t="shared" si="88"/>
        <v>1.0571543775785562E-2</v>
      </c>
      <c r="S353" s="12">
        <f t="shared" si="89"/>
        <v>4.7887305419712254E-3</v>
      </c>
      <c r="T353" s="12">
        <f t="shared" si="90"/>
        <v>-9.9049209267149732E-3</v>
      </c>
      <c r="U353" s="12">
        <f t="shared" si="91"/>
        <v>9.9234418478337024E-3</v>
      </c>
      <c r="AI353" s="15">
        <v>43266</v>
      </c>
      <c r="AJ353" s="99">
        <f>+VLOOKUP(AI353,benchmark!I$7:$J$362,2,0)</f>
        <v>250.73699999999999</v>
      </c>
      <c r="AK353" s="61">
        <f>+VLOOKUP(AI353,benchmark!K$7:$L$362,2,0)</f>
        <v>233.14599999999999</v>
      </c>
      <c r="AP353" s="15">
        <v>43266</v>
      </c>
      <c r="AQ353" s="12">
        <f t="shared" si="85"/>
        <v>-4.4509207569345399E-3</v>
      </c>
      <c r="AR353" s="12">
        <f t="shared" si="85"/>
        <v>3.2531520289169613E-3</v>
      </c>
      <c r="AY353" s="15">
        <v>43266</v>
      </c>
      <c r="AZ353" s="12">
        <f t="shared" si="92"/>
        <v>1.7152291457636073E-4</v>
      </c>
    </row>
    <row r="354" spans="4:52" x14ac:dyDescent="0.75">
      <c r="D354" s="15">
        <v>43265</v>
      </c>
      <c r="E354" s="21">
        <f>+VLOOKUP(D354,Prezzi!$I$12:$J$367,2,0)</f>
        <v>4.9185530000000002</v>
      </c>
      <c r="F354" s="21">
        <f>+VLOOKUP(D354,Prezzi!$K$12:$L$367,2,0)/VLOOKUP(D354,Prezzi!$S$12:$T$367,2,0)</f>
        <v>239.23634867860187</v>
      </c>
      <c r="G354" s="1">
        <v>0</v>
      </c>
      <c r="H354" s="21">
        <f>+VLOOKUP(D354,Prezzi!$M$12:$N$367,2,0)/VLOOKUP(D354,Prezzi!$S$12:$T$367,2,0)</f>
        <v>21.840590792838874</v>
      </c>
      <c r="I354" s="1">
        <v>0</v>
      </c>
      <c r="J354" s="21">
        <f>+VLOOKUP(D354,Prezzi!$O$12:$P$367,2,0)/VLOOKUP(D354,Prezzi!$S$12:$T$367,2,0)</f>
        <v>42.860961636828641</v>
      </c>
      <c r="K354" s="1">
        <v>0</v>
      </c>
      <c r="L354" s="21">
        <f>+VLOOKUP(D354,Prezzi!$Q$12:$R$367,2,0)/VLOOKUP(D354,Prezzi!$S$12:$T$367,2,0)</f>
        <v>91.007213128729759</v>
      </c>
      <c r="M354" s="1">
        <v>0</v>
      </c>
      <c r="O354" s="1" t="str">
        <f t="shared" si="87"/>
        <v>201824</v>
      </c>
      <c r="P354" s="35">
        <v>43265</v>
      </c>
      <c r="Q354" s="12">
        <f t="shared" si="86"/>
        <v>-1.7971150659423904E-4</v>
      </c>
      <c r="R354" s="12">
        <f t="shared" si="88"/>
        <v>5.6691051541703967E-3</v>
      </c>
      <c r="S354" s="12">
        <f t="shared" si="89"/>
        <v>2.1653997472930132E-3</v>
      </c>
      <c r="T354" s="12">
        <f t="shared" si="90"/>
        <v>7.601265718384779E-3</v>
      </c>
      <c r="U354" s="12">
        <f t="shared" si="91"/>
        <v>4.7318702099664912E-3</v>
      </c>
      <c r="AI354" s="15">
        <v>43265</v>
      </c>
      <c r="AJ354" s="99">
        <f>+VLOOKUP(AI354,benchmark!I$7:$J$362,2,0)</f>
        <v>251.858</v>
      </c>
      <c r="AK354" s="61">
        <f>+VLOOKUP(AI354,benchmark!K$7:$L$362,2,0)</f>
        <v>232.39</v>
      </c>
      <c r="AP354" s="15">
        <v>43265</v>
      </c>
      <c r="AQ354" s="12">
        <f t="shared" si="85"/>
        <v>-1.1513099127780091E-4</v>
      </c>
      <c r="AR354" s="12">
        <f t="shared" si="85"/>
        <v>3.3287424606789351E-3</v>
      </c>
      <c r="AY354" s="15">
        <v>43265</v>
      </c>
      <c r="AZ354" s="12">
        <f t="shared" si="92"/>
        <v>1.9511930798962406E-3</v>
      </c>
    </row>
    <row r="355" spans="4:52" x14ac:dyDescent="0.75">
      <c r="D355" s="15">
        <v>43264</v>
      </c>
      <c r="E355" s="21">
        <f>+VLOOKUP(D355,Prezzi!$I$12:$J$367,2,0)</f>
        <v>4.9194370000000003</v>
      </c>
      <c r="F355" s="21">
        <f>+VLOOKUP(D355,Prezzi!$K$12:$L$367,2,0)/VLOOKUP(D355,Prezzi!$S$12:$T$367,2,0)</f>
        <v>237.88392978578716</v>
      </c>
      <c r="G355" s="1">
        <v>0</v>
      </c>
      <c r="H355" s="21">
        <f>+VLOOKUP(D355,Prezzi!$M$12:$N$367,2,0)/VLOOKUP(D355,Prezzi!$S$12:$T$367,2,0)</f>
        <v>21.793348350901056</v>
      </c>
      <c r="I355" s="1">
        <v>0</v>
      </c>
      <c r="J355" s="21">
        <f>+VLOOKUP(D355,Prezzi!$O$12:$P$367,2,0)/VLOOKUP(D355,Prezzi!$S$12:$T$367,2,0)</f>
        <v>42.53639918395104</v>
      </c>
      <c r="K355" s="1">
        <v>0</v>
      </c>
      <c r="L355" s="21">
        <f>+VLOOKUP(D355,Prezzi!$Q$12:$R$367,2,0)/VLOOKUP(D355,Prezzi!$S$12:$T$367,2,0)</f>
        <v>90.577596055763365</v>
      </c>
      <c r="M355" s="1">
        <v>0</v>
      </c>
      <c r="O355" s="1" t="str">
        <f t="shared" si="87"/>
        <v>201824</v>
      </c>
      <c r="P355" s="35">
        <v>43264</v>
      </c>
      <c r="Q355" s="12">
        <f t="shared" si="86"/>
        <v>1.8904780989207852E-5</v>
      </c>
      <c r="R355" s="12">
        <f t="shared" si="88"/>
        <v>-1.9564057749682866E-3</v>
      </c>
      <c r="S355" s="12">
        <f t="shared" si="89"/>
        <v>2.2053899207724378E-3</v>
      </c>
      <c r="T355" s="12">
        <f t="shared" si="90"/>
        <v>3.9477871145302606E-3</v>
      </c>
      <c r="U355" s="12">
        <f t="shared" si="91"/>
        <v>-1.0493472328262342E-4</v>
      </c>
      <c r="AI355" s="15">
        <v>43264</v>
      </c>
      <c r="AJ355" s="99">
        <f>+VLOOKUP(AI355,benchmark!I$7:$J$362,2,0)</f>
        <v>251.887</v>
      </c>
      <c r="AK355" s="61">
        <f>+VLOOKUP(AI355,benchmark!K$7:$L$362,2,0)</f>
        <v>231.619</v>
      </c>
      <c r="AP355" s="15">
        <v>43264</v>
      </c>
      <c r="AQ355" s="12">
        <f t="shared" si="85"/>
        <v>-2.5738802630900226E-3</v>
      </c>
      <c r="AR355" s="12">
        <f t="shared" si="85"/>
        <v>1.9509620708748621E-3</v>
      </c>
      <c r="AY355" s="15">
        <v>43264</v>
      </c>
      <c r="AZ355" s="12">
        <f t="shared" si="92"/>
        <v>1.4102513728890802E-4</v>
      </c>
    </row>
    <row r="356" spans="4:52" x14ac:dyDescent="0.75">
      <c r="D356" s="15">
        <v>43263</v>
      </c>
      <c r="E356" s="21">
        <f>+VLOOKUP(D356,Prezzi!$I$12:$J$367,2,0)</f>
        <v>4.9193439999999997</v>
      </c>
      <c r="F356" s="21">
        <f>+VLOOKUP(D356,Prezzi!$K$12:$L$367,2,0)/VLOOKUP(D356,Prezzi!$S$12:$T$367,2,0)</f>
        <v>238.3497828299966</v>
      </c>
      <c r="G356" s="1">
        <v>0</v>
      </c>
      <c r="H356" s="21">
        <f>+VLOOKUP(D356,Prezzi!$M$12:$N$367,2,0)/VLOOKUP(D356,Prezzi!$S$12:$T$367,2,0)</f>
        <v>21.745338479809973</v>
      </c>
      <c r="I356" s="1">
        <v>0</v>
      </c>
      <c r="J356" s="21">
        <f>+VLOOKUP(D356,Prezzi!$O$12:$P$367,2,0)/VLOOKUP(D356,Prezzi!$S$12:$T$367,2,0)</f>
        <v>42.368805564981329</v>
      </c>
      <c r="K356" s="1">
        <v>0</v>
      </c>
      <c r="L356" s="21">
        <f>+VLOOKUP(D356,Prezzi!$Q$12:$R$367,2,0)/VLOOKUP(D356,Prezzi!$S$12:$T$367,2,0)</f>
        <v>90.587101289446892</v>
      </c>
      <c r="M356" s="1">
        <v>0</v>
      </c>
      <c r="O356" s="1" t="str">
        <f t="shared" si="87"/>
        <v>201824</v>
      </c>
      <c r="P356" s="35">
        <v>43263</v>
      </c>
      <c r="Q356" s="12">
        <f t="shared" si="86"/>
        <v>-9.4480151873329687E-4</v>
      </c>
      <c r="R356" s="12">
        <f t="shared" si="88"/>
        <v>1.9495643689280721E-3</v>
      </c>
      <c r="S356" s="12">
        <f t="shared" si="89"/>
        <v>-2.6632687724002986E-4</v>
      </c>
      <c r="T356" s="12">
        <f t="shared" si="90"/>
        <v>-2.6580803572873284E-3</v>
      </c>
      <c r="U356" s="12">
        <f t="shared" si="91"/>
        <v>-3.0673680083432289E-3</v>
      </c>
      <c r="AI356" s="15">
        <v>43263</v>
      </c>
      <c r="AJ356" s="99">
        <f>+VLOOKUP(AI356,benchmark!I$7:$J$362,2,0)</f>
        <v>252.53699999999998</v>
      </c>
      <c r="AK356" s="61">
        <f>+VLOOKUP(AI356,benchmark!K$7:$L$362,2,0)</f>
        <v>231.16800000000001</v>
      </c>
      <c r="AP356" s="15">
        <v>43263</v>
      </c>
      <c r="AQ356" s="12">
        <f t="shared" si="85"/>
        <v>6.2604257881981873E-4</v>
      </c>
      <c r="AR356" s="12">
        <f t="shared" si="85"/>
        <v>-4.7582176581739688E-5</v>
      </c>
      <c r="AY356" s="15">
        <v>43263</v>
      </c>
      <c r="AZ356" s="12">
        <f t="shared" si="92"/>
        <v>2.218677255788837E-4</v>
      </c>
    </row>
    <row r="357" spans="4:52" x14ac:dyDescent="0.75">
      <c r="D357" s="15">
        <v>43262</v>
      </c>
      <c r="E357" s="21">
        <f>+VLOOKUP(D357,Prezzi!$I$12:$J$367,2,0)</f>
        <v>4.9239940000000004</v>
      </c>
      <c r="F357" s="21">
        <f>+VLOOKUP(D357,Prezzi!$K$12:$L$367,2,0)/VLOOKUP(D357,Prezzi!$S$12:$T$367,2,0)</f>
        <v>237.88555725190835</v>
      </c>
      <c r="G357" s="1">
        <v>0</v>
      </c>
      <c r="H357" s="21">
        <f>+VLOOKUP(D357,Prezzi!$M$12:$N$367,2,0)/VLOOKUP(D357,Prezzi!$S$12:$T$367,2,0)</f>
        <v>21.751130619168787</v>
      </c>
      <c r="I357" s="1">
        <v>0</v>
      </c>
      <c r="J357" s="21">
        <f>+VLOOKUP(D357,Prezzi!$O$12:$P$367,2,0)/VLOOKUP(D357,Prezzi!$S$12:$T$367,2,0)</f>
        <v>42.481575063613228</v>
      </c>
      <c r="K357" s="1">
        <v>0</v>
      </c>
      <c r="L357" s="21">
        <f>+VLOOKUP(D357,Prezzi!$Q$12:$R$367,2,0)/VLOOKUP(D357,Prezzi!$S$12:$T$367,2,0)</f>
        <v>90.865391857506353</v>
      </c>
      <c r="M357" s="1">
        <v>0</v>
      </c>
      <c r="O357" s="1" t="str">
        <f t="shared" si="87"/>
        <v>201824</v>
      </c>
      <c r="P357" s="35">
        <v>43262</v>
      </c>
      <c r="Q357" s="12">
        <f t="shared" si="86"/>
        <v>1.1218733228287223E-3</v>
      </c>
      <c r="R357" s="12">
        <f t="shared" si="88"/>
        <v>-1.9861549178552375E-3</v>
      </c>
      <c r="S357" s="12">
        <f t="shared" si="89"/>
        <v>5.4317800783509704E-3</v>
      </c>
      <c r="T357" s="12">
        <f t="shared" si="90"/>
        <v>-2.4368988247974793E-3</v>
      </c>
      <c r="U357" s="12">
        <f t="shared" si="91"/>
        <v>-5.2756433843471765E-3</v>
      </c>
      <c r="AI357" s="15">
        <v>43262</v>
      </c>
      <c r="AJ357" s="99">
        <f>+VLOOKUP(AI357,benchmark!I$7:$J$362,2,0)</f>
        <v>252.37899999999999</v>
      </c>
      <c r="AK357" s="61">
        <f>+VLOOKUP(AI357,benchmark!K$7:$L$362,2,0)</f>
        <v>231.179</v>
      </c>
      <c r="AP357" s="15">
        <v>43262</v>
      </c>
      <c r="AQ357" s="12">
        <f t="shared" si="85"/>
        <v>3.1320675222881178E-3</v>
      </c>
      <c r="AR357" s="12">
        <f t="shared" si="85"/>
        <v>1.7679864454374083E-3</v>
      </c>
      <c r="AY357" s="15">
        <v>43262</v>
      </c>
      <c r="AZ357" s="12">
        <f t="shared" si="92"/>
        <v>2.313618876177692E-3</v>
      </c>
    </row>
    <row r="358" spans="4:52" x14ac:dyDescent="0.75">
      <c r="D358" s="15">
        <v>43259</v>
      </c>
      <c r="E358" s="21">
        <f>+VLOOKUP(D358,Prezzi!$I$12:$J$367,2,0)</f>
        <v>4.9184729999999997</v>
      </c>
      <c r="F358" s="21">
        <f>+VLOOKUP(D358,Prezzi!$K$12:$L$367,2,0)/VLOOKUP(D358,Prezzi!$S$12:$T$367,2,0)</f>
        <v>238.35850433894845</v>
      </c>
      <c r="G358" s="1">
        <v>0</v>
      </c>
      <c r="H358" s="21">
        <f>+VLOOKUP(D358,Prezzi!$M$12:$N$367,2,0)/VLOOKUP(D358,Prezzi!$S$12:$T$367,2,0)</f>
        <v>21.633303556236175</v>
      </c>
      <c r="I358" s="1">
        <v>0</v>
      </c>
      <c r="J358" s="21">
        <f>+VLOOKUP(D358,Prezzi!$O$12:$P$367,2,0)/VLOOKUP(D358,Prezzi!$S$12:$T$367,2,0)</f>
        <v>42.585224604389992</v>
      </c>
      <c r="K358" s="1">
        <v>0</v>
      </c>
      <c r="L358" s="21">
        <f>+VLOOKUP(D358,Prezzi!$Q$12:$R$367,2,0)/VLOOKUP(D358,Prezzi!$S$12:$T$367,2,0)</f>
        <v>91.346031989110088</v>
      </c>
      <c r="M358" s="1">
        <v>0</v>
      </c>
      <c r="O358" s="1" t="str">
        <f t="shared" si="87"/>
        <v>201823</v>
      </c>
      <c r="P358" s="35">
        <v>43259</v>
      </c>
      <c r="Q358" s="12">
        <f t="shared" si="86"/>
        <v>-1.4068417665726355E-4</v>
      </c>
      <c r="R358" s="12">
        <f t="shared" si="88"/>
        <v>1.0110862151345273E-2</v>
      </c>
      <c r="S358" s="12">
        <f t="shared" si="89"/>
        <v>2.4350520054162643E-3</v>
      </c>
      <c r="T358" s="12">
        <f t="shared" si="90"/>
        <v>7.1951102048393644E-3</v>
      </c>
      <c r="U358" s="12">
        <f t="shared" si="91"/>
        <v>5.5329079528663016E-3</v>
      </c>
      <c r="AI358" s="15">
        <v>43259</v>
      </c>
      <c r="AJ358" s="99">
        <f>+VLOOKUP(AI358,benchmark!I$7:$J$362,2,0)</f>
        <v>251.59099999999998</v>
      </c>
      <c r="AK358" s="61">
        <f>+VLOOKUP(AI358,benchmark!K$7:$L$362,2,0)</f>
        <v>230.77099999999999</v>
      </c>
      <c r="AP358" s="15">
        <v>43259</v>
      </c>
      <c r="AQ358" s="12">
        <f t="shared" si="85"/>
        <v>-1.3931777948894553E-3</v>
      </c>
      <c r="AR358" s="12">
        <f t="shared" si="85"/>
        <v>-4.6344822806854147E-4</v>
      </c>
      <c r="AY358" s="15">
        <v>43259</v>
      </c>
      <c r="AZ358" s="12">
        <f t="shared" si="92"/>
        <v>-8.3534005479690698E-4</v>
      </c>
    </row>
    <row r="359" spans="4:52" x14ac:dyDescent="0.75">
      <c r="D359" s="15">
        <v>43258</v>
      </c>
      <c r="E359" s="21">
        <f>+VLOOKUP(D359,Prezzi!$I$12:$J$367,2,0)</f>
        <v>4.9191649999999996</v>
      </c>
      <c r="F359" s="21">
        <f>+VLOOKUP(D359,Prezzi!$K$12:$L$367,2,0)/VLOOKUP(D359,Prezzi!$S$12:$T$367,2,0)</f>
        <v>235.96063703954039</v>
      </c>
      <c r="G359" s="1">
        <v>0</v>
      </c>
      <c r="H359" s="21">
        <f>+VLOOKUP(D359,Prezzi!$M$12:$N$367,2,0)/VLOOKUP(D359,Prezzi!$S$12:$T$367,2,0)</f>
        <v>21.580689422102061</v>
      </c>
      <c r="I359" s="1">
        <v>0</v>
      </c>
      <c r="J359" s="21">
        <f>+VLOOKUP(D359,Prezzi!$O$12:$P$367,2,0)/VLOOKUP(D359,Prezzi!$S$12:$T$367,2,0)</f>
        <v>42.279918891517404</v>
      </c>
      <c r="K359" s="1">
        <v>0</v>
      </c>
      <c r="L359" s="21">
        <f>+VLOOKUP(D359,Prezzi!$Q$12:$R$367,2,0)/VLOOKUP(D359,Prezzi!$S$12:$T$367,2,0)</f>
        <v>90.842018418384583</v>
      </c>
      <c r="M359" s="126">
        <f>0.45/VLOOKUP(D359,Prezzi!$S$12:$T$367,2,0)</f>
        <v>0.38019601216627241</v>
      </c>
      <c r="O359" s="1" t="str">
        <f t="shared" si="87"/>
        <v>201823</v>
      </c>
      <c r="P359" s="35">
        <v>43258</v>
      </c>
      <c r="Q359" s="12">
        <f t="shared" si="86"/>
        <v>1.425037049520394E-3</v>
      </c>
      <c r="R359" s="12">
        <f t="shared" si="88"/>
        <v>-6.5513710010777267E-3</v>
      </c>
      <c r="S359" s="12">
        <f t="shared" si="89"/>
        <v>-4.4263965817773736E-3</v>
      </c>
      <c r="T359" s="12">
        <f t="shared" si="90"/>
        <v>-5.1668336079149545E-3</v>
      </c>
      <c r="U359" s="12">
        <f t="shared" si="91"/>
        <v>-2.6201204070949186E-3</v>
      </c>
      <c r="AI359" s="15">
        <v>43258</v>
      </c>
      <c r="AJ359" s="99">
        <f>+VLOOKUP(AI359,benchmark!I$7:$J$362,2,0)</f>
        <v>251.94200000000001</v>
      </c>
      <c r="AK359" s="61">
        <f>+VLOOKUP(AI359,benchmark!K$7:$L$362,2,0)</f>
        <v>230.87799999999999</v>
      </c>
      <c r="AP359" s="15">
        <v>43258</v>
      </c>
      <c r="AQ359" s="12">
        <f t="shared" si="85"/>
        <v>5.083116903747964E-4</v>
      </c>
      <c r="AR359" s="12">
        <f t="shared" si="85"/>
        <v>-1.500702778678864E-3</v>
      </c>
      <c r="AY359" s="15">
        <v>43258</v>
      </c>
      <c r="AZ359" s="12">
        <f t="shared" si="92"/>
        <v>-6.970969910573998E-4</v>
      </c>
    </row>
    <row r="360" spans="4:52" x14ac:dyDescent="0.75">
      <c r="D360" s="15">
        <v>43257</v>
      </c>
      <c r="E360" s="21">
        <f>+VLOOKUP(D360,Prezzi!$I$12:$J$367,2,0)</f>
        <v>4.9121600000000001</v>
      </c>
      <c r="F360" s="21">
        <f>+VLOOKUP(D360,Prezzi!$K$12:$L$367,2,0)/VLOOKUP(D360,Prezzi!$S$12:$T$367,2,0)</f>
        <v>237.51157756056097</v>
      </c>
      <c r="G360" s="1">
        <v>0</v>
      </c>
      <c r="H360" s="21">
        <f>+VLOOKUP(D360,Prezzi!$M$12:$N$367,2,0)/VLOOKUP(D360,Prezzi!$S$12:$T$367,2,0)</f>
        <v>21.676425839354014</v>
      </c>
      <c r="I360" s="1">
        <v>0</v>
      </c>
      <c r="J360" s="21">
        <f>+VLOOKUP(D360,Prezzi!$O$12:$P$367,2,0)/VLOOKUP(D360,Prezzi!$S$12:$T$367,2,0)</f>
        <v>42.498937526561832</v>
      </c>
      <c r="K360" s="1">
        <v>0</v>
      </c>
      <c r="L360" s="21">
        <f>+VLOOKUP(D360,Prezzi!$Q$12:$R$367,2,0)/VLOOKUP(D360,Prezzi!$S$12:$T$367,2,0)</f>
        <v>91.461541011474694</v>
      </c>
      <c r="M360" s="1">
        <v>0</v>
      </c>
      <c r="P360" s="3"/>
      <c r="AI360" s="15">
        <v>43257</v>
      </c>
      <c r="AJ360" s="99">
        <f>+VLOOKUP(AI360,benchmark!I$7:$J$362,2,0)</f>
        <v>251.81399999999999</v>
      </c>
      <c r="AK360" s="61">
        <f>+VLOOKUP(AI360,benchmark!K$7:$L$362,2,0)</f>
        <v>231.22499999999999</v>
      </c>
      <c r="AP360" s="38"/>
      <c r="AY360" s="38"/>
      <c r="AZ360" s="12"/>
    </row>
    <row r="361" spans="4:52" x14ac:dyDescent="0.75">
      <c r="D361" s="35"/>
      <c r="P361" s="3"/>
      <c r="AI361" s="3"/>
      <c r="AP361" s="3"/>
      <c r="AY361" s="3"/>
    </row>
    <row r="362" spans="4:52" x14ac:dyDescent="0.75">
      <c r="D362" s="3"/>
      <c r="P362" s="3"/>
      <c r="AI362" s="3"/>
      <c r="AP362" s="3"/>
      <c r="AY362" s="3"/>
    </row>
    <row r="363" spans="4:52" x14ac:dyDescent="0.75">
      <c r="D363" s="3"/>
      <c r="P363" s="3"/>
      <c r="AI363" s="3"/>
      <c r="AP363" s="3"/>
      <c r="AY363" s="3"/>
    </row>
    <row r="364" spans="4:52" x14ac:dyDescent="0.75">
      <c r="D364" s="3"/>
      <c r="P364" s="3"/>
      <c r="AI364" s="3"/>
      <c r="AP364" s="3"/>
      <c r="AY364" s="3"/>
    </row>
    <row r="365" spans="4:52" x14ac:dyDescent="0.75">
      <c r="D365" s="3"/>
      <c r="P365" s="3"/>
      <c r="AI365" s="3"/>
      <c r="AP365" s="3"/>
      <c r="AY365" s="3"/>
    </row>
    <row r="366" spans="4:52" x14ac:dyDescent="0.75">
      <c r="D366" s="3"/>
      <c r="P366" s="3"/>
      <c r="AI366" s="3"/>
      <c r="AP366" s="3"/>
      <c r="AY366" s="3"/>
    </row>
    <row r="367" spans="4:52" x14ac:dyDescent="0.75">
      <c r="D367" s="3"/>
      <c r="P367" s="3"/>
      <c r="AI367" s="3"/>
      <c r="AP367" s="3"/>
      <c r="AY367" s="3"/>
    </row>
    <row r="368" spans="4:52" x14ac:dyDescent="0.75">
      <c r="D368" s="3"/>
      <c r="P368" s="3"/>
      <c r="AI368" s="39"/>
      <c r="AJ368" s="102"/>
      <c r="AK368" s="19"/>
      <c r="AL368" s="19"/>
      <c r="AM368" s="19"/>
      <c r="AN368" s="10"/>
      <c r="AO368" s="10"/>
      <c r="AP368" s="39"/>
      <c r="AQ368" s="32"/>
      <c r="AR368" s="32"/>
      <c r="AS368" s="32"/>
      <c r="AT368" s="32"/>
      <c r="AU368" s="10"/>
      <c r="AV368" s="10"/>
      <c r="AW368" s="10"/>
      <c r="AX368" s="10"/>
      <c r="AY368" s="39"/>
      <c r="AZ368" s="10"/>
    </row>
    <row r="369" spans="4:52" x14ac:dyDescent="0.75">
      <c r="D369" s="3"/>
      <c r="P369" s="3"/>
      <c r="AI369" s="39"/>
      <c r="AJ369" s="102"/>
      <c r="AK369" s="19"/>
      <c r="AL369" s="19"/>
      <c r="AM369" s="19"/>
      <c r="AN369" s="10"/>
      <c r="AO369" s="10"/>
      <c r="AP369" s="39"/>
      <c r="AQ369" s="32"/>
      <c r="AR369" s="32"/>
      <c r="AS369" s="32"/>
      <c r="AT369" s="32"/>
      <c r="AU369" s="10"/>
      <c r="AV369" s="10"/>
      <c r="AW369" s="10"/>
      <c r="AX369" s="10"/>
      <c r="AY369" s="39"/>
      <c r="AZ369" s="10"/>
    </row>
    <row r="370" spans="4:52" x14ac:dyDescent="0.75">
      <c r="D370" s="3"/>
      <c r="P370" s="3"/>
      <c r="AI370" s="39"/>
      <c r="AJ370" s="102"/>
      <c r="AK370" s="19"/>
      <c r="AL370" s="19"/>
      <c r="AM370" s="19"/>
      <c r="AN370" s="10"/>
      <c r="AO370" s="10"/>
      <c r="AP370" s="39"/>
      <c r="AQ370" s="32"/>
      <c r="AR370" s="32"/>
      <c r="AS370" s="32"/>
      <c r="AT370" s="32"/>
      <c r="AU370" s="10"/>
      <c r="AV370" s="10"/>
      <c r="AW370" s="10"/>
      <c r="AX370" s="10"/>
      <c r="AY370" s="39"/>
      <c r="AZ370" s="10"/>
    </row>
    <row r="371" spans="4:52" x14ac:dyDescent="0.75">
      <c r="D371" s="3"/>
      <c r="P371" s="3"/>
      <c r="AI371" s="39"/>
      <c r="AJ371" s="102"/>
      <c r="AK371" s="19"/>
      <c r="AL371" s="19"/>
      <c r="AM371" s="19"/>
      <c r="AN371" s="10"/>
      <c r="AO371" s="10"/>
      <c r="AP371" s="39"/>
      <c r="AQ371" s="32"/>
      <c r="AR371" s="32"/>
      <c r="AS371" s="32"/>
      <c r="AT371" s="32"/>
      <c r="AU371" s="10"/>
      <c r="AV371" s="10"/>
      <c r="AW371" s="10"/>
      <c r="AX371" s="10"/>
      <c r="AY371" s="39"/>
      <c r="AZ371" s="10"/>
    </row>
    <row r="372" spans="4:52" x14ac:dyDescent="0.75">
      <c r="D372" s="3"/>
      <c r="P372" s="3"/>
      <c r="AI372" s="39"/>
      <c r="AJ372" s="102"/>
      <c r="AK372" s="19"/>
      <c r="AL372" s="19"/>
      <c r="AM372" s="19"/>
      <c r="AN372" s="10"/>
      <c r="AO372" s="10"/>
      <c r="AP372" s="39"/>
      <c r="AQ372" s="32"/>
      <c r="AR372" s="32"/>
      <c r="AS372" s="32"/>
      <c r="AT372" s="32"/>
      <c r="AU372" s="10"/>
      <c r="AV372" s="10"/>
      <c r="AW372" s="10"/>
      <c r="AX372" s="10"/>
      <c r="AY372" s="39"/>
      <c r="AZ372" s="10"/>
    </row>
    <row r="373" spans="4:52" x14ac:dyDescent="0.75">
      <c r="D373" s="3"/>
      <c r="P373" s="3"/>
      <c r="AI373" s="39"/>
      <c r="AJ373" s="102"/>
      <c r="AK373" s="19"/>
      <c r="AL373" s="19"/>
      <c r="AM373" s="19"/>
      <c r="AN373" s="10"/>
      <c r="AO373" s="10"/>
      <c r="AP373" s="39"/>
      <c r="AQ373" s="32"/>
      <c r="AR373" s="32"/>
      <c r="AS373" s="32"/>
      <c r="AT373" s="32"/>
      <c r="AU373" s="10"/>
      <c r="AV373" s="10"/>
      <c r="AW373" s="10"/>
      <c r="AX373" s="10"/>
      <c r="AY373" s="39"/>
      <c r="AZ373" s="10"/>
    </row>
    <row r="374" spans="4:52" x14ac:dyDescent="0.75">
      <c r="D374" s="3"/>
      <c r="P374" s="3"/>
      <c r="AI374" s="39"/>
      <c r="AJ374" s="102"/>
      <c r="AK374" s="19"/>
      <c r="AL374" s="19"/>
      <c r="AM374" s="19"/>
      <c r="AN374" s="10"/>
      <c r="AO374" s="10"/>
      <c r="AP374" s="39"/>
      <c r="AQ374" s="32"/>
      <c r="AR374" s="32"/>
      <c r="AS374" s="32"/>
      <c r="AT374" s="32"/>
      <c r="AU374" s="10"/>
      <c r="AV374" s="10"/>
      <c r="AW374" s="10"/>
      <c r="AX374" s="10"/>
      <c r="AY374" s="39"/>
      <c r="AZ374" s="10"/>
    </row>
    <row r="375" spans="4:52" x14ac:dyDescent="0.75">
      <c r="D375" s="3"/>
      <c r="P375" s="3"/>
      <c r="AI375" s="39"/>
      <c r="AJ375" s="102"/>
      <c r="AK375" s="19"/>
      <c r="AL375" s="19"/>
      <c r="AM375" s="19"/>
      <c r="AN375" s="10"/>
      <c r="AO375" s="10"/>
      <c r="AP375" s="39"/>
      <c r="AQ375" s="32"/>
      <c r="AR375" s="32"/>
      <c r="AS375" s="32"/>
      <c r="AT375" s="32"/>
      <c r="AU375" s="10"/>
      <c r="AV375" s="10"/>
      <c r="AW375" s="10"/>
      <c r="AX375" s="10"/>
      <c r="AY375" s="39"/>
      <c r="AZ375" s="10"/>
    </row>
    <row r="376" spans="4:52" x14ac:dyDescent="0.75">
      <c r="D376" s="3"/>
      <c r="P376" s="3"/>
      <c r="AI376" s="39"/>
      <c r="AJ376" s="102"/>
      <c r="AK376" s="19"/>
      <c r="AL376" s="19"/>
      <c r="AM376" s="19"/>
      <c r="AN376" s="10"/>
      <c r="AO376" s="10"/>
      <c r="AP376" s="39"/>
      <c r="AQ376" s="32"/>
      <c r="AR376" s="32"/>
      <c r="AS376" s="32"/>
      <c r="AT376" s="32"/>
      <c r="AU376" s="10"/>
      <c r="AV376" s="10"/>
      <c r="AW376" s="10"/>
      <c r="AX376" s="10"/>
      <c r="AY376" s="39"/>
      <c r="AZ376" s="10"/>
    </row>
    <row r="377" spans="4:52" x14ac:dyDescent="0.75">
      <c r="D377" s="3"/>
      <c r="P377" s="3"/>
      <c r="AI377" s="39"/>
      <c r="AJ377" s="102"/>
      <c r="AK377" s="19"/>
      <c r="AL377" s="19"/>
      <c r="AM377" s="19"/>
      <c r="AN377" s="10"/>
      <c r="AO377" s="10"/>
      <c r="AP377" s="39"/>
      <c r="AQ377" s="32"/>
      <c r="AR377" s="32"/>
      <c r="AS377" s="32"/>
      <c r="AT377" s="32"/>
      <c r="AU377" s="10"/>
      <c r="AV377" s="10"/>
      <c r="AW377" s="10"/>
      <c r="AX377" s="10"/>
      <c r="AY377" s="39"/>
      <c r="AZ377" s="10"/>
    </row>
    <row r="378" spans="4:52" x14ac:dyDescent="0.75">
      <c r="D378" s="3"/>
      <c r="P378" s="3"/>
      <c r="AI378" s="39"/>
      <c r="AJ378" s="102"/>
      <c r="AK378" s="19"/>
      <c r="AL378" s="19"/>
      <c r="AM378" s="19"/>
      <c r="AN378" s="10"/>
      <c r="AO378" s="10"/>
      <c r="AP378" s="39"/>
      <c r="AQ378" s="32"/>
      <c r="AR378" s="32"/>
      <c r="AS378" s="32"/>
      <c r="AT378" s="32"/>
      <c r="AU378" s="10"/>
      <c r="AV378" s="10"/>
      <c r="AW378" s="10"/>
      <c r="AX378" s="10"/>
      <c r="AY378" s="39"/>
      <c r="AZ378" s="10"/>
    </row>
    <row r="379" spans="4:52" x14ac:dyDescent="0.75">
      <c r="D379" s="3"/>
      <c r="P379" s="3"/>
      <c r="AI379" s="39"/>
      <c r="AJ379" s="102"/>
      <c r="AK379" s="19"/>
      <c r="AL379" s="19"/>
      <c r="AM379" s="19"/>
      <c r="AN379" s="10"/>
      <c r="AO379" s="10"/>
      <c r="AP379" s="39"/>
      <c r="AQ379" s="32"/>
      <c r="AR379" s="32"/>
      <c r="AS379" s="32"/>
      <c r="AT379" s="32"/>
      <c r="AU379" s="10"/>
      <c r="AV379" s="10"/>
      <c r="AW379" s="10"/>
      <c r="AX379" s="10"/>
      <c r="AY379" s="39"/>
      <c r="AZ379" s="10"/>
    </row>
    <row r="380" spans="4:52" x14ac:dyDescent="0.75">
      <c r="D380" s="3"/>
      <c r="P380" s="3"/>
      <c r="AI380" s="39"/>
      <c r="AJ380" s="102"/>
      <c r="AK380" s="19"/>
      <c r="AL380" s="19"/>
      <c r="AM380" s="19"/>
      <c r="AN380" s="10"/>
      <c r="AO380" s="10"/>
      <c r="AP380" s="39"/>
      <c r="AQ380" s="32"/>
      <c r="AR380" s="32"/>
      <c r="AS380" s="32"/>
      <c r="AT380" s="32"/>
      <c r="AU380" s="10"/>
      <c r="AV380" s="10"/>
      <c r="AW380" s="10"/>
      <c r="AX380" s="10"/>
      <c r="AY380" s="39"/>
      <c r="AZ380" s="10"/>
    </row>
    <row r="381" spans="4:52" x14ac:dyDescent="0.75">
      <c r="D381" s="3"/>
      <c r="P381" s="3"/>
      <c r="AI381" s="39"/>
      <c r="AJ381" s="102"/>
      <c r="AK381" s="19"/>
      <c r="AL381" s="19"/>
      <c r="AM381" s="19"/>
      <c r="AN381" s="10"/>
      <c r="AO381" s="10"/>
      <c r="AP381" s="39"/>
      <c r="AQ381" s="32"/>
      <c r="AR381" s="32"/>
      <c r="AS381" s="32"/>
      <c r="AT381" s="32"/>
      <c r="AU381" s="10"/>
      <c r="AV381" s="10"/>
      <c r="AW381" s="10"/>
      <c r="AX381" s="10"/>
      <c r="AY381" s="39"/>
      <c r="AZ381" s="10"/>
    </row>
    <row r="382" spans="4:52" x14ac:dyDescent="0.75">
      <c r="D382" s="3"/>
      <c r="P382" s="3"/>
      <c r="AI382" s="39"/>
      <c r="AJ382" s="102"/>
      <c r="AK382" s="19"/>
      <c r="AL382" s="19"/>
      <c r="AM382" s="19"/>
      <c r="AN382" s="10"/>
      <c r="AO382" s="10"/>
      <c r="AP382" s="39"/>
      <c r="AQ382" s="32"/>
      <c r="AR382" s="32"/>
      <c r="AS382" s="32"/>
      <c r="AT382" s="32"/>
      <c r="AU382" s="10"/>
      <c r="AV382" s="10"/>
      <c r="AW382" s="10"/>
      <c r="AX382" s="10"/>
      <c r="AY382" s="39"/>
      <c r="AZ382" s="10"/>
    </row>
    <row r="383" spans="4:52" x14ac:dyDescent="0.75">
      <c r="D383" s="3"/>
      <c r="P383" s="3"/>
      <c r="AI383" s="39"/>
      <c r="AJ383" s="102"/>
      <c r="AK383" s="19"/>
      <c r="AL383" s="19"/>
      <c r="AM383" s="19"/>
      <c r="AN383" s="10"/>
      <c r="AO383" s="10"/>
      <c r="AP383" s="39"/>
      <c r="AQ383" s="32"/>
      <c r="AR383" s="32"/>
      <c r="AS383" s="32"/>
      <c r="AT383" s="32"/>
      <c r="AU383" s="10"/>
      <c r="AV383" s="10"/>
      <c r="AW383" s="10"/>
      <c r="AX383" s="10"/>
      <c r="AY383" s="39"/>
      <c r="AZ383" s="10"/>
    </row>
    <row r="384" spans="4:52" x14ac:dyDescent="0.75">
      <c r="D384" s="3"/>
      <c r="P384" s="3"/>
      <c r="AI384" s="39"/>
      <c r="AJ384" s="102"/>
      <c r="AK384" s="19"/>
      <c r="AL384" s="19"/>
      <c r="AM384" s="19"/>
      <c r="AN384" s="10"/>
      <c r="AO384" s="10"/>
      <c r="AP384" s="39"/>
      <c r="AQ384" s="32"/>
      <c r="AR384" s="32"/>
      <c r="AS384" s="32"/>
      <c r="AT384" s="32"/>
      <c r="AU384" s="10"/>
      <c r="AV384" s="10"/>
      <c r="AW384" s="10"/>
      <c r="AX384" s="10"/>
      <c r="AY384" s="39"/>
      <c r="AZ384" s="10"/>
    </row>
    <row r="385" spans="4:52" x14ac:dyDescent="0.75">
      <c r="D385" s="3"/>
      <c r="P385" s="3"/>
      <c r="AI385" s="39"/>
      <c r="AJ385" s="102"/>
      <c r="AK385" s="19"/>
      <c r="AL385" s="19"/>
      <c r="AM385" s="19"/>
      <c r="AN385" s="10"/>
      <c r="AO385" s="10"/>
      <c r="AP385" s="39"/>
      <c r="AQ385" s="32"/>
      <c r="AR385" s="32"/>
      <c r="AS385" s="32"/>
      <c r="AT385" s="32"/>
      <c r="AU385" s="10"/>
      <c r="AV385" s="10"/>
      <c r="AW385" s="10"/>
      <c r="AX385" s="10"/>
      <c r="AY385" s="39"/>
      <c r="AZ385" s="10"/>
    </row>
    <row r="386" spans="4:52" x14ac:dyDescent="0.75">
      <c r="D386" s="3"/>
      <c r="P386" s="3"/>
      <c r="AI386" s="39"/>
      <c r="AJ386" s="102"/>
      <c r="AK386" s="19"/>
      <c r="AL386" s="19"/>
      <c r="AM386" s="19"/>
      <c r="AN386" s="10"/>
      <c r="AO386" s="10"/>
      <c r="AP386" s="39"/>
      <c r="AQ386" s="32"/>
      <c r="AR386" s="32"/>
      <c r="AS386" s="32"/>
      <c r="AT386" s="32"/>
      <c r="AU386" s="10"/>
      <c r="AV386" s="10"/>
      <c r="AW386" s="10"/>
      <c r="AX386" s="10"/>
      <c r="AY386" s="39"/>
      <c r="AZ386" s="10"/>
    </row>
    <row r="387" spans="4:52" x14ac:dyDescent="0.75">
      <c r="D387" s="3"/>
      <c r="P387" s="3"/>
      <c r="AI387" s="39"/>
      <c r="AJ387" s="102"/>
      <c r="AK387" s="19"/>
      <c r="AL387" s="19"/>
      <c r="AM387" s="19"/>
      <c r="AN387" s="10"/>
      <c r="AO387" s="10"/>
      <c r="AP387" s="39"/>
      <c r="AQ387" s="32"/>
      <c r="AR387" s="32"/>
      <c r="AS387" s="32"/>
      <c r="AT387" s="32"/>
      <c r="AU387" s="10"/>
      <c r="AV387" s="10"/>
      <c r="AW387" s="10"/>
      <c r="AX387" s="10"/>
      <c r="AY387" s="39"/>
      <c r="AZ387" s="10"/>
    </row>
    <row r="388" spans="4:52" x14ac:dyDescent="0.75">
      <c r="D388" s="3"/>
      <c r="P388" s="3"/>
      <c r="AI388" s="39"/>
      <c r="AJ388" s="102"/>
      <c r="AK388" s="19"/>
      <c r="AL388" s="19"/>
      <c r="AM388" s="19"/>
      <c r="AN388" s="10"/>
      <c r="AO388" s="10"/>
      <c r="AP388" s="39"/>
      <c r="AQ388" s="32"/>
      <c r="AR388" s="32"/>
      <c r="AS388" s="32"/>
      <c r="AT388" s="32"/>
      <c r="AU388" s="10"/>
      <c r="AV388" s="10"/>
      <c r="AW388" s="10"/>
      <c r="AX388" s="10"/>
      <c r="AY388" s="39"/>
      <c r="AZ388" s="10"/>
    </row>
    <row r="389" spans="4:52" x14ac:dyDescent="0.75">
      <c r="D389" s="3"/>
      <c r="P389" s="3"/>
      <c r="AI389" s="39"/>
      <c r="AJ389" s="102"/>
      <c r="AK389" s="19"/>
      <c r="AL389" s="19"/>
      <c r="AM389" s="19"/>
      <c r="AN389" s="10"/>
      <c r="AO389" s="10"/>
      <c r="AP389" s="39"/>
      <c r="AQ389" s="32"/>
      <c r="AR389" s="32"/>
      <c r="AS389" s="32"/>
      <c r="AT389" s="32"/>
      <c r="AU389" s="10"/>
      <c r="AV389" s="10"/>
      <c r="AW389" s="10"/>
      <c r="AX389" s="10"/>
      <c r="AY389" s="39"/>
      <c r="AZ389" s="10"/>
    </row>
    <row r="390" spans="4:52" x14ac:dyDescent="0.75">
      <c r="D390" s="3"/>
      <c r="P390" s="3"/>
      <c r="AI390" s="39"/>
      <c r="AJ390" s="102"/>
      <c r="AK390" s="19"/>
      <c r="AL390" s="19"/>
      <c r="AM390" s="19"/>
      <c r="AN390" s="10"/>
      <c r="AO390" s="10"/>
      <c r="AP390" s="39"/>
      <c r="AQ390" s="32"/>
      <c r="AR390" s="32"/>
      <c r="AS390" s="32"/>
      <c r="AT390" s="32"/>
      <c r="AU390" s="10"/>
      <c r="AV390" s="10"/>
      <c r="AW390" s="10"/>
      <c r="AX390" s="10"/>
      <c r="AY390" s="39"/>
      <c r="AZ390" s="10"/>
    </row>
    <row r="391" spans="4:52" x14ac:dyDescent="0.75">
      <c r="D391" s="3"/>
      <c r="P391" s="3"/>
      <c r="AI391" s="39"/>
      <c r="AJ391" s="102"/>
      <c r="AK391" s="19"/>
      <c r="AL391" s="19"/>
      <c r="AM391" s="19"/>
      <c r="AN391" s="10"/>
      <c r="AO391" s="10"/>
      <c r="AP391" s="39"/>
      <c r="AQ391" s="32"/>
      <c r="AR391" s="32"/>
      <c r="AS391" s="32"/>
      <c r="AT391" s="32"/>
      <c r="AU391" s="10"/>
      <c r="AV391" s="10"/>
      <c r="AW391" s="10"/>
      <c r="AX391" s="10"/>
      <c r="AY391" s="39"/>
      <c r="AZ391" s="10"/>
    </row>
    <row r="392" spans="4:52" x14ac:dyDescent="0.75">
      <c r="D392" s="3"/>
      <c r="P392" s="3"/>
      <c r="AI392" s="39"/>
      <c r="AJ392" s="102"/>
      <c r="AK392" s="19"/>
      <c r="AL392" s="19"/>
      <c r="AM392" s="19"/>
      <c r="AN392" s="10"/>
      <c r="AO392" s="10"/>
      <c r="AP392" s="39"/>
      <c r="AQ392" s="32"/>
      <c r="AR392" s="32"/>
      <c r="AS392" s="32"/>
      <c r="AT392" s="32"/>
      <c r="AU392" s="10"/>
      <c r="AV392" s="10"/>
      <c r="AW392" s="10"/>
      <c r="AX392" s="10"/>
      <c r="AY392" s="39"/>
      <c r="AZ392" s="10"/>
    </row>
    <row r="393" spans="4:52" x14ac:dyDescent="0.75">
      <c r="D393" s="3"/>
      <c r="P393" s="3"/>
      <c r="AI393" s="39"/>
      <c r="AJ393" s="102"/>
      <c r="AK393" s="19"/>
      <c r="AL393" s="19"/>
      <c r="AM393" s="19"/>
      <c r="AN393" s="10"/>
      <c r="AO393" s="10"/>
      <c r="AP393" s="39"/>
      <c r="AQ393" s="32"/>
      <c r="AR393" s="32"/>
      <c r="AS393" s="32"/>
      <c r="AT393" s="32"/>
      <c r="AU393" s="10"/>
      <c r="AV393" s="10"/>
      <c r="AW393" s="10"/>
      <c r="AX393" s="10"/>
      <c r="AY393" s="39"/>
      <c r="AZ393" s="10"/>
    </row>
    <row r="394" spans="4:52" x14ac:dyDescent="0.75">
      <c r="D394" s="3"/>
      <c r="P394" s="3"/>
      <c r="AI394" s="39"/>
      <c r="AJ394" s="102"/>
      <c r="AK394" s="19"/>
      <c r="AL394" s="19"/>
      <c r="AM394" s="19"/>
      <c r="AN394" s="10"/>
      <c r="AO394" s="10"/>
      <c r="AP394" s="39"/>
      <c r="AQ394" s="32"/>
      <c r="AR394" s="32"/>
      <c r="AS394" s="32"/>
      <c r="AT394" s="32"/>
      <c r="AU394" s="10"/>
      <c r="AV394" s="10"/>
      <c r="AW394" s="10"/>
      <c r="AX394" s="10"/>
      <c r="AY394" s="39"/>
      <c r="AZ394" s="10"/>
    </row>
    <row r="395" spans="4:52" x14ac:dyDescent="0.75">
      <c r="D395" s="3"/>
      <c r="P395" s="3"/>
      <c r="AI395" s="39"/>
      <c r="AJ395" s="102"/>
      <c r="AK395" s="19"/>
      <c r="AL395" s="19"/>
      <c r="AM395" s="19"/>
      <c r="AN395" s="10"/>
      <c r="AO395" s="10"/>
      <c r="AP395" s="39"/>
      <c r="AQ395" s="32"/>
      <c r="AR395" s="32"/>
      <c r="AS395" s="32"/>
      <c r="AT395" s="32"/>
      <c r="AU395" s="10"/>
      <c r="AV395" s="10"/>
      <c r="AW395" s="10"/>
      <c r="AX395" s="10"/>
      <c r="AY395" s="39"/>
      <c r="AZ395" s="10"/>
    </row>
    <row r="396" spans="4:52" x14ac:dyDescent="0.75">
      <c r="D396" s="3"/>
      <c r="P396" s="3"/>
      <c r="AI396" s="39"/>
      <c r="AJ396" s="102"/>
      <c r="AK396" s="19"/>
      <c r="AL396" s="19"/>
      <c r="AM396" s="19"/>
      <c r="AN396" s="10"/>
      <c r="AO396" s="10"/>
      <c r="AP396" s="39"/>
      <c r="AQ396" s="32"/>
      <c r="AR396" s="32"/>
      <c r="AS396" s="32"/>
      <c r="AT396" s="32"/>
      <c r="AU396" s="10"/>
      <c r="AV396" s="10"/>
      <c r="AW396" s="10"/>
      <c r="AX396" s="10"/>
      <c r="AY396" s="39"/>
      <c r="AZ396" s="10"/>
    </row>
    <row r="397" spans="4:52" x14ac:dyDescent="0.75">
      <c r="D397" s="3"/>
      <c r="P397" s="3"/>
      <c r="AI397" s="39"/>
      <c r="AJ397" s="102"/>
      <c r="AK397" s="19"/>
      <c r="AL397" s="19"/>
      <c r="AM397" s="19"/>
      <c r="AN397" s="10"/>
      <c r="AO397" s="10"/>
      <c r="AP397" s="39"/>
      <c r="AQ397" s="32"/>
      <c r="AR397" s="32"/>
      <c r="AS397" s="32"/>
      <c r="AT397" s="32"/>
      <c r="AU397" s="10"/>
      <c r="AV397" s="10"/>
      <c r="AW397" s="10"/>
      <c r="AX397" s="10"/>
      <c r="AY397" s="39"/>
      <c r="AZ397" s="10"/>
    </row>
    <row r="398" spans="4:52" x14ac:dyDescent="0.75">
      <c r="D398" s="3"/>
      <c r="P398" s="3"/>
      <c r="AI398" s="39"/>
      <c r="AJ398" s="102"/>
      <c r="AK398" s="19"/>
      <c r="AL398" s="19"/>
      <c r="AM398" s="19"/>
      <c r="AN398" s="10"/>
      <c r="AO398" s="10"/>
      <c r="AP398" s="39"/>
      <c r="AQ398" s="32"/>
      <c r="AR398" s="32"/>
      <c r="AS398" s="32"/>
      <c r="AT398" s="32"/>
      <c r="AU398" s="10"/>
      <c r="AV398" s="10"/>
      <c r="AW398" s="10"/>
      <c r="AX398" s="10"/>
      <c r="AY398" s="39"/>
      <c r="AZ398" s="10"/>
    </row>
    <row r="399" spans="4:52" x14ac:dyDescent="0.75">
      <c r="D399" s="3"/>
      <c r="P399" s="3"/>
      <c r="AI399" s="39"/>
      <c r="AJ399" s="102"/>
      <c r="AK399" s="19"/>
      <c r="AL399" s="19"/>
      <c r="AM399" s="19"/>
      <c r="AN399" s="10"/>
      <c r="AO399" s="10"/>
      <c r="AP399" s="39"/>
      <c r="AQ399" s="32"/>
      <c r="AR399" s="32"/>
      <c r="AS399" s="32"/>
      <c r="AT399" s="32"/>
      <c r="AU399" s="10"/>
      <c r="AV399" s="10"/>
      <c r="AW399" s="10"/>
      <c r="AX399" s="10"/>
      <c r="AY399" s="39"/>
      <c r="AZ399" s="10"/>
    </row>
    <row r="400" spans="4:52" x14ac:dyDescent="0.75">
      <c r="D400" s="3"/>
      <c r="P400" s="3"/>
      <c r="AI400" s="39"/>
      <c r="AJ400" s="102"/>
      <c r="AK400" s="19"/>
      <c r="AL400" s="19"/>
      <c r="AM400" s="19"/>
      <c r="AN400" s="10"/>
      <c r="AO400" s="10"/>
      <c r="AP400" s="39"/>
      <c r="AQ400" s="32"/>
      <c r="AR400" s="32"/>
      <c r="AS400" s="32"/>
      <c r="AT400" s="32"/>
      <c r="AU400" s="10"/>
      <c r="AV400" s="10"/>
      <c r="AW400" s="10"/>
      <c r="AX400" s="10"/>
      <c r="AY400" s="39"/>
      <c r="AZ400" s="10"/>
    </row>
    <row r="401" spans="4:52" x14ac:dyDescent="0.75">
      <c r="D401" s="3"/>
      <c r="P401" s="3"/>
      <c r="AI401" s="39"/>
      <c r="AJ401" s="102"/>
      <c r="AK401" s="19"/>
      <c r="AL401" s="19"/>
      <c r="AM401" s="19"/>
      <c r="AN401" s="10"/>
      <c r="AO401" s="10"/>
      <c r="AP401" s="39"/>
      <c r="AQ401" s="32"/>
      <c r="AR401" s="32"/>
      <c r="AS401" s="32"/>
      <c r="AT401" s="32"/>
      <c r="AU401" s="10"/>
      <c r="AV401" s="10"/>
      <c r="AW401" s="10"/>
      <c r="AX401" s="10"/>
      <c r="AY401" s="39"/>
      <c r="AZ401" s="10"/>
    </row>
    <row r="402" spans="4:52" x14ac:dyDescent="0.75">
      <c r="D402" s="3"/>
      <c r="P402" s="3"/>
      <c r="AI402" s="39"/>
      <c r="AJ402" s="102"/>
      <c r="AK402" s="19"/>
      <c r="AL402" s="19"/>
      <c r="AM402" s="19"/>
      <c r="AN402" s="10"/>
      <c r="AO402" s="10"/>
      <c r="AP402" s="39"/>
      <c r="AQ402" s="32"/>
      <c r="AR402" s="32"/>
      <c r="AS402" s="32"/>
      <c r="AT402" s="32"/>
      <c r="AU402" s="10"/>
      <c r="AV402" s="10"/>
      <c r="AW402" s="10"/>
      <c r="AX402" s="10"/>
      <c r="AY402" s="39"/>
      <c r="AZ402" s="10"/>
    </row>
    <row r="403" spans="4:52" x14ac:dyDescent="0.75">
      <c r="D403" s="3"/>
      <c r="P403" s="3"/>
      <c r="AI403" s="39"/>
      <c r="AJ403" s="102"/>
      <c r="AK403" s="19"/>
      <c r="AL403" s="19"/>
      <c r="AM403" s="19"/>
      <c r="AN403" s="10"/>
      <c r="AO403" s="10"/>
      <c r="AP403" s="39"/>
      <c r="AQ403" s="32"/>
      <c r="AR403" s="32"/>
      <c r="AS403" s="32"/>
      <c r="AT403" s="32"/>
      <c r="AU403" s="10"/>
      <c r="AV403" s="10"/>
      <c r="AW403" s="10"/>
      <c r="AX403" s="10"/>
      <c r="AY403" s="39"/>
      <c r="AZ403" s="10"/>
    </row>
    <row r="404" spans="4:52" x14ac:dyDescent="0.75">
      <c r="D404" s="3"/>
      <c r="P404" s="3"/>
      <c r="AI404" s="39"/>
      <c r="AJ404" s="102"/>
      <c r="AK404" s="19"/>
      <c r="AL404" s="19"/>
      <c r="AM404" s="19"/>
      <c r="AN404" s="10"/>
      <c r="AO404" s="10"/>
      <c r="AP404" s="39"/>
      <c r="AQ404" s="32"/>
      <c r="AR404" s="32"/>
      <c r="AS404" s="32"/>
      <c r="AT404" s="32"/>
      <c r="AU404" s="10"/>
      <c r="AV404" s="10"/>
      <c r="AW404" s="10"/>
      <c r="AX404" s="10"/>
      <c r="AY404" s="39"/>
      <c r="AZ404" s="10"/>
    </row>
    <row r="405" spans="4:52" x14ac:dyDescent="0.75">
      <c r="D405" s="3"/>
      <c r="P405" s="3"/>
      <c r="AI405" s="39"/>
      <c r="AJ405" s="102"/>
      <c r="AK405" s="19"/>
      <c r="AL405" s="19"/>
      <c r="AM405" s="19"/>
      <c r="AN405" s="10"/>
      <c r="AO405" s="10"/>
      <c r="AP405" s="39"/>
      <c r="AQ405" s="32"/>
      <c r="AR405" s="32"/>
      <c r="AS405" s="32"/>
      <c r="AT405" s="32"/>
      <c r="AU405" s="10"/>
      <c r="AV405" s="10"/>
      <c r="AW405" s="10"/>
      <c r="AX405" s="10"/>
      <c r="AY405" s="39"/>
      <c r="AZ405" s="10"/>
    </row>
    <row r="406" spans="4:52" x14ac:dyDescent="0.75">
      <c r="D406" s="3"/>
      <c r="P406" s="3"/>
      <c r="AI406" s="39"/>
      <c r="AJ406" s="102"/>
      <c r="AK406" s="19"/>
      <c r="AL406" s="19"/>
      <c r="AM406" s="19"/>
      <c r="AN406" s="10"/>
      <c r="AO406" s="10"/>
      <c r="AP406" s="39"/>
      <c r="AQ406" s="32"/>
      <c r="AR406" s="32"/>
      <c r="AS406" s="32"/>
      <c r="AT406" s="32"/>
      <c r="AU406" s="10"/>
      <c r="AV406" s="10"/>
      <c r="AW406" s="10"/>
      <c r="AX406" s="10"/>
      <c r="AY406" s="39"/>
      <c r="AZ406" s="10"/>
    </row>
    <row r="407" spans="4:52" x14ac:dyDescent="0.75">
      <c r="D407" s="3"/>
      <c r="P407" s="3"/>
      <c r="AI407" s="39"/>
      <c r="AJ407" s="102"/>
      <c r="AK407" s="19"/>
      <c r="AL407" s="19"/>
      <c r="AM407" s="19"/>
      <c r="AN407" s="10"/>
      <c r="AO407" s="10"/>
      <c r="AP407" s="39"/>
      <c r="AQ407" s="32"/>
      <c r="AR407" s="32"/>
      <c r="AS407" s="32"/>
      <c r="AT407" s="32"/>
      <c r="AU407" s="10"/>
      <c r="AV407" s="10"/>
      <c r="AW407" s="10"/>
      <c r="AX407" s="10"/>
      <c r="AY407" s="39"/>
      <c r="AZ407" s="10"/>
    </row>
    <row r="408" spans="4:52" x14ac:dyDescent="0.75">
      <c r="D408" s="3"/>
      <c r="P408" s="3"/>
      <c r="AI408" s="39"/>
      <c r="AJ408" s="102"/>
      <c r="AK408" s="19"/>
      <c r="AL408" s="19"/>
      <c r="AM408" s="19"/>
      <c r="AN408" s="10"/>
      <c r="AO408" s="10"/>
      <c r="AP408" s="39"/>
      <c r="AQ408" s="32"/>
      <c r="AR408" s="32"/>
      <c r="AS408" s="32"/>
      <c r="AT408" s="32"/>
      <c r="AU408" s="10"/>
      <c r="AV408" s="10"/>
      <c r="AW408" s="10"/>
      <c r="AX408" s="10"/>
      <c r="AY408" s="39"/>
      <c r="AZ408" s="10"/>
    </row>
    <row r="409" spans="4:52" x14ac:dyDescent="0.75">
      <c r="D409" s="3"/>
      <c r="P409" s="3"/>
      <c r="AI409" s="39"/>
      <c r="AJ409" s="102"/>
      <c r="AK409" s="19"/>
      <c r="AL409" s="19"/>
      <c r="AM409" s="19"/>
      <c r="AN409" s="10"/>
      <c r="AO409" s="10"/>
      <c r="AP409" s="39"/>
      <c r="AQ409" s="32"/>
      <c r="AR409" s="32"/>
      <c r="AS409" s="32"/>
      <c r="AT409" s="32"/>
      <c r="AU409" s="10"/>
      <c r="AV409" s="10"/>
      <c r="AW409" s="10"/>
      <c r="AX409" s="10"/>
      <c r="AY409" s="39"/>
      <c r="AZ409" s="10"/>
    </row>
    <row r="410" spans="4:52" x14ac:dyDescent="0.75">
      <c r="D410" s="3"/>
      <c r="P410" s="3"/>
      <c r="AI410" s="39"/>
      <c r="AJ410" s="102"/>
      <c r="AK410" s="19"/>
      <c r="AL410" s="19"/>
      <c r="AM410" s="19"/>
      <c r="AN410" s="10"/>
      <c r="AO410" s="10"/>
      <c r="AP410" s="39"/>
      <c r="AQ410" s="32"/>
      <c r="AR410" s="32"/>
      <c r="AS410" s="32"/>
      <c r="AT410" s="32"/>
      <c r="AU410" s="10"/>
      <c r="AV410" s="10"/>
      <c r="AW410" s="10"/>
      <c r="AX410" s="10"/>
      <c r="AY410" s="39"/>
      <c r="AZ410" s="10"/>
    </row>
    <row r="411" spans="4:52" x14ac:dyDescent="0.75">
      <c r="D411" s="3"/>
      <c r="P411" s="3"/>
      <c r="AI411" s="39"/>
      <c r="AJ411" s="102"/>
      <c r="AK411" s="19"/>
      <c r="AL411" s="19"/>
      <c r="AM411" s="19"/>
      <c r="AN411" s="10"/>
      <c r="AO411" s="10"/>
      <c r="AP411" s="39"/>
      <c r="AQ411" s="32"/>
      <c r="AR411" s="32"/>
      <c r="AS411" s="32"/>
      <c r="AT411" s="32"/>
      <c r="AU411" s="10"/>
      <c r="AV411" s="10"/>
      <c r="AW411" s="10"/>
      <c r="AX411" s="10"/>
      <c r="AY411" s="39"/>
      <c r="AZ411" s="10"/>
    </row>
    <row r="412" spans="4:52" x14ac:dyDescent="0.75">
      <c r="D412" s="3"/>
      <c r="P412" s="3"/>
      <c r="AI412" s="39"/>
      <c r="AJ412" s="102"/>
      <c r="AK412" s="19"/>
      <c r="AL412" s="19"/>
      <c r="AM412" s="19"/>
      <c r="AN412" s="10"/>
      <c r="AO412" s="10"/>
      <c r="AP412" s="39"/>
      <c r="AQ412" s="32"/>
      <c r="AR412" s="32"/>
      <c r="AS412" s="32"/>
      <c r="AT412" s="32"/>
      <c r="AU412" s="10"/>
      <c r="AV412" s="10"/>
      <c r="AW412" s="10"/>
      <c r="AX412" s="10"/>
      <c r="AY412" s="39"/>
      <c r="AZ412" s="10"/>
    </row>
    <row r="413" spans="4:52" x14ac:dyDescent="0.75">
      <c r="D413" s="3"/>
      <c r="P413" s="3"/>
      <c r="AI413" s="39"/>
      <c r="AJ413" s="102"/>
      <c r="AK413" s="19"/>
      <c r="AL413" s="19"/>
      <c r="AM413" s="19"/>
      <c r="AN413" s="10"/>
      <c r="AO413" s="10"/>
      <c r="AP413" s="39"/>
      <c r="AQ413" s="32"/>
      <c r="AR413" s="32"/>
      <c r="AS413" s="32"/>
      <c r="AT413" s="32"/>
      <c r="AU413" s="10"/>
      <c r="AV413" s="10"/>
      <c r="AW413" s="10"/>
      <c r="AX413" s="10"/>
      <c r="AY413" s="39"/>
      <c r="AZ413" s="10"/>
    </row>
    <row r="414" spans="4:52" x14ac:dyDescent="0.75">
      <c r="D414" s="3"/>
      <c r="P414" s="3"/>
      <c r="AI414" s="39"/>
      <c r="AJ414" s="102"/>
      <c r="AK414" s="19"/>
      <c r="AL414" s="19"/>
      <c r="AM414" s="19"/>
      <c r="AN414" s="10"/>
      <c r="AO414" s="10"/>
      <c r="AP414" s="39"/>
      <c r="AQ414" s="32"/>
      <c r="AR414" s="32"/>
      <c r="AS414" s="32"/>
      <c r="AT414" s="32"/>
      <c r="AU414" s="10"/>
      <c r="AV414" s="10"/>
      <c r="AW414" s="10"/>
      <c r="AX414" s="10"/>
      <c r="AY414" s="39"/>
      <c r="AZ414" s="10"/>
    </row>
    <row r="415" spans="4:52" x14ac:dyDescent="0.75">
      <c r="D415" s="3"/>
      <c r="P415" s="3"/>
      <c r="AI415" s="39"/>
      <c r="AJ415" s="102"/>
      <c r="AK415" s="19"/>
      <c r="AL415" s="19"/>
      <c r="AM415" s="19"/>
      <c r="AN415" s="10"/>
      <c r="AO415" s="10"/>
      <c r="AP415" s="39"/>
      <c r="AQ415" s="32"/>
      <c r="AR415" s="32"/>
      <c r="AS415" s="32"/>
      <c r="AT415" s="32"/>
      <c r="AU415" s="10"/>
      <c r="AV415" s="10"/>
      <c r="AW415" s="10"/>
      <c r="AX415" s="10"/>
      <c r="AY415" s="39"/>
      <c r="AZ415" s="10"/>
    </row>
    <row r="416" spans="4:52" x14ac:dyDescent="0.75">
      <c r="D416" s="3"/>
      <c r="P416" s="3"/>
      <c r="AI416" s="39"/>
      <c r="AJ416" s="102"/>
      <c r="AK416" s="19"/>
      <c r="AL416" s="19"/>
      <c r="AM416" s="19"/>
      <c r="AN416" s="10"/>
      <c r="AO416" s="10"/>
      <c r="AP416" s="39"/>
      <c r="AQ416" s="32"/>
      <c r="AR416" s="32"/>
      <c r="AS416" s="32"/>
      <c r="AT416" s="32"/>
      <c r="AU416" s="10"/>
      <c r="AV416" s="10"/>
      <c r="AW416" s="10"/>
      <c r="AX416" s="10"/>
      <c r="AY416" s="39"/>
      <c r="AZ416" s="10"/>
    </row>
    <row r="417" spans="4:52" x14ac:dyDescent="0.75">
      <c r="D417" s="3"/>
      <c r="P417" s="3"/>
      <c r="AI417" s="39"/>
      <c r="AJ417" s="102"/>
      <c r="AK417" s="19"/>
      <c r="AL417" s="19"/>
      <c r="AM417" s="19"/>
      <c r="AN417" s="10"/>
      <c r="AO417" s="10"/>
      <c r="AP417" s="39"/>
      <c r="AQ417" s="32"/>
      <c r="AR417" s="32"/>
      <c r="AS417" s="32"/>
      <c r="AT417" s="32"/>
      <c r="AU417" s="10"/>
      <c r="AV417" s="10"/>
      <c r="AW417" s="10"/>
      <c r="AX417" s="10"/>
      <c r="AY417" s="39"/>
      <c r="AZ417" s="10"/>
    </row>
    <row r="418" spans="4:52" x14ac:dyDescent="0.75">
      <c r="D418" s="3"/>
      <c r="P418" s="3"/>
      <c r="AI418" s="39"/>
      <c r="AJ418" s="102"/>
      <c r="AK418" s="19"/>
      <c r="AL418" s="19"/>
      <c r="AM418" s="19"/>
      <c r="AN418" s="10"/>
      <c r="AO418" s="10"/>
      <c r="AP418" s="39"/>
      <c r="AQ418" s="32"/>
      <c r="AR418" s="32"/>
      <c r="AS418" s="32"/>
      <c r="AT418" s="32"/>
      <c r="AU418" s="10"/>
      <c r="AV418" s="10"/>
      <c r="AW418" s="10"/>
      <c r="AX418" s="10"/>
      <c r="AY418" s="39"/>
      <c r="AZ418" s="10"/>
    </row>
    <row r="419" spans="4:52" x14ac:dyDescent="0.75">
      <c r="D419" s="3"/>
      <c r="P419" s="3"/>
      <c r="AI419" s="39"/>
      <c r="AJ419" s="102"/>
      <c r="AK419" s="19"/>
      <c r="AL419" s="19"/>
      <c r="AM419" s="19"/>
      <c r="AN419" s="10"/>
      <c r="AO419" s="10"/>
      <c r="AP419" s="39"/>
      <c r="AQ419" s="32"/>
      <c r="AR419" s="32"/>
      <c r="AS419" s="32"/>
      <c r="AT419" s="32"/>
      <c r="AU419" s="10"/>
      <c r="AV419" s="10"/>
      <c r="AW419" s="10"/>
      <c r="AX419" s="10"/>
      <c r="AY419" s="39"/>
      <c r="AZ419" s="10"/>
    </row>
    <row r="420" spans="4:52" x14ac:dyDescent="0.75">
      <c r="D420" s="3"/>
      <c r="P420" s="3"/>
      <c r="AI420" s="39"/>
      <c r="AJ420" s="102"/>
      <c r="AK420" s="19"/>
      <c r="AL420" s="19"/>
      <c r="AM420" s="19"/>
      <c r="AN420" s="10"/>
      <c r="AO420" s="10"/>
      <c r="AP420" s="39"/>
      <c r="AQ420" s="32"/>
      <c r="AR420" s="32"/>
      <c r="AS420" s="32"/>
      <c r="AT420" s="32"/>
      <c r="AU420" s="10"/>
      <c r="AV420" s="10"/>
      <c r="AW420" s="10"/>
      <c r="AX420" s="10"/>
      <c r="AY420" s="39"/>
      <c r="AZ420" s="10"/>
    </row>
    <row r="421" spans="4:52" x14ac:dyDescent="0.75">
      <c r="D421" s="3"/>
      <c r="P421" s="3"/>
      <c r="AI421" s="39"/>
      <c r="AJ421" s="102"/>
      <c r="AK421" s="19"/>
      <c r="AL421" s="19"/>
      <c r="AM421" s="19"/>
      <c r="AN421" s="10"/>
      <c r="AO421" s="10"/>
      <c r="AP421" s="39"/>
      <c r="AQ421" s="32"/>
      <c r="AR421" s="32"/>
      <c r="AS421" s="32"/>
      <c r="AT421" s="32"/>
      <c r="AU421" s="10"/>
      <c r="AV421" s="10"/>
      <c r="AW421" s="10"/>
      <c r="AX421" s="10"/>
      <c r="AY421" s="39"/>
      <c r="AZ421" s="10"/>
    </row>
    <row r="422" spans="4:52" x14ac:dyDescent="0.75">
      <c r="D422" s="3"/>
      <c r="P422" s="3"/>
      <c r="AI422" s="39"/>
      <c r="AJ422" s="102"/>
      <c r="AK422" s="19"/>
      <c r="AL422" s="19"/>
      <c r="AM422" s="19"/>
      <c r="AN422" s="10"/>
      <c r="AO422" s="10"/>
      <c r="AP422" s="39"/>
      <c r="AQ422" s="32"/>
      <c r="AR422" s="32"/>
      <c r="AS422" s="32"/>
      <c r="AT422" s="32"/>
      <c r="AU422" s="10"/>
      <c r="AV422" s="10"/>
      <c r="AW422" s="10"/>
      <c r="AX422" s="10"/>
      <c r="AY422" s="39"/>
      <c r="AZ422" s="10"/>
    </row>
    <row r="423" spans="4:52" x14ac:dyDescent="0.75">
      <c r="D423" s="3"/>
      <c r="P423" s="3"/>
      <c r="AI423" s="39"/>
      <c r="AJ423" s="102"/>
      <c r="AK423" s="19"/>
      <c r="AL423" s="19"/>
      <c r="AM423" s="19"/>
      <c r="AN423" s="10"/>
      <c r="AO423" s="10"/>
      <c r="AP423" s="39"/>
      <c r="AQ423" s="32"/>
      <c r="AR423" s="32"/>
      <c r="AS423" s="32"/>
      <c r="AT423" s="32"/>
      <c r="AU423" s="10"/>
      <c r="AV423" s="10"/>
      <c r="AW423" s="10"/>
      <c r="AX423" s="10"/>
      <c r="AY423" s="39"/>
      <c r="AZ423" s="10"/>
    </row>
    <row r="424" spans="4:52" x14ac:dyDescent="0.75">
      <c r="D424" s="3"/>
      <c r="P424" s="3"/>
      <c r="AI424" s="39"/>
      <c r="AJ424" s="102"/>
      <c r="AK424" s="19"/>
      <c r="AL424" s="19"/>
      <c r="AM424" s="19"/>
      <c r="AN424" s="10"/>
      <c r="AO424" s="10"/>
      <c r="AP424" s="39"/>
      <c r="AQ424" s="32"/>
      <c r="AR424" s="32"/>
      <c r="AS424" s="32"/>
      <c r="AT424" s="32"/>
      <c r="AU424" s="10"/>
      <c r="AV424" s="10"/>
      <c r="AW424" s="10"/>
      <c r="AX424" s="10"/>
      <c r="AY424" s="39"/>
      <c r="AZ424" s="10"/>
    </row>
    <row r="425" spans="4:52" x14ac:dyDescent="0.75">
      <c r="D425" s="3"/>
      <c r="P425" s="3"/>
      <c r="AI425" s="39"/>
      <c r="AJ425" s="102"/>
      <c r="AK425" s="19"/>
      <c r="AL425" s="19"/>
      <c r="AM425" s="19"/>
      <c r="AN425" s="10"/>
      <c r="AO425" s="10"/>
      <c r="AP425" s="39"/>
      <c r="AQ425" s="32"/>
      <c r="AR425" s="32"/>
      <c r="AS425" s="32"/>
      <c r="AT425" s="32"/>
      <c r="AU425" s="10"/>
      <c r="AV425" s="10"/>
      <c r="AW425" s="10"/>
      <c r="AX425" s="10"/>
      <c r="AY425" s="39"/>
      <c r="AZ425" s="10"/>
    </row>
    <row r="426" spans="4:52" x14ac:dyDescent="0.75">
      <c r="D426" s="3"/>
      <c r="P426" s="3"/>
      <c r="AI426" s="39"/>
      <c r="AJ426" s="102"/>
      <c r="AK426" s="19"/>
      <c r="AL426" s="19"/>
      <c r="AM426" s="19"/>
      <c r="AN426" s="10"/>
      <c r="AO426" s="10"/>
      <c r="AP426" s="39"/>
      <c r="AQ426" s="32"/>
      <c r="AR426" s="32"/>
      <c r="AS426" s="32"/>
      <c r="AT426" s="32"/>
      <c r="AU426" s="10"/>
      <c r="AV426" s="10"/>
      <c r="AW426" s="10"/>
      <c r="AX426" s="10"/>
      <c r="AY426" s="39"/>
      <c r="AZ426" s="10"/>
    </row>
    <row r="427" spans="4:52" x14ac:dyDescent="0.75">
      <c r="D427" s="3"/>
      <c r="P427" s="3"/>
      <c r="AI427" s="39"/>
      <c r="AJ427" s="102"/>
      <c r="AK427" s="19"/>
      <c r="AL427" s="19"/>
      <c r="AM427" s="19"/>
      <c r="AN427" s="10"/>
      <c r="AO427" s="10"/>
      <c r="AP427" s="39"/>
      <c r="AQ427" s="32"/>
      <c r="AR427" s="32"/>
      <c r="AS427" s="32"/>
      <c r="AT427" s="32"/>
      <c r="AU427" s="10"/>
      <c r="AV427" s="10"/>
      <c r="AW427" s="10"/>
      <c r="AX427" s="10"/>
      <c r="AY427" s="39"/>
      <c r="AZ427" s="10"/>
    </row>
    <row r="428" spans="4:52" x14ac:dyDescent="0.75">
      <c r="D428" s="3"/>
      <c r="P428" s="3"/>
      <c r="AI428" s="39"/>
      <c r="AJ428" s="102"/>
      <c r="AK428" s="19"/>
      <c r="AL428" s="19"/>
      <c r="AM428" s="19"/>
      <c r="AN428" s="10"/>
      <c r="AO428" s="10"/>
      <c r="AP428" s="39"/>
      <c r="AQ428" s="32"/>
      <c r="AR428" s="32"/>
      <c r="AS428" s="32"/>
      <c r="AT428" s="32"/>
      <c r="AU428" s="10"/>
      <c r="AV428" s="10"/>
      <c r="AW428" s="10"/>
      <c r="AX428" s="10"/>
      <c r="AY428" s="39"/>
      <c r="AZ428" s="10"/>
    </row>
    <row r="429" spans="4:52" x14ac:dyDescent="0.75">
      <c r="D429" s="3"/>
      <c r="P429" s="3"/>
      <c r="AI429" s="39"/>
      <c r="AJ429" s="102"/>
      <c r="AK429" s="19"/>
      <c r="AL429" s="19"/>
      <c r="AM429" s="19"/>
      <c r="AN429" s="10"/>
      <c r="AO429" s="10"/>
      <c r="AP429" s="39"/>
      <c r="AQ429" s="32"/>
      <c r="AR429" s="32"/>
      <c r="AS429" s="32"/>
      <c r="AT429" s="32"/>
      <c r="AU429" s="10"/>
      <c r="AV429" s="10"/>
      <c r="AW429" s="10"/>
      <c r="AX429" s="10"/>
      <c r="AY429" s="39"/>
      <c r="AZ429" s="10"/>
    </row>
    <row r="430" spans="4:52" x14ac:dyDescent="0.75">
      <c r="D430" s="3"/>
      <c r="P430" s="3"/>
      <c r="AI430" s="39"/>
      <c r="AJ430" s="102"/>
      <c r="AK430" s="19"/>
      <c r="AL430" s="19"/>
      <c r="AM430" s="19"/>
      <c r="AN430" s="10"/>
      <c r="AO430" s="10"/>
      <c r="AP430" s="39"/>
      <c r="AQ430" s="32"/>
      <c r="AR430" s="32"/>
      <c r="AS430" s="32"/>
      <c r="AT430" s="32"/>
      <c r="AU430" s="10"/>
      <c r="AV430" s="10"/>
      <c r="AW430" s="10"/>
      <c r="AX430" s="10"/>
      <c r="AY430" s="39"/>
      <c r="AZ430" s="10"/>
    </row>
    <row r="431" spans="4:52" x14ac:dyDescent="0.75">
      <c r="D431" s="3"/>
      <c r="P431" s="3"/>
      <c r="AI431" s="39"/>
      <c r="AJ431" s="102"/>
      <c r="AK431" s="19"/>
      <c r="AL431" s="19"/>
      <c r="AM431" s="19"/>
      <c r="AN431" s="10"/>
      <c r="AO431" s="10"/>
      <c r="AP431" s="39"/>
      <c r="AQ431" s="32"/>
      <c r="AR431" s="32"/>
      <c r="AS431" s="32"/>
      <c r="AT431" s="32"/>
      <c r="AU431" s="10"/>
      <c r="AV431" s="10"/>
      <c r="AW431" s="10"/>
      <c r="AX431" s="10"/>
      <c r="AY431" s="39"/>
      <c r="AZ431" s="10"/>
    </row>
    <row r="432" spans="4:52" x14ac:dyDescent="0.75">
      <c r="D432" s="3"/>
      <c r="P432" s="3"/>
      <c r="AI432" s="39"/>
      <c r="AJ432" s="102"/>
      <c r="AK432" s="19"/>
      <c r="AL432" s="19"/>
      <c r="AM432" s="19"/>
      <c r="AN432" s="10"/>
      <c r="AO432" s="10"/>
      <c r="AP432" s="39"/>
      <c r="AQ432" s="32"/>
      <c r="AR432" s="32"/>
      <c r="AS432" s="32"/>
      <c r="AT432" s="32"/>
      <c r="AU432" s="10"/>
      <c r="AV432" s="10"/>
      <c r="AW432" s="10"/>
      <c r="AX432" s="10"/>
      <c r="AY432" s="39"/>
      <c r="AZ432" s="10"/>
    </row>
    <row r="433" spans="4:52" x14ac:dyDescent="0.75">
      <c r="D433" s="3"/>
      <c r="P433" s="3"/>
      <c r="AI433" s="39"/>
      <c r="AJ433" s="102"/>
      <c r="AK433" s="19"/>
      <c r="AL433" s="19"/>
      <c r="AM433" s="19"/>
      <c r="AN433" s="10"/>
      <c r="AO433" s="10"/>
      <c r="AP433" s="39"/>
      <c r="AQ433" s="32"/>
      <c r="AR433" s="32"/>
      <c r="AS433" s="32"/>
      <c r="AT433" s="32"/>
      <c r="AU433" s="10"/>
      <c r="AV433" s="10"/>
      <c r="AW433" s="10"/>
      <c r="AX433" s="10"/>
      <c r="AY433" s="39"/>
      <c r="AZ433" s="10"/>
    </row>
    <row r="434" spans="4:52" x14ac:dyDescent="0.75">
      <c r="D434" s="3"/>
      <c r="P434" s="3"/>
      <c r="AI434" s="39"/>
      <c r="AJ434" s="102"/>
      <c r="AK434" s="19"/>
      <c r="AL434" s="19"/>
      <c r="AM434" s="19"/>
      <c r="AN434" s="10"/>
      <c r="AO434" s="10"/>
      <c r="AP434" s="39"/>
      <c r="AQ434" s="32"/>
      <c r="AR434" s="32"/>
      <c r="AS434" s="32"/>
      <c r="AT434" s="32"/>
      <c r="AU434" s="10"/>
      <c r="AV434" s="10"/>
      <c r="AW434" s="10"/>
      <c r="AX434" s="10"/>
      <c r="AY434" s="39"/>
      <c r="AZ434" s="10"/>
    </row>
    <row r="435" spans="4:52" x14ac:dyDescent="0.75">
      <c r="D435" s="3"/>
      <c r="P435" s="3"/>
      <c r="AI435" s="39"/>
      <c r="AJ435" s="102"/>
      <c r="AK435" s="19"/>
      <c r="AL435" s="19"/>
      <c r="AM435" s="19"/>
      <c r="AN435" s="10"/>
      <c r="AO435" s="10"/>
      <c r="AP435" s="39"/>
      <c r="AQ435" s="32"/>
      <c r="AR435" s="32"/>
      <c r="AS435" s="32"/>
      <c r="AT435" s="32"/>
      <c r="AU435" s="10"/>
      <c r="AV435" s="10"/>
      <c r="AW435" s="10"/>
      <c r="AX435" s="10"/>
      <c r="AY435" s="39"/>
      <c r="AZ435" s="10"/>
    </row>
    <row r="436" spans="4:52" x14ac:dyDescent="0.75">
      <c r="D436" s="3"/>
      <c r="P436" s="3"/>
      <c r="AI436" s="39"/>
      <c r="AJ436" s="102"/>
      <c r="AK436" s="19"/>
      <c r="AL436" s="19"/>
      <c r="AM436" s="19"/>
      <c r="AN436" s="10"/>
      <c r="AO436" s="10"/>
      <c r="AP436" s="39"/>
      <c r="AQ436" s="32"/>
      <c r="AR436" s="32"/>
      <c r="AS436" s="32"/>
      <c r="AT436" s="32"/>
      <c r="AU436" s="10"/>
      <c r="AV436" s="10"/>
      <c r="AW436" s="10"/>
      <c r="AX436" s="10"/>
      <c r="AY436" s="39"/>
      <c r="AZ436" s="10"/>
    </row>
    <row r="437" spans="4:52" x14ac:dyDescent="0.75">
      <c r="D437" s="3"/>
      <c r="P437" s="3"/>
      <c r="AI437" s="39"/>
      <c r="AJ437" s="102"/>
      <c r="AK437" s="19"/>
      <c r="AL437" s="19"/>
      <c r="AM437" s="19"/>
      <c r="AN437" s="10"/>
      <c r="AO437" s="10"/>
      <c r="AP437" s="39"/>
      <c r="AQ437" s="32"/>
      <c r="AR437" s="32"/>
      <c r="AS437" s="32"/>
      <c r="AT437" s="32"/>
      <c r="AU437" s="10"/>
      <c r="AV437" s="10"/>
      <c r="AW437" s="10"/>
      <c r="AX437" s="10"/>
      <c r="AY437" s="39"/>
      <c r="AZ437" s="10"/>
    </row>
    <row r="438" spans="4:52" x14ac:dyDescent="0.75">
      <c r="D438" s="3"/>
      <c r="P438" s="3"/>
      <c r="AI438" s="39"/>
      <c r="AJ438" s="102"/>
      <c r="AK438" s="19"/>
      <c r="AL438" s="19"/>
      <c r="AM438" s="19"/>
      <c r="AN438" s="10"/>
      <c r="AO438" s="10"/>
      <c r="AP438" s="39"/>
      <c r="AQ438" s="32"/>
      <c r="AR438" s="32"/>
      <c r="AS438" s="32"/>
      <c r="AT438" s="32"/>
      <c r="AU438" s="10"/>
      <c r="AV438" s="10"/>
      <c r="AW438" s="10"/>
      <c r="AX438" s="10"/>
      <c r="AY438" s="39"/>
      <c r="AZ438" s="10"/>
    </row>
    <row r="439" spans="4:52" x14ac:dyDescent="0.75">
      <c r="D439" s="3"/>
      <c r="P439" s="3"/>
      <c r="AI439" s="39"/>
      <c r="AJ439" s="102"/>
      <c r="AK439" s="19"/>
      <c r="AL439" s="19"/>
      <c r="AM439" s="19"/>
      <c r="AN439" s="10"/>
      <c r="AO439" s="10"/>
      <c r="AP439" s="39"/>
      <c r="AQ439" s="32"/>
      <c r="AR439" s="32"/>
      <c r="AS439" s="32"/>
      <c r="AT439" s="32"/>
      <c r="AU439" s="10"/>
      <c r="AV439" s="10"/>
      <c r="AW439" s="10"/>
      <c r="AX439" s="10"/>
      <c r="AY439" s="39"/>
      <c r="AZ439" s="10"/>
    </row>
    <row r="440" spans="4:52" x14ac:dyDescent="0.75">
      <c r="D440" s="3"/>
      <c r="P440" s="3"/>
      <c r="AI440" s="39"/>
      <c r="AJ440" s="102"/>
      <c r="AK440" s="19"/>
      <c r="AL440" s="19"/>
      <c r="AM440" s="19"/>
      <c r="AN440" s="10"/>
      <c r="AO440" s="10"/>
      <c r="AP440" s="39"/>
      <c r="AQ440" s="32"/>
      <c r="AR440" s="32"/>
      <c r="AS440" s="32"/>
      <c r="AT440" s="32"/>
      <c r="AU440" s="10"/>
      <c r="AV440" s="10"/>
      <c r="AW440" s="10"/>
      <c r="AX440" s="10"/>
      <c r="AY440" s="39"/>
      <c r="AZ440" s="10"/>
    </row>
    <row r="441" spans="4:52" x14ac:dyDescent="0.75">
      <c r="D441" s="3"/>
      <c r="P441" s="3"/>
      <c r="AI441" s="39"/>
      <c r="AJ441" s="102"/>
      <c r="AK441" s="19"/>
      <c r="AL441" s="19"/>
      <c r="AM441" s="19"/>
      <c r="AN441" s="10"/>
      <c r="AO441" s="10"/>
      <c r="AP441" s="39"/>
      <c r="AQ441" s="32"/>
      <c r="AR441" s="32"/>
      <c r="AS441" s="32"/>
      <c r="AT441" s="32"/>
      <c r="AU441" s="10"/>
      <c r="AV441" s="10"/>
      <c r="AW441" s="10"/>
      <c r="AX441" s="10"/>
      <c r="AY441" s="39"/>
      <c r="AZ441" s="10"/>
    </row>
    <row r="442" spans="4:52" x14ac:dyDescent="0.75">
      <c r="D442" s="3"/>
      <c r="P442" s="3"/>
      <c r="AI442" s="39"/>
      <c r="AJ442" s="102"/>
      <c r="AK442" s="19"/>
      <c r="AL442" s="19"/>
      <c r="AM442" s="19"/>
      <c r="AN442" s="10"/>
      <c r="AO442" s="10"/>
      <c r="AP442" s="39"/>
      <c r="AQ442" s="32"/>
      <c r="AR442" s="32"/>
      <c r="AS442" s="32"/>
      <c r="AT442" s="32"/>
      <c r="AU442" s="10"/>
      <c r="AV442" s="10"/>
      <c r="AW442" s="10"/>
      <c r="AX442" s="10"/>
      <c r="AY442" s="39"/>
      <c r="AZ442" s="10"/>
    </row>
    <row r="443" spans="4:52" x14ac:dyDescent="0.75">
      <c r="D443" s="3"/>
      <c r="P443" s="3"/>
      <c r="AI443" s="39"/>
      <c r="AJ443" s="102"/>
      <c r="AK443" s="19"/>
      <c r="AL443" s="19"/>
      <c r="AM443" s="19"/>
      <c r="AN443" s="10"/>
      <c r="AO443" s="10"/>
      <c r="AP443" s="39"/>
      <c r="AQ443" s="32"/>
      <c r="AR443" s="32"/>
      <c r="AS443" s="32"/>
      <c r="AT443" s="32"/>
      <c r="AU443" s="10"/>
      <c r="AV443" s="10"/>
      <c r="AW443" s="10"/>
      <c r="AX443" s="10"/>
      <c r="AY443" s="39"/>
      <c r="AZ443" s="10"/>
    </row>
    <row r="444" spans="4:52" x14ac:dyDescent="0.75">
      <c r="D444" s="3"/>
      <c r="P444" s="3"/>
      <c r="AI444" s="39"/>
      <c r="AJ444" s="102"/>
      <c r="AK444" s="19"/>
      <c r="AL444" s="19"/>
      <c r="AM444" s="19"/>
      <c r="AN444" s="10"/>
      <c r="AO444" s="10"/>
      <c r="AP444" s="39"/>
      <c r="AQ444" s="32"/>
      <c r="AR444" s="32"/>
      <c r="AS444" s="32"/>
      <c r="AT444" s="32"/>
      <c r="AU444" s="10"/>
      <c r="AV444" s="10"/>
      <c r="AW444" s="10"/>
      <c r="AX444" s="10"/>
      <c r="AY444" s="39"/>
      <c r="AZ444" s="10"/>
    </row>
    <row r="445" spans="4:52" x14ac:dyDescent="0.75">
      <c r="D445" s="3"/>
      <c r="P445" s="3"/>
      <c r="AI445" s="39"/>
      <c r="AJ445" s="102"/>
      <c r="AK445" s="19"/>
      <c r="AL445" s="19"/>
      <c r="AM445" s="19"/>
      <c r="AN445" s="10"/>
      <c r="AO445" s="10"/>
      <c r="AP445" s="39"/>
      <c r="AQ445" s="32"/>
      <c r="AR445" s="32"/>
      <c r="AS445" s="32"/>
      <c r="AT445" s="32"/>
      <c r="AU445" s="10"/>
      <c r="AV445" s="10"/>
      <c r="AW445" s="10"/>
      <c r="AX445" s="10"/>
      <c r="AY445" s="39"/>
      <c r="AZ445" s="10"/>
    </row>
    <row r="446" spans="4:52" x14ac:dyDescent="0.75">
      <c r="D446" s="3"/>
      <c r="P446" s="3"/>
      <c r="AI446" s="39"/>
      <c r="AJ446" s="102"/>
      <c r="AK446" s="19"/>
      <c r="AL446" s="19"/>
      <c r="AM446" s="19"/>
      <c r="AN446" s="10"/>
      <c r="AO446" s="10"/>
      <c r="AP446" s="39"/>
      <c r="AQ446" s="32"/>
      <c r="AR446" s="32"/>
      <c r="AS446" s="32"/>
      <c r="AT446" s="32"/>
      <c r="AU446" s="10"/>
      <c r="AV446" s="10"/>
      <c r="AW446" s="10"/>
      <c r="AX446" s="10"/>
      <c r="AY446" s="39"/>
      <c r="AZ446" s="10"/>
    </row>
    <row r="447" spans="4:52" x14ac:dyDescent="0.75">
      <c r="D447" s="3"/>
      <c r="P447" s="3"/>
      <c r="AI447" s="39"/>
      <c r="AJ447" s="102"/>
      <c r="AK447" s="19"/>
      <c r="AL447" s="19"/>
      <c r="AM447" s="19"/>
      <c r="AN447" s="10"/>
      <c r="AO447" s="10"/>
      <c r="AP447" s="39"/>
      <c r="AQ447" s="32"/>
      <c r="AR447" s="32"/>
      <c r="AS447" s="32"/>
      <c r="AT447" s="32"/>
      <c r="AU447" s="10"/>
      <c r="AV447" s="10"/>
      <c r="AW447" s="10"/>
      <c r="AX447" s="10"/>
      <c r="AY447" s="39"/>
      <c r="AZ447" s="10"/>
    </row>
    <row r="448" spans="4:52" x14ac:dyDescent="0.75">
      <c r="D448" s="3"/>
      <c r="P448" s="3"/>
      <c r="AI448" s="39"/>
      <c r="AJ448" s="102"/>
      <c r="AK448" s="19"/>
      <c r="AL448" s="19"/>
      <c r="AM448" s="19"/>
      <c r="AN448" s="10"/>
      <c r="AO448" s="10"/>
      <c r="AP448" s="39"/>
      <c r="AQ448" s="32"/>
      <c r="AR448" s="32"/>
      <c r="AS448" s="32"/>
      <c r="AT448" s="32"/>
      <c r="AU448" s="10"/>
      <c r="AV448" s="10"/>
      <c r="AW448" s="10"/>
      <c r="AX448" s="10"/>
      <c r="AY448" s="39"/>
      <c r="AZ448" s="10"/>
    </row>
    <row r="449" spans="4:52" x14ac:dyDescent="0.75">
      <c r="D449" s="3"/>
      <c r="P449" s="3"/>
      <c r="AI449" s="39"/>
      <c r="AJ449" s="102"/>
      <c r="AK449" s="19"/>
      <c r="AL449" s="19"/>
      <c r="AM449" s="19"/>
      <c r="AN449" s="10"/>
      <c r="AO449" s="10"/>
      <c r="AP449" s="39"/>
      <c r="AQ449" s="32"/>
      <c r="AR449" s="32"/>
      <c r="AS449" s="32"/>
      <c r="AT449" s="32"/>
      <c r="AU449" s="10"/>
      <c r="AV449" s="10"/>
      <c r="AW449" s="10"/>
      <c r="AX449" s="10"/>
      <c r="AY449" s="39"/>
      <c r="AZ449" s="10"/>
    </row>
    <row r="450" spans="4:52" x14ac:dyDescent="0.75">
      <c r="D450" s="3"/>
      <c r="P450" s="3"/>
      <c r="AI450" s="39"/>
      <c r="AJ450" s="102"/>
      <c r="AK450" s="19"/>
      <c r="AL450" s="19"/>
      <c r="AM450" s="19"/>
      <c r="AN450" s="10"/>
      <c r="AO450" s="10"/>
      <c r="AP450" s="39"/>
      <c r="AQ450" s="32"/>
      <c r="AR450" s="32"/>
      <c r="AS450" s="32"/>
      <c r="AT450" s="32"/>
      <c r="AU450" s="10"/>
      <c r="AV450" s="10"/>
      <c r="AW450" s="10"/>
      <c r="AX450" s="10"/>
      <c r="AY450" s="39"/>
      <c r="AZ450" s="10"/>
    </row>
    <row r="451" spans="4:52" x14ac:dyDescent="0.75">
      <c r="D451" s="3"/>
      <c r="P451" s="3"/>
      <c r="AI451" s="39"/>
      <c r="AJ451" s="102"/>
      <c r="AK451" s="19"/>
      <c r="AL451" s="19"/>
      <c r="AM451" s="19"/>
      <c r="AN451" s="10"/>
      <c r="AO451" s="10"/>
      <c r="AP451" s="39"/>
      <c r="AQ451" s="32"/>
      <c r="AR451" s="32"/>
      <c r="AS451" s="32"/>
      <c r="AT451" s="32"/>
      <c r="AU451" s="10"/>
      <c r="AV451" s="10"/>
      <c r="AW451" s="10"/>
      <c r="AX451" s="10"/>
      <c r="AY451" s="39"/>
      <c r="AZ451" s="10"/>
    </row>
    <row r="452" spans="4:52" x14ac:dyDescent="0.75">
      <c r="D452" s="3"/>
      <c r="P452" s="3"/>
      <c r="AI452" s="39"/>
      <c r="AJ452" s="102"/>
      <c r="AK452" s="19"/>
      <c r="AL452" s="19"/>
      <c r="AM452" s="19"/>
      <c r="AN452" s="10"/>
      <c r="AO452" s="10"/>
      <c r="AP452" s="39"/>
      <c r="AQ452" s="32"/>
      <c r="AR452" s="32"/>
      <c r="AS452" s="32"/>
      <c r="AT452" s="32"/>
      <c r="AU452" s="10"/>
      <c r="AV452" s="10"/>
      <c r="AW452" s="10"/>
      <c r="AX452" s="10"/>
      <c r="AY452" s="39"/>
      <c r="AZ452" s="10"/>
    </row>
    <row r="453" spans="4:52" x14ac:dyDescent="0.75">
      <c r="D453" s="3"/>
      <c r="P453" s="3"/>
      <c r="AI453" s="39"/>
      <c r="AJ453" s="102"/>
      <c r="AK453" s="19"/>
      <c r="AL453" s="19"/>
      <c r="AM453" s="19"/>
      <c r="AN453" s="10"/>
      <c r="AO453" s="10"/>
      <c r="AP453" s="39"/>
      <c r="AQ453" s="32"/>
      <c r="AR453" s="32"/>
      <c r="AS453" s="32"/>
      <c r="AT453" s="32"/>
      <c r="AU453" s="10"/>
      <c r="AV453" s="10"/>
      <c r="AW453" s="10"/>
      <c r="AX453" s="10"/>
      <c r="AY453" s="39"/>
      <c r="AZ453" s="10"/>
    </row>
    <row r="454" spans="4:52" x14ac:dyDescent="0.75">
      <c r="D454" s="3"/>
      <c r="P454" s="3"/>
      <c r="AI454" s="39"/>
      <c r="AJ454" s="102"/>
      <c r="AK454" s="19"/>
      <c r="AL454" s="19"/>
      <c r="AM454" s="19"/>
      <c r="AN454" s="10"/>
      <c r="AO454" s="10"/>
      <c r="AP454" s="39"/>
      <c r="AQ454" s="32"/>
      <c r="AR454" s="32"/>
      <c r="AS454" s="32"/>
      <c r="AT454" s="32"/>
      <c r="AU454" s="10"/>
      <c r="AV454" s="10"/>
      <c r="AW454" s="10"/>
      <c r="AX454" s="10"/>
      <c r="AY454" s="39"/>
      <c r="AZ454" s="10"/>
    </row>
    <row r="455" spans="4:52" x14ac:dyDescent="0.75">
      <c r="D455" s="3"/>
      <c r="P455" s="3"/>
      <c r="AI455" s="39"/>
      <c r="AJ455" s="102"/>
      <c r="AK455" s="19"/>
      <c r="AL455" s="19"/>
      <c r="AM455" s="19"/>
      <c r="AN455" s="10"/>
      <c r="AO455" s="10"/>
      <c r="AP455" s="39"/>
      <c r="AQ455" s="32"/>
      <c r="AR455" s="32"/>
      <c r="AS455" s="32"/>
      <c r="AT455" s="32"/>
      <c r="AU455" s="10"/>
      <c r="AV455" s="10"/>
      <c r="AW455" s="10"/>
      <c r="AX455" s="10"/>
      <c r="AY455" s="39"/>
      <c r="AZ455" s="10"/>
    </row>
    <row r="456" spans="4:52" x14ac:dyDescent="0.75">
      <c r="D456" s="3"/>
      <c r="P456" s="3"/>
      <c r="AI456" s="39"/>
      <c r="AJ456" s="102"/>
      <c r="AK456" s="19"/>
      <c r="AL456" s="19"/>
      <c r="AM456" s="19"/>
      <c r="AN456" s="10"/>
      <c r="AO456" s="10"/>
      <c r="AP456" s="39"/>
      <c r="AQ456" s="32"/>
      <c r="AR456" s="32"/>
      <c r="AS456" s="32"/>
      <c r="AT456" s="32"/>
      <c r="AU456" s="10"/>
      <c r="AV456" s="10"/>
      <c r="AW456" s="10"/>
      <c r="AX456" s="10"/>
      <c r="AY456" s="39"/>
      <c r="AZ456" s="10"/>
    </row>
    <row r="457" spans="4:52" x14ac:dyDescent="0.75">
      <c r="D457" s="3"/>
      <c r="P457" s="3"/>
      <c r="AI457" s="39"/>
      <c r="AJ457" s="102"/>
      <c r="AK457" s="19"/>
      <c r="AL457" s="19"/>
      <c r="AM457" s="19"/>
      <c r="AN457" s="10"/>
      <c r="AO457" s="10"/>
      <c r="AP457" s="39"/>
      <c r="AQ457" s="32"/>
      <c r="AR457" s="32"/>
      <c r="AS457" s="32"/>
      <c r="AT457" s="32"/>
      <c r="AU457" s="10"/>
      <c r="AV457" s="10"/>
      <c r="AW457" s="10"/>
      <c r="AX457" s="10"/>
      <c r="AY457" s="39"/>
      <c r="AZ457" s="10"/>
    </row>
    <row r="458" spans="4:52" x14ac:dyDescent="0.75">
      <c r="D458" s="3"/>
      <c r="P458" s="3"/>
      <c r="AI458" s="39"/>
      <c r="AJ458" s="102"/>
      <c r="AK458" s="19"/>
      <c r="AL458" s="19"/>
      <c r="AM458" s="19"/>
      <c r="AN458" s="10"/>
      <c r="AO458" s="10"/>
      <c r="AP458" s="39"/>
      <c r="AQ458" s="32"/>
      <c r="AR458" s="32"/>
      <c r="AS458" s="32"/>
      <c r="AT458" s="32"/>
      <c r="AU458" s="10"/>
      <c r="AV458" s="10"/>
      <c r="AW458" s="10"/>
      <c r="AX458" s="10"/>
      <c r="AY458" s="39"/>
      <c r="AZ458" s="10"/>
    </row>
    <row r="459" spans="4:52" x14ac:dyDescent="0.75">
      <c r="D459" s="3"/>
      <c r="P459" s="3"/>
      <c r="AI459" s="39"/>
      <c r="AJ459" s="102"/>
      <c r="AK459" s="19"/>
      <c r="AL459" s="19"/>
      <c r="AM459" s="19"/>
      <c r="AN459" s="10"/>
      <c r="AO459" s="10"/>
      <c r="AP459" s="39"/>
      <c r="AQ459" s="32"/>
      <c r="AR459" s="32"/>
      <c r="AS459" s="32"/>
      <c r="AT459" s="32"/>
      <c r="AU459" s="10"/>
      <c r="AV459" s="10"/>
      <c r="AW459" s="10"/>
      <c r="AX459" s="10"/>
      <c r="AY459" s="39"/>
      <c r="AZ459" s="10"/>
    </row>
    <row r="460" spans="4:52" x14ac:dyDescent="0.75">
      <c r="D460" s="3"/>
      <c r="P460" s="3"/>
      <c r="AI460" s="39"/>
      <c r="AJ460" s="102"/>
      <c r="AK460" s="19"/>
      <c r="AL460" s="19"/>
      <c r="AM460" s="19"/>
      <c r="AN460" s="10"/>
      <c r="AO460" s="10"/>
      <c r="AP460" s="39"/>
      <c r="AQ460" s="32"/>
      <c r="AR460" s="32"/>
      <c r="AS460" s="32"/>
      <c r="AT460" s="32"/>
      <c r="AU460" s="10"/>
      <c r="AV460" s="10"/>
      <c r="AW460" s="10"/>
      <c r="AX460" s="10"/>
      <c r="AY460" s="39"/>
      <c r="AZ460" s="10"/>
    </row>
    <row r="461" spans="4:52" x14ac:dyDescent="0.75">
      <c r="D461" s="3"/>
      <c r="P461" s="3"/>
      <c r="AI461" s="39"/>
      <c r="AJ461" s="102"/>
      <c r="AK461" s="19"/>
      <c r="AL461" s="19"/>
      <c r="AM461" s="19"/>
      <c r="AN461" s="10"/>
      <c r="AO461" s="10"/>
      <c r="AP461" s="39"/>
      <c r="AQ461" s="32"/>
      <c r="AR461" s="32"/>
      <c r="AS461" s="32"/>
      <c r="AT461" s="32"/>
      <c r="AU461" s="10"/>
      <c r="AV461" s="10"/>
      <c r="AW461" s="10"/>
      <c r="AX461" s="10"/>
      <c r="AY461" s="39"/>
      <c r="AZ461" s="10"/>
    </row>
    <row r="462" spans="4:52" x14ac:dyDescent="0.75">
      <c r="D462" s="3"/>
      <c r="P462" s="3"/>
      <c r="AI462" s="39"/>
      <c r="AJ462" s="102"/>
      <c r="AK462" s="19"/>
      <c r="AL462" s="19"/>
      <c r="AM462" s="19"/>
      <c r="AN462" s="10"/>
      <c r="AO462" s="10"/>
      <c r="AP462" s="39"/>
      <c r="AQ462" s="32"/>
      <c r="AR462" s="32"/>
      <c r="AS462" s="32"/>
      <c r="AT462" s="32"/>
      <c r="AU462" s="10"/>
      <c r="AV462" s="10"/>
      <c r="AW462" s="10"/>
      <c r="AX462" s="10"/>
      <c r="AY462" s="39"/>
      <c r="AZ462" s="10"/>
    </row>
    <row r="463" spans="4:52" x14ac:dyDescent="0.75">
      <c r="D463" s="3"/>
      <c r="P463" s="3"/>
      <c r="AI463" s="39"/>
      <c r="AJ463" s="102"/>
      <c r="AK463" s="19"/>
      <c r="AL463" s="19"/>
      <c r="AM463" s="19"/>
      <c r="AN463" s="10"/>
      <c r="AO463" s="10"/>
      <c r="AP463" s="39"/>
      <c r="AQ463" s="32"/>
      <c r="AR463" s="32"/>
      <c r="AS463" s="32"/>
      <c r="AT463" s="32"/>
      <c r="AU463" s="10"/>
      <c r="AV463" s="10"/>
      <c r="AW463" s="10"/>
      <c r="AX463" s="10"/>
      <c r="AY463" s="39"/>
      <c r="AZ463" s="10"/>
    </row>
    <row r="464" spans="4:52" x14ac:dyDescent="0.75">
      <c r="D464" s="3"/>
      <c r="P464" s="3"/>
      <c r="AI464" s="39"/>
      <c r="AJ464" s="102"/>
      <c r="AK464" s="19"/>
      <c r="AL464" s="19"/>
      <c r="AM464" s="19"/>
      <c r="AN464" s="10"/>
      <c r="AO464" s="10"/>
      <c r="AP464" s="39"/>
      <c r="AQ464" s="32"/>
      <c r="AR464" s="32"/>
      <c r="AS464" s="32"/>
      <c r="AT464" s="32"/>
      <c r="AU464" s="10"/>
      <c r="AV464" s="10"/>
      <c r="AW464" s="10"/>
      <c r="AX464" s="10"/>
      <c r="AY464" s="39"/>
      <c r="AZ464" s="10"/>
    </row>
    <row r="465" spans="4:52" x14ac:dyDescent="0.75">
      <c r="D465" s="3"/>
      <c r="P465" s="3"/>
      <c r="AI465" s="39"/>
      <c r="AJ465" s="102"/>
      <c r="AK465" s="19"/>
      <c r="AL465" s="19"/>
      <c r="AM465" s="19"/>
      <c r="AN465" s="10"/>
      <c r="AO465" s="10"/>
      <c r="AP465" s="39"/>
      <c r="AQ465" s="32"/>
      <c r="AR465" s="32"/>
      <c r="AS465" s="32"/>
      <c r="AT465" s="32"/>
      <c r="AU465" s="10"/>
      <c r="AV465" s="10"/>
      <c r="AW465" s="10"/>
      <c r="AX465" s="10"/>
      <c r="AY465" s="39"/>
      <c r="AZ465" s="10"/>
    </row>
    <row r="466" spans="4:52" x14ac:dyDescent="0.75">
      <c r="D466" s="3"/>
      <c r="P466" s="3"/>
      <c r="AI466" s="39"/>
      <c r="AJ466" s="102"/>
      <c r="AK466" s="19"/>
      <c r="AL466" s="19"/>
      <c r="AM466" s="19"/>
      <c r="AN466" s="10"/>
      <c r="AO466" s="10"/>
      <c r="AP466" s="39"/>
      <c r="AQ466" s="32"/>
      <c r="AR466" s="32"/>
      <c r="AS466" s="32"/>
      <c r="AT466" s="32"/>
      <c r="AU466" s="10"/>
      <c r="AV466" s="10"/>
      <c r="AW466" s="10"/>
      <c r="AX466" s="10"/>
      <c r="AY466" s="39"/>
      <c r="AZ466" s="10"/>
    </row>
    <row r="467" spans="4:52" x14ac:dyDescent="0.75">
      <c r="D467" s="3"/>
      <c r="P467" s="3"/>
      <c r="AI467" s="39"/>
      <c r="AJ467" s="102"/>
      <c r="AK467" s="19"/>
      <c r="AL467" s="19"/>
      <c r="AM467" s="19"/>
      <c r="AN467" s="10"/>
      <c r="AO467" s="10"/>
      <c r="AP467" s="39"/>
      <c r="AQ467" s="32"/>
      <c r="AR467" s="32"/>
      <c r="AS467" s="32"/>
      <c r="AT467" s="32"/>
      <c r="AU467" s="10"/>
      <c r="AV467" s="10"/>
      <c r="AW467" s="10"/>
      <c r="AX467" s="10"/>
      <c r="AY467" s="39"/>
      <c r="AZ467" s="10"/>
    </row>
    <row r="468" spans="4:52" x14ac:dyDescent="0.75">
      <c r="D468" s="3"/>
      <c r="P468" s="3"/>
      <c r="AI468" s="39"/>
      <c r="AJ468" s="102"/>
      <c r="AK468" s="19"/>
      <c r="AL468" s="19"/>
      <c r="AM468" s="19"/>
      <c r="AN468" s="10"/>
      <c r="AO468" s="10"/>
      <c r="AP468" s="39"/>
      <c r="AQ468" s="32"/>
      <c r="AR468" s="32"/>
      <c r="AS468" s="32"/>
      <c r="AT468" s="32"/>
      <c r="AU468" s="10"/>
      <c r="AV468" s="10"/>
      <c r="AW468" s="10"/>
      <c r="AX468" s="10"/>
      <c r="AY468" s="39"/>
      <c r="AZ468" s="10"/>
    </row>
    <row r="469" spans="4:52" x14ac:dyDescent="0.75">
      <c r="D469" s="3"/>
      <c r="P469" s="3"/>
      <c r="AI469" s="39"/>
      <c r="AJ469" s="102"/>
      <c r="AK469" s="19"/>
      <c r="AL469" s="19"/>
      <c r="AM469" s="19"/>
      <c r="AN469" s="10"/>
      <c r="AO469" s="10"/>
      <c r="AP469" s="39"/>
      <c r="AQ469" s="32"/>
      <c r="AR469" s="32"/>
      <c r="AS469" s="32"/>
      <c r="AT469" s="32"/>
      <c r="AU469" s="10"/>
      <c r="AV469" s="10"/>
      <c r="AW469" s="10"/>
      <c r="AX469" s="10"/>
      <c r="AY469" s="39"/>
      <c r="AZ469" s="10"/>
    </row>
    <row r="470" spans="4:52" x14ac:dyDescent="0.75">
      <c r="D470" s="3"/>
      <c r="P470" s="3"/>
      <c r="AI470" s="39"/>
      <c r="AJ470" s="102"/>
      <c r="AK470" s="19"/>
      <c r="AL470" s="19"/>
      <c r="AM470" s="19"/>
      <c r="AN470" s="10"/>
      <c r="AO470" s="10"/>
      <c r="AP470" s="39"/>
      <c r="AQ470" s="32"/>
      <c r="AR470" s="32"/>
      <c r="AS470" s="32"/>
      <c r="AT470" s="32"/>
      <c r="AU470" s="10"/>
      <c r="AV470" s="10"/>
      <c r="AW470" s="10"/>
      <c r="AX470" s="10"/>
      <c r="AY470" s="39"/>
      <c r="AZ470" s="10"/>
    </row>
    <row r="471" spans="4:52" x14ac:dyDescent="0.75">
      <c r="D471" s="3"/>
      <c r="P471" s="3"/>
      <c r="AI471" s="39"/>
      <c r="AJ471" s="102"/>
      <c r="AK471" s="19"/>
      <c r="AL471" s="19"/>
      <c r="AM471" s="19"/>
      <c r="AN471" s="10"/>
      <c r="AO471" s="10"/>
      <c r="AP471" s="39"/>
      <c r="AQ471" s="32"/>
      <c r="AR471" s="32"/>
      <c r="AS471" s="32"/>
      <c r="AT471" s="32"/>
      <c r="AU471" s="10"/>
      <c r="AV471" s="10"/>
      <c r="AW471" s="10"/>
      <c r="AX471" s="10"/>
      <c r="AY471" s="39"/>
      <c r="AZ471" s="10"/>
    </row>
    <row r="472" spans="4:52" x14ac:dyDescent="0.75">
      <c r="D472" s="3"/>
      <c r="P472" s="3"/>
      <c r="AI472" s="39"/>
      <c r="AJ472" s="102"/>
      <c r="AK472" s="19"/>
      <c r="AL472" s="19"/>
      <c r="AM472" s="19"/>
      <c r="AN472" s="10"/>
      <c r="AO472" s="10"/>
      <c r="AP472" s="39"/>
      <c r="AQ472" s="32"/>
      <c r="AR472" s="32"/>
      <c r="AS472" s="32"/>
      <c r="AT472" s="32"/>
      <c r="AU472" s="10"/>
      <c r="AV472" s="10"/>
      <c r="AW472" s="10"/>
      <c r="AX472" s="10"/>
      <c r="AY472" s="39"/>
      <c r="AZ472" s="10"/>
    </row>
    <row r="473" spans="4:52" x14ac:dyDescent="0.75">
      <c r="D473" s="3"/>
      <c r="P473" s="3"/>
      <c r="AI473" s="39"/>
      <c r="AJ473" s="102"/>
      <c r="AK473" s="19"/>
      <c r="AL473" s="19"/>
      <c r="AM473" s="19"/>
      <c r="AN473" s="10"/>
      <c r="AO473" s="10"/>
      <c r="AP473" s="39"/>
      <c r="AQ473" s="32"/>
      <c r="AR473" s="32"/>
      <c r="AS473" s="32"/>
      <c r="AT473" s="32"/>
      <c r="AU473" s="10"/>
      <c r="AV473" s="10"/>
      <c r="AW473" s="10"/>
      <c r="AX473" s="10"/>
      <c r="AY473" s="39"/>
      <c r="AZ473" s="10"/>
    </row>
    <row r="474" spans="4:52" x14ac:dyDescent="0.75">
      <c r="D474" s="3"/>
      <c r="P474" s="3"/>
      <c r="AI474" s="39"/>
      <c r="AJ474" s="102"/>
      <c r="AK474" s="19"/>
      <c r="AL474" s="19"/>
      <c r="AM474" s="19"/>
      <c r="AN474" s="10"/>
      <c r="AO474" s="10"/>
      <c r="AP474" s="39"/>
      <c r="AQ474" s="32"/>
      <c r="AR474" s="32"/>
      <c r="AS474" s="32"/>
      <c r="AT474" s="32"/>
      <c r="AU474" s="10"/>
      <c r="AV474" s="10"/>
      <c r="AW474" s="10"/>
      <c r="AX474" s="10"/>
      <c r="AY474" s="39"/>
      <c r="AZ474" s="10"/>
    </row>
    <row r="475" spans="4:52" x14ac:dyDescent="0.75">
      <c r="D475" s="3"/>
      <c r="P475" s="3"/>
      <c r="AI475" s="39"/>
      <c r="AJ475" s="102"/>
      <c r="AK475" s="19"/>
      <c r="AL475" s="19"/>
      <c r="AM475" s="19"/>
      <c r="AN475" s="10"/>
      <c r="AO475" s="10"/>
      <c r="AP475" s="39"/>
      <c r="AQ475" s="32"/>
      <c r="AR475" s="32"/>
      <c r="AS475" s="32"/>
      <c r="AT475" s="32"/>
      <c r="AU475" s="10"/>
      <c r="AV475" s="10"/>
      <c r="AW475" s="10"/>
      <c r="AX475" s="10"/>
      <c r="AY475" s="39"/>
      <c r="AZ475" s="10"/>
    </row>
    <row r="476" spans="4:52" x14ac:dyDescent="0.75">
      <c r="D476" s="3"/>
      <c r="P476" s="3"/>
      <c r="AI476" s="39"/>
      <c r="AJ476" s="102"/>
      <c r="AK476" s="19"/>
      <c r="AL476" s="19"/>
      <c r="AM476" s="19"/>
      <c r="AN476" s="10"/>
      <c r="AO476" s="10"/>
      <c r="AP476" s="39"/>
      <c r="AQ476" s="32"/>
      <c r="AR476" s="32"/>
      <c r="AS476" s="32"/>
      <c r="AT476" s="32"/>
      <c r="AU476" s="10"/>
      <c r="AV476" s="10"/>
      <c r="AW476" s="10"/>
      <c r="AX476" s="10"/>
      <c r="AY476" s="39"/>
      <c r="AZ476" s="10"/>
    </row>
    <row r="477" spans="4:52" x14ac:dyDescent="0.75">
      <c r="D477" s="3"/>
      <c r="P477" s="3"/>
      <c r="AI477" s="39"/>
      <c r="AJ477" s="102"/>
      <c r="AK477" s="19"/>
      <c r="AL477" s="19"/>
      <c r="AM477" s="19"/>
      <c r="AN477" s="10"/>
      <c r="AO477" s="10"/>
      <c r="AP477" s="39"/>
      <c r="AQ477" s="32"/>
      <c r="AR477" s="32"/>
      <c r="AS477" s="32"/>
      <c r="AT477" s="32"/>
      <c r="AU477" s="10"/>
      <c r="AV477" s="10"/>
      <c r="AW477" s="10"/>
      <c r="AX477" s="10"/>
      <c r="AY477" s="39"/>
      <c r="AZ477" s="10"/>
    </row>
    <row r="478" spans="4:52" x14ac:dyDescent="0.75">
      <c r="D478" s="3"/>
      <c r="P478" s="3"/>
      <c r="AI478" s="39"/>
      <c r="AJ478" s="102"/>
      <c r="AK478" s="19"/>
      <c r="AL478" s="19"/>
      <c r="AM478" s="19"/>
      <c r="AN478" s="10"/>
      <c r="AO478" s="10"/>
      <c r="AP478" s="39"/>
      <c r="AQ478" s="32"/>
      <c r="AR478" s="32"/>
      <c r="AS478" s="32"/>
      <c r="AT478" s="32"/>
      <c r="AU478" s="10"/>
      <c r="AV478" s="10"/>
      <c r="AW478" s="10"/>
      <c r="AX478" s="10"/>
      <c r="AY478" s="39"/>
      <c r="AZ478" s="10"/>
    </row>
    <row r="479" spans="4:52" x14ac:dyDescent="0.75">
      <c r="D479" s="3"/>
      <c r="P479" s="3"/>
      <c r="AI479" s="39"/>
      <c r="AJ479" s="102"/>
      <c r="AK479" s="19"/>
      <c r="AL479" s="19"/>
      <c r="AM479" s="19"/>
      <c r="AN479" s="10"/>
      <c r="AO479" s="10"/>
      <c r="AP479" s="39"/>
      <c r="AQ479" s="32"/>
      <c r="AR479" s="32"/>
      <c r="AS479" s="32"/>
      <c r="AT479" s="32"/>
      <c r="AU479" s="10"/>
      <c r="AV479" s="10"/>
      <c r="AW479" s="10"/>
      <c r="AX479" s="10"/>
      <c r="AY479" s="39"/>
      <c r="AZ479" s="10"/>
    </row>
    <row r="480" spans="4:52" x14ac:dyDescent="0.75">
      <c r="D480" s="3"/>
      <c r="P480" s="3"/>
      <c r="AI480" s="39"/>
      <c r="AJ480" s="102"/>
      <c r="AK480" s="19"/>
      <c r="AL480" s="19"/>
      <c r="AM480" s="19"/>
      <c r="AN480" s="10"/>
      <c r="AO480" s="10"/>
      <c r="AP480" s="39"/>
      <c r="AQ480" s="32"/>
      <c r="AR480" s="32"/>
      <c r="AS480" s="32"/>
      <c r="AT480" s="32"/>
      <c r="AU480" s="10"/>
      <c r="AV480" s="10"/>
      <c r="AW480" s="10"/>
      <c r="AX480" s="10"/>
      <c r="AY480" s="39"/>
      <c r="AZ480" s="10"/>
    </row>
    <row r="481" spans="4:52" x14ac:dyDescent="0.75">
      <c r="D481" s="3"/>
      <c r="P481" s="3"/>
      <c r="AI481" s="39"/>
      <c r="AJ481" s="102"/>
      <c r="AK481" s="19"/>
      <c r="AL481" s="19"/>
      <c r="AM481" s="19"/>
      <c r="AN481" s="10"/>
      <c r="AO481" s="10"/>
      <c r="AP481" s="39"/>
      <c r="AQ481" s="32"/>
      <c r="AR481" s="32"/>
      <c r="AS481" s="32"/>
      <c r="AT481" s="32"/>
      <c r="AU481" s="10"/>
      <c r="AV481" s="10"/>
      <c r="AW481" s="10"/>
      <c r="AX481" s="10"/>
      <c r="AY481" s="39"/>
      <c r="AZ481" s="10"/>
    </row>
    <row r="482" spans="4:52" x14ac:dyDescent="0.75">
      <c r="D482" s="3"/>
      <c r="P482" s="3"/>
      <c r="AI482" s="39"/>
      <c r="AJ482" s="102"/>
      <c r="AK482" s="19"/>
      <c r="AL482" s="19"/>
      <c r="AM482" s="19"/>
      <c r="AN482" s="10"/>
      <c r="AO482" s="10"/>
      <c r="AP482" s="39"/>
      <c r="AQ482" s="32"/>
      <c r="AR482" s="32"/>
      <c r="AS482" s="32"/>
      <c r="AT482" s="32"/>
      <c r="AU482" s="10"/>
      <c r="AV482" s="10"/>
      <c r="AW482" s="10"/>
      <c r="AX482" s="10"/>
      <c r="AY482" s="39"/>
      <c r="AZ482" s="10"/>
    </row>
    <row r="483" spans="4:52" x14ac:dyDescent="0.75">
      <c r="D483" s="3"/>
      <c r="P483" s="3"/>
      <c r="AI483" s="39"/>
      <c r="AJ483" s="102"/>
      <c r="AK483" s="19"/>
      <c r="AL483" s="19"/>
      <c r="AM483" s="19"/>
      <c r="AN483" s="10"/>
      <c r="AO483" s="10"/>
      <c r="AP483" s="39"/>
      <c r="AQ483" s="32"/>
      <c r="AR483" s="32"/>
      <c r="AS483" s="32"/>
      <c r="AT483" s="32"/>
      <c r="AU483" s="10"/>
      <c r="AV483" s="10"/>
      <c r="AW483" s="10"/>
      <c r="AX483" s="10"/>
      <c r="AY483" s="39"/>
      <c r="AZ483" s="10"/>
    </row>
    <row r="484" spans="4:52" x14ac:dyDescent="0.75">
      <c r="D484" s="3"/>
      <c r="P484" s="3"/>
      <c r="AI484" s="39"/>
      <c r="AJ484" s="102"/>
      <c r="AK484" s="19"/>
      <c r="AL484" s="19"/>
      <c r="AM484" s="19"/>
      <c r="AN484" s="10"/>
      <c r="AO484" s="10"/>
      <c r="AP484" s="39"/>
      <c r="AQ484" s="32"/>
      <c r="AR484" s="32"/>
      <c r="AS484" s="32"/>
      <c r="AT484" s="32"/>
      <c r="AU484" s="10"/>
      <c r="AV484" s="10"/>
      <c r="AW484" s="10"/>
      <c r="AX484" s="10"/>
      <c r="AY484" s="39"/>
      <c r="AZ484" s="10"/>
    </row>
    <row r="485" spans="4:52" x14ac:dyDescent="0.75">
      <c r="D485" s="3"/>
      <c r="P485" s="3"/>
      <c r="AI485" s="39"/>
      <c r="AJ485" s="102"/>
      <c r="AK485" s="19"/>
      <c r="AL485" s="19"/>
      <c r="AM485" s="19"/>
      <c r="AN485" s="10"/>
      <c r="AO485" s="10"/>
      <c r="AP485" s="39"/>
      <c r="AQ485" s="32"/>
      <c r="AR485" s="32"/>
      <c r="AS485" s="32"/>
      <c r="AT485" s="32"/>
      <c r="AU485" s="10"/>
      <c r="AV485" s="10"/>
      <c r="AW485" s="10"/>
      <c r="AX485" s="10"/>
      <c r="AY485" s="39"/>
      <c r="AZ485" s="10"/>
    </row>
    <row r="486" spans="4:52" x14ac:dyDescent="0.75">
      <c r="D486" s="3"/>
      <c r="P486" s="3"/>
      <c r="AI486" s="39"/>
      <c r="AJ486" s="102"/>
      <c r="AK486" s="19"/>
      <c r="AL486" s="19"/>
      <c r="AM486" s="19"/>
      <c r="AN486" s="10"/>
      <c r="AO486" s="10"/>
      <c r="AP486" s="39"/>
      <c r="AQ486" s="32"/>
      <c r="AR486" s="32"/>
      <c r="AS486" s="32"/>
      <c r="AT486" s="32"/>
      <c r="AU486" s="10"/>
      <c r="AV486" s="10"/>
      <c r="AW486" s="10"/>
      <c r="AX486" s="10"/>
      <c r="AY486" s="39"/>
      <c r="AZ486" s="10"/>
    </row>
    <row r="487" spans="4:52" x14ac:dyDescent="0.75">
      <c r="D487" s="3"/>
      <c r="P487" s="3"/>
      <c r="AI487" s="39"/>
      <c r="AJ487" s="102"/>
      <c r="AK487" s="19"/>
      <c r="AL487" s="19"/>
      <c r="AM487" s="19"/>
      <c r="AN487" s="10"/>
      <c r="AO487" s="10"/>
      <c r="AP487" s="39"/>
      <c r="AQ487" s="32"/>
      <c r="AR487" s="32"/>
      <c r="AS487" s="32"/>
      <c r="AT487" s="32"/>
      <c r="AU487" s="10"/>
      <c r="AV487" s="10"/>
      <c r="AW487" s="10"/>
      <c r="AX487" s="10"/>
      <c r="AY487" s="39"/>
      <c r="AZ487" s="10"/>
    </row>
    <row r="488" spans="4:52" x14ac:dyDescent="0.75">
      <c r="D488" s="3"/>
      <c r="P488" s="3"/>
      <c r="AI488" s="39"/>
      <c r="AJ488" s="102"/>
      <c r="AK488" s="19"/>
      <c r="AL488" s="19"/>
      <c r="AM488" s="19"/>
      <c r="AN488" s="10"/>
      <c r="AO488" s="10"/>
      <c r="AP488" s="39"/>
      <c r="AQ488" s="32"/>
      <c r="AR488" s="32"/>
      <c r="AS488" s="32"/>
      <c r="AT488" s="32"/>
      <c r="AU488" s="10"/>
      <c r="AV488" s="10"/>
      <c r="AW488" s="10"/>
      <c r="AX488" s="10"/>
      <c r="AY488" s="39"/>
      <c r="AZ488" s="10"/>
    </row>
    <row r="489" spans="4:52" x14ac:dyDescent="0.75">
      <c r="D489" s="3"/>
      <c r="P489" s="3"/>
      <c r="AI489" s="39"/>
      <c r="AJ489" s="102"/>
      <c r="AK489" s="19"/>
      <c r="AL489" s="19"/>
      <c r="AM489" s="19"/>
      <c r="AN489" s="10"/>
      <c r="AO489" s="10"/>
      <c r="AP489" s="39"/>
      <c r="AQ489" s="32"/>
      <c r="AR489" s="32"/>
      <c r="AS489" s="32"/>
      <c r="AT489" s="32"/>
      <c r="AU489" s="10"/>
      <c r="AV489" s="10"/>
      <c r="AW489" s="10"/>
      <c r="AX489" s="10"/>
      <c r="AY489" s="39"/>
      <c r="AZ489" s="10"/>
    </row>
    <row r="490" spans="4:52" x14ac:dyDescent="0.75">
      <c r="D490" s="3"/>
      <c r="P490" s="3"/>
      <c r="AI490" s="39"/>
      <c r="AJ490" s="102"/>
      <c r="AK490" s="19"/>
      <c r="AL490" s="19"/>
      <c r="AM490" s="19"/>
      <c r="AN490" s="10"/>
      <c r="AO490" s="10"/>
      <c r="AP490" s="39"/>
      <c r="AQ490" s="32"/>
      <c r="AR490" s="32"/>
      <c r="AS490" s="32"/>
      <c r="AT490" s="32"/>
      <c r="AU490" s="10"/>
      <c r="AV490" s="10"/>
      <c r="AW490" s="10"/>
      <c r="AX490" s="10"/>
      <c r="AY490" s="39"/>
      <c r="AZ490" s="10"/>
    </row>
    <row r="491" spans="4:52" x14ac:dyDescent="0.75">
      <c r="D491" s="3"/>
      <c r="P491" s="3"/>
      <c r="AI491" s="39"/>
      <c r="AJ491" s="102"/>
      <c r="AK491" s="19"/>
      <c r="AL491" s="19"/>
      <c r="AM491" s="19"/>
      <c r="AN491" s="10"/>
      <c r="AO491" s="10"/>
      <c r="AP491" s="39"/>
      <c r="AQ491" s="32"/>
      <c r="AR491" s="32"/>
      <c r="AS491" s="32"/>
      <c r="AT491" s="32"/>
      <c r="AU491" s="10"/>
      <c r="AV491" s="10"/>
      <c r="AW491" s="10"/>
      <c r="AX491" s="10"/>
      <c r="AY491" s="39"/>
      <c r="AZ491" s="10"/>
    </row>
    <row r="492" spans="4:52" x14ac:dyDescent="0.75">
      <c r="D492" s="3"/>
      <c r="P492" s="3"/>
      <c r="AI492" s="39"/>
      <c r="AJ492" s="102"/>
      <c r="AK492" s="19"/>
      <c r="AL492" s="19"/>
      <c r="AM492" s="19"/>
      <c r="AN492" s="10"/>
      <c r="AO492" s="10"/>
      <c r="AP492" s="39"/>
      <c r="AQ492" s="32"/>
      <c r="AR492" s="32"/>
      <c r="AS492" s="32"/>
      <c r="AT492" s="32"/>
      <c r="AU492" s="10"/>
      <c r="AV492" s="10"/>
      <c r="AW492" s="10"/>
      <c r="AX492" s="10"/>
      <c r="AY492" s="39"/>
      <c r="AZ492" s="10"/>
    </row>
    <row r="493" spans="4:52" x14ac:dyDescent="0.75">
      <c r="D493" s="3"/>
      <c r="P493" s="3"/>
      <c r="AI493" s="39"/>
      <c r="AJ493" s="102"/>
      <c r="AK493" s="19"/>
      <c r="AL493" s="19"/>
      <c r="AM493" s="19"/>
      <c r="AN493" s="10"/>
      <c r="AO493" s="10"/>
      <c r="AP493" s="39"/>
      <c r="AQ493" s="32"/>
      <c r="AR493" s="32"/>
      <c r="AS493" s="32"/>
      <c r="AT493" s="32"/>
      <c r="AU493" s="10"/>
      <c r="AV493" s="10"/>
      <c r="AW493" s="10"/>
      <c r="AX493" s="10"/>
      <c r="AY493" s="39"/>
      <c r="AZ493" s="10"/>
    </row>
    <row r="494" spans="4:52" x14ac:dyDescent="0.75">
      <c r="D494" s="3"/>
      <c r="P494" s="3"/>
      <c r="AI494" s="39"/>
      <c r="AJ494" s="102"/>
      <c r="AK494" s="19"/>
      <c r="AL494" s="19"/>
      <c r="AM494" s="19"/>
      <c r="AN494" s="10"/>
      <c r="AO494" s="10"/>
      <c r="AP494" s="39"/>
      <c r="AQ494" s="32"/>
      <c r="AR494" s="32"/>
      <c r="AS494" s="32"/>
      <c r="AT494" s="32"/>
      <c r="AU494" s="10"/>
      <c r="AV494" s="10"/>
      <c r="AW494" s="10"/>
      <c r="AX494" s="10"/>
      <c r="AY494" s="39"/>
      <c r="AZ494" s="10"/>
    </row>
    <row r="495" spans="4:52" x14ac:dyDescent="0.75">
      <c r="D495" s="3"/>
      <c r="P495" s="3"/>
      <c r="AI495" s="39"/>
      <c r="AJ495" s="102"/>
      <c r="AK495" s="19"/>
      <c r="AL495" s="19"/>
      <c r="AM495" s="19"/>
      <c r="AN495" s="10"/>
      <c r="AO495" s="10"/>
      <c r="AP495" s="39"/>
      <c r="AQ495" s="32"/>
      <c r="AR495" s="32"/>
      <c r="AS495" s="32"/>
      <c r="AT495" s="32"/>
      <c r="AU495" s="10"/>
      <c r="AV495" s="10"/>
      <c r="AW495" s="10"/>
      <c r="AX495" s="10"/>
      <c r="AY495" s="39"/>
      <c r="AZ495" s="10"/>
    </row>
    <row r="496" spans="4:52" x14ac:dyDescent="0.75">
      <c r="D496" s="3"/>
      <c r="P496" s="3"/>
      <c r="AI496" s="39"/>
      <c r="AJ496" s="102"/>
      <c r="AK496" s="19"/>
      <c r="AL496" s="19"/>
      <c r="AM496" s="19"/>
      <c r="AN496" s="10"/>
      <c r="AO496" s="10"/>
      <c r="AP496" s="39"/>
      <c r="AQ496" s="32"/>
      <c r="AR496" s="32"/>
      <c r="AS496" s="32"/>
      <c r="AT496" s="32"/>
      <c r="AU496" s="10"/>
      <c r="AV496" s="10"/>
      <c r="AW496" s="10"/>
      <c r="AX496" s="10"/>
      <c r="AY496" s="39"/>
      <c r="AZ496" s="10"/>
    </row>
    <row r="497" spans="4:52" x14ac:dyDescent="0.75">
      <c r="D497" s="3"/>
      <c r="P497" s="3"/>
      <c r="AI497" s="39"/>
      <c r="AJ497" s="102"/>
      <c r="AK497" s="19"/>
      <c r="AL497" s="19"/>
      <c r="AM497" s="19"/>
      <c r="AN497" s="10"/>
      <c r="AO497" s="10"/>
      <c r="AP497" s="39"/>
      <c r="AQ497" s="32"/>
      <c r="AR497" s="32"/>
      <c r="AS497" s="32"/>
      <c r="AT497" s="32"/>
      <c r="AU497" s="10"/>
      <c r="AV497" s="10"/>
      <c r="AW497" s="10"/>
      <c r="AX497" s="10"/>
      <c r="AY497" s="39"/>
      <c r="AZ497" s="10"/>
    </row>
    <row r="498" spans="4:52" x14ac:dyDescent="0.75">
      <c r="D498" s="3"/>
      <c r="P498" s="3"/>
      <c r="AI498" s="39"/>
      <c r="AJ498" s="102"/>
      <c r="AK498" s="19"/>
      <c r="AL498" s="19"/>
      <c r="AM498" s="19"/>
      <c r="AN498" s="10"/>
      <c r="AO498" s="10"/>
      <c r="AP498" s="39"/>
      <c r="AQ498" s="32"/>
      <c r="AR498" s="32"/>
      <c r="AS498" s="32"/>
      <c r="AT498" s="32"/>
      <c r="AU498" s="10"/>
      <c r="AV498" s="10"/>
      <c r="AW498" s="10"/>
      <c r="AX498" s="10"/>
      <c r="AY498" s="39"/>
      <c r="AZ498" s="10"/>
    </row>
    <row r="499" spans="4:52" x14ac:dyDescent="0.75">
      <c r="D499" s="3"/>
      <c r="P499" s="3"/>
      <c r="AI499" s="39"/>
      <c r="AJ499" s="102"/>
      <c r="AK499" s="19"/>
      <c r="AL499" s="19"/>
      <c r="AM499" s="19"/>
      <c r="AN499" s="10"/>
      <c r="AO499" s="10"/>
      <c r="AP499" s="39"/>
      <c r="AQ499" s="32"/>
      <c r="AR499" s="32"/>
      <c r="AS499" s="32"/>
      <c r="AT499" s="32"/>
      <c r="AU499" s="10"/>
      <c r="AV499" s="10"/>
      <c r="AW499" s="10"/>
      <c r="AX499" s="10"/>
      <c r="AY499" s="39"/>
      <c r="AZ499" s="10"/>
    </row>
    <row r="500" spans="4:52" x14ac:dyDescent="0.75">
      <c r="D500" s="3"/>
      <c r="P500" s="3"/>
      <c r="AI500" s="39"/>
      <c r="AJ500" s="102"/>
      <c r="AK500" s="19"/>
      <c r="AL500" s="19"/>
      <c r="AM500" s="19"/>
      <c r="AN500" s="10"/>
      <c r="AO500" s="10"/>
      <c r="AP500" s="39"/>
      <c r="AQ500" s="32"/>
      <c r="AR500" s="32"/>
      <c r="AS500" s="32"/>
      <c r="AT500" s="32"/>
      <c r="AU500" s="10"/>
      <c r="AV500" s="10"/>
      <c r="AW500" s="10"/>
      <c r="AX500" s="10"/>
      <c r="AY500" s="39"/>
      <c r="AZ500" s="10"/>
    </row>
    <row r="501" spans="4:52" x14ac:dyDescent="0.75">
      <c r="D501" s="3"/>
      <c r="P501" s="3"/>
      <c r="AI501" s="39"/>
      <c r="AJ501" s="102"/>
      <c r="AK501" s="19"/>
      <c r="AL501" s="19"/>
      <c r="AM501" s="19"/>
      <c r="AN501" s="10"/>
      <c r="AO501" s="10"/>
      <c r="AP501" s="39"/>
      <c r="AQ501" s="32"/>
      <c r="AR501" s="32"/>
      <c r="AS501" s="32"/>
      <c r="AT501" s="32"/>
      <c r="AU501" s="10"/>
      <c r="AV501" s="10"/>
      <c r="AW501" s="10"/>
      <c r="AX501" s="10"/>
      <c r="AY501" s="39"/>
      <c r="AZ501" s="10"/>
    </row>
    <row r="502" spans="4:52" x14ac:dyDescent="0.75">
      <c r="D502" s="3"/>
      <c r="P502" s="3"/>
      <c r="AI502" s="39"/>
      <c r="AJ502" s="102"/>
      <c r="AK502" s="19"/>
      <c r="AL502" s="19"/>
      <c r="AM502" s="19"/>
      <c r="AN502" s="10"/>
      <c r="AO502" s="10"/>
      <c r="AP502" s="39"/>
      <c r="AQ502" s="32"/>
      <c r="AR502" s="32"/>
      <c r="AS502" s="32"/>
      <c r="AT502" s="32"/>
      <c r="AU502" s="10"/>
      <c r="AV502" s="10"/>
      <c r="AW502" s="10"/>
      <c r="AX502" s="10"/>
      <c r="AY502" s="39"/>
      <c r="AZ502" s="10"/>
    </row>
    <row r="503" spans="4:52" x14ac:dyDescent="0.75">
      <c r="D503" s="3"/>
      <c r="P503" s="3"/>
      <c r="AI503" s="39"/>
      <c r="AJ503" s="102"/>
      <c r="AK503" s="19"/>
      <c r="AL503" s="19"/>
      <c r="AM503" s="19"/>
      <c r="AN503" s="10"/>
      <c r="AO503" s="10"/>
      <c r="AP503" s="39"/>
      <c r="AQ503" s="32"/>
      <c r="AR503" s="32"/>
      <c r="AS503" s="32"/>
      <c r="AT503" s="32"/>
      <c r="AU503" s="10"/>
      <c r="AV503" s="10"/>
      <c r="AW503" s="10"/>
      <c r="AX503" s="10"/>
      <c r="AY503" s="39"/>
      <c r="AZ503" s="10"/>
    </row>
    <row r="504" spans="4:52" x14ac:dyDescent="0.75">
      <c r="D504" s="3"/>
      <c r="P504" s="3"/>
      <c r="AI504" s="39"/>
      <c r="AJ504" s="102"/>
      <c r="AK504" s="19"/>
      <c r="AL504" s="19"/>
      <c r="AM504" s="19"/>
      <c r="AN504" s="10"/>
      <c r="AO504" s="10"/>
      <c r="AP504" s="39"/>
      <c r="AQ504" s="32"/>
      <c r="AR504" s="32"/>
      <c r="AS504" s="32"/>
      <c r="AT504" s="32"/>
      <c r="AU504" s="10"/>
      <c r="AV504" s="10"/>
      <c r="AW504" s="10"/>
      <c r="AX504" s="10"/>
      <c r="AY504" s="39"/>
      <c r="AZ504" s="10"/>
    </row>
    <row r="505" spans="4:52" x14ac:dyDescent="0.75">
      <c r="D505" s="3"/>
      <c r="P505" s="3"/>
      <c r="AI505" s="39"/>
      <c r="AJ505" s="102"/>
      <c r="AK505" s="19"/>
      <c r="AL505" s="19"/>
      <c r="AM505" s="19"/>
      <c r="AN505" s="10"/>
      <c r="AO505" s="10"/>
      <c r="AP505" s="39"/>
      <c r="AQ505" s="32"/>
      <c r="AR505" s="32"/>
      <c r="AS505" s="32"/>
      <c r="AT505" s="32"/>
      <c r="AU505" s="10"/>
      <c r="AV505" s="10"/>
      <c r="AW505" s="10"/>
      <c r="AX505" s="10"/>
      <c r="AY505" s="39"/>
      <c r="AZ505" s="10"/>
    </row>
    <row r="506" spans="4:52" x14ac:dyDescent="0.75">
      <c r="D506" s="3"/>
      <c r="P506" s="3"/>
      <c r="AI506" s="39"/>
      <c r="AJ506" s="102"/>
      <c r="AK506" s="19"/>
      <c r="AL506" s="19"/>
      <c r="AM506" s="19"/>
      <c r="AN506" s="10"/>
      <c r="AO506" s="10"/>
      <c r="AP506" s="39"/>
      <c r="AQ506" s="32"/>
      <c r="AR506" s="32"/>
      <c r="AS506" s="32"/>
      <c r="AT506" s="32"/>
      <c r="AU506" s="10"/>
      <c r="AV506" s="10"/>
      <c r="AW506" s="10"/>
      <c r="AX506" s="10"/>
      <c r="AY506" s="39"/>
      <c r="AZ506" s="10"/>
    </row>
    <row r="507" spans="4:52" x14ac:dyDescent="0.75">
      <c r="D507" s="3"/>
      <c r="P507" s="3"/>
      <c r="AI507" s="39"/>
      <c r="AJ507" s="102"/>
      <c r="AK507" s="19"/>
      <c r="AL507" s="19"/>
      <c r="AM507" s="19"/>
      <c r="AN507" s="10"/>
      <c r="AO507" s="10"/>
      <c r="AP507" s="39"/>
      <c r="AQ507" s="32"/>
      <c r="AR507" s="32"/>
      <c r="AS507" s="32"/>
      <c r="AT507" s="32"/>
      <c r="AU507" s="10"/>
      <c r="AV507" s="10"/>
      <c r="AW507" s="10"/>
      <c r="AX507" s="10"/>
      <c r="AY507" s="39"/>
      <c r="AZ507" s="10"/>
    </row>
    <row r="508" spans="4:52" x14ac:dyDescent="0.75">
      <c r="D508" s="3"/>
      <c r="P508" s="3"/>
      <c r="AI508" s="39"/>
      <c r="AJ508" s="102"/>
      <c r="AK508" s="19"/>
      <c r="AL508" s="19"/>
      <c r="AM508" s="19"/>
      <c r="AN508" s="10"/>
      <c r="AO508" s="10"/>
      <c r="AP508" s="39"/>
      <c r="AQ508" s="32"/>
      <c r="AR508" s="32"/>
      <c r="AS508" s="32"/>
      <c r="AT508" s="32"/>
      <c r="AU508" s="10"/>
      <c r="AV508" s="10"/>
      <c r="AW508" s="10"/>
      <c r="AX508" s="10"/>
      <c r="AY508" s="39"/>
      <c r="AZ508" s="10"/>
    </row>
    <row r="509" spans="4:52" x14ac:dyDescent="0.75">
      <c r="D509" s="3"/>
      <c r="P509" s="3"/>
      <c r="AI509" s="39"/>
      <c r="AJ509" s="102"/>
      <c r="AK509" s="19"/>
      <c r="AL509" s="19"/>
      <c r="AM509" s="19"/>
      <c r="AN509" s="10"/>
      <c r="AO509" s="10"/>
      <c r="AP509" s="39"/>
      <c r="AQ509" s="32"/>
      <c r="AR509" s="32"/>
      <c r="AS509" s="32"/>
      <c r="AT509" s="32"/>
      <c r="AU509" s="10"/>
      <c r="AV509" s="10"/>
      <c r="AW509" s="10"/>
      <c r="AX509" s="10"/>
      <c r="AY509" s="39"/>
      <c r="AZ509" s="10"/>
    </row>
    <row r="510" spans="4:52" x14ac:dyDescent="0.75">
      <c r="D510" s="3"/>
      <c r="P510" s="3"/>
      <c r="AI510" s="39"/>
      <c r="AJ510" s="102"/>
      <c r="AK510" s="19"/>
      <c r="AL510" s="19"/>
      <c r="AM510" s="19"/>
      <c r="AN510" s="10"/>
      <c r="AO510" s="10"/>
      <c r="AP510" s="39"/>
      <c r="AQ510" s="32"/>
      <c r="AR510" s="32"/>
      <c r="AS510" s="32"/>
      <c r="AT510" s="32"/>
      <c r="AU510" s="10"/>
      <c r="AV510" s="10"/>
      <c r="AW510" s="10"/>
      <c r="AX510" s="10"/>
      <c r="AY510" s="39"/>
      <c r="AZ510" s="10"/>
    </row>
    <row r="511" spans="4:52" x14ac:dyDescent="0.75">
      <c r="AI511" s="10"/>
      <c r="AJ511" s="102"/>
      <c r="AK511" s="19"/>
      <c r="AL511" s="19"/>
      <c r="AM511" s="19"/>
      <c r="AN511" s="10"/>
      <c r="AO511" s="10"/>
      <c r="AP511" s="10"/>
      <c r="AQ511" s="32"/>
      <c r="AR511" s="32"/>
      <c r="AS511" s="32"/>
      <c r="AT511" s="32"/>
      <c r="AU511" s="10"/>
      <c r="AV511" s="10"/>
      <c r="AW511" s="10"/>
      <c r="AX511" s="10"/>
      <c r="AY511" s="10"/>
      <c r="AZ511" s="10"/>
    </row>
    <row r="512" spans="4:52" x14ac:dyDescent="0.75">
      <c r="AI512" s="10"/>
      <c r="AJ512" s="102"/>
      <c r="AK512" s="19"/>
      <c r="AL512" s="19"/>
      <c r="AM512" s="19"/>
      <c r="AN512" s="10"/>
      <c r="AO512" s="10"/>
      <c r="AP512" s="10"/>
      <c r="AQ512" s="32"/>
      <c r="AR512" s="32"/>
      <c r="AS512" s="32"/>
      <c r="AT512" s="32"/>
      <c r="AU512" s="10"/>
      <c r="AV512" s="10"/>
      <c r="AW512" s="10"/>
      <c r="AX512" s="10"/>
      <c r="AY512" s="10"/>
      <c r="AZ512" s="10"/>
    </row>
    <row r="513" spans="35:52" x14ac:dyDescent="0.75">
      <c r="AI513" s="10"/>
      <c r="AJ513" s="102"/>
      <c r="AK513" s="19"/>
      <c r="AL513" s="19"/>
      <c r="AM513" s="19"/>
      <c r="AN513" s="10"/>
      <c r="AO513" s="10"/>
      <c r="AP513" s="10"/>
      <c r="AQ513" s="32"/>
      <c r="AR513" s="32"/>
      <c r="AS513" s="32"/>
      <c r="AT513" s="32"/>
      <c r="AU513" s="10"/>
      <c r="AV513" s="10"/>
      <c r="AW513" s="10"/>
      <c r="AX513" s="10"/>
      <c r="AY513" s="10"/>
      <c r="AZ513" s="10"/>
    </row>
    <row r="514" spans="35:52" x14ac:dyDescent="0.75">
      <c r="AI514" s="10"/>
      <c r="AJ514" s="102"/>
      <c r="AK514" s="19"/>
      <c r="AL514" s="19"/>
      <c r="AM514" s="19"/>
      <c r="AN514" s="10"/>
      <c r="AO514" s="10"/>
      <c r="AP514" s="10"/>
      <c r="AQ514" s="32"/>
      <c r="AR514" s="32"/>
      <c r="AS514" s="32"/>
      <c r="AT514" s="32"/>
      <c r="AU514" s="10"/>
      <c r="AV514" s="10"/>
      <c r="AW514" s="10"/>
      <c r="AX514" s="10"/>
      <c r="AY514" s="10"/>
      <c r="AZ514" s="10"/>
    </row>
    <row r="515" spans="35:52" x14ac:dyDescent="0.75">
      <c r="AI515" s="10"/>
      <c r="AJ515" s="102"/>
      <c r="AK515" s="19"/>
      <c r="AL515" s="19"/>
      <c r="AM515" s="19"/>
      <c r="AN515" s="10"/>
      <c r="AO515" s="10"/>
      <c r="AP515" s="10"/>
      <c r="AQ515" s="32"/>
      <c r="AR515" s="32"/>
      <c r="AS515" s="32"/>
      <c r="AT515" s="32"/>
      <c r="AU515" s="10"/>
      <c r="AV515" s="10"/>
      <c r="AW515" s="10"/>
      <c r="AX515" s="10"/>
      <c r="AY515" s="10"/>
      <c r="AZ515" s="10"/>
    </row>
    <row r="516" spans="35:52" x14ac:dyDescent="0.75">
      <c r="AI516" s="10"/>
      <c r="AJ516" s="102"/>
      <c r="AK516" s="19"/>
      <c r="AL516" s="19"/>
      <c r="AM516" s="19"/>
      <c r="AN516" s="10"/>
      <c r="AO516" s="10"/>
      <c r="AP516" s="10"/>
      <c r="AQ516" s="32"/>
      <c r="AR516" s="32"/>
      <c r="AS516" s="32"/>
      <c r="AT516" s="32"/>
      <c r="AU516" s="10"/>
      <c r="AV516" s="10"/>
      <c r="AW516" s="10"/>
      <c r="AX516" s="10"/>
      <c r="AY516" s="10"/>
      <c r="AZ516" s="10"/>
    </row>
    <row r="517" spans="35:52" x14ac:dyDescent="0.75">
      <c r="AI517" s="10"/>
      <c r="AJ517" s="102"/>
      <c r="AK517" s="19"/>
      <c r="AL517" s="19"/>
      <c r="AM517" s="19"/>
      <c r="AN517" s="10"/>
      <c r="AO517" s="10"/>
      <c r="AP517" s="10"/>
      <c r="AQ517" s="32"/>
      <c r="AR517" s="32"/>
      <c r="AS517" s="32"/>
      <c r="AT517" s="32"/>
      <c r="AU517" s="10"/>
      <c r="AV517" s="10"/>
      <c r="AW517" s="10"/>
      <c r="AX517" s="10"/>
      <c r="AY517" s="10"/>
      <c r="AZ517" s="10"/>
    </row>
    <row r="518" spans="35:52" x14ac:dyDescent="0.75">
      <c r="AI518" s="10"/>
      <c r="AJ518" s="102"/>
      <c r="AK518" s="19"/>
      <c r="AL518" s="19"/>
      <c r="AM518" s="19"/>
      <c r="AN518" s="10"/>
      <c r="AO518" s="10"/>
      <c r="AP518" s="10"/>
      <c r="AQ518" s="32"/>
      <c r="AR518" s="32"/>
      <c r="AS518" s="32"/>
      <c r="AT518" s="32"/>
      <c r="AU518" s="10"/>
      <c r="AV518" s="10"/>
      <c r="AW518" s="10"/>
      <c r="AX518" s="10"/>
      <c r="AY518" s="10"/>
      <c r="AZ518" s="10"/>
    </row>
    <row r="519" spans="35:52" x14ac:dyDescent="0.75">
      <c r="AI519" s="10"/>
      <c r="AJ519" s="102"/>
      <c r="AK519" s="19"/>
      <c r="AL519" s="19"/>
      <c r="AM519" s="19"/>
      <c r="AN519" s="10"/>
      <c r="AO519" s="10"/>
      <c r="AP519" s="10"/>
      <c r="AQ519" s="32"/>
      <c r="AR519" s="32"/>
      <c r="AS519" s="32"/>
      <c r="AT519" s="32"/>
      <c r="AU519" s="10"/>
      <c r="AV519" s="10"/>
      <c r="AW519" s="10"/>
      <c r="AX519" s="10"/>
      <c r="AY519" s="10"/>
      <c r="AZ519" s="10"/>
    </row>
    <row r="520" spans="35:52" x14ac:dyDescent="0.75">
      <c r="AI520" s="10"/>
      <c r="AJ520" s="102"/>
      <c r="AK520" s="19"/>
      <c r="AL520" s="19"/>
      <c r="AM520" s="19"/>
      <c r="AN520" s="10"/>
      <c r="AO520" s="10"/>
      <c r="AP520" s="10"/>
      <c r="AQ520" s="32"/>
      <c r="AR520" s="32"/>
      <c r="AS520" s="32"/>
      <c r="AT520" s="32"/>
      <c r="AU520" s="10"/>
      <c r="AV520" s="10"/>
      <c r="AW520" s="10"/>
      <c r="AX520" s="10"/>
      <c r="AY520" s="10"/>
      <c r="AZ520" s="10"/>
    </row>
    <row r="521" spans="35:52" x14ac:dyDescent="0.75">
      <c r="AI521" s="10"/>
      <c r="AJ521" s="102"/>
      <c r="AK521" s="19"/>
      <c r="AL521" s="19"/>
      <c r="AM521" s="19"/>
      <c r="AN521" s="10"/>
      <c r="AO521" s="10"/>
      <c r="AP521" s="10"/>
      <c r="AQ521" s="32"/>
      <c r="AR521" s="32"/>
      <c r="AS521" s="32"/>
      <c r="AT521" s="32"/>
      <c r="AU521" s="10"/>
      <c r="AV521" s="10"/>
      <c r="AW521" s="10"/>
      <c r="AX521" s="10"/>
      <c r="AY521" s="10"/>
      <c r="AZ521" s="10"/>
    </row>
    <row r="522" spans="35:52" x14ac:dyDescent="0.75">
      <c r="AI522" s="10"/>
      <c r="AJ522" s="102"/>
      <c r="AK522" s="19"/>
      <c r="AL522" s="19"/>
      <c r="AM522" s="19"/>
      <c r="AN522" s="10"/>
      <c r="AO522" s="10"/>
      <c r="AP522" s="10"/>
      <c r="AQ522" s="32"/>
      <c r="AR522" s="32"/>
      <c r="AS522" s="32"/>
      <c r="AT522" s="32"/>
      <c r="AU522" s="10"/>
      <c r="AV522" s="10"/>
      <c r="AW522" s="10"/>
      <c r="AX522" s="10"/>
      <c r="AY522" s="10"/>
      <c r="AZ522" s="10"/>
    </row>
    <row r="523" spans="35:52" x14ac:dyDescent="0.75">
      <c r="AI523" s="10"/>
      <c r="AJ523" s="102"/>
      <c r="AK523" s="19"/>
      <c r="AL523" s="19"/>
      <c r="AM523" s="19"/>
      <c r="AN523" s="10"/>
      <c r="AO523" s="10"/>
      <c r="AP523" s="10"/>
      <c r="AQ523" s="32"/>
      <c r="AR523" s="32"/>
      <c r="AS523" s="32"/>
      <c r="AT523" s="32"/>
      <c r="AU523" s="10"/>
      <c r="AV523" s="10"/>
      <c r="AW523" s="10"/>
      <c r="AX523" s="10"/>
      <c r="AY523" s="10"/>
      <c r="AZ523" s="10"/>
    </row>
    <row r="524" spans="35:52" x14ac:dyDescent="0.75">
      <c r="AI524" s="10"/>
      <c r="AJ524" s="102"/>
      <c r="AK524" s="19"/>
      <c r="AL524" s="19"/>
      <c r="AM524" s="19"/>
      <c r="AN524" s="10"/>
      <c r="AO524" s="10"/>
      <c r="AP524" s="10"/>
      <c r="AQ524" s="32"/>
      <c r="AR524" s="32"/>
      <c r="AS524" s="32"/>
      <c r="AT524" s="32"/>
      <c r="AU524" s="10"/>
      <c r="AV524" s="10"/>
      <c r="AW524" s="10"/>
      <c r="AX524" s="10"/>
      <c r="AY524" s="10"/>
      <c r="AZ524" s="10"/>
    </row>
    <row r="525" spans="35:52" x14ac:dyDescent="0.75">
      <c r="AI525" s="10"/>
      <c r="AJ525" s="102"/>
      <c r="AK525" s="19"/>
      <c r="AL525" s="19"/>
      <c r="AM525" s="19"/>
      <c r="AN525" s="10"/>
      <c r="AO525" s="10"/>
      <c r="AP525" s="10"/>
      <c r="AQ525" s="32"/>
      <c r="AR525" s="32"/>
      <c r="AS525" s="32"/>
      <c r="AT525" s="32"/>
      <c r="AU525" s="10"/>
      <c r="AV525" s="10"/>
      <c r="AW525" s="10"/>
      <c r="AX525" s="10"/>
      <c r="AY525" s="10"/>
      <c r="AZ525" s="10"/>
    </row>
    <row r="526" spans="35:52" x14ac:dyDescent="0.75">
      <c r="AI526" s="10"/>
      <c r="AJ526" s="102"/>
      <c r="AK526" s="19"/>
      <c r="AL526" s="19"/>
      <c r="AM526" s="19"/>
      <c r="AN526" s="10"/>
      <c r="AO526" s="10"/>
      <c r="AP526" s="10"/>
      <c r="AQ526" s="32"/>
      <c r="AR526" s="32"/>
      <c r="AS526" s="32"/>
      <c r="AT526" s="32"/>
      <c r="AU526" s="10"/>
      <c r="AV526" s="10"/>
      <c r="AW526" s="10"/>
      <c r="AX526" s="10"/>
      <c r="AY526" s="10"/>
      <c r="AZ526" s="10"/>
    </row>
    <row r="527" spans="35:52" x14ac:dyDescent="0.75">
      <c r="AI527" s="10"/>
      <c r="AJ527" s="102"/>
      <c r="AK527" s="19"/>
      <c r="AL527" s="19"/>
      <c r="AM527" s="19"/>
      <c r="AN527" s="10"/>
      <c r="AO527" s="10"/>
      <c r="AP527" s="10"/>
      <c r="AQ527" s="32"/>
      <c r="AR527" s="32"/>
      <c r="AS527" s="32"/>
      <c r="AT527" s="32"/>
      <c r="AU527" s="10"/>
      <c r="AV527" s="10"/>
      <c r="AW527" s="10"/>
      <c r="AX527" s="10"/>
      <c r="AY527" s="10"/>
      <c r="AZ527" s="10"/>
    </row>
    <row r="528" spans="35:52" x14ac:dyDescent="0.75">
      <c r="AI528" s="10"/>
      <c r="AJ528" s="102"/>
      <c r="AK528" s="19"/>
      <c r="AL528" s="19"/>
      <c r="AM528" s="19"/>
      <c r="AN528" s="10"/>
      <c r="AO528" s="10"/>
      <c r="AP528" s="10"/>
      <c r="AQ528" s="32"/>
      <c r="AR528" s="32"/>
      <c r="AS528" s="32"/>
      <c r="AT528" s="32"/>
      <c r="AU528" s="10"/>
      <c r="AV528" s="10"/>
      <c r="AW528" s="10"/>
      <c r="AX528" s="10"/>
      <c r="AY528" s="10"/>
      <c r="AZ528" s="10"/>
    </row>
    <row r="529" spans="35:52" x14ac:dyDescent="0.75">
      <c r="AI529" s="10"/>
      <c r="AJ529" s="102"/>
      <c r="AK529" s="19"/>
      <c r="AL529" s="19"/>
      <c r="AM529" s="19"/>
      <c r="AN529" s="10"/>
      <c r="AO529" s="10"/>
      <c r="AP529" s="10"/>
      <c r="AQ529" s="32"/>
      <c r="AR529" s="32"/>
      <c r="AS529" s="32"/>
      <c r="AT529" s="32"/>
      <c r="AU529" s="10"/>
      <c r="AV529" s="10"/>
      <c r="AW529" s="10"/>
      <c r="AX529" s="10"/>
      <c r="AY529" s="10"/>
      <c r="AZ529" s="10"/>
    </row>
    <row r="530" spans="35:52" x14ac:dyDescent="0.75">
      <c r="AI530" s="10"/>
      <c r="AJ530" s="102"/>
      <c r="AK530" s="19"/>
      <c r="AL530" s="19"/>
      <c r="AM530" s="19"/>
      <c r="AN530" s="10"/>
      <c r="AO530" s="10"/>
      <c r="AP530" s="10"/>
      <c r="AQ530" s="32"/>
      <c r="AR530" s="32"/>
      <c r="AS530" s="32"/>
      <c r="AT530" s="32"/>
      <c r="AU530" s="10"/>
      <c r="AV530" s="10"/>
      <c r="AW530" s="10"/>
      <c r="AX530" s="10"/>
      <c r="AY530" s="10"/>
      <c r="AZ530" s="10"/>
    </row>
    <row r="531" spans="35:52" x14ac:dyDescent="0.75">
      <c r="AI531" s="10"/>
      <c r="AJ531" s="102"/>
      <c r="AK531" s="19"/>
      <c r="AL531" s="19"/>
      <c r="AM531" s="19"/>
      <c r="AN531" s="10"/>
      <c r="AO531" s="10"/>
      <c r="AP531" s="10"/>
      <c r="AQ531" s="32"/>
      <c r="AR531" s="32"/>
      <c r="AS531" s="32"/>
      <c r="AT531" s="32"/>
      <c r="AU531" s="10"/>
      <c r="AV531" s="10"/>
      <c r="AW531" s="10"/>
      <c r="AX531" s="10"/>
      <c r="AY531" s="10"/>
      <c r="AZ531" s="10"/>
    </row>
    <row r="532" spans="35:52" x14ac:dyDescent="0.75">
      <c r="AI532" s="10"/>
      <c r="AJ532" s="102"/>
      <c r="AK532" s="19"/>
      <c r="AL532" s="19"/>
      <c r="AM532" s="19"/>
      <c r="AN532" s="10"/>
      <c r="AO532" s="10"/>
      <c r="AP532" s="10"/>
      <c r="AQ532" s="32"/>
      <c r="AR532" s="32"/>
      <c r="AS532" s="32"/>
      <c r="AT532" s="32"/>
      <c r="AU532" s="10"/>
      <c r="AV532" s="10"/>
      <c r="AW532" s="10"/>
      <c r="AX532" s="10"/>
      <c r="AY532" s="10"/>
      <c r="AZ532" s="10"/>
    </row>
    <row r="533" spans="35:52" x14ac:dyDescent="0.75">
      <c r="AI533" s="10"/>
      <c r="AJ533" s="102"/>
      <c r="AK533" s="19"/>
      <c r="AL533" s="19"/>
      <c r="AM533" s="19"/>
      <c r="AN533" s="10"/>
      <c r="AO533" s="10"/>
      <c r="AP533" s="10"/>
      <c r="AQ533" s="32"/>
      <c r="AR533" s="32"/>
      <c r="AS533" s="32"/>
      <c r="AT533" s="32"/>
      <c r="AU533" s="10"/>
      <c r="AV533" s="10"/>
      <c r="AW533" s="10"/>
      <c r="AX533" s="10"/>
      <c r="AY533" s="10"/>
      <c r="AZ533" s="10"/>
    </row>
    <row r="534" spans="35:52" x14ac:dyDescent="0.75">
      <c r="AI534" s="10"/>
      <c r="AJ534" s="102"/>
      <c r="AK534" s="19"/>
      <c r="AL534" s="19"/>
      <c r="AM534" s="19"/>
      <c r="AN534" s="10"/>
      <c r="AO534" s="10"/>
      <c r="AP534" s="10"/>
      <c r="AQ534" s="32"/>
      <c r="AR534" s="32"/>
      <c r="AS534" s="32"/>
      <c r="AT534" s="32"/>
      <c r="AU534" s="10"/>
      <c r="AV534" s="10"/>
      <c r="AW534" s="10"/>
      <c r="AX534" s="10"/>
      <c r="AY534" s="10"/>
      <c r="AZ534" s="10"/>
    </row>
    <row r="535" spans="35:52" x14ac:dyDescent="0.75">
      <c r="AI535" s="10"/>
      <c r="AJ535" s="102"/>
      <c r="AK535" s="19"/>
      <c r="AL535" s="19"/>
      <c r="AM535" s="19"/>
      <c r="AN535" s="10"/>
      <c r="AO535" s="10"/>
      <c r="AP535" s="10"/>
      <c r="AQ535" s="32"/>
      <c r="AR535" s="32"/>
      <c r="AS535" s="32"/>
      <c r="AT535" s="32"/>
      <c r="AU535" s="10"/>
      <c r="AV535" s="10"/>
      <c r="AW535" s="10"/>
      <c r="AX535" s="10"/>
      <c r="AY535" s="10"/>
      <c r="AZ535" s="10"/>
    </row>
    <row r="536" spans="35:52" x14ac:dyDescent="0.75">
      <c r="AI536" s="10"/>
      <c r="AJ536" s="102"/>
      <c r="AK536" s="19"/>
      <c r="AL536" s="19"/>
      <c r="AM536" s="19"/>
      <c r="AN536" s="10"/>
      <c r="AO536" s="10"/>
      <c r="AP536" s="10"/>
      <c r="AQ536" s="32"/>
      <c r="AR536" s="32"/>
      <c r="AS536" s="32"/>
      <c r="AT536" s="32"/>
      <c r="AU536" s="10"/>
      <c r="AV536" s="10"/>
      <c r="AW536" s="10"/>
      <c r="AX536" s="10"/>
      <c r="AY536" s="10"/>
      <c r="AZ536" s="10"/>
    </row>
    <row r="537" spans="35:52" x14ac:dyDescent="0.75">
      <c r="AI537" s="10"/>
      <c r="AJ537" s="102"/>
      <c r="AK537" s="19"/>
      <c r="AL537" s="19"/>
      <c r="AM537" s="19"/>
      <c r="AN537" s="10"/>
      <c r="AO537" s="10"/>
      <c r="AP537" s="10"/>
      <c r="AQ537" s="32"/>
      <c r="AR537" s="32"/>
      <c r="AS537" s="32"/>
      <c r="AT537" s="32"/>
      <c r="AU537" s="10"/>
      <c r="AV537" s="10"/>
      <c r="AW537" s="10"/>
      <c r="AX537" s="10"/>
      <c r="AY537" s="10"/>
      <c r="AZ537" s="10"/>
    </row>
    <row r="538" spans="35:52" x14ac:dyDescent="0.75">
      <c r="AI538" s="10"/>
      <c r="AJ538" s="102"/>
      <c r="AK538" s="19"/>
      <c r="AL538" s="19"/>
      <c r="AM538" s="19"/>
      <c r="AN538" s="10"/>
      <c r="AO538" s="10"/>
      <c r="AP538" s="10"/>
      <c r="AQ538" s="32"/>
      <c r="AR538" s="32"/>
      <c r="AS538" s="32"/>
      <c r="AT538" s="32"/>
      <c r="AU538" s="10"/>
      <c r="AV538" s="10"/>
      <c r="AW538" s="10"/>
      <c r="AX538" s="10"/>
      <c r="AY538" s="10"/>
      <c r="AZ538" s="10"/>
    </row>
    <row r="539" spans="35:52" x14ac:dyDescent="0.75">
      <c r="AI539" s="10"/>
      <c r="AJ539" s="102"/>
      <c r="AK539" s="19"/>
      <c r="AL539" s="19"/>
      <c r="AM539" s="19"/>
      <c r="AN539" s="10"/>
      <c r="AO539" s="10"/>
      <c r="AP539" s="10"/>
      <c r="AQ539" s="32"/>
      <c r="AR539" s="32"/>
      <c r="AS539" s="32"/>
      <c r="AT539" s="32"/>
      <c r="AU539" s="10"/>
      <c r="AV539" s="10"/>
      <c r="AW539" s="10"/>
      <c r="AX539" s="10"/>
      <c r="AY539" s="10"/>
      <c r="AZ539" s="10"/>
    </row>
    <row r="540" spans="35:52" x14ac:dyDescent="0.75">
      <c r="AI540" s="10"/>
      <c r="AJ540" s="102"/>
      <c r="AK540" s="19"/>
      <c r="AL540" s="19"/>
      <c r="AM540" s="19"/>
      <c r="AN540" s="10"/>
      <c r="AO540" s="10"/>
      <c r="AP540" s="10"/>
      <c r="AQ540" s="32"/>
      <c r="AR540" s="32"/>
      <c r="AS540" s="32"/>
      <c r="AT540" s="32"/>
      <c r="AU540" s="10"/>
      <c r="AV540" s="10"/>
      <c r="AW540" s="10"/>
      <c r="AX540" s="10"/>
      <c r="AY540" s="10"/>
      <c r="AZ540" s="10"/>
    </row>
    <row r="541" spans="35:52" x14ac:dyDescent="0.75">
      <c r="AI541" s="10"/>
      <c r="AJ541" s="102"/>
      <c r="AK541" s="19"/>
      <c r="AL541" s="19"/>
      <c r="AM541" s="19"/>
      <c r="AN541" s="10"/>
      <c r="AO541" s="10"/>
      <c r="AP541" s="10"/>
      <c r="AQ541" s="32"/>
      <c r="AR541" s="32"/>
      <c r="AS541" s="32"/>
      <c r="AT541" s="32"/>
      <c r="AU541" s="10"/>
      <c r="AV541" s="10"/>
      <c r="AW541" s="10"/>
      <c r="AX541" s="10"/>
      <c r="AY541" s="10"/>
      <c r="AZ541" s="10"/>
    </row>
    <row r="542" spans="35:52" x14ac:dyDescent="0.75">
      <c r="AI542" s="10"/>
      <c r="AJ542" s="102"/>
      <c r="AK542" s="19"/>
      <c r="AL542" s="19"/>
      <c r="AM542" s="19"/>
      <c r="AN542" s="10"/>
      <c r="AO542" s="10"/>
      <c r="AP542" s="10"/>
      <c r="AQ542" s="32"/>
      <c r="AR542" s="32"/>
      <c r="AS542" s="32"/>
      <c r="AT542" s="32"/>
      <c r="AU542" s="10"/>
      <c r="AV542" s="10"/>
      <c r="AW542" s="10"/>
      <c r="AX542" s="10"/>
      <c r="AY542" s="10"/>
      <c r="AZ542" s="10"/>
    </row>
    <row r="543" spans="35:52" x14ac:dyDescent="0.75">
      <c r="AI543" s="10"/>
      <c r="AJ543" s="102"/>
      <c r="AK543" s="19"/>
      <c r="AL543" s="19"/>
      <c r="AM543" s="19"/>
      <c r="AN543" s="10"/>
      <c r="AO543" s="10"/>
      <c r="AP543" s="10"/>
      <c r="AQ543" s="32"/>
      <c r="AR543" s="32"/>
      <c r="AS543" s="32"/>
      <c r="AT543" s="32"/>
      <c r="AU543" s="10"/>
      <c r="AV543" s="10"/>
      <c r="AW543" s="10"/>
      <c r="AX543" s="10"/>
      <c r="AY543" s="10"/>
      <c r="AZ543" s="10"/>
    </row>
    <row r="544" spans="35:52" x14ac:dyDescent="0.75">
      <c r="AI544" s="10"/>
      <c r="AJ544" s="102"/>
      <c r="AK544" s="19"/>
      <c r="AL544" s="19"/>
      <c r="AM544" s="19"/>
      <c r="AN544" s="10"/>
      <c r="AO544" s="10"/>
      <c r="AP544" s="10"/>
      <c r="AQ544" s="32"/>
      <c r="AR544" s="32"/>
      <c r="AS544" s="32"/>
      <c r="AT544" s="32"/>
      <c r="AU544" s="10"/>
      <c r="AV544" s="10"/>
      <c r="AW544" s="10"/>
      <c r="AX544" s="10"/>
      <c r="AY544" s="10"/>
      <c r="AZ544" s="10"/>
    </row>
    <row r="545" spans="35:52" x14ac:dyDescent="0.75">
      <c r="AI545" s="10"/>
      <c r="AJ545" s="102"/>
      <c r="AK545" s="19"/>
      <c r="AL545" s="19"/>
      <c r="AM545" s="19"/>
      <c r="AN545" s="10"/>
      <c r="AO545" s="10"/>
      <c r="AP545" s="10"/>
      <c r="AQ545" s="32"/>
      <c r="AR545" s="32"/>
      <c r="AS545" s="32"/>
      <c r="AT545" s="32"/>
      <c r="AU545" s="10"/>
      <c r="AV545" s="10"/>
      <c r="AW545" s="10"/>
      <c r="AX545" s="10"/>
      <c r="AY545" s="10"/>
      <c r="AZ545" s="10"/>
    </row>
    <row r="546" spans="35:52" x14ac:dyDescent="0.75">
      <c r="AI546" s="10"/>
      <c r="AJ546" s="102"/>
      <c r="AK546" s="19"/>
      <c r="AL546" s="19"/>
      <c r="AM546" s="19"/>
      <c r="AN546" s="10"/>
      <c r="AO546" s="10"/>
      <c r="AP546" s="10"/>
      <c r="AQ546" s="32"/>
      <c r="AR546" s="32"/>
      <c r="AS546" s="32"/>
      <c r="AT546" s="32"/>
      <c r="AU546" s="10"/>
      <c r="AV546" s="10"/>
      <c r="AW546" s="10"/>
      <c r="AX546" s="10"/>
      <c r="AY546" s="10"/>
      <c r="AZ546" s="10"/>
    </row>
    <row r="547" spans="35:52" x14ac:dyDescent="0.75">
      <c r="AI547" s="10"/>
      <c r="AJ547" s="102"/>
      <c r="AK547" s="19"/>
      <c r="AL547" s="19"/>
      <c r="AM547" s="19"/>
      <c r="AN547" s="10"/>
      <c r="AO547" s="10"/>
      <c r="AP547" s="10"/>
      <c r="AQ547" s="32"/>
      <c r="AR547" s="32"/>
      <c r="AS547" s="32"/>
      <c r="AT547" s="32"/>
      <c r="AU547" s="10"/>
      <c r="AV547" s="10"/>
      <c r="AW547" s="10"/>
      <c r="AX547" s="10"/>
      <c r="AY547" s="10"/>
      <c r="AZ547" s="10"/>
    </row>
    <row r="548" spans="35:52" x14ac:dyDescent="0.75">
      <c r="AI548" s="10"/>
      <c r="AJ548" s="102"/>
      <c r="AK548" s="19"/>
      <c r="AL548" s="19"/>
      <c r="AM548" s="19"/>
      <c r="AN548" s="10"/>
      <c r="AO548" s="10"/>
      <c r="AP548" s="10"/>
      <c r="AQ548" s="32"/>
      <c r="AR548" s="32"/>
      <c r="AS548" s="32"/>
      <c r="AT548" s="32"/>
      <c r="AU548" s="10"/>
      <c r="AV548" s="10"/>
      <c r="AW548" s="10"/>
      <c r="AX548" s="10"/>
      <c r="AY548" s="10"/>
      <c r="AZ548" s="10"/>
    </row>
    <row r="549" spans="35:52" x14ac:dyDescent="0.75">
      <c r="AI549" s="10"/>
      <c r="AJ549" s="102"/>
      <c r="AK549" s="19"/>
      <c r="AL549" s="19"/>
      <c r="AM549" s="19"/>
      <c r="AN549" s="10"/>
      <c r="AO549" s="10"/>
      <c r="AP549" s="10"/>
      <c r="AQ549" s="32"/>
      <c r="AR549" s="32"/>
      <c r="AS549" s="32"/>
      <c r="AT549" s="32"/>
      <c r="AU549" s="10"/>
      <c r="AV549" s="10"/>
      <c r="AW549" s="10"/>
      <c r="AX549" s="10"/>
      <c r="AY549" s="10"/>
      <c r="AZ549" s="10"/>
    </row>
    <row r="550" spans="35:52" x14ac:dyDescent="0.75">
      <c r="AI550" s="10"/>
      <c r="AJ550" s="102"/>
      <c r="AK550" s="19"/>
      <c r="AL550" s="19"/>
      <c r="AM550" s="19"/>
      <c r="AN550" s="10"/>
      <c r="AO550" s="10"/>
      <c r="AP550" s="10"/>
      <c r="AQ550" s="32"/>
      <c r="AR550" s="32"/>
      <c r="AS550" s="32"/>
      <c r="AT550" s="32"/>
      <c r="AU550" s="10"/>
      <c r="AV550" s="10"/>
      <c r="AW550" s="10"/>
      <c r="AX550" s="10"/>
      <c r="AY550" s="10"/>
      <c r="AZ550" s="10"/>
    </row>
    <row r="551" spans="35:52" x14ac:dyDescent="0.75">
      <c r="AI551" s="10"/>
      <c r="AJ551" s="102"/>
      <c r="AK551" s="19"/>
      <c r="AL551" s="19"/>
      <c r="AM551" s="19"/>
      <c r="AN551" s="10"/>
      <c r="AO551" s="10"/>
      <c r="AP551" s="10"/>
      <c r="AQ551" s="32"/>
      <c r="AR551" s="32"/>
      <c r="AS551" s="32"/>
      <c r="AT551" s="32"/>
      <c r="AU551" s="10"/>
      <c r="AV551" s="10"/>
      <c r="AW551" s="10"/>
      <c r="AX551" s="10"/>
      <c r="AY551" s="10"/>
      <c r="AZ551" s="10"/>
    </row>
    <row r="552" spans="35:52" x14ac:dyDescent="0.75">
      <c r="AI552" s="10"/>
      <c r="AJ552" s="102"/>
      <c r="AK552" s="19"/>
      <c r="AL552" s="19"/>
      <c r="AM552" s="19"/>
      <c r="AN552" s="10"/>
      <c r="AO552" s="10"/>
      <c r="AP552" s="10"/>
      <c r="AQ552" s="32"/>
      <c r="AR552" s="32"/>
      <c r="AS552" s="32"/>
      <c r="AT552" s="32"/>
      <c r="AU552" s="10"/>
      <c r="AV552" s="10"/>
      <c r="AW552" s="10"/>
      <c r="AX552" s="10"/>
      <c r="AY552" s="10"/>
      <c r="AZ552" s="10"/>
    </row>
    <row r="553" spans="35:52" x14ac:dyDescent="0.75">
      <c r="AI553" s="10"/>
      <c r="AJ553" s="102"/>
      <c r="AK553" s="19"/>
      <c r="AL553" s="19"/>
      <c r="AM553" s="19"/>
      <c r="AN553" s="10"/>
      <c r="AO553" s="10"/>
      <c r="AP553" s="10"/>
      <c r="AQ553" s="32"/>
      <c r="AR553" s="32"/>
      <c r="AS553" s="32"/>
      <c r="AT553" s="32"/>
      <c r="AU553" s="10"/>
      <c r="AV553" s="10"/>
      <c r="AW553" s="10"/>
      <c r="AX553" s="10"/>
      <c r="AY553" s="10"/>
      <c r="AZ553" s="10"/>
    </row>
    <row r="554" spans="35:52" x14ac:dyDescent="0.75">
      <c r="AI554" s="10"/>
      <c r="AJ554" s="102"/>
      <c r="AK554" s="19"/>
      <c r="AL554" s="19"/>
      <c r="AM554" s="19"/>
      <c r="AN554" s="10"/>
      <c r="AO554" s="10"/>
      <c r="AP554" s="10"/>
      <c r="AQ554" s="32"/>
      <c r="AR554" s="32"/>
      <c r="AS554" s="32"/>
      <c r="AT554" s="32"/>
      <c r="AU554" s="10"/>
      <c r="AV554" s="10"/>
      <c r="AW554" s="10"/>
      <c r="AX554" s="10"/>
      <c r="AY554" s="10"/>
      <c r="AZ554" s="10"/>
    </row>
    <row r="555" spans="35:52" x14ac:dyDescent="0.75">
      <c r="AI555" s="10"/>
      <c r="AJ555" s="102"/>
      <c r="AK555" s="19"/>
      <c r="AL555" s="19"/>
      <c r="AM555" s="19"/>
      <c r="AN555" s="10"/>
      <c r="AO555" s="10"/>
      <c r="AP555" s="10"/>
      <c r="AQ555" s="32"/>
      <c r="AR555" s="32"/>
      <c r="AS555" s="32"/>
      <c r="AT555" s="32"/>
      <c r="AU555" s="10"/>
      <c r="AV555" s="10"/>
      <c r="AW555" s="10"/>
      <c r="AX555" s="10"/>
      <c r="AY555" s="10"/>
      <c r="AZ555" s="10"/>
    </row>
    <row r="556" spans="35:52" x14ac:dyDescent="0.75">
      <c r="AI556" s="10"/>
      <c r="AJ556" s="102"/>
      <c r="AK556" s="19"/>
      <c r="AL556" s="19"/>
      <c r="AM556" s="19"/>
      <c r="AN556" s="10"/>
      <c r="AO556" s="10"/>
      <c r="AP556" s="10"/>
      <c r="AQ556" s="32"/>
      <c r="AR556" s="32"/>
      <c r="AS556" s="32"/>
      <c r="AT556" s="32"/>
      <c r="AU556" s="10"/>
      <c r="AV556" s="10"/>
      <c r="AW556" s="10"/>
      <c r="AX556" s="10"/>
      <c r="AY556" s="10"/>
      <c r="AZ556" s="10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glio6"/>
  <dimension ref="A1:T47"/>
  <sheetViews>
    <sheetView topLeftCell="J16" zoomScale="85" zoomScaleNormal="85" workbookViewId="0">
      <selection activeCell="L36" sqref="L36"/>
    </sheetView>
  </sheetViews>
  <sheetFormatPr defaultColWidth="8.81640625" defaultRowHeight="14.75" x14ac:dyDescent="0.75"/>
  <cols>
    <col min="1" max="1" width="20.1796875" style="1" customWidth="1"/>
    <col min="2" max="2" width="18.81640625" style="1" customWidth="1"/>
    <col min="3" max="3" width="21.81640625" style="1" bestFit="1" customWidth="1"/>
    <col min="4" max="4" width="14.36328125" style="1" customWidth="1"/>
    <col min="5" max="5" width="13.36328125" style="1" bestFit="1" customWidth="1"/>
    <col min="6" max="6" width="15.1796875" style="1" customWidth="1"/>
    <col min="7" max="9" width="8.81640625" style="1"/>
    <col min="10" max="10" width="8.81640625" style="22"/>
    <col min="11" max="11" width="8.81640625" style="1"/>
    <col min="12" max="12" width="44.453125" style="1" bestFit="1" customWidth="1"/>
    <col min="13" max="13" width="23" style="1" customWidth="1"/>
    <col min="14" max="14" width="14" style="1" customWidth="1"/>
    <col min="15" max="15" width="13.36328125" style="1" bestFit="1" customWidth="1"/>
    <col min="16" max="16" width="15.6328125" style="1" customWidth="1"/>
    <col min="17" max="17" width="15.36328125" style="1" customWidth="1"/>
    <col min="18" max="18" width="19.81640625" style="1" customWidth="1"/>
    <col min="19" max="19" width="18.36328125" style="1" bestFit="1" customWidth="1"/>
    <col min="20" max="20" width="11.453125" style="1" customWidth="1"/>
    <col min="21" max="21" width="9.36328125" style="1" bestFit="1" customWidth="1"/>
    <col min="22" max="16384" width="8.81640625" style="1"/>
  </cols>
  <sheetData>
    <row r="1" spans="1:19" x14ac:dyDescent="0.75">
      <c r="A1" s="11" t="s">
        <v>45</v>
      </c>
      <c r="K1" s="11" t="s">
        <v>46</v>
      </c>
    </row>
    <row r="2" spans="1:19" x14ac:dyDescent="0.75">
      <c r="L2" s="26" t="s">
        <v>20</v>
      </c>
      <c r="M2" s="25">
        <v>43754</v>
      </c>
    </row>
    <row r="3" spans="1:19" x14ac:dyDescent="0.75">
      <c r="B3" s="10" t="s">
        <v>58</v>
      </c>
      <c r="C3" s="10" t="s">
        <v>54</v>
      </c>
      <c r="D3" s="10" t="s">
        <v>55</v>
      </c>
      <c r="E3" s="10" t="s">
        <v>57</v>
      </c>
      <c r="F3" s="10" t="s">
        <v>56</v>
      </c>
      <c r="L3" s="27"/>
    </row>
    <row r="4" spans="1:19" x14ac:dyDescent="0.75">
      <c r="A4" s="11"/>
      <c r="B4" s="11"/>
      <c r="C4" s="11"/>
      <c r="D4" s="11"/>
      <c r="E4" s="11"/>
      <c r="F4" s="11"/>
      <c r="L4" s="27"/>
      <c r="M4" s="1" t="s">
        <v>58</v>
      </c>
      <c r="N4" s="1" t="s">
        <v>54</v>
      </c>
      <c r="O4" s="1" t="s">
        <v>55</v>
      </c>
      <c r="P4" s="1" t="s">
        <v>57</v>
      </c>
      <c r="Q4" s="1" t="s">
        <v>56</v>
      </c>
      <c r="R4" s="1" t="s">
        <v>18</v>
      </c>
      <c r="S4" s="1" t="s">
        <v>19</v>
      </c>
    </row>
    <row r="5" spans="1:19" x14ac:dyDescent="0.75">
      <c r="A5" s="11" t="s">
        <v>60</v>
      </c>
      <c r="B5" s="23">
        <v>0.1</v>
      </c>
      <c r="C5" s="23">
        <v>0.2</v>
      </c>
      <c r="D5" s="23">
        <v>0.2</v>
      </c>
      <c r="E5" s="23">
        <v>0.15</v>
      </c>
      <c r="F5" s="23">
        <v>0.35</v>
      </c>
      <c r="L5" s="26" t="s">
        <v>24</v>
      </c>
      <c r="M5" s="18">
        <f>+INDEX(Valorizzazione!$C$4:$I$40,MATCH(implementazione!$M$2,Valorizzazione!$C$4:$C$40,0),MATCH(implementazione!M4,Valorizzazione!$C$4:$I$4,0))</f>
        <v>96017</v>
      </c>
      <c r="N5" s="18">
        <f>+INDEX(Valorizzazione!$C$4:$I$40,MATCH(implementazione!$M$2,Valorizzazione!$C$4:$C$40,0),MATCH(implementazione!N4,Valorizzazione!$C$4:$I$4,0))</f>
        <v>3641</v>
      </c>
      <c r="O5" s="18">
        <f>+INDEX(Valorizzazione!$C$4:$I$40,MATCH(implementazione!$M$2,Valorizzazione!$C$4:$C$40,0),MATCH(implementazione!O4,Valorizzazione!$C$4:$I$4,0))</f>
        <v>43419</v>
      </c>
      <c r="P5" s="18">
        <f>+INDEX(Valorizzazione!$C$4:$I$40,MATCH(implementazione!$M$2,Valorizzazione!$C$4:$C$40,0),MATCH(implementazione!P4,Valorizzazione!$C$4:$I$4,0))</f>
        <v>14592</v>
      </c>
      <c r="Q5" s="18">
        <f>+INDEX(Valorizzazione!$C$4:$I$40,MATCH(implementazione!$M$2,Valorizzazione!$C$4:$C$40,0),MATCH(implementazione!Q4,Valorizzazione!$C$4:$I$4,0))</f>
        <v>17071</v>
      </c>
      <c r="R5" s="21">
        <f>+INDEX(Valorizzazione!$C$4:$I$40,MATCH(implementazione!$M$2,Valorizzazione!$C$4:$C$40,0),MATCH(implementazione!R4,Valorizzazione!$C$4:$I$4,0))</f>
        <v>227.76645128056407</v>
      </c>
    </row>
    <row r="6" spans="1:19" x14ac:dyDescent="0.75">
      <c r="L6" s="26" t="s">
        <v>21</v>
      </c>
      <c r="M6" s="2">
        <f>+INDEX(Valorizzazione!$X$4:$AD$40,MATCH(implementazione!$M$2,Valorizzazione!$X$4:$X$40,0),MATCH(implementazione!M4,Valorizzazione!$X$4:$AF$4,0))</f>
        <v>500122.69171299995</v>
      </c>
      <c r="N6" s="2">
        <f>+INDEX(Valorizzazione!$X$4:$AD$40,MATCH(implementazione!$M$2,Valorizzazione!$X$4:$X$40,0),MATCH(implementazione!N4,Valorizzazione!$X$4:$AF$4,0))</f>
        <v>990800.2112281177</v>
      </c>
      <c r="O6" s="2">
        <f>+INDEX(Valorizzazione!$X$4:$AD$40,MATCH(implementazione!$M$2,Valorizzazione!$X$4:$X$40,0),MATCH(implementazione!O4,Valorizzazione!$X$4:$AF$4,0))</f>
        <v>1013028.8724353742</v>
      </c>
      <c r="P6" s="2">
        <f>+INDEX(Valorizzazione!$X$4:$AD$40,MATCH(implementazione!$M$2,Valorizzazione!$X$4:$X$40,0),MATCH(implementazione!P4,Valorizzazione!$X$4:$AF$4,0))</f>
        <v>749440.30232380948</v>
      </c>
      <c r="Q6" s="2">
        <f>+INDEX(Valorizzazione!$X$4:$AD$40,MATCH(implementazione!$M$2,Valorizzazione!$X$4:$X$40,0),MATCH(implementazione!Q4,Valorizzazione!$X$4:$AF$4,0))</f>
        <v>1746979.2495510203</v>
      </c>
      <c r="R6" s="2">
        <f>+INDEX(Valorizzazione!$X$4:$AD$40,MATCH(implementazione!$M$2,Valorizzazione!$X$4:$X$40,0),MATCH(implementazione!R4,Valorizzazione!$X$4:$AF$4,0))</f>
        <v>11389.133343376394</v>
      </c>
      <c r="S6" s="20">
        <f>+SUM(M6:R6)</f>
        <v>5011760.4605946979</v>
      </c>
    </row>
    <row r="7" spans="1:19" x14ac:dyDescent="0.75">
      <c r="B7" s="11" t="s">
        <v>10</v>
      </c>
      <c r="L7" s="26" t="s">
        <v>22</v>
      </c>
      <c r="M7" s="12">
        <f>+M6/$S$6</f>
        <v>9.9789823485230009E-2</v>
      </c>
      <c r="N7" s="12">
        <f>+N6/$S$6</f>
        <v>0.19769504528764906</v>
      </c>
      <c r="O7" s="12">
        <f t="shared" ref="O7" si="0">+O6/$S$6</f>
        <v>0.20213034529490814</v>
      </c>
      <c r="P7" s="12">
        <f>+P6/$S$6</f>
        <v>0.14953633722448109</v>
      </c>
      <c r="Q7" s="12">
        <f>+Q6/$S$6</f>
        <v>0.34857596712507743</v>
      </c>
      <c r="R7" s="74">
        <f>+R6/$S$6</f>
        <v>2.2724815826542823E-3</v>
      </c>
    </row>
    <row r="8" spans="1:19" x14ac:dyDescent="0.75">
      <c r="B8" s="24">
        <v>5000000</v>
      </c>
      <c r="L8" s="27"/>
    </row>
    <row r="9" spans="1:19" x14ac:dyDescent="0.75">
      <c r="L9" s="27"/>
    </row>
    <row r="10" spans="1:19" x14ac:dyDescent="0.75">
      <c r="B10" s="11" t="s">
        <v>11</v>
      </c>
      <c r="L10" s="27"/>
    </row>
    <row r="11" spans="1:19" x14ac:dyDescent="0.75">
      <c r="B11" s="2">
        <f>+$B$8*B5</f>
        <v>500000</v>
      </c>
      <c r="C11" s="2">
        <f>+$B$8*C5</f>
        <v>1000000</v>
      </c>
      <c r="D11" s="2">
        <f>+$B$8*D5</f>
        <v>1000000</v>
      </c>
      <c r="E11" s="2">
        <f>+$B$8*E5</f>
        <v>750000</v>
      </c>
      <c r="F11" s="2">
        <f>+$B$8*F5</f>
        <v>1750000</v>
      </c>
      <c r="L11" s="27"/>
      <c r="M11" s="11" t="s">
        <v>25</v>
      </c>
    </row>
    <row r="12" spans="1:19" x14ac:dyDescent="0.75">
      <c r="L12" s="27"/>
      <c r="M12" s="71">
        <v>0.6</v>
      </c>
      <c r="N12" s="71">
        <v>0.15</v>
      </c>
      <c r="O12" s="71">
        <v>0.05</v>
      </c>
      <c r="P12" s="71">
        <v>0.05</v>
      </c>
      <c r="Q12" s="71">
        <v>0.15</v>
      </c>
    </row>
    <row r="13" spans="1:19" x14ac:dyDescent="0.75">
      <c r="A13" s="15">
        <v>43721</v>
      </c>
      <c r="B13" s="11" t="str">
        <f>+"Prezzo strumenti al " &amp; TEXT('Prezzi-Rend EUR'!D40,"aaaa-mm-gg") &amp; " con costi di transazione"</f>
        <v>Prezzo strumenti al Friday-09- con costi di transazione</v>
      </c>
      <c r="G13" s="11" t="s">
        <v>12</v>
      </c>
      <c r="L13" s="27"/>
    </row>
    <row r="14" spans="1:19" x14ac:dyDescent="0.75">
      <c r="B14" s="10" t="s">
        <v>58</v>
      </c>
      <c r="C14" s="10" t="s">
        <v>54</v>
      </c>
      <c r="D14" s="10" t="s">
        <v>55</v>
      </c>
      <c r="E14" s="10" t="s">
        <v>57</v>
      </c>
      <c r="F14" s="10" t="s">
        <v>56</v>
      </c>
      <c r="G14" s="12">
        <v>3.0000000000000001E-3</v>
      </c>
      <c r="L14" s="27"/>
      <c r="M14" s="11" t="s">
        <v>10</v>
      </c>
    </row>
    <row r="15" spans="1:19" x14ac:dyDescent="0.75">
      <c r="A15" s="11" t="s">
        <v>13</v>
      </c>
      <c r="B15" s="2">
        <f>+INDEX('Prezzi-Rend EUR'!$D$4:$M$360,MATCH(implementazione!$A$13,'Prezzi-Rend EUR'!$D$4:$D$360,0),MATCH(implementazione!B14,'Prezzi-Rend EUR'!$D$4:$M$4,0))</f>
        <v>5.191821</v>
      </c>
      <c r="C15" s="2">
        <f>+INDEX('Prezzi-Rend EUR'!$D$4:$M$360,MATCH(implementazione!$A$13,'Prezzi-Rend EUR'!$D$4:$D$360,0),MATCH(implementazione!C14,'Prezzi-Rend EUR'!$D$4:$M$4,0))</f>
        <v>272.98997746935834</v>
      </c>
      <c r="D15" s="2">
        <f>+INDEX('Prezzi-Rend EUR'!$D$4:$M$360,MATCH(implementazione!$A$13,'Prezzi-Rend EUR'!$D$4:$D$360,0),MATCH(implementazione!D14,'Prezzi-Rend EUR'!$D$4:$M$4,0))</f>
        <v>22.893507570295604</v>
      </c>
      <c r="E15" s="2">
        <f>+INDEX('Prezzi-Rend EUR'!$D$4:$M$360,MATCH(implementazione!$A$13,'Prezzi-Rend EUR'!$D$4:$D$360,0),MATCH(implementazione!E14,'Prezzi-Rend EUR'!$D$4:$M$4,0))</f>
        <v>51.087641492429711</v>
      </c>
      <c r="F15" s="2">
        <f>+INDEX('Prezzi-Rend EUR'!$D$4:$M$360,MATCH(implementazione!$A$13,'Prezzi-Rend EUR'!$D$4:$D$360,0),MATCH(implementazione!F14,'Prezzi-Rend EUR'!$D$4:$M$4,0))</f>
        <v>101.89534516943043</v>
      </c>
      <c r="L15" s="27"/>
      <c r="M15" s="2">
        <f>+S6</f>
        <v>5011760.4605946979</v>
      </c>
    </row>
    <row r="16" spans="1:19" x14ac:dyDescent="0.75">
      <c r="A16" s="11" t="s">
        <v>14</v>
      </c>
      <c r="B16" s="2">
        <f>+B15*(1+$G$14)</f>
        <v>5.2073964629999994</v>
      </c>
      <c r="C16" s="2">
        <f>+C15*(1+$G$14)^2</f>
        <v>274.63037424397163</v>
      </c>
      <c r="D16" s="2">
        <f>+D15*(1+$G$14)^2</f>
        <v>23.031074657285505</v>
      </c>
      <c r="E16" s="2">
        <f>+E15*(1+$G$14)^2</f>
        <v>51.394627130157708</v>
      </c>
      <c r="F16" s="2">
        <f>+F15*(1+$G$14)^2</f>
        <v>102.50763429855351</v>
      </c>
      <c r="L16" s="27"/>
    </row>
    <row r="17" spans="1:20" x14ac:dyDescent="0.75">
      <c r="A17" s="11" t="s">
        <v>61</v>
      </c>
      <c r="B17" s="18">
        <f>+_xlfn.FLOOR.MATH(B11/B16)</f>
        <v>96017</v>
      </c>
      <c r="C17" s="18">
        <f>+_xlfn.FLOOR.MATH(C11/C16)</f>
        <v>3641</v>
      </c>
      <c r="D17" s="18">
        <f>+_xlfn.FLOOR.MATH(D11/D16)</f>
        <v>43419</v>
      </c>
      <c r="E17" s="18">
        <f>+_xlfn.FLOOR.MATH(E11/E16)</f>
        <v>14592</v>
      </c>
      <c r="F17" s="18">
        <f t="shared" ref="F17" si="1">+_xlfn.FLOOR.MATH(F11/F16)</f>
        <v>17071</v>
      </c>
      <c r="G17" s="18"/>
      <c r="L17" s="27"/>
      <c r="M17" s="1" t="s">
        <v>58</v>
      </c>
      <c r="N17" s="1" t="s">
        <v>54</v>
      </c>
      <c r="O17" s="1" t="s">
        <v>55</v>
      </c>
      <c r="P17" s="1" t="s">
        <v>57</v>
      </c>
      <c r="Q17" s="1" t="s">
        <v>56</v>
      </c>
    </row>
    <row r="18" spans="1:20" x14ac:dyDescent="0.75">
      <c r="L18" s="26" t="s">
        <v>11</v>
      </c>
      <c r="M18" s="2">
        <f>+$M$15*M12</f>
        <v>3007056.2763568186</v>
      </c>
      <c r="N18" s="2">
        <f>+$M$15*N12</f>
        <v>751764.06908920466</v>
      </c>
      <c r="O18" s="2">
        <f>+$M$15*O12</f>
        <v>250588.0230297349</v>
      </c>
      <c r="P18" s="2">
        <f>+$M$15*P12</f>
        <v>250588.0230297349</v>
      </c>
      <c r="Q18" s="2">
        <f>+$M$15*Q12</f>
        <v>751764.06908920466</v>
      </c>
    </row>
    <row r="19" spans="1:20" x14ac:dyDescent="0.75">
      <c r="C19" s="11" t="s">
        <v>15</v>
      </c>
      <c r="D19" s="11" t="s">
        <v>18</v>
      </c>
      <c r="L19" s="28" t="s">
        <v>66</v>
      </c>
      <c r="M19" s="119">
        <f>+M18-M6</f>
        <v>2506933.5846438184</v>
      </c>
      <c r="N19" s="2">
        <f>+N18-N6</f>
        <v>-239036.14213891304</v>
      </c>
      <c r="O19" s="2">
        <f>+O18-O6</f>
        <v>-762440.84940563934</v>
      </c>
      <c r="P19" s="2">
        <f>+P18-P6</f>
        <v>-498852.27929407457</v>
      </c>
      <c r="Q19" s="2">
        <f>+Q18-Q6</f>
        <v>-995215.18046181567</v>
      </c>
    </row>
    <row r="20" spans="1:20" x14ac:dyDescent="0.75">
      <c r="B20" s="2"/>
      <c r="C20" s="2">
        <f>+SUMPRODUCT(B17:F17,B15:F15)</f>
        <v>4971399.0921624796</v>
      </c>
      <c r="D20" s="2">
        <f>+B8-SUMPRODUCT(B17:F17,B16:F16)</f>
        <v>227.76645128056407</v>
      </c>
      <c r="E20" s="20"/>
      <c r="F20" s="20"/>
      <c r="L20" s="27"/>
      <c r="M20" s="2"/>
      <c r="N20" s="2"/>
      <c r="O20" s="2"/>
      <c r="Q20" s="2"/>
    </row>
    <row r="21" spans="1:20" x14ac:dyDescent="0.75">
      <c r="L21" s="30">
        <f>+M2</f>
        <v>43754</v>
      </c>
      <c r="M21" s="11" t="str">
        <f>+"Prezzo strumenti al " &amp; TEXT('Prezzi-Rend EUR'!D17,"aaaa-mm-gg") &amp; " con costi di transazione"</f>
        <v>Prezzo strumenti al Wednesday-10- con costi di transazione</v>
      </c>
    </row>
    <row r="22" spans="1:20" x14ac:dyDescent="0.75">
      <c r="L22" s="27"/>
      <c r="M22" s="1" t="s">
        <v>58</v>
      </c>
      <c r="N22" s="1" t="s">
        <v>54</v>
      </c>
      <c r="O22" s="1" t="s">
        <v>55</v>
      </c>
      <c r="P22" s="1" t="s">
        <v>57</v>
      </c>
      <c r="Q22" s="1" t="s">
        <v>56</v>
      </c>
      <c r="R22" s="11" t="s">
        <v>12</v>
      </c>
    </row>
    <row r="23" spans="1:20" x14ac:dyDescent="0.75">
      <c r="L23" s="26" t="s">
        <v>13</v>
      </c>
      <c r="M23" s="2">
        <f>+INDEX('Prezzi-Rend EUR'!$D$4:$M$360,MATCH(implementazione!$L$21,'Prezzi-Rend EUR'!$D$4:$D$360,0),MATCH(implementazione!M22,'Prezzi-Rend EUR'!$D$4:$M$4,0))</f>
        <v>5.2086889999999997</v>
      </c>
      <c r="N23" s="2">
        <f>+INDEX('Prezzi-Rend EUR'!$D$4:$M$360,MATCH(implementazione!$L$21,'Prezzi-Rend EUR'!$D$4:$D$360,0),MATCH(implementazione!N22,'Prezzi-Rend EUR'!$D$4:$M$4,0))</f>
        <v>272.1231011337868</v>
      </c>
      <c r="O23" s="2">
        <f>+INDEX('Prezzi-Rend EUR'!$D$4:$M$360,MATCH(implementazione!$L$21,'Prezzi-Rend EUR'!$D$4:$D$360,0),MATCH(implementazione!O22,'Prezzi-Rend EUR'!$D$4:$M$4,0))</f>
        <v>23.331464852607709</v>
      </c>
      <c r="P23" s="2">
        <f>+INDEX('Prezzi-Rend EUR'!$D$4:$M$360,MATCH(implementazione!$L$21,'Prezzi-Rend EUR'!$D$4:$D$360,0),MATCH(implementazione!P22,'Prezzi-Rend EUR'!$D$4:$M$4,0))</f>
        <v>51.359669841269834</v>
      </c>
      <c r="Q23" s="2">
        <f>+INDEX('Prezzi-Rend EUR'!$D$4:$M$360,MATCH(implementazione!$L$21,'Prezzi-Rend EUR'!$D$4:$D$360,0),MATCH(implementazione!Q22,'Prezzi-Rend EUR'!$D$4:$M$4,0))</f>
        <v>102.33608163265306</v>
      </c>
      <c r="R23" s="12">
        <v>3.0000000000000001E-3</v>
      </c>
    </row>
    <row r="24" spans="1:20" x14ac:dyDescent="0.75">
      <c r="L24" s="26" t="s">
        <v>23</v>
      </c>
      <c r="M24" s="2">
        <f>+M23*IF(M19&gt;0,(1+$R$23),(1-$R$23))</f>
        <v>5.2243150669999991</v>
      </c>
      <c r="N24" s="2">
        <f>+N23*IF(N19&gt;0,(1+$R$23)^2,(1-$R$23)^2)</f>
        <v>270.49281163489428</v>
      </c>
      <c r="O24" s="2">
        <f>+O23*IF(O19&gt;0,(1+$R$23)^2,(1-$R$23)^2)</f>
        <v>23.191686046675738</v>
      </c>
      <c r="P24" s="2">
        <f>+P23*IF(P19&gt;0,(1+$R$23)^2,(1-$R$23)^2)</f>
        <v>51.051974059250789</v>
      </c>
      <c r="Q24" s="2">
        <f>+Q23*IF(Q19&gt;0,(1+$R$23)^2,(1-$R$23)^2)</f>
        <v>101.72298616759184</v>
      </c>
    </row>
    <row r="25" spans="1:20" x14ac:dyDescent="0.75">
      <c r="L25" s="27"/>
    </row>
    <row r="26" spans="1:20" x14ac:dyDescent="0.75">
      <c r="L26" s="26" t="s">
        <v>67</v>
      </c>
      <c r="M26" s="75">
        <f>+ROUND(M19/M23,0)</f>
        <v>481298</v>
      </c>
      <c r="N26" s="18">
        <f t="shared" ref="N26:O26" si="2">+ROUND(N19/N23,0)</f>
        <v>-878</v>
      </c>
      <c r="O26" s="18">
        <f t="shared" si="2"/>
        <v>-32679</v>
      </c>
      <c r="P26" s="18">
        <f>+ROUND(P19/P23,0)</f>
        <v>-9713</v>
      </c>
      <c r="Q26" s="18">
        <f>+ROUND(Q19/Q23,0)</f>
        <v>-9725</v>
      </c>
      <c r="R26" s="11" t="s">
        <v>68</v>
      </c>
    </row>
    <row r="27" spans="1:20" x14ac:dyDescent="0.75">
      <c r="L27" s="26" t="s">
        <v>69</v>
      </c>
      <c r="M27" s="119">
        <f>+M26*M24</f>
        <v>2514452.3931169654</v>
      </c>
      <c r="N27" s="2">
        <f>+N26*N24</f>
        <v>-237492.68861543719</v>
      </c>
      <c r="O27" s="2">
        <f>+O26*O24</f>
        <v>-757881.10831931641</v>
      </c>
      <c r="P27" s="2">
        <f>+P26*P24</f>
        <v>-495867.82403750293</v>
      </c>
      <c r="Q27" s="2">
        <f>+Q26*Q24</f>
        <v>-989256.0404798307</v>
      </c>
      <c r="R27" s="2">
        <f>SUM(M27:Q27)</f>
        <v>33954.731664878083</v>
      </c>
      <c r="S27" s="1" t="s">
        <v>78</v>
      </c>
    </row>
    <row r="28" spans="1:20" x14ac:dyDescent="0.75">
      <c r="L28" s="27"/>
      <c r="M28" s="9"/>
      <c r="N28" s="9"/>
      <c r="O28" s="9"/>
      <c r="P28" s="9"/>
      <c r="Q28" s="9"/>
    </row>
    <row r="29" spans="1:20" x14ac:dyDescent="0.75">
      <c r="L29" s="26" t="s">
        <v>70</v>
      </c>
      <c r="M29" s="75">
        <f>M26-2700</f>
        <v>478598</v>
      </c>
      <c r="N29" s="18">
        <f>N26-16</f>
        <v>-894</v>
      </c>
      <c r="O29" s="18">
        <f>O26-30</f>
        <v>-32709</v>
      </c>
      <c r="P29" s="18">
        <f>P26-10</f>
        <v>-9723</v>
      </c>
      <c r="Q29" s="18">
        <f>Q26-30</f>
        <v>-9755</v>
      </c>
      <c r="R29" s="11" t="s">
        <v>68</v>
      </c>
      <c r="S29" s="11"/>
      <c r="T29" s="11" t="s">
        <v>26</v>
      </c>
    </row>
    <row r="30" spans="1:20" x14ac:dyDescent="0.75">
      <c r="L30" s="26" t="s">
        <v>71</v>
      </c>
      <c r="M30" s="119">
        <f>+M29*M24</f>
        <v>2500346.7424360658</v>
      </c>
      <c r="N30" s="75">
        <f>+N29*N24</f>
        <v>-241820.57360159548</v>
      </c>
      <c r="O30" s="75">
        <f>+O29*O24</f>
        <v>-758576.85890071676</v>
      </c>
      <c r="P30" s="21">
        <f>+P29*P24</f>
        <v>-496378.34377809544</v>
      </c>
      <c r="Q30" s="75">
        <f>+Q29*Q24</f>
        <v>-992307.73006485845</v>
      </c>
      <c r="R30" s="2">
        <f>+SUM(M30:Q30)</f>
        <v>11263.236090799561</v>
      </c>
      <c r="S30" s="1" t="s">
        <v>79</v>
      </c>
      <c r="T30" s="2">
        <f>SUMPRODUCT((M29:Q29),(M24:Q24-M23:Q23))</f>
        <v>22480.580539547911</v>
      </c>
    </row>
    <row r="31" spans="1:20" x14ac:dyDescent="0.75">
      <c r="L31" s="27"/>
      <c r="M31" s="75"/>
      <c r="N31" s="75"/>
      <c r="O31" s="75"/>
      <c r="P31" s="9"/>
      <c r="Q31" s="75"/>
    </row>
    <row r="32" spans="1:20" x14ac:dyDescent="0.75">
      <c r="L32" s="26" t="s">
        <v>72</v>
      </c>
      <c r="M32" s="2">
        <f>+M29*M23</f>
        <v>2492868.138022</v>
      </c>
      <c r="N32" s="2">
        <f>+N29*N23</f>
        <v>-243278.05241360542</v>
      </c>
      <c r="O32" s="2">
        <f>+O29*O23</f>
        <v>-763148.88386394561</v>
      </c>
      <c r="P32" s="2">
        <f>+P29*P23</f>
        <v>-499370.06986666663</v>
      </c>
      <c r="Q32" s="2">
        <f>+Q29*Q23</f>
        <v>-998288.47632653057</v>
      </c>
      <c r="R32" s="20"/>
    </row>
    <row r="33" spans="12:17" x14ac:dyDescent="0.75">
      <c r="L33" s="26" t="s">
        <v>73</v>
      </c>
      <c r="M33" s="73">
        <f>+M29+M5</f>
        <v>574615</v>
      </c>
      <c r="N33" s="73">
        <f>+N29+N5</f>
        <v>2747</v>
      </c>
      <c r="O33" s="73">
        <f>+O29+O5</f>
        <v>10710</v>
      </c>
      <c r="P33" s="73">
        <f>+P29+P5</f>
        <v>4869</v>
      </c>
      <c r="Q33" s="73">
        <f>+Q29+Q5</f>
        <v>7316</v>
      </c>
    </row>
    <row r="34" spans="12:17" x14ac:dyDescent="0.75">
      <c r="L34" s="27"/>
    </row>
    <row r="35" spans="12:17" x14ac:dyDescent="0.75">
      <c r="L35" s="27"/>
    </row>
    <row r="36" spans="12:17" x14ac:dyDescent="0.75">
      <c r="L36" s="27"/>
      <c r="M36" s="11" t="s">
        <v>15</v>
      </c>
      <c r="N36" s="11" t="s">
        <v>18</v>
      </c>
      <c r="O36" s="11" t="s">
        <v>27</v>
      </c>
      <c r="P36" s="11" t="s">
        <v>26</v>
      </c>
      <c r="Q36" s="11" t="s">
        <v>28</v>
      </c>
    </row>
    <row r="37" spans="12:17" x14ac:dyDescent="0.75">
      <c r="L37" s="27"/>
      <c r="M37" s="2">
        <f>+SUMPRODUCT(M33:Q33,M23:Q23)</f>
        <v>4989153.9828025736</v>
      </c>
      <c r="N37" s="2">
        <f>+R6-R30</f>
        <v>125.89725257683313</v>
      </c>
      <c r="O37" s="20">
        <f>+N37+M37</f>
        <v>4989279.88005515</v>
      </c>
      <c r="P37" s="20">
        <f>-O37+S6</f>
        <v>22480.580539547838</v>
      </c>
      <c r="Q37" s="1" t="b">
        <f>+ABS(P37-T30)&lt;10^(-6)</f>
        <v>1</v>
      </c>
    </row>
    <row r="40" spans="12:17" x14ac:dyDescent="0.75">
      <c r="M40" s="11" t="s">
        <v>81</v>
      </c>
    </row>
    <row r="41" spans="12:17" x14ac:dyDescent="0.75">
      <c r="M41" s="71">
        <f>(M33*M23)/$M$37</f>
        <v>0.59989946994054033</v>
      </c>
      <c r="N41" s="71">
        <f t="shared" ref="N41:Q41" si="3">(N33*N23)/$M$37</f>
        <v>0.14982944230448553</v>
      </c>
      <c r="O41" s="71">
        <f t="shared" si="3"/>
        <v>5.0084641490873105E-2</v>
      </c>
      <c r="P41" s="71">
        <f t="shared" si="3"/>
        <v>5.0122772982979784E-2</v>
      </c>
      <c r="Q41" s="71">
        <f t="shared" si="3"/>
        <v>0.15006367328112116</v>
      </c>
    </row>
    <row r="47" spans="12:17" x14ac:dyDescent="0.75">
      <c r="M47" s="75"/>
      <c r="N47" s="18"/>
      <c r="O47" s="18"/>
      <c r="P47" s="18"/>
      <c r="Q47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3E73-9CB9-3A44-B294-AFDD1C481DA1}">
  <dimension ref="A1:AY129"/>
  <sheetViews>
    <sheetView zoomScale="70" zoomScaleNormal="70" workbookViewId="0">
      <selection activeCell="AF34" sqref="AF34"/>
    </sheetView>
  </sheetViews>
  <sheetFormatPr defaultColWidth="10.81640625" defaultRowHeight="14.75" x14ac:dyDescent="0.75"/>
  <cols>
    <col min="1" max="2" width="10.81640625" style="1"/>
    <col min="3" max="3" width="12" bestFit="1" customWidth="1"/>
    <col min="4" max="4" width="11.81640625" bestFit="1" customWidth="1"/>
    <col min="9" max="9" width="14.6328125" customWidth="1"/>
    <col min="10" max="10" width="10.81640625" style="1"/>
    <col min="11" max="11" width="12" bestFit="1" customWidth="1"/>
    <col min="14" max="14" width="10.81640625" style="46"/>
    <col min="16" max="16" width="12.453125" style="46" customWidth="1"/>
    <col min="17" max="17" width="11" bestFit="1" customWidth="1"/>
    <col min="18" max="18" width="11" style="46" bestFit="1" customWidth="1"/>
    <col min="19" max="20" width="11" bestFit="1" customWidth="1"/>
    <col min="21" max="21" width="11" style="137" customWidth="1"/>
    <col min="22" max="22" width="12" style="137" bestFit="1" customWidth="1"/>
    <col min="23" max="23" width="10.81640625" style="1"/>
    <col min="24" max="24" width="12" bestFit="1" customWidth="1"/>
    <col min="25" max="25" width="16.453125" bestFit="1" customWidth="1"/>
    <col min="26" max="27" width="15.81640625" bestFit="1" customWidth="1"/>
    <col min="28" max="28" width="14.453125" bestFit="1" customWidth="1"/>
    <col min="29" max="29" width="15.81640625" bestFit="1" customWidth="1"/>
    <col min="30" max="31" width="16.453125" bestFit="1" customWidth="1"/>
    <col min="32" max="32" width="11" bestFit="1" customWidth="1"/>
    <col min="33" max="36" width="10.81640625" style="1"/>
  </cols>
  <sheetData>
    <row r="1" spans="1:51" x14ac:dyDescent="0.75">
      <c r="C1" s="11" t="s">
        <v>16</v>
      </c>
      <c r="D1" s="1"/>
      <c r="E1" s="1"/>
      <c r="F1" s="1"/>
      <c r="G1" s="1"/>
      <c r="H1" s="1"/>
      <c r="I1" s="1"/>
      <c r="K1" s="1"/>
      <c r="L1" s="11" t="s">
        <v>7</v>
      </c>
      <c r="M1" s="1"/>
      <c r="N1" s="1"/>
      <c r="O1" s="1"/>
      <c r="P1" s="1"/>
      <c r="Q1" s="1"/>
      <c r="R1" s="1"/>
      <c r="S1" s="1"/>
      <c r="T1" s="1"/>
      <c r="U1" s="1"/>
      <c r="V1" s="1"/>
      <c r="X1" s="1"/>
      <c r="Y1" s="11" t="s">
        <v>17</v>
      </c>
      <c r="Z1" s="1"/>
      <c r="AA1" s="1"/>
      <c r="AB1" s="1"/>
      <c r="AC1" s="1"/>
      <c r="AD1" s="1"/>
      <c r="AE1" s="1"/>
      <c r="AF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75">
      <c r="C2" s="2"/>
      <c r="D2" s="18"/>
      <c r="E2" s="18"/>
      <c r="F2" s="18"/>
      <c r="G2" s="18"/>
      <c r="H2" s="1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X2" s="2"/>
      <c r="Y2" s="2"/>
      <c r="Z2" s="2"/>
      <c r="AA2" s="2"/>
      <c r="AB2" s="1"/>
      <c r="AC2" s="2"/>
      <c r="AD2" s="2"/>
      <c r="AE2" s="2"/>
      <c r="AF2" s="2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15.5" thickBot="1" x14ac:dyDescent="0.9">
      <c r="C3" s="1"/>
      <c r="D3" s="1"/>
      <c r="E3" s="1"/>
      <c r="F3" s="1"/>
      <c r="G3" s="1"/>
      <c r="H3" s="1"/>
      <c r="I3" s="1"/>
      <c r="K3" s="1"/>
      <c r="L3" s="1">
        <f>+MATCH(L4,'Prezzi-Rend EUR'!$D$4:$M$4,0)</f>
        <v>2</v>
      </c>
      <c r="M3" s="1">
        <f>+MATCH(M4,'Prezzi-Rend EUR'!$D$4:$M$4,0)</f>
        <v>3</v>
      </c>
      <c r="N3" s="1">
        <f>+MATCH(N4,'Prezzi-Rend EUR'!$D$4:$M$4,0)</f>
        <v>4</v>
      </c>
      <c r="O3" s="1">
        <f>+MATCH(O4,'Prezzi-Rend EUR'!$D$4:$M$4,0)</f>
        <v>5</v>
      </c>
      <c r="P3" s="1">
        <f>+MATCH(P4,'Prezzi-Rend EUR'!$D$4:$M$4,0)</f>
        <v>6</v>
      </c>
      <c r="Q3" s="1">
        <f>+MATCH(Q4,'Prezzi-Rend EUR'!$D$4:$M$4,0)</f>
        <v>7</v>
      </c>
      <c r="R3" s="1">
        <f>+MATCH(R4,'Prezzi-Rend EUR'!$D$4:$M$4,0)</f>
        <v>8</v>
      </c>
      <c r="S3" s="1">
        <f>+MATCH(S4,'Prezzi-Rend EUR'!$D$4:$M$4,0)</f>
        <v>9</v>
      </c>
      <c r="T3" s="1">
        <f>+MATCH(T4,'Prezzi-Rend EUR'!$D$4:$M$4,0)</f>
        <v>10</v>
      </c>
      <c r="U3" s="1"/>
      <c r="V3" s="1"/>
      <c r="X3" s="1"/>
      <c r="Y3" s="1"/>
      <c r="Z3" s="1"/>
      <c r="AA3" s="1"/>
      <c r="AB3" s="1"/>
      <c r="AC3" s="1"/>
      <c r="AD3" s="1"/>
      <c r="AE3" s="1"/>
      <c r="AF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15.5" thickBot="1" x14ac:dyDescent="0.9">
      <c r="C4" s="1"/>
      <c r="D4" s="6" t="s">
        <v>58</v>
      </c>
      <c r="E4" s="7" t="s">
        <v>54</v>
      </c>
      <c r="F4" s="7" t="s">
        <v>55</v>
      </c>
      <c r="G4" s="7" t="s">
        <v>57</v>
      </c>
      <c r="H4" s="7" t="s">
        <v>56</v>
      </c>
      <c r="I4" s="8" t="s">
        <v>18</v>
      </c>
      <c r="K4" s="1"/>
      <c r="L4" s="6" t="s">
        <v>58</v>
      </c>
      <c r="M4" s="7" t="s">
        <v>54</v>
      </c>
      <c r="N4" s="8" t="s">
        <v>74</v>
      </c>
      <c r="O4" s="7" t="s">
        <v>55</v>
      </c>
      <c r="P4" s="8" t="s">
        <v>75</v>
      </c>
      <c r="Q4" s="7" t="s">
        <v>57</v>
      </c>
      <c r="R4" s="8" t="s">
        <v>76</v>
      </c>
      <c r="S4" s="7" t="s">
        <v>56</v>
      </c>
      <c r="T4" s="8" t="s">
        <v>77</v>
      </c>
      <c r="U4" s="10"/>
      <c r="V4" s="11" t="s">
        <v>6</v>
      </c>
      <c r="X4" s="1"/>
      <c r="Y4" s="6" t="s">
        <v>58</v>
      </c>
      <c r="Z4" s="7" t="s">
        <v>54</v>
      </c>
      <c r="AA4" s="7" t="s">
        <v>55</v>
      </c>
      <c r="AB4" s="7" t="s">
        <v>57</v>
      </c>
      <c r="AC4" s="7" t="s">
        <v>56</v>
      </c>
      <c r="AD4" s="7" t="s">
        <v>18</v>
      </c>
      <c r="AE4" s="7" t="s">
        <v>19</v>
      </c>
      <c r="AF4" s="8" t="s">
        <v>29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s="137" customFormat="1" x14ac:dyDescent="0.75">
      <c r="A5" s="1"/>
      <c r="B5" s="1"/>
      <c r="C5" s="15">
        <v>43721</v>
      </c>
      <c r="D5" s="10"/>
      <c r="E5" s="10"/>
      <c r="F5" s="10"/>
      <c r="G5" s="10"/>
      <c r="H5" s="10"/>
      <c r="I5" s="19">
        <v>5000000</v>
      </c>
      <c r="J5" s="1"/>
      <c r="K5" s="3">
        <f>+C5</f>
        <v>43721</v>
      </c>
      <c r="L5" s="2">
        <f>+VLOOKUP($K5,'Prezzi-Rend EUR'!$D$4:$M$360,L$3,0)</f>
        <v>5.191821</v>
      </c>
      <c r="M5" s="2">
        <f>+VLOOKUP($K5,'Prezzi-Rend EUR'!$D$4:$M$360,M$3,0)</f>
        <v>272.98997746935834</v>
      </c>
      <c r="N5" s="2">
        <f>+VLOOKUP($K5,'Prezzi-Rend EUR'!$D$4:$M$360,N$3,0)</f>
        <v>0</v>
      </c>
      <c r="O5" s="2">
        <f>+VLOOKUP($K5,'Prezzi-Rend EUR'!$D$4:$M$360,O$3,0)</f>
        <v>22.893507570295604</v>
      </c>
      <c r="P5" s="2">
        <f>+VLOOKUP($K5,'Prezzi-Rend EUR'!$D$4:$M$360,P$3,0)</f>
        <v>0</v>
      </c>
      <c r="Q5" s="2">
        <f>+VLOOKUP($K5,'Prezzi-Rend EUR'!$D$4:$M$360,Q$3,0)</f>
        <v>51.087641492429711</v>
      </c>
      <c r="R5" s="2">
        <f>+VLOOKUP($K5,'Prezzi-Rend EUR'!$D$4:$M$360,R$3,0)</f>
        <v>0</v>
      </c>
      <c r="S5" s="2">
        <f>+VLOOKUP($K5,'Prezzi-Rend EUR'!$D$4:$M$360,S$3,0)</f>
        <v>101.89534516943043</v>
      </c>
      <c r="T5" s="2">
        <f>+VLOOKUP($K5,'Prezzi-Rend EUR'!$D$4:$M$360,T$3,0)</f>
        <v>0</v>
      </c>
      <c r="U5" s="2"/>
      <c r="V5" s="2">
        <f>+N5*E5+P5*F5+R5*G5+T5*H5</f>
        <v>0</v>
      </c>
      <c r="W5" s="1"/>
      <c r="X5" s="3">
        <f t="shared" ref="X5:X30" si="0">+K5</f>
        <v>43721</v>
      </c>
      <c r="Y5" s="2">
        <f t="shared" ref="Y5:Y20" si="1">+D5*L5</f>
        <v>0</v>
      </c>
      <c r="Z5" s="2">
        <f t="shared" ref="Z5:Z30" si="2">+E5*(M5+N5)</f>
        <v>0</v>
      </c>
      <c r="AA5" s="2">
        <f t="shared" ref="AA5:AA30" si="3">+F5*(O5+P5)</f>
        <v>0</v>
      </c>
      <c r="AB5" s="2">
        <f t="shared" ref="AB5:AB30" si="4">+G5*(Q5+R5)</f>
        <v>0</v>
      </c>
      <c r="AC5" s="2">
        <f t="shared" ref="AC5:AC30" si="5">+(S5+T5)*H5</f>
        <v>0</v>
      </c>
      <c r="AD5" s="2">
        <f>+I5</f>
        <v>5000000</v>
      </c>
      <c r="AE5" s="2">
        <f t="shared" ref="AE5:AE15" si="6">+SUM(Y5:AD5)</f>
        <v>5000000</v>
      </c>
      <c r="AF5" s="12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s="137" customFormat="1" x14ac:dyDescent="0.75">
      <c r="A6" s="1"/>
      <c r="B6" s="1"/>
      <c r="C6" s="15">
        <v>43724</v>
      </c>
      <c r="D6" s="97">
        <f>implementazione!$B$17</f>
        <v>96017</v>
      </c>
      <c r="E6" s="97">
        <f>implementazione!$C$17</f>
        <v>3641</v>
      </c>
      <c r="F6" s="97">
        <f>implementazione!$D$17</f>
        <v>43419</v>
      </c>
      <c r="G6" s="97">
        <f>implementazione!$E$17</f>
        <v>14592</v>
      </c>
      <c r="H6" s="97">
        <f>implementazione!$F$17</f>
        <v>17071</v>
      </c>
      <c r="I6" s="98">
        <f>implementazione!$D$20</f>
        <v>227.76645128056407</v>
      </c>
      <c r="J6" s="1"/>
      <c r="K6" s="3">
        <f t="shared" ref="K6:K14" si="7">+C6</f>
        <v>43724</v>
      </c>
      <c r="L6" s="2">
        <f>+VLOOKUP($K6,'Prezzi-Rend EUR'!$D$4:$M$360,L$3,0)</f>
        <v>5.2031720000000004</v>
      </c>
      <c r="M6" s="2">
        <f>+VLOOKUP($K6,'Prezzi-Rend EUR'!$D$4:$M$360,M$3,0)</f>
        <v>273.74640105158193</v>
      </c>
      <c r="N6" s="2">
        <f>+VLOOKUP($K6,'Prezzi-Rend EUR'!$D$4:$M$360,N$3,0)</f>
        <v>0</v>
      </c>
      <c r="O6" s="2">
        <f>+VLOOKUP($K6,'Prezzi-Rend EUR'!$D$4:$M$360,O$3,0)</f>
        <v>22.76615447375578</v>
      </c>
      <c r="P6" s="2">
        <f>+VLOOKUP($K6,'Prezzi-Rend EUR'!$D$4:$M$360,P$3,0)</f>
        <v>0</v>
      </c>
      <c r="Q6" s="2">
        <f>+VLOOKUP($K6,'Prezzi-Rend EUR'!$D$4:$M$360,Q$3,0)</f>
        <v>51.803813797479833</v>
      </c>
      <c r="R6" s="2">
        <f>+VLOOKUP($K6,'Prezzi-Rend EUR'!$D$4:$M$360,R$3,0)</f>
        <v>0</v>
      </c>
      <c r="S6" s="2">
        <f>+VLOOKUP($K6,'Prezzi-Rend EUR'!$D$4:$M$360,S$3,0)</f>
        <v>102.42429970084308</v>
      </c>
      <c r="T6" s="2">
        <f>+VLOOKUP($K6,'Prezzi-Rend EUR'!$D$4:$M$360,T$3,0)</f>
        <v>0</v>
      </c>
      <c r="U6" s="2"/>
      <c r="V6" s="2">
        <f t="shared" ref="V6:V30" si="8">+N6*E6+P6*F6+R6*G6+T6*H6</f>
        <v>0</v>
      </c>
      <c r="W6" s="1"/>
      <c r="X6" s="3">
        <f t="shared" si="0"/>
        <v>43724</v>
      </c>
      <c r="Y6" s="2">
        <f t="shared" si="1"/>
        <v>499592.96592400002</v>
      </c>
      <c r="Z6" s="2">
        <f t="shared" si="2"/>
        <v>996710.64622880984</v>
      </c>
      <c r="AA6" s="2">
        <f t="shared" si="3"/>
        <v>988483.66109600221</v>
      </c>
      <c r="AB6" s="2">
        <f t="shared" si="4"/>
        <v>755921.25093282573</v>
      </c>
      <c r="AC6" s="2">
        <f t="shared" si="5"/>
        <v>1748485.2201930922</v>
      </c>
      <c r="AD6" s="2">
        <f>+I6+SUM($V$6:V6)</f>
        <v>227.76645128056407</v>
      </c>
      <c r="AE6" s="2">
        <f>+SUM(Y6:AD6)</f>
        <v>4989421.5108260103</v>
      </c>
      <c r="AF6" s="12">
        <f>+AE6/AE5-1</f>
        <v>-2.1156978347979249E-3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s="137" customFormat="1" x14ac:dyDescent="0.75">
      <c r="A7" s="1"/>
      <c r="B7" s="1"/>
      <c r="C7" s="15">
        <v>43725</v>
      </c>
      <c r="D7" s="97">
        <f>implementazione!$B$17</f>
        <v>96017</v>
      </c>
      <c r="E7" s="97">
        <f>implementazione!$C$17</f>
        <v>3641</v>
      </c>
      <c r="F7" s="97">
        <f>implementazione!$D$17</f>
        <v>43419</v>
      </c>
      <c r="G7" s="97">
        <f>implementazione!$E$17</f>
        <v>14592</v>
      </c>
      <c r="H7" s="97">
        <f>implementazione!$F$17</f>
        <v>17071</v>
      </c>
      <c r="I7" s="98">
        <f>implementazione!$D$20</f>
        <v>227.76645128056407</v>
      </c>
      <c r="J7" s="1"/>
      <c r="K7" s="3">
        <f t="shared" si="7"/>
        <v>43725</v>
      </c>
      <c r="L7" s="2">
        <f>+VLOOKUP($K7,'Prezzi-Rend EUR'!$D$4:$M$360,L$3,0)</f>
        <v>5.2051109999999996</v>
      </c>
      <c r="M7" s="2">
        <f>+VLOOKUP($K7,'Prezzi-Rend EUR'!$D$4:$M$360,M$3,0)</f>
        <v>274.57785506983492</v>
      </c>
      <c r="N7" s="2">
        <f>+VLOOKUP($K7,'Prezzi-Rend EUR'!$D$4:$M$360,N$3,0)</f>
        <v>0</v>
      </c>
      <c r="O7" s="2">
        <f>+VLOOKUP($K7,'Prezzi-Rend EUR'!$D$4:$M$360,O$3,0)</f>
        <v>23.011835661164518</v>
      </c>
      <c r="P7" s="2">
        <f>+VLOOKUP($K7,'Prezzi-Rend EUR'!$D$4:$M$360,P$3,0)</f>
        <v>0</v>
      </c>
      <c r="Q7" s="2">
        <f>+VLOOKUP($K7,'Prezzi-Rend EUR'!$D$4:$M$360,Q$3,0)</f>
        <v>51.895248503537097</v>
      </c>
      <c r="R7" s="2">
        <f>+VLOOKUP($K7,'Prezzi-Rend EUR'!$D$4:$M$360,R$3,0)</f>
        <v>0</v>
      </c>
      <c r="S7" s="2">
        <f>+VLOOKUP($K7,'Prezzi-Rend EUR'!$D$4:$M$360,S$3,0)</f>
        <v>102.6378532559405</v>
      </c>
      <c r="T7" s="2">
        <f>+VLOOKUP($K7,'Prezzi-Rend EUR'!$D$4:$M$360,T$3,0)</f>
        <v>0</v>
      </c>
      <c r="U7" s="2"/>
      <c r="V7" s="2">
        <f t="shared" si="8"/>
        <v>0</v>
      </c>
      <c r="W7" s="1"/>
      <c r="X7" s="3">
        <f t="shared" si="0"/>
        <v>43725</v>
      </c>
      <c r="Y7" s="2">
        <f t="shared" si="1"/>
        <v>499779.14288699994</v>
      </c>
      <c r="Z7" s="2">
        <f t="shared" si="2"/>
        <v>999737.97030926892</v>
      </c>
      <c r="AA7" s="2">
        <f t="shared" si="3"/>
        <v>999150.89257210225</v>
      </c>
      <c r="AB7" s="2">
        <f t="shared" si="4"/>
        <v>757255.46616361337</v>
      </c>
      <c r="AC7" s="2">
        <f t="shared" si="5"/>
        <v>1752130.7929321602</v>
      </c>
      <c r="AD7" s="2">
        <f>+I7+SUM($V$6:V7)</f>
        <v>227.76645128056407</v>
      </c>
      <c r="AE7" s="2">
        <f t="shared" si="6"/>
        <v>5008282.0313154254</v>
      </c>
      <c r="AF7" s="12">
        <f t="shared" ref="AF7:AF16" si="9">+AE7/AE6-1</f>
        <v>3.7801016507608143E-3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s="137" customFormat="1" x14ac:dyDescent="0.75">
      <c r="A8" s="1"/>
      <c r="B8" s="1"/>
      <c r="C8" s="15">
        <v>43726</v>
      </c>
      <c r="D8" s="97">
        <f>implementazione!$B$17</f>
        <v>96017</v>
      </c>
      <c r="E8" s="97">
        <f>implementazione!$C$17</f>
        <v>3641</v>
      </c>
      <c r="F8" s="97">
        <f>implementazione!$D$17</f>
        <v>43419</v>
      </c>
      <c r="G8" s="97">
        <f>implementazione!$E$17</f>
        <v>14592</v>
      </c>
      <c r="H8" s="97">
        <f>implementazione!$F$17</f>
        <v>17071</v>
      </c>
      <c r="I8" s="98">
        <f>implementazione!$D$20</f>
        <v>227.76645128056407</v>
      </c>
      <c r="J8" s="1"/>
      <c r="K8" s="3">
        <f t="shared" si="7"/>
        <v>43726</v>
      </c>
      <c r="L8" s="2">
        <f>+VLOOKUP($K8,'Prezzi-Rend EUR'!$D$4:$M$360,L$3,0)</f>
        <v>5.215897</v>
      </c>
      <c r="M8" s="2">
        <f>+VLOOKUP($K8,'Prezzi-Rend EUR'!$D$4:$M$360,M$3,0)</f>
        <v>274.00244187098525</v>
      </c>
      <c r="N8" s="2">
        <f>+VLOOKUP($K8,'Prezzi-Rend EUR'!$D$4:$M$360,N$3,0)</f>
        <v>0</v>
      </c>
      <c r="O8" s="2">
        <f>+VLOOKUP($K8,'Prezzi-Rend EUR'!$D$4:$M$360,O$3,0)</f>
        <v>22.987541843843303</v>
      </c>
      <c r="P8" s="2">
        <f>+VLOOKUP($K8,'Prezzi-Rend EUR'!$D$4:$M$360,P$3,0)</f>
        <v>0</v>
      </c>
      <c r="Q8" s="2">
        <f>+VLOOKUP($K8,'Prezzi-Rend EUR'!$D$4:$M$360,Q$3,0)</f>
        <v>51.759031032298928</v>
      </c>
      <c r="R8" s="2">
        <f>+VLOOKUP($K8,'Prezzi-Rend EUR'!$D$4:$M$360,R$3,0)</f>
        <v>0</v>
      </c>
      <c r="S8" s="2">
        <f>+VLOOKUP($K8,'Prezzi-Rend EUR'!$D$4:$M$360,S$3,0)</f>
        <v>102.7530218040351</v>
      </c>
      <c r="T8" s="2">
        <f>+VLOOKUP($K8,'Prezzi-Rend EUR'!$D$4:$M$360,T$3,0)</f>
        <v>0</v>
      </c>
      <c r="U8" s="2"/>
      <c r="V8" s="2">
        <f t="shared" si="8"/>
        <v>0</v>
      </c>
      <c r="W8" s="1"/>
      <c r="X8" s="3">
        <f t="shared" si="0"/>
        <v>43726</v>
      </c>
      <c r="Y8" s="2">
        <f t="shared" si="1"/>
        <v>500814.78224899998</v>
      </c>
      <c r="Z8" s="2">
        <f t="shared" si="2"/>
        <v>997642.89085225726</v>
      </c>
      <c r="AA8" s="2">
        <f t="shared" si="3"/>
        <v>998096.07931783237</v>
      </c>
      <c r="AB8" s="2">
        <f t="shared" si="4"/>
        <v>755267.78082330595</v>
      </c>
      <c r="AC8" s="2">
        <f t="shared" si="5"/>
        <v>1754096.8352166831</v>
      </c>
      <c r="AD8" s="2">
        <f>+I8+SUM($V$6:V8)</f>
        <v>227.76645128056407</v>
      </c>
      <c r="AE8" s="2">
        <f t="shared" si="6"/>
        <v>5006146.13491036</v>
      </c>
      <c r="AF8" s="12">
        <f t="shared" si="9"/>
        <v>-4.2647286868235934E-4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s="137" customFormat="1" x14ac:dyDescent="0.75">
      <c r="A9" s="1"/>
      <c r="B9" s="1"/>
      <c r="C9" s="15">
        <v>43727</v>
      </c>
      <c r="D9" s="97">
        <f>implementazione!$B$17</f>
        <v>96017</v>
      </c>
      <c r="E9" s="97">
        <f>implementazione!$C$17</f>
        <v>3641</v>
      </c>
      <c r="F9" s="97">
        <f>implementazione!$D$17</f>
        <v>43419</v>
      </c>
      <c r="G9" s="97">
        <f>implementazione!$E$17</f>
        <v>14592</v>
      </c>
      <c r="H9" s="97">
        <f>implementazione!$F$17</f>
        <v>17071</v>
      </c>
      <c r="I9" s="98">
        <f>implementazione!$D$20</f>
        <v>227.76645128056407</v>
      </c>
      <c r="J9" s="1"/>
      <c r="K9" s="3">
        <f t="shared" si="7"/>
        <v>43727</v>
      </c>
      <c r="L9" s="2">
        <f>+VLOOKUP($K9,'Prezzi-Rend EUR'!$D$4:$M$360,L$3,0)</f>
        <v>5.2219389999999999</v>
      </c>
      <c r="M9" s="2">
        <f>+VLOOKUP($K9,'Prezzi-Rend EUR'!$D$4:$M$360,M$3,0)</f>
        <v>273.67756935032077</v>
      </c>
      <c r="N9" s="2">
        <f>+VLOOKUP($K9,'Prezzi-Rend EUR'!$D$4:$M$360,N$3,0)</f>
        <v>0</v>
      </c>
      <c r="O9" s="2">
        <f>+VLOOKUP($K9,'Prezzi-Rend EUR'!$D$4:$M$360,O$3,0)</f>
        <v>23.066801301165626</v>
      </c>
      <c r="P9" s="2">
        <f>+VLOOKUP($K9,'Prezzi-Rend EUR'!$D$4:$M$360,P$3,0)</f>
        <v>0</v>
      </c>
      <c r="Q9" s="2">
        <f>+VLOOKUP($K9,'Prezzi-Rend EUR'!$D$4:$M$360,Q$3,0)</f>
        <v>51.507062437878375</v>
      </c>
      <c r="R9" s="2">
        <f>+VLOOKUP($K9,'Prezzi-Rend EUR'!$D$4:$M$360,R$3,0)</f>
        <v>0</v>
      </c>
      <c r="S9" s="2">
        <f>+VLOOKUP($K9,'Prezzi-Rend EUR'!$D$4:$M$360,S$3,0)</f>
        <v>102.68169784042649</v>
      </c>
      <c r="T9" s="2">
        <f>+VLOOKUP($K9,'Prezzi-Rend EUR'!$D$4:$M$360,T$3,0)</f>
        <v>0</v>
      </c>
      <c r="U9" s="2"/>
      <c r="V9" s="2">
        <f t="shared" si="8"/>
        <v>0</v>
      </c>
      <c r="W9" s="1"/>
      <c r="X9" s="3">
        <f t="shared" si="0"/>
        <v>43727</v>
      </c>
      <c r="Y9" s="2">
        <f t="shared" si="1"/>
        <v>501394.91696299997</v>
      </c>
      <c r="Z9" s="2">
        <f t="shared" si="2"/>
        <v>996460.03000451787</v>
      </c>
      <c r="AA9" s="2">
        <f t="shared" si="3"/>
        <v>1001537.4456953102</v>
      </c>
      <c r="AB9" s="2">
        <f t="shared" si="4"/>
        <v>751591.05509352125</v>
      </c>
      <c r="AC9" s="2">
        <f t="shared" si="5"/>
        <v>1752879.2638339207</v>
      </c>
      <c r="AD9" s="2">
        <f>+I9+SUM($V$6:V9)</f>
        <v>227.76645128056407</v>
      </c>
      <c r="AE9" s="2">
        <f t="shared" si="6"/>
        <v>5004090.4780415511</v>
      </c>
      <c r="AF9" s="12">
        <f t="shared" si="9"/>
        <v>-4.1062662044033527E-4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s="137" customFormat="1" x14ac:dyDescent="0.75">
      <c r="A10" s="1"/>
      <c r="B10" s="1"/>
      <c r="C10" s="15">
        <v>43728</v>
      </c>
      <c r="D10" s="97">
        <f>implementazione!$B$17</f>
        <v>96017</v>
      </c>
      <c r="E10" s="97">
        <f>implementazione!$C$17</f>
        <v>3641</v>
      </c>
      <c r="F10" s="97">
        <f>implementazione!$D$17</f>
        <v>43419</v>
      </c>
      <c r="G10" s="97">
        <f>implementazione!$E$17</f>
        <v>14592</v>
      </c>
      <c r="H10" s="97">
        <f>implementazione!$F$17</f>
        <v>17071</v>
      </c>
      <c r="I10" s="98">
        <f>implementazione!$D$20</f>
        <v>227.76645128056407</v>
      </c>
      <c r="J10" s="1"/>
      <c r="K10" s="3">
        <f t="shared" si="7"/>
        <v>43728</v>
      </c>
      <c r="L10" s="2">
        <f>+VLOOKUP($K10,'Prezzi-Rend EUR'!$D$4:$M$360,L$3,0)</f>
        <v>5.2239849999999999</v>
      </c>
      <c r="M10" s="2">
        <f>+VLOOKUP($K10,'Prezzi-Rend EUR'!$D$4:$M$360,M$3,0)</f>
        <v>273.26297008159565</v>
      </c>
      <c r="N10" s="2">
        <f>+VLOOKUP($K10,'Prezzi-Rend EUR'!$D$4:$M$360,N$3,0)</f>
        <v>0</v>
      </c>
      <c r="O10" s="2">
        <f>+VLOOKUP($K10,'Prezzi-Rend EUR'!$D$4:$M$360,O$3,0)</f>
        <v>23.129691749773343</v>
      </c>
      <c r="P10" s="2">
        <f>+VLOOKUP($K10,'Prezzi-Rend EUR'!$D$4:$M$360,P$3,0)</f>
        <v>0</v>
      </c>
      <c r="Q10" s="2">
        <f>+VLOOKUP($K10,'Prezzi-Rend EUR'!$D$4:$M$360,Q$3,0)</f>
        <v>52.057270172257475</v>
      </c>
      <c r="R10" s="2">
        <f>+VLOOKUP($K10,'Prezzi-Rend EUR'!$D$4:$M$360,R$3,0)</f>
        <v>0</v>
      </c>
      <c r="S10" s="2">
        <f>+VLOOKUP($K10,'Prezzi-Rend EUR'!$D$4:$M$360,S$3,0)</f>
        <v>103.2916881233001</v>
      </c>
      <c r="T10" s="2">
        <f>+VLOOKUP($K10,'Prezzi-Rend EUR'!$D$4:$M$360,T$3,0)</f>
        <v>0</v>
      </c>
      <c r="U10" s="2"/>
      <c r="V10" s="2">
        <f t="shared" si="8"/>
        <v>0</v>
      </c>
      <c r="W10" s="1"/>
      <c r="X10" s="3">
        <f t="shared" si="0"/>
        <v>43728</v>
      </c>
      <c r="Y10" s="2">
        <f t="shared" si="1"/>
        <v>501591.367745</v>
      </c>
      <c r="Z10" s="2">
        <f t="shared" si="2"/>
        <v>994950.47406708973</v>
      </c>
      <c r="AA10" s="2">
        <f t="shared" si="3"/>
        <v>1004268.0860834088</v>
      </c>
      <c r="AB10" s="2">
        <f t="shared" si="4"/>
        <v>759619.68635358103</v>
      </c>
      <c r="AC10" s="2">
        <f t="shared" si="5"/>
        <v>1763292.407952856</v>
      </c>
      <c r="AD10" s="2">
        <f>+I10+SUM($V$6:V10)</f>
        <v>227.76645128056407</v>
      </c>
      <c r="AE10" s="2">
        <f t="shared" si="6"/>
        <v>5023949.7886532163</v>
      </c>
      <c r="AF10" s="12">
        <f t="shared" si="9"/>
        <v>3.9686154154905395E-3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s="137" customFormat="1" x14ac:dyDescent="0.75">
      <c r="A11" s="1"/>
      <c r="B11" s="1"/>
      <c r="C11" s="15">
        <v>43731</v>
      </c>
      <c r="D11" s="97">
        <f>implementazione!$B$17</f>
        <v>96017</v>
      </c>
      <c r="E11" s="97">
        <f>implementazione!$C$17</f>
        <v>3641</v>
      </c>
      <c r="F11" s="97">
        <f>implementazione!$D$17</f>
        <v>43419</v>
      </c>
      <c r="G11" s="97">
        <f>implementazione!$E$17</f>
        <v>14592</v>
      </c>
      <c r="H11" s="97">
        <f>implementazione!$F$17</f>
        <v>17071</v>
      </c>
      <c r="I11" s="98">
        <f>implementazione!$D$20</f>
        <v>227.76645128056407</v>
      </c>
      <c r="J11" s="1"/>
      <c r="K11" s="3">
        <f t="shared" si="7"/>
        <v>43731</v>
      </c>
      <c r="L11" s="2">
        <f>+VLOOKUP($K11,'Prezzi-Rend EUR'!$D$4:$M$360,L$3,0)</f>
        <v>5.238137</v>
      </c>
      <c r="M11" s="2">
        <f>+VLOOKUP($K11,'Prezzi-Rend EUR'!$D$4:$M$360,M$3,0)</f>
        <v>274.35632954028222</v>
      </c>
      <c r="N11" s="2">
        <f>+VLOOKUP($K11,'Prezzi-Rend EUR'!$D$4:$M$360,N$3,0)</f>
        <v>0</v>
      </c>
      <c r="O11" s="2">
        <f>+VLOOKUP($K11,'Prezzi-Rend EUR'!$D$4:$M$360,O$3,0)</f>
        <v>23.165766044606279</v>
      </c>
      <c r="P11" s="2">
        <f>+VLOOKUP($K11,'Prezzi-Rend EUR'!$D$4:$M$360,P$3,0)</f>
        <v>0</v>
      </c>
      <c r="Q11" s="2">
        <f>+VLOOKUP($K11,'Prezzi-Rend EUR'!$D$4:$M$360,Q$3,0)</f>
        <v>52.769330905780606</v>
      </c>
      <c r="R11" s="2">
        <f>+VLOOKUP($K11,'Prezzi-Rend EUR'!$D$4:$M$360,R$3,0)</f>
        <v>0</v>
      </c>
      <c r="S11" s="2">
        <f>+VLOOKUP($K11,'Prezzi-Rend EUR'!$D$4:$M$360,S$3,0)</f>
        <v>103.82329267182521</v>
      </c>
      <c r="T11" s="2">
        <f>+VLOOKUP($K11,'Prezzi-Rend EUR'!$D$4:$M$360,T$3,0)</f>
        <v>0</v>
      </c>
      <c r="U11" s="2"/>
      <c r="V11" s="2">
        <f t="shared" si="8"/>
        <v>0</v>
      </c>
      <c r="W11" s="1"/>
      <c r="X11" s="3">
        <f t="shared" si="0"/>
        <v>43731</v>
      </c>
      <c r="Y11" s="2">
        <f t="shared" si="1"/>
        <v>502950.20032900001</v>
      </c>
      <c r="Z11" s="2">
        <f t="shared" si="2"/>
        <v>998931.39585616754</v>
      </c>
      <c r="AA11" s="2">
        <f t="shared" si="3"/>
        <v>1005834.39589076</v>
      </c>
      <c r="AB11" s="2">
        <f t="shared" si="4"/>
        <v>770010.07657715061</v>
      </c>
      <c r="AC11" s="2">
        <f t="shared" si="5"/>
        <v>1772367.4292007282</v>
      </c>
      <c r="AD11" s="2">
        <f>+I11+SUM($V$6:V11)</f>
        <v>227.76645128056407</v>
      </c>
      <c r="AE11" s="2">
        <f t="shared" si="6"/>
        <v>5050321.2643050868</v>
      </c>
      <c r="AF11" s="12">
        <f t="shared" si="9"/>
        <v>5.2491519145814181E-3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s="137" customFormat="1" x14ac:dyDescent="0.75">
      <c r="A12" s="1"/>
      <c r="B12" s="1"/>
      <c r="C12" s="15">
        <v>43732</v>
      </c>
      <c r="D12" s="97">
        <f>implementazione!$B$17</f>
        <v>96017</v>
      </c>
      <c r="E12" s="97">
        <f>implementazione!$C$17</f>
        <v>3641</v>
      </c>
      <c r="F12" s="97">
        <f>implementazione!$D$17</f>
        <v>43419</v>
      </c>
      <c r="G12" s="97">
        <f>implementazione!$E$17</f>
        <v>14592</v>
      </c>
      <c r="H12" s="97">
        <f>implementazione!$F$17</f>
        <v>17071</v>
      </c>
      <c r="I12" s="98">
        <f>implementazione!$D$20</f>
        <v>227.76645128056407</v>
      </c>
      <c r="J12" s="1"/>
      <c r="K12" s="3">
        <f t="shared" si="7"/>
        <v>43732</v>
      </c>
      <c r="L12" s="2">
        <f>+VLOOKUP($K12,'Prezzi-Rend EUR'!$D$4:$M$360,L$3,0)</f>
        <v>5.2485080000000002</v>
      </c>
      <c r="M12" s="2">
        <f>+VLOOKUP($K12,'Prezzi-Rend EUR'!$D$4:$M$360,M$3,0)</f>
        <v>270.27654639643731</v>
      </c>
      <c r="N12" s="2">
        <f>+VLOOKUP($K12,'Prezzi-Rend EUR'!$D$4:$M$360,N$3,0)</f>
        <v>0</v>
      </c>
      <c r="O12" s="2">
        <f>+VLOOKUP($K12,'Prezzi-Rend EUR'!$D$4:$M$360,O$3,0)</f>
        <v>23.214686903571749</v>
      </c>
      <c r="P12" s="2">
        <f>+VLOOKUP($K12,'Prezzi-Rend EUR'!$D$4:$M$360,P$3,0)</f>
        <v>0</v>
      </c>
      <c r="Q12" s="2">
        <f>+VLOOKUP($K12,'Prezzi-Rend EUR'!$D$4:$M$360,Q$3,0)</f>
        <v>52.970949740979727</v>
      </c>
      <c r="R12" s="2">
        <f>+VLOOKUP($K12,'Prezzi-Rend EUR'!$D$4:$M$360,R$3,0)</f>
        <v>0</v>
      </c>
      <c r="S12" s="2">
        <f>+VLOOKUP($K12,'Prezzi-Rend EUR'!$D$4:$M$360,S$3,0)</f>
        <v>103.22865036808142</v>
      </c>
      <c r="T12" s="2">
        <f>+VLOOKUP($K12,'Prezzi-Rend EUR'!$D$4:$M$360,T$3,0)</f>
        <v>0</v>
      </c>
      <c r="U12" s="2"/>
      <c r="V12" s="2">
        <f t="shared" si="8"/>
        <v>0</v>
      </c>
      <c r="W12" s="1"/>
      <c r="X12" s="3">
        <f t="shared" si="0"/>
        <v>43732</v>
      </c>
      <c r="Y12" s="2">
        <f t="shared" si="1"/>
        <v>503945.99263600004</v>
      </c>
      <c r="Z12" s="2">
        <f t="shared" si="2"/>
        <v>984076.90542942821</v>
      </c>
      <c r="AA12" s="2">
        <f t="shared" si="3"/>
        <v>1007958.4906661818</v>
      </c>
      <c r="AB12" s="2">
        <f t="shared" si="4"/>
        <v>772952.0986203762</v>
      </c>
      <c r="AC12" s="2">
        <f t="shared" si="5"/>
        <v>1762216.2904335179</v>
      </c>
      <c r="AD12" s="2">
        <f>+I12+SUM($V$6:V12)</f>
        <v>227.76645128056407</v>
      </c>
      <c r="AE12" s="2">
        <f t="shared" si="6"/>
        <v>5031377.5442367848</v>
      </c>
      <c r="AF12" s="12">
        <f t="shared" si="9"/>
        <v>-3.7509930709147543E-3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s="137" customFormat="1" x14ac:dyDescent="0.75">
      <c r="A13" s="1"/>
      <c r="B13" s="1"/>
      <c r="C13" s="15">
        <v>43733</v>
      </c>
      <c r="D13" s="97">
        <f>implementazione!$B$17</f>
        <v>96017</v>
      </c>
      <c r="E13" s="97">
        <f>implementazione!$C$17</f>
        <v>3641</v>
      </c>
      <c r="F13" s="97">
        <f>implementazione!$D$17</f>
        <v>43419</v>
      </c>
      <c r="G13" s="97">
        <f>implementazione!$E$17</f>
        <v>14592</v>
      </c>
      <c r="H13" s="97">
        <f>implementazione!$F$17</f>
        <v>17071</v>
      </c>
      <c r="I13" s="98">
        <f>implementazione!$D$20</f>
        <v>227.76645128056407</v>
      </c>
      <c r="J13" s="1"/>
      <c r="K13" s="3">
        <f t="shared" si="7"/>
        <v>43733</v>
      </c>
      <c r="L13" s="2">
        <f>+VLOOKUP($K13,'Prezzi-Rend EUR'!$D$4:$M$360,L$3,0)</f>
        <v>5.2351530000000004</v>
      </c>
      <c r="M13" s="2">
        <f>+VLOOKUP($K13,'Prezzi-Rend EUR'!$D$4:$M$360,M$3,0)</f>
        <v>272.4606565288654</v>
      </c>
      <c r="N13" s="2">
        <f>+VLOOKUP($K13,'Prezzi-Rend EUR'!$D$4:$M$360,N$3,0)</f>
        <v>0</v>
      </c>
      <c r="O13" s="2">
        <f>+VLOOKUP($K13,'Prezzi-Rend EUR'!$D$4:$M$360,O$3,0)</f>
        <v>23.028933709706791</v>
      </c>
      <c r="P13" s="2">
        <f>+VLOOKUP($K13,'Prezzi-Rend EUR'!$D$4:$M$360,P$3,0)</f>
        <v>0</v>
      </c>
      <c r="Q13" s="2">
        <f>+VLOOKUP($K13,'Prezzi-Rend EUR'!$D$4:$M$360,Q$3,0)</f>
        <v>52.118423784374428</v>
      </c>
      <c r="R13" s="2">
        <f>+VLOOKUP($K13,'Prezzi-Rend EUR'!$D$4:$M$360,R$3,0)</f>
        <v>0</v>
      </c>
      <c r="S13" s="2">
        <f>+VLOOKUP($K13,'Prezzi-Rend EUR'!$D$4:$M$360,S$3,0)</f>
        <v>103.0166845747587</v>
      </c>
      <c r="T13" s="2">
        <f>+VLOOKUP($K13,'Prezzi-Rend EUR'!$D$4:$M$360,T$3,0)</f>
        <v>0</v>
      </c>
      <c r="U13" s="2"/>
      <c r="V13" s="2">
        <f t="shared" si="8"/>
        <v>0</v>
      </c>
      <c r="W13" s="1"/>
      <c r="X13" s="3">
        <f t="shared" si="0"/>
        <v>43733</v>
      </c>
      <c r="Y13" s="2">
        <f t="shared" si="1"/>
        <v>502663.68560100003</v>
      </c>
      <c r="Z13" s="2">
        <f t="shared" si="2"/>
        <v>992029.2504215989</v>
      </c>
      <c r="AA13" s="2">
        <f t="shared" si="3"/>
        <v>999893.2727417592</v>
      </c>
      <c r="AB13" s="2">
        <f t="shared" si="4"/>
        <v>760512.03986159165</v>
      </c>
      <c r="AC13" s="2">
        <f t="shared" si="5"/>
        <v>1758597.8223757057</v>
      </c>
      <c r="AD13" s="2">
        <f>+I13+SUM($V$6:V13)</f>
        <v>227.76645128056407</v>
      </c>
      <c r="AE13" s="2">
        <f t="shared" si="6"/>
        <v>5013923.837452936</v>
      </c>
      <c r="AF13" s="12">
        <f t="shared" si="9"/>
        <v>-3.4689717935878495E-3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s="137" customFormat="1" x14ac:dyDescent="0.75">
      <c r="A14" s="1"/>
      <c r="B14" s="1"/>
      <c r="C14" s="15">
        <v>43734</v>
      </c>
      <c r="D14" s="97">
        <f>implementazione!$B$17</f>
        <v>96017</v>
      </c>
      <c r="E14" s="97">
        <f>implementazione!$C$17</f>
        <v>3641</v>
      </c>
      <c r="F14" s="97">
        <f>implementazione!$D$17</f>
        <v>43419</v>
      </c>
      <c r="G14" s="97">
        <f>implementazione!$E$17</f>
        <v>14592</v>
      </c>
      <c r="H14" s="97">
        <f>implementazione!$F$17</f>
        <v>17071</v>
      </c>
      <c r="I14" s="98">
        <f>implementazione!$D$20</f>
        <v>227.76645128056407</v>
      </c>
      <c r="J14" s="1"/>
      <c r="K14" s="3">
        <f t="shared" si="7"/>
        <v>43734</v>
      </c>
      <c r="L14" s="2">
        <f>+VLOOKUP($K14,'Prezzi-Rend EUR'!$D$4:$M$360,L$3,0)</f>
        <v>5.2407599999999999</v>
      </c>
      <c r="M14" s="2">
        <f>+VLOOKUP($K14,'Prezzi-Rend EUR'!$D$4:$M$360,M$3,0)</f>
        <v>272.90915798134938</v>
      </c>
      <c r="N14" s="2">
        <f>+VLOOKUP($K14,'Prezzi-Rend EUR'!$D$4:$M$360,N$3,0)</f>
        <v>0</v>
      </c>
      <c r="O14" s="2">
        <f>+VLOOKUP($K14,'Prezzi-Rend EUR'!$D$4:$M$360,O$3,0)</f>
        <v>23.318140427866155</v>
      </c>
      <c r="P14" s="2">
        <f>+VLOOKUP($K14,'Prezzi-Rend EUR'!$D$4:$M$360,P$3,0)</f>
        <v>0</v>
      </c>
      <c r="Q14" s="2">
        <f>+VLOOKUP($K14,'Prezzi-Rend EUR'!$D$4:$M$360,Q$3,0)</f>
        <v>52.406257999634299</v>
      </c>
      <c r="R14" s="2">
        <f>+VLOOKUP($K14,'Prezzi-Rend EUR'!$D$4:$M$360,R$3,0)</f>
        <v>0</v>
      </c>
      <c r="S14" s="2">
        <f>+VLOOKUP($K14,'Prezzi-Rend EUR'!$D$4:$M$360,S$3,0)</f>
        <v>103.49647010422379</v>
      </c>
      <c r="T14" s="2">
        <f>+VLOOKUP($K14,'Prezzi-Rend EUR'!$D$4:$M$360,T$3,0)</f>
        <v>0</v>
      </c>
      <c r="U14" s="2"/>
      <c r="V14" s="2">
        <f t="shared" si="8"/>
        <v>0</v>
      </c>
      <c r="W14" s="1"/>
      <c r="X14" s="3">
        <f t="shared" si="0"/>
        <v>43734</v>
      </c>
      <c r="Y14" s="2">
        <f t="shared" si="1"/>
        <v>503202.05291999999</v>
      </c>
      <c r="Z14" s="2">
        <f t="shared" si="2"/>
        <v>993662.24421009305</v>
      </c>
      <c r="AA14" s="2">
        <f t="shared" si="3"/>
        <v>1012450.3392375206</v>
      </c>
      <c r="AB14" s="2">
        <f t="shared" si="4"/>
        <v>764712.11673066369</v>
      </c>
      <c r="AC14" s="2">
        <f t="shared" si="5"/>
        <v>1766788.2411492043</v>
      </c>
      <c r="AD14" s="2">
        <f>+I14+SUM($V$6:V14)</f>
        <v>227.76645128056407</v>
      </c>
      <c r="AE14" s="2">
        <f t="shared" si="6"/>
        <v>5041042.7606987618</v>
      </c>
      <c r="AF14" s="12">
        <f t="shared" si="9"/>
        <v>5.4087226142633948E-3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75">
      <c r="C15" s="15">
        <v>43735</v>
      </c>
      <c r="D15" s="97">
        <f>implementazione!$B$17</f>
        <v>96017</v>
      </c>
      <c r="E15" s="97">
        <f>implementazione!$C$17</f>
        <v>3641</v>
      </c>
      <c r="F15" s="97">
        <f>implementazione!$D$17</f>
        <v>43419</v>
      </c>
      <c r="G15" s="97">
        <f>implementazione!$E$17</f>
        <v>14592</v>
      </c>
      <c r="H15" s="97">
        <f>implementazione!$F$17</f>
        <v>17071</v>
      </c>
      <c r="I15" s="98">
        <f>implementazione!$D$20</f>
        <v>227.76645128056407</v>
      </c>
      <c r="K15" s="3">
        <f>+C15</f>
        <v>43735</v>
      </c>
      <c r="L15" s="2">
        <f>+VLOOKUP($K15,'Prezzi-Rend EUR'!$D$4:$M$360,L$3,0)</f>
        <v>5.2419330000000004</v>
      </c>
      <c r="M15" s="2">
        <f>+VLOOKUP($K15,'Prezzi-Rend EUR'!$D$4:$M$360,M$3,0)</f>
        <v>271.57110288065849</v>
      </c>
      <c r="N15" s="2">
        <f>+VLOOKUP($K15,'Prezzi-Rend EUR'!$D$4:$M$360,N$3,0)</f>
        <v>0</v>
      </c>
      <c r="O15" s="2">
        <f>+VLOOKUP($K15,'Prezzi-Rend EUR'!$D$4:$M$360,O$3,0)</f>
        <v>23.370652034750801</v>
      </c>
      <c r="P15" s="2">
        <f>+VLOOKUP($K15,'Prezzi-Rend EUR'!$D$4:$M$360,P$3,0)</f>
        <v>0</v>
      </c>
      <c r="Q15" s="2">
        <f>+VLOOKUP($K15,'Prezzi-Rend EUR'!$D$4:$M$360,Q$3,0)</f>
        <v>52.133899405578426</v>
      </c>
      <c r="R15" s="2">
        <f>+VLOOKUP($K15,'Prezzi-Rend EUR'!$D$4:$M$360,R$3,0)</f>
        <v>0</v>
      </c>
      <c r="S15" s="2">
        <f>+VLOOKUP($K15,'Prezzi-Rend EUR'!$D$4:$M$360,S$3,0)</f>
        <v>103.59523090992228</v>
      </c>
      <c r="T15" s="2">
        <f>+VLOOKUP($K15,'Prezzi-Rend EUR'!$D$4:$M$360,T$3,0)</f>
        <v>0</v>
      </c>
      <c r="U15" s="2"/>
      <c r="V15" s="2">
        <f t="shared" si="8"/>
        <v>0</v>
      </c>
      <c r="X15" s="3">
        <f t="shared" si="0"/>
        <v>43735</v>
      </c>
      <c r="Y15" s="2">
        <f t="shared" si="1"/>
        <v>503314.68086100003</v>
      </c>
      <c r="Z15" s="2">
        <f t="shared" si="2"/>
        <v>988790.3855884776</v>
      </c>
      <c r="AA15" s="2">
        <f t="shared" si="3"/>
        <v>1014730.3406968451</v>
      </c>
      <c r="AB15" s="2">
        <f t="shared" si="4"/>
        <v>760737.86012620036</v>
      </c>
      <c r="AC15" s="2">
        <f t="shared" si="5"/>
        <v>1768474.1868632832</v>
      </c>
      <c r="AD15" s="2">
        <f>+I15+SUM($V$6:V15)</f>
        <v>227.76645128056407</v>
      </c>
      <c r="AE15" s="2">
        <f t="shared" si="6"/>
        <v>5036275.2205870859</v>
      </c>
      <c r="AF15" s="12">
        <f t="shared" si="9"/>
        <v>-9.4574482661502479E-4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75">
      <c r="C16" s="15">
        <v>43738</v>
      </c>
      <c r="D16" s="97">
        <f>implementazione!$B$17</f>
        <v>96017</v>
      </c>
      <c r="E16" s="97">
        <f>implementazione!$C$17</f>
        <v>3641</v>
      </c>
      <c r="F16" s="97">
        <f>implementazione!$D$17</f>
        <v>43419</v>
      </c>
      <c r="G16" s="97">
        <f>implementazione!$E$17</f>
        <v>14592</v>
      </c>
      <c r="H16" s="97">
        <f>implementazione!$F$17</f>
        <v>17071</v>
      </c>
      <c r="I16" s="98">
        <f>implementazione!$D$20</f>
        <v>227.76645128056407</v>
      </c>
      <c r="K16" s="3">
        <f t="shared" ref="K16:K30" si="10">+C16</f>
        <v>43738</v>
      </c>
      <c r="L16" s="2">
        <f>+VLOOKUP($K16,'Prezzi-Rend EUR'!$D$4:$M$360,L$3,0)</f>
        <v>5.2405670000000004</v>
      </c>
      <c r="M16" s="2">
        <f>+VLOOKUP($K16,'Prezzi-Rend EUR'!$D$4:$M$360,M$3,0)</f>
        <v>274.10794746992377</v>
      </c>
      <c r="N16" s="2">
        <f>+VLOOKUP($K16,'Prezzi-Rend EUR'!$D$4:$M$360,N$3,0)</f>
        <v>1.3591698043897511</v>
      </c>
      <c r="O16" s="2">
        <f>+VLOOKUP($K16,'Prezzi-Rend EUR'!$D$4:$M$360,O$3,0)</f>
        <v>23.440512443750578</v>
      </c>
      <c r="P16" s="2">
        <f>+VLOOKUP($K16,'Prezzi-Rend EUR'!$D$4:$M$360,P$3,0)</f>
        <v>0</v>
      </c>
      <c r="Q16" s="2">
        <f>+VLOOKUP($K16,'Prezzi-Rend EUR'!$D$4:$M$360,Q$3,0)</f>
        <v>51.288697768390122</v>
      </c>
      <c r="R16" s="2">
        <f>+VLOOKUP($K16,'Prezzi-Rend EUR'!$D$4:$M$360,R$3,0)</f>
        <v>0</v>
      </c>
      <c r="S16" s="2">
        <f>+VLOOKUP($K16,'Prezzi-Rend EUR'!$D$4:$M$360,S$3,0)</f>
        <v>103.99906970337037</v>
      </c>
      <c r="T16" s="2">
        <f>+VLOOKUP($K16,'Prezzi-Rend EUR'!$D$4:$M$360,T$3,0)</f>
        <v>0</v>
      </c>
      <c r="U16" s="2"/>
      <c r="V16" s="2">
        <f>+N16*E16+P16*F16+R16*G16+T16*H16</f>
        <v>4948.7372577830838</v>
      </c>
      <c r="X16" s="3">
        <f t="shared" si="0"/>
        <v>43738</v>
      </c>
      <c r="Y16" s="2">
        <f t="shared" si="1"/>
        <v>503183.52163900004</v>
      </c>
      <c r="Z16" s="2">
        <f t="shared" si="2"/>
        <v>1002975.7739957755</v>
      </c>
      <c r="AA16" s="2">
        <f t="shared" si="3"/>
        <v>1017763.6097952063</v>
      </c>
      <c r="AB16" s="2">
        <f t="shared" si="4"/>
        <v>748404.67783634865</v>
      </c>
      <c r="AC16" s="2">
        <f t="shared" si="5"/>
        <v>1775368.1189062356</v>
      </c>
      <c r="AD16" s="2">
        <f>+I16+SUM($V$6:V16)</f>
        <v>5176.5037090636479</v>
      </c>
      <c r="AE16" s="2">
        <f t="shared" ref="AE16:AE40" si="11">+SUM(Y16:AD16)</f>
        <v>5052872.2058816301</v>
      </c>
      <c r="AF16" s="12">
        <f t="shared" si="9"/>
        <v>3.2954881470137476E-3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75">
      <c r="C17" s="15">
        <v>43739</v>
      </c>
      <c r="D17" s="97">
        <f>implementazione!$B$17</f>
        <v>96017</v>
      </c>
      <c r="E17" s="97">
        <f>implementazione!$C$17</f>
        <v>3641</v>
      </c>
      <c r="F17" s="97">
        <f>implementazione!$D$17</f>
        <v>43419</v>
      </c>
      <c r="G17" s="97">
        <f>implementazione!$E$17</f>
        <v>14592</v>
      </c>
      <c r="H17" s="97">
        <f>implementazione!$F$17</f>
        <v>17071</v>
      </c>
      <c r="I17" s="98">
        <f>implementazione!$D$20</f>
        <v>227.76645128056407</v>
      </c>
      <c r="K17" s="3">
        <f t="shared" si="10"/>
        <v>43739</v>
      </c>
      <c r="L17" s="2">
        <f>+VLOOKUP($K17,'Prezzi-Rend EUR'!$D$4:$M$360,L$3,0)</f>
        <v>5.2380170000000001</v>
      </c>
      <c r="M17" s="2">
        <f>+VLOOKUP($K17,'Prezzi-Rend EUR'!$D$4:$M$360,M$3,0)</f>
        <v>270.53559919251239</v>
      </c>
      <c r="N17" s="2">
        <f>+VLOOKUP($K17,'Prezzi-Rend EUR'!$D$4:$M$360,N$3,0)</f>
        <v>0</v>
      </c>
      <c r="O17" s="2">
        <f>+VLOOKUP($K17,'Prezzi-Rend EUR'!$D$4:$M$360,O$3,0)</f>
        <v>23.232035235823083</v>
      </c>
      <c r="P17" s="2">
        <f>+VLOOKUP($K17,'Prezzi-Rend EUR'!$D$4:$M$360,P$3,0)</f>
        <v>0</v>
      </c>
      <c r="Q17" s="2">
        <f>+VLOOKUP($K17,'Prezzi-Rend EUR'!$D$4:$M$360,Q$3,0)</f>
        <v>51.731351624151216</v>
      </c>
      <c r="R17" s="2">
        <f>+VLOOKUP($K17,'Prezzi-Rend EUR'!$D$4:$M$360,R$3,0)</f>
        <v>0</v>
      </c>
      <c r="S17" s="2">
        <f>+VLOOKUP($K17,'Prezzi-Rend EUR'!$D$4:$M$360,S$3,0)</f>
        <v>103.46682051752613</v>
      </c>
      <c r="T17" s="2">
        <f>+VLOOKUP($K17,'Prezzi-Rend EUR'!$D$4:$M$360,T$3,0)</f>
        <v>0</v>
      </c>
      <c r="U17" s="2"/>
      <c r="V17" s="2">
        <f t="shared" si="8"/>
        <v>0</v>
      </c>
      <c r="X17" s="3">
        <f t="shared" si="0"/>
        <v>43739</v>
      </c>
      <c r="Y17" s="2">
        <f t="shared" si="1"/>
        <v>502938.678289</v>
      </c>
      <c r="Z17" s="2">
        <f t="shared" si="2"/>
        <v>985020.11665993766</v>
      </c>
      <c r="AA17" s="2">
        <f t="shared" si="3"/>
        <v>1008711.7379042024</v>
      </c>
      <c r="AB17" s="2">
        <f t="shared" si="4"/>
        <v>754863.88289961452</v>
      </c>
      <c r="AC17" s="2">
        <f t="shared" si="5"/>
        <v>1766282.0930546885</v>
      </c>
      <c r="AD17" s="2">
        <f>+I17+SUM($V$6:V17)</f>
        <v>5176.5037090636479</v>
      </c>
      <c r="AE17" s="2">
        <f t="shared" si="11"/>
        <v>5022993.0125165069</v>
      </c>
      <c r="AF17" s="12">
        <f t="shared" ref="AF17:AF40" si="12">+AE17/AE16-1</f>
        <v>-5.9133087376211924E-3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75">
      <c r="C18" s="15">
        <v>43740</v>
      </c>
      <c r="D18" s="97">
        <f>implementazione!$B$17</f>
        <v>96017</v>
      </c>
      <c r="E18" s="97">
        <f>implementazione!$C$17</f>
        <v>3641</v>
      </c>
      <c r="F18" s="97">
        <f>implementazione!$D$17</f>
        <v>43419</v>
      </c>
      <c r="G18" s="97">
        <f>implementazione!$E$17</f>
        <v>14592</v>
      </c>
      <c r="H18" s="97">
        <f>implementazione!$F$17</f>
        <v>17071</v>
      </c>
      <c r="I18" s="98">
        <f>implementazione!$D$20</f>
        <v>227.76645128056407</v>
      </c>
      <c r="K18" s="3">
        <f t="shared" si="10"/>
        <v>43740</v>
      </c>
      <c r="L18" s="2">
        <f>+VLOOKUP($K18,'Prezzi-Rend EUR'!$D$4:$M$360,L$3,0)</f>
        <v>5.2405670000000004</v>
      </c>
      <c r="M18" s="2">
        <f>+VLOOKUP($K18,'Prezzi-Rend EUR'!$D$4:$M$360,M$3,0)</f>
        <v>265.03475606407324</v>
      </c>
      <c r="N18" s="2">
        <f>+VLOOKUP($K18,'Prezzi-Rend EUR'!$D$4:$M$360,N$3,0)</f>
        <v>0</v>
      </c>
      <c r="O18" s="2">
        <f>+VLOOKUP($K18,'Prezzi-Rend EUR'!$D$4:$M$360,O$3,0)</f>
        <v>22.701558810068647</v>
      </c>
      <c r="P18" s="2">
        <f>+VLOOKUP($K18,'Prezzi-Rend EUR'!$D$4:$M$360,P$3,0)</f>
        <v>0</v>
      </c>
      <c r="Q18" s="2">
        <f>+VLOOKUP($K18,'Prezzi-Rend EUR'!$D$4:$M$360,Q$3,0)</f>
        <v>52.245380320366131</v>
      </c>
      <c r="R18" s="2">
        <f>+VLOOKUP($K18,'Prezzi-Rend EUR'!$D$4:$M$360,R$3,0)</f>
        <v>0</v>
      </c>
      <c r="S18" s="2">
        <f>+VLOOKUP($K18,'Prezzi-Rend EUR'!$D$4:$M$360,S$3,0)</f>
        <v>103.03309839816933</v>
      </c>
      <c r="T18" s="2">
        <f>+VLOOKUP($K18,'Prezzi-Rend EUR'!$D$4:$M$360,T$3,0)</f>
        <v>0</v>
      </c>
      <c r="U18" s="2"/>
      <c r="V18" s="2">
        <f t="shared" si="8"/>
        <v>0</v>
      </c>
      <c r="X18" s="3">
        <f t="shared" si="0"/>
        <v>43740</v>
      </c>
      <c r="Y18" s="2">
        <f t="shared" si="1"/>
        <v>503183.52163900004</v>
      </c>
      <c r="Z18" s="2">
        <f t="shared" si="2"/>
        <v>964991.54682929069</v>
      </c>
      <c r="AA18" s="2">
        <f t="shared" si="3"/>
        <v>985678.98197437054</v>
      </c>
      <c r="AB18" s="2">
        <f t="shared" si="4"/>
        <v>762364.58963478263</v>
      </c>
      <c r="AC18" s="2">
        <f t="shared" si="5"/>
        <v>1758878.0227551486</v>
      </c>
      <c r="AD18" s="2">
        <f>+I18+SUM($V$6:V18)</f>
        <v>5176.5037090636479</v>
      </c>
      <c r="AE18" s="2">
        <f t="shared" si="11"/>
        <v>4980273.1665416565</v>
      </c>
      <c r="AF18" s="12">
        <f t="shared" si="12"/>
        <v>-8.5048587303225842E-3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75">
      <c r="C19" s="15">
        <v>43741</v>
      </c>
      <c r="D19" s="97">
        <f>implementazione!$B$17</f>
        <v>96017</v>
      </c>
      <c r="E19" s="97">
        <f>implementazione!$C$17</f>
        <v>3641</v>
      </c>
      <c r="F19" s="97">
        <f>implementazione!$D$17</f>
        <v>43419</v>
      </c>
      <c r="G19" s="97">
        <f>implementazione!$E$17</f>
        <v>14592</v>
      </c>
      <c r="H19" s="97">
        <f>implementazione!$F$17</f>
        <v>17071</v>
      </c>
      <c r="I19" s="98">
        <f>implementazione!$D$20</f>
        <v>227.76645128056407</v>
      </c>
      <c r="K19" s="3">
        <f t="shared" si="10"/>
        <v>43741</v>
      </c>
      <c r="L19" s="2">
        <f>+VLOOKUP($K19,'Prezzi-Rend EUR'!$D$4:$M$360,L$3,0)</f>
        <v>5.2548870000000001</v>
      </c>
      <c r="M19" s="2">
        <f>+VLOOKUP($K19,'Prezzi-Rend EUR'!$D$4:$M$360,M$3,0)</f>
        <v>266.58015432380603</v>
      </c>
      <c r="N19" s="2">
        <f>+VLOOKUP($K19,'Prezzi-Rend EUR'!$D$4:$M$360,N$3,0)</f>
        <v>0</v>
      </c>
      <c r="O19" s="2">
        <f>+VLOOKUP($K19,'Prezzi-Rend EUR'!$D$4:$M$360,O$3,0)</f>
        <v>22.743138526161996</v>
      </c>
      <c r="P19" s="2">
        <f>+VLOOKUP($K19,'Prezzi-Rend EUR'!$D$4:$M$360,P$3,0)</f>
        <v>0</v>
      </c>
      <c r="Q19" s="2">
        <f>+VLOOKUP($K19,'Prezzi-Rend EUR'!$D$4:$M$360,Q$3,0)</f>
        <v>52.336643228928871</v>
      </c>
      <c r="R19" s="2">
        <f>+VLOOKUP($K19,'Prezzi-Rend EUR'!$D$4:$M$360,R$3,0)</f>
        <v>0</v>
      </c>
      <c r="S19" s="2">
        <f>+VLOOKUP($K19,'Prezzi-Rend EUR'!$D$4:$M$360,S$3,0)</f>
        <v>103.01634553922017</v>
      </c>
      <c r="T19" s="2">
        <f>+VLOOKUP($K19,'Prezzi-Rend EUR'!$D$4:$M$360,T$3,0)</f>
        <v>0</v>
      </c>
      <c r="U19" s="2"/>
      <c r="V19" s="2">
        <f t="shared" si="8"/>
        <v>0</v>
      </c>
      <c r="X19" s="3">
        <f t="shared" si="0"/>
        <v>43741</v>
      </c>
      <c r="Y19" s="2">
        <f t="shared" si="1"/>
        <v>504558.48507900001</v>
      </c>
      <c r="Z19" s="2">
        <f t="shared" si="2"/>
        <v>970618.34189297771</v>
      </c>
      <c r="AA19" s="2">
        <f t="shared" si="3"/>
        <v>987484.33166742767</v>
      </c>
      <c r="AB19" s="2">
        <f t="shared" si="4"/>
        <v>763696.29799653008</v>
      </c>
      <c r="AC19" s="2">
        <f t="shared" si="5"/>
        <v>1758592.0347000274</v>
      </c>
      <c r="AD19" s="2">
        <f>+I19+SUM($V$6:V19)</f>
        <v>5176.5037090636479</v>
      </c>
      <c r="AE19" s="2">
        <f t="shared" si="11"/>
        <v>4990125.9950450268</v>
      </c>
      <c r="AF19" s="12">
        <f t="shared" si="12"/>
        <v>1.9783711001162274E-3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75">
      <c r="C20" s="15">
        <v>43742</v>
      </c>
      <c r="D20" s="97">
        <f>implementazione!$B$17</f>
        <v>96017</v>
      </c>
      <c r="E20" s="97">
        <f>implementazione!$C$17</f>
        <v>3641</v>
      </c>
      <c r="F20" s="97">
        <f>implementazione!$D$17</f>
        <v>43419</v>
      </c>
      <c r="G20" s="97">
        <f>implementazione!$E$17</f>
        <v>14592</v>
      </c>
      <c r="H20" s="97">
        <f>implementazione!$F$17</f>
        <v>17071</v>
      </c>
      <c r="I20" s="98">
        <f>implementazione!$D$20</f>
        <v>227.76645128056407</v>
      </c>
      <c r="K20" s="3">
        <f t="shared" si="10"/>
        <v>43742</v>
      </c>
      <c r="L20" s="2">
        <f>+VLOOKUP($K20,'Prezzi-Rend EUR'!$D$4:$M$360,L$3,0)</f>
        <v>5.2605130000000004</v>
      </c>
      <c r="M20" s="2">
        <f>+VLOOKUP($K20,'Prezzi-Rend EUR'!$D$4:$M$360,M$3,0)</f>
        <v>269.68139812369066</v>
      </c>
      <c r="N20" s="2">
        <f>+VLOOKUP($K20,'Prezzi-Rend EUR'!$D$4:$M$360,N$3,0)</f>
        <v>0</v>
      </c>
      <c r="O20" s="2">
        <f>+VLOOKUP($K20,'Prezzi-Rend EUR'!$D$4:$M$360,O$3,0)</f>
        <v>22.883279897987066</v>
      </c>
      <c r="P20" s="2">
        <f>+VLOOKUP($K20,'Prezzi-Rend EUR'!$D$4:$M$360,P$3,0)</f>
        <v>0</v>
      </c>
      <c r="Q20" s="2">
        <f>+VLOOKUP($K20,'Prezzi-Rend EUR'!$D$4:$M$360,Q$3,0)</f>
        <v>52.184340103834593</v>
      </c>
      <c r="R20" s="2">
        <f>+VLOOKUP($K20,'Prezzi-Rend EUR'!$D$4:$M$360,R$3,0)</f>
        <v>0</v>
      </c>
      <c r="S20" s="2">
        <f>+VLOOKUP($K20,'Prezzi-Rend EUR'!$D$4:$M$360,S$3,0)</f>
        <v>103.20362783495764</v>
      </c>
      <c r="T20" s="2">
        <f>+VLOOKUP($K20,'Prezzi-Rend EUR'!$D$4:$M$360,T$3,0)</f>
        <v>0</v>
      </c>
      <c r="U20" s="2"/>
      <c r="V20" s="2">
        <f t="shared" si="8"/>
        <v>0</v>
      </c>
      <c r="X20" s="3">
        <f t="shared" si="0"/>
        <v>43742</v>
      </c>
      <c r="Y20" s="2">
        <f t="shared" si="1"/>
        <v>505098.67672100005</v>
      </c>
      <c r="Z20" s="2">
        <f t="shared" si="2"/>
        <v>981909.97056835773</v>
      </c>
      <c r="AA20" s="2">
        <f t="shared" si="3"/>
        <v>993569.12989070045</v>
      </c>
      <c r="AB20" s="2">
        <f t="shared" si="4"/>
        <v>761473.89079515438</v>
      </c>
      <c r="AC20" s="2">
        <f t="shared" si="5"/>
        <v>1761789.130770562</v>
      </c>
      <c r="AD20" s="2">
        <f>+I20+SUM($V$6:V20)</f>
        <v>5176.5037090636479</v>
      </c>
      <c r="AE20" s="2">
        <f t="shared" si="11"/>
        <v>5009017.3024548385</v>
      </c>
      <c r="AF20" s="12">
        <f t="shared" si="12"/>
        <v>3.7857375602479149E-3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75">
      <c r="C21" s="15">
        <v>43745</v>
      </c>
      <c r="D21" s="97">
        <f>implementazione!$B$17</f>
        <v>96017</v>
      </c>
      <c r="E21" s="97">
        <f>implementazione!$C$17</f>
        <v>3641</v>
      </c>
      <c r="F21" s="97">
        <f>implementazione!$D$17</f>
        <v>43419</v>
      </c>
      <c r="G21" s="97">
        <f>implementazione!$E$17</f>
        <v>14592</v>
      </c>
      <c r="H21" s="97">
        <f>implementazione!$F$17</f>
        <v>17071</v>
      </c>
      <c r="I21" s="98">
        <f>implementazione!$D$20</f>
        <v>227.76645128056407</v>
      </c>
      <c r="K21" s="3">
        <f t="shared" si="10"/>
        <v>43745</v>
      </c>
      <c r="L21" s="2">
        <f>+VLOOKUP($K21,'Prezzi-Rend EUR'!$D$4:$M$360,L$3,0)</f>
        <v>5.2536009999999997</v>
      </c>
      <c r="M21" s="2">
        <f>+VLOOKUP($K21,'Prezzi-Rend EUR'!$D$4:$M$360,M$3,0)</f>
        <v>268.13184844901303</v>
      </c>
      <c r="N21" s="2">
        <f>+VLOOKUP($K21,'Prezzi-Rend EUR'!$D$4:$M$360,N$3,0)</f>
        <v>0</v>
      </c>
      <c r="O21" s="2">
        <f>+VLOOKUP($K21,'Prezzi-Rend EUR'!$D$4:$M$360,O$3,0)</f>
        <v>23.047462930956062</v>
      </c>
      <c r="P21" s="2">
        <f>+VLOOKUP($K21,'Prezzi-Rend EUR'!$D$4:$M$360,P$3,0)</f>
        <v>0</v>
      </c>
      <c r="Q21" s="2">
        <f>+VLOOKUP($K21,'Prezzi-Rend EUR'!$D$4:$M$360,Q$3,0)</f>
        <v>51.790330210133725</v>
      </c>
      <c r="R21" s="2">
        <f>+VLOOKUP($K21,'Prezzi-Rend EUR'!$D$4:$M$360,R$3,0)</f>
        <v>0</v>
      </c>
      <c r="S21" s="2">
        <f>+VLOOKUP($K21,'Prezzi-Rend EUR'!$D$4:$M$360,S$3,0)</f>
        <v>103.21148276175748</v>
      </c>
      <c r="T21" s="2">
        <f>+VLOOKUP($K21,'Prezzi-Rend EUR'!$D$4:$M$360,T$3,0)</f>
        <v>0.3639288638224325</v>
      </c>
      <c r="U21" s="2"/>
      <c r="V21" s="2">
        <f>+N21*E21+P21*F21+R21*G21+T21*H21</f>
        <v>6212.6296343127451</v>
      </c>
      <c r="X21" s="3">
        <f t="shared" si="0"/>
        <v>43745</v>
      </c>
      <c r="Y21" s="2">
        <f t="shared" ref="Y21:Y30" si="13">+D21*L21</f>
        <v>504435.00721699995</v>
      </c>
      <c r="Z21" s="2">
        <f t="shared" si="2"/>
        <v>976268.06020285643</v>
      </c>
      <c r="AA21" s="2">
        <f t="shared" si="3"/>
        <v>1000697.7929991812</v>
      </c>
      <c r="AB21" s="2">
        <f t="shared" si="4"/>
        <v>755724.49842627125</v>
      </c>
      <c r="AC21" s="2">
        <f t="shared" si="5"/>
        <v>1768135.8518602748</v>
      </c>
      <c r="AD21" s="2">
        <f>+I21+SUM($V$6:V21)</f>
        <v>11389.133343376394</v>
      </c>
      <c r="AE21" s="2">
        <f t="shared" si="11"/>
        <v>5016650.3440489601</v>
      </c>
      <c r="AF21" s="12">
        <f t="shared" si="12"/>
        <v>1.5238600973450644E-3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75">
      <c r="C22" s="15">
        <v>43746</v>
      </c>
      <c r="D22" s="97">
        <f>implementazione!$B$17</f>
        <v>96017</v>
      </c>
      <c r="E22" s="97">
        <f>implementazione!$C$17</f>
        <v>3641</v>
      </c>
      <c r="F22" s="97">
        <f>implementazione!$D$17</f>
        <v>43419</v>
      </c>
      <c r="G22" s="97">
        <f>implementazione!$E$17</f>
        <v>14592</v>
      </c>
      <c r="H22" s="97">
        <f>implementazione!$F$17</f>
        <v>17071</v>
      </c>
      <c r="I22" s="98">
        <f>implementazione!$D$20</f>
        <v>227.76645128056407</v>
      </c>
      <c r="K22" s="3">
        <f t="shared" si="10"/>
        <v>43746</v>
      </c>
      <c r="L22" s="2">
        <f>+VLOOKUP($K22,'Prezzi-Rend EUR'!$D$4:$M$360,L$3,0)</f>
        <v>5.2548519999999996</v>
      </c>
      <c r="M22" s="2">
        <f>+VLOOKUP($K22,'Prezzi-Rend EUR'!$D$4:$M$360,M$3,0)</f>
        <v>264.13415437829963</v>
      </c>
      <c r="N22" s="2">
        <f>+VLOOKUP($K22,'Prezzi-Rend EUR'!$D$4:$M$360,N$3,0)</f>
        <v>0</v>
      </c>
      <c r="O22" s="2">
        <f>+VLOOKUP($K22,'Prezzi-Rend EUR'!$D$4:$M$360,O$3,0)</f>
        <v>22.798077553249588</v>
      </c>
      <c r="P22" s="2">
        <f>+VLOOKUP($K22,'Prezzi-Rend EUR'!$D$4:$M$360,P$3,0)</f>
        <v>0</v>
      </c>
      <c r="Q22" s="2">
        <f>+VLOOKUP($K22,'Prezzi-Rend EUR'!$D$4:$M$360,Q$3,0)</f>
        <v>51.921747678864008</v>
      </c>
      <c r="R22" s="2">
        <f>+VLOOKUP($K22,'Prezzi-Rend EUR'!$D$4:$M$360,R$3,0)</f>
        <v>0</v>
      </c>
      <c r="S22" s="2">
        <f>+VLOOKUP($K22,'Prezzi-Rend EUR'!$D$4:$M$360,S$3,0)</f>
        <v>103.01529674130713</v>
      </c>
      <c r="T22" s="2">
        <f>+VLOOKUP($K22,'Prezzi-Rend EUR'!$D$4:$M$360,T$3,0)</f>
        <v>0</v>
      </c>
      <c r="U22" s="2"/>
      <c r="V22" s="2">
        <f t="shared" si="8"/>
        <v>0</v>
      </c>
      <c r="X22" s="3">
        <f t="shared" si="0"/>
        <v>43746</v>
      </c>
      <c r="Y22" s="2">
        <f t="shared" si="13"/>
        <v>504555.12448399997</v>
      </c>
      <c r="Z22" s="2">
        <f t="shared" si="2"/>
        <v>961712.45609138894</v>
      </c>
      <c r="AA22" s="2">
        <f t="shared" si="3"/>
        <v>989869.72928454389</v>
      </c>
      <c r="AB22" s="2">
        <f t="shared" si="4"/>
        <v>757642.14212998364</v>
      </c>
      <c r="AC22" s="2">
        <f t="shared" si="5"/>
        <v>1758574.1306708539</v>
      </c>
      <c r="AD22" s="2">
        <f>+I22+SUM($V$6:V22)</f>
        <v>11389.133343376394</v>
      </c>
      <c r="AE22" s="2">
        <f t="shared" si="11"/>
        <v>4983742.7160041463</v>
      </c>
      <c r="AF22" s="12">
        <f t="shared" si="12"/>
        <v>-6.5596814184689656E-3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75">
      <c r="C23" s="15">
        <v>43747</v>
      </c>
      <c r="D23" s="97">
        <f>implementazione!$B$17</f>
        <v>96017</v>
      </c>
      <c r="E23" s="97">
        <f>implementazione!$C$17</f>
        <v>3641</v>
      </c>
      <c r="F23" s="97">
        <f>implementazione!$D$17</f>
        <v>43419</v>
      </c>
      <c r="G23" s="97">
        <f>implementazione!$E$17</f>
        <v>14592</v>
      </c>
      <c r="H23" s="97">
        <f>implementazione!$F$17</f>
        <v>17071</v>
      </c>
      <c r="I23" s="98">
        <f>implementazione!$D$20</f>
        <v>227.76645128056407</v>
      </c>
      <c r="K23" s="3">
        <f t="shared" si="10"/>
        <v>43747</v>
      </c>
      <c r="L23" s="2">
        <f>+VLOOKUP($K23,'Prezzi-Rend EUR'!$D$4:$M$360,L$3,0)</f>
        <v>5.2448589999999999</v>
      </c>
      <c r="M23" s="2">
        <f>+VLOOKUP($K23,'Prezzi-Rend EUR'!$D$4:$M$360,M$3,0)</f>
        <v>266.74400965303704</v>
      </c>
      <c r="N23" s="2">
        <f>+VLOOKUP($K23,'Prezzi-Rend EUR'!$D$4:$M$360,N$3,0)</f>
        <v>0</v>
      </c>
      <c r="O23" s="2">
        <f>+VLOOKUP($K23,'Prezzi-Rend EUR'!$D$4:$M$360,O$3,0)</f>
        <v>22.895903833894906</v>
      </c>
      <c r="P23" s="2">
        <f>+VLOOKUP($K23,'Prezzi-Rend EUR'!$D$4:$M$360,P$3,0)</f>
        <v>0</v>
      </c>
      <c r="Q23" s="2">
        <f>+VLOOKUP($K23,'Prezzi-Rend EUR'!$D$4:$M$360,Q$3,0)</f>
        <v>52.187849011929693</v>
      </c>
      <c r="R23" s="2">
        <f>+VLOOKUP($K23,'Prezzi-Rend EUR'!$D$4:$M$360,R$3,0)</f>
        <v>0</v>
      </c>
      <c r="S23" s="2">
        <f>+VLOOKUP($K23,'Prezzi-Rend EUR'!$D$4:$M$360,S$3,0)</f>
        <v>102.92438211456151</v>
      </c>
      <c r="T23" s="2">
        <f>+VLOOKUP($K23,'Prezzi-Rend EUR'!$D$4:$M$360,T$3,0)</f>
        <v>0</v>
      </c>
      <c r="U23" s="2"/>
      <c r="V23" s="2">
        <f t="shared" si="8"/>
        <v>0</v>
      </c>
      <c r="X23" s="3">
        <f t="shared" si="0"/>
        <v>43747</v>
      </c>
      <c r="Y23" s="2">
        <f t="shared" si="13"/>
        <v>503595.62660299998</v>
      </c>
      <c r="Z23" s="2">
        <f t="shared" si="2"/>
        <v>971214.93914670788</v>
      </c>
      <c r="AA23" s="2">
        <f t="shared" si="3"/>
        <v>994117.24856388289</v>
      </c>
      <c r="AB23" s="2">
        <f t="shared" si="4"/>
        <v>761525.09278207808</v>
      </c>
      <c r="AC23" s="2">
        <f t="shared" si="5"/>
        <v>1757022.1270776796</v>
      </c>
      <c r="AD23" s="2">
        <f>+I23+SUM($V$6:V23)</f>
        <v>11389.133343376394</v>
      </c>
      <c r="AE23" s="2">
        <f t="shared" si="11"/>
        <v>4998864.1675167251</v>
      </c>
      <c r="AF23" s="12">
        <f t="shared" si="12"/>
        <v>3.0341557287898446E-3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75">
      <c r="C24" s="15">
        <v>43748</v>
      </c>
      <c r="D24" s="97">
        <f>implementazione!$B$17</f>
        <v>96017</v>
      </c>
      <c r="E24" s="97">
        <f>implementazione!$C$17</f>
        <v>3641</v>
      </c>
      <c r="F24" s="97">
        <f>implementazione!$D$17</f>
        <v>43419</v>
      </c>
      <c r="G24" s="97">
        <f>implementazione!$E$17</f>
        <v>14592</v>
      </c>
      <c r="H24" s="97">
        <f>implementazione!$F$17</f>
        <v>17071</v>
      </c>
      <c r="I24" s="98">
        <f>implementazione!$D$20</f>
        <v>227.76645128056407</v>
      </c>
      <c r="K24" s="3">
        <f t="shared" si="10"/>
        <v>43748</v>
      </c>
      <c r="L24" s="2">
        <f>+VLOOKUP($K24,'Prezzi-Rend EUR'!$D$4:$M$360,L$3,0)</f>
        <v>5.2288500000000004</v>
      </c>
      <c r="M24" s="2">
        <f>+VLOOKUP($K24,'Prezzi-Rend EUR'!$D$4:$M$360,M$3,0)</f>
        <v>267.26848504079783</v>
      </c>
      <c r="N24" s="2">
        <f>+VLOOKUP($K24,'Prezzi-Rend EUR'!$D$4:$M$360,N$3,0)</f>
        <v>0</v>
      </c>
      <c r="O24" s="2">
        <f>+VLOOKUP($K24,'Prezzi-Rend EUR'!$D$4:$M$360,O$3,0)</f>
        <v>22.865968268359023</v>
      </c>
      <c r="P24" s="2">
        <f>+VLOOKUP($K24,'Prezzi-Rend EUR'!$D$4:$M$360,P$3,0)</f>
        <v>0</v>
      </c>
      <c r="Q24" s="2">
        <f>+VLOOKUP($K24,'Prezzi-Rend EUR'!$D$4:$M$360,Q$3,0)</f>
        <v>51.539201269265639</v>
      </c>
      <c r="R24" s="2">
        <f>+VLOOKUP($K24,'Prezzi-Rend EUR'!$D$4:$M$360,R$3,0)</f>
        <v>0</v>
      </c>
      <c r="S24" s="2">
        <f>+VLOOKUP($K24,'Prezzi-Rend EUR'!$D$4:$M$360,S$3,0)</f>
        <v>102.33476699909339</v>
      </c>
      <c r="T24" s="2">
        <f>+VLOOKUP($K24,'Prezzi-Rend EUR'!$D$4:$M$360,T$3,0)</f>
        <v>0</v>
      </c>
      <c r="U24" s="2"/>
      <c r="V24" s="2">
        <f t="shared" si="8"/>
        <v>0</v>
      </c>
      <c r="X24" s="3">
        <f t="shared" si="0"/>
        <v>43748</v>
      </c>
      <c r="Y24" s="2">
        <f t="shared" si="13"/>
        <v>502058.49045000004</v>
      </c>
      <c r="Z24" s="2">
        <f t="shared" si="2"/>
        <v>973124.55403354485</v>
      </c>
      <c r="AA24" s="2">
        <f t="shared" si="3"/>
        <v>992817.47624388046</v>
      </c>
      <c r="AB24" s="2">
        <f t="shared" si="4"/>
        <v>752060.02492112422</v>
      </c>
      <c r="AC24" s="2">
        <f t="shared" si="5"/>
        <v>1746956.8074415233</v>
      </c>
      <c r="AD24" s="2">
        <f>+I24+SUM($V$6:V24)</f>
        <v>11389.133343376394</v>
      </c>
      <c r="AE24" s="2">
        <f t="shared" si="11"/>
        <v>4978406.4864334492</v>
      </c>
      <c r="AF24" s="12">
        <f t="shared" si="12"/>
        <v>-4.0924658877935505E-3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75">
      <c r="C25" s="15">
        <v>43749</v>
      </c>
      <c r="D25" s="97">
        <f>implementazione!$B$17</f>
        <v>96017</v>
      </c>
      <c r="E25" s="97">
        <f>implementazione!$C$17</f>
        <v>3641</v>
      </c>
      <c r="F25" s="97">
        <f>implementazione!$D$17</f>
        <v>43419</v>
      </c>
      <c r="G25" s="97">
        <f>implementazione!$E$17</f>
        <v>14592</v>
      </c>
      <c r="H25" s="97">
        <f>implementazione!$F$17</f>
        <v>17071</v>
      </c>
      <c r="I25" s="98">
        <f>implementazione!$D$20</f>
        <v>227.76645128056407</v>
      </c>
      <c r="K25" s="3">
        <f t="shared" si="10"/>
        <v>43749</v>
      </c>
      <c r="L25" s="2">
        <f>+VLOOKUP($K25,'Prezzi-Rend EUR'!$D$4:$M$360,L$3,0)</f>
        <v>5.2105940000000004</v>
      </c>
      <c r="M25" s="2">
        <f>+VLOOKUP($K25,'Prezzi-Rend EUR'!$D$4:$M$360,M$3,0)</f>
        <v>269.89770805034863</v>
      </c>
      <c r="N25" s="2">
        <f>+VLOOKUP($K25,'Prezzi-Rend EUR'!$D$4:$M$360,N$3,0)</f>
        <v>0</v>
      </c>
      <c r="O25" s="2">
        <f>+VLOOKUP($K25,'Prezzi-Rend EUR'!$D$4:$M$360,O$3,0)</f>
        <v>23.220933623109659</v>
      </c>
      <c r="P25" s="2">
        <f>+VLOOKUP($K25,'Prezzi-Rend EUR'!$D$4:$M$360,P$3,0)</f>
        <v>0</v>
      </c>
      <c r="Q25" s="2">
        <f>+VLOOKUP($K25,'Prezzi-Rend EUR'!$D$4:$M$360,Q$3,0)</f>
        <v>51.097716200307886</v>
      </c>
      <c r="R25" s="2">
        <f>+VLOOKUP($K25,'Prezzi-Rend EUR'!$D$4:$M$360,R$3,0)</f>
        <v>0</v>
      </c>
      <c r="S25" s="2">
        <f>+VLOOKUP($K25,'Prezzi-Rend EUR'!$D$4:$M$360,S$3,0)</f>
        <v>102.12525400706329</v>
      </c>
      <c r="T25" s="2">
        <f>+VLOOKUP($K25,'Prezzi-Rend EUR'!$D$4:$M$360,T$3,0)</f>
        <v>0</v>
      </c>
      <c r="U25" s="2"/>
      <c r="V25" s="2">
        <f t="shared" si="8"/>
        <v>0</v>
      </c>
      <c r="X25" s="3">
        <f t="shared" si="0"/>
        <v>43749</v>
      </c>
      <c r="Y25" s="2">
        <f t="shared" si="13"/>
        <v>500305.60409800004</v>
      </c>
      <c r="Z25" s="2">
        <f t="shared" si="2"/>
        <v>982697.55501131935</v>
      </c>
      <c r="AA25" s="2">
        <f t="shared" si="3"/>
        <v>1008229.7169817983</v>
      </c>
      <c r="AB25" s="2">
        <f t="shared" si="4"/>
        <v>745617.87479489262</v>
      </c>
      <c r="AC25" s="2">
        <f t="shared" si="5"/>
        <v>1743380.2111545773</v>
      </c>
      <c r="AD25" s="2">
        <f>+I25+SUM($V$6:V25)</f>
        <v>11389.133343376394</v>
      </c>
      <c r="AE25" s="2">
        <f t="shared" si="11"/>
        <v>4991620.0953839635</v>
      </c>
      <c r="AF25" s="12">
        <f t="shared" si="12"/>
        <v>2.6541844235745682E-3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75">
      <c r="C26" s="15">
        <v>43752</v>
      </c>
      <c r="D26" s="97">
        <f>implementazione!$B$17</f>
        <v>96017</v>
      </c>
      <c r="E26" s="97">
        <f>implementazione!$C$17</f>
        <v>3641</v>
      </c>
      <c r="F26" s="97">
        <f>implementazione!$D$17</f>
        <v>43419</v>
      </c>
      <c r="G26" s="97">
        <f>implementazione!$E$17</f>
        <v>14592</v>
      </c>
      <c r="H26" s="97">
        <f>implementazione!$F$17</f>
        <v>17071</v>
      </c>
      <c r="I26" s="98">
        <f>implementazione!$D$20</f>
        <v>227.76645128056407</v>
      </c>
      <c r="K26" s="3">
        <f t="shared" si="10"/>
        <v>43752</v>
      </c>
      <c r="L26" s="2">
        <f>+VLOOKUP($K26,'Prezzi-Rend EUR'!$D$4:$M$360,L$3,0)</f>
        <v>5.213908</v>
      </c>
      <c r="M26" s="2">
        <f>+VLOOKUP($K26,'Prezzi-Rend EUR'!$D$4:$M$360,M$3,0)</f>
        <v>269.81563049587527</v>
      </c>
      <c r="N26" s="2">
        <f>+VLOOKUP($K26,'Prezzi-Rend EUR'!$D$4:$M$360,N$3,0)</f>
        <v>0</v>
      </c>
      <c r="O26" s="2">
        <f>+VLOOKUP($K26,'Prezzi-Rend EUR'!$D$4:$M$360,O$3,0)</f>
        <v>23.132011603662406</v>
      </c>
      <c r="P26" s="2">
        <f>+VLOOKUP($K26,'Prezzi-Rend EUR'!$D$4:$M$360,P$3,0)</f>
        <v>0</v>
      </c>
      <c r="Q26" s="2">
        <f>+VLOOKUP($K26,'Prezzi-Rend EUR'!$D$4:$M$360,Q$3,0)</f>
        <v>51.430264708548641</v>
      </c>
      <c r="R26" s="2">
        <f>+VLOOKUP($K26,'Prezzi-Rend EUR'!$D$4:$M$360,R$3,0)</f>
        <v>0</v>
      </c>
      <c r="S26" s="2">
        <f>+VLOOKUP($K26,'Prezzi-Rend EUR'!$D$4:$M$360,S$3,0)</f>
        <v>102.27796210678996</v>
      </c>
      <c r="T26" s="2">
        <f>+VLOOKUP($K26,'Prezzi-Rend EUR'!$D$4:$M$360,T$3,0)</f>
        <v>0</v>
      </c>
      <c r="U26" s="2"/>
      <c r="V26" s="2">
        <f t="shared" si="8"/>
        <v>0</v>
      </c>
      <c r="X26" s="3">
        <f t="shared" si="0"/>
        <v>43752</v>
      </c>
      <c r="Y26" s="2">
        <f t="shared" si="13"/>
        <v>500623.80443600001</v>
      </c>
      <c r="Z26" s="2">
        <f t="shared" si="2"/>
        <v>982398.71063548187</v>
      </c>
      <c r="AA26" s="2">
        <f t="shared" si="3"/>
        <v>1004368.811819418</v>
      </c>
      <c r="AB26" s="2">
        <f t="shared" si="4"/>
        <v>750470.42262714182</v>
      </c>
      <c r="AC26" s="2">
        <f t="shared" si="5"/>
        <v>1745987.0911250114</v>
      </c>
      <c r="AD26" s="2">
        <f>+I26+SUM($V$6:V26)</f>
        <v>11389.133343376394</v>
      </c>
      <c r="AE26" s="2">
        <f t="shared" si="11"/>
        <v>4995237.9739864292</v>
      </c>
      <c r="AF26" s="12">
        <f t="shared" si="12"/>
        <v>7.2479045546991472E-4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75">
      <c r="C27" s="15">
        <v>43753</v>
      </c>
      <c r="D27" s="97">
        <f>implementazione!$B$17</f>
        <v>96017</v>
      </c>
      <c r="E27" s="97">
        <f>implementazione!$C$17</f>
        <v>3641</v>
      </c>
      <c r="F27" s="97">
        <f>implementazione!$D$17</f>
        <v>43419</v>
      </c>
      <c r="G27" s="97">
        <f>implementazione!$E$17</f>
        <v>14592</v>
      </c>
      <c r="H27" s="97">
        <f>implementazione!$F$17</f>
        <v>17071</v>
      </c>
      <c r="I27" s="98">
        <f>implementazione!$D$20</f>
        <v>227.76645128056407</v>
      </c>
      <c r="K27" s="3">
        <f t="shared" si="10"/>
        <v>43753</v>
      </c>
      <c r="L27" s="2">
        <f>+VLOOKUP($K27,'Prezzi-Rend EUR'!$D$4:$M$360,L$3,0)</f>
        <v>5.2079899999999997</v>
      </c>
      <c r="M27" s="2">
        <f>+VLOOKUP($K27,'Prezzi-Rend EUR'!$D$4:$M$360,M$3,0)</f>
        <v>273.09660943036249</v>
      </c>
      <c r="N27" s="2">
        <f>+VLOOKUP($K27,'Prezzi-Rend EUR'!$D$4:$M$360,N$3,0)</f>
        <v>0</v>
      </c>
      <c r="O27" s="2">
        <f>+VLOOKUP($K27,'Prezzi-Rend EUR'!$D$4:$M$360,O$3,0)</f>
        <v>23.392773689470335</v>
      </c>
      <c r="P27" s="2">
        <f>+VLOOKUP($K27,'Prezzi-Rend EUR'!$D$4:$M$360,P$3,0)</f>
        <v>0</v>
      </c>
      <c r="Q27" s="2">
        <f>+VLOOKUP($K27,'Prezzi-Rend EUR'!$D$4:$M$360,Q$3,0)</f>
        <v>51.109605705460162</v>
      </c>
      <c r="R27" s="2">
        <f>+VLOOKUP($K27,'Prezzi-Rend EUR'!$D$4:$M$360,R$3,0)</f>
        <v>0</v>
      </c>
      <c r="S27" s="2">
        <f>+VLOOKUP($K27,'Prezzi-Rend EUR'!$D$4:$M$360,S$3,0)</f>
        <v>102.55687108203871</v>
      </c>
      <c r="T27" s="2">
        <f>+VLOOKUP($K27,'Prezzi-Rend EUR'!$D$4:$M$360,T$3,0)</f>
        <v>0</v>
      </c>
      <c r="U27" s="2"/>
      <c r="V27" s="2">
        <f t="shared" si="8"/>
        <v>0</v>
      </c>
      <c r="X27" s="3">
        <f t="shared" si="0"/>
        <v>43753</v>
      </c>
      <c r="Y27" s="2">
        <f t="shared" si="13"/>
        <v>500055.57582999999</v>
      </c>
      <c r="Z27" s="2">
        <f t="shared" si="2"/>
        <v>994344.75493594981</v>
      </c>
      <c r="AA27" s="2">
        <f t="shared" si="3"/>
        <v>1015690.8408231125</v>
      </c>
      <c r="AB27" s="2">
        <f t="shared" si="4"/>
        <v>745791.36645407462</v>
      </c>
      <c r="AC27" s="2">
        <f t="shared" si="5"/>
        <v>1750748.3462414828</v>
      </c>
      <c r="AD27" s="2">
        <f>+I27+SUM($V$6:V27)</f>
        <v>11389.133343376394</v>
      </c>
      <c r="AE27" s="2">
        <f t="shared" si="11"/>
        <v>5018020.0176279964</v>
      </c>
      <c r="AF27" s="12">
        <f t="shared" si="12"/>
        <v>4.5607524126396459E-3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s="129" customFormat="1" x14ac:dyDescent="0.75">
      <c r="A28" s="29"/>
      <c r="B28" s="29"/>
      <c r="C28" s="132">
        <v>43754</v>
      </c>
      <c r="D28" s="128">
        <f>implementazione!$B$17</f>
        <v>96017</v>
      </c>
      <c r="E28" s="128">
        <f>implementazione!$C$17</f>
        <v>3641</v>
      </c>
      <c r="F28" s="128">
        <f>implementazione!$D$17</f>
        <v>43419</v>
      </c>
      <c r="G28" s="128">
        <f>implementazione!$E$17</f>
        <v>14592</v>
      </c>
      <c r="H28" s="128">
        <f>implementazione!$F$17</f>
        <v>17071</v>
      </c>
      <c r="I28" s="127">
        <f>implementazione!$D$20</f>
        <v>227.76645128056407</v>
      </c>
      <c r="J28" s="29"/>
      <c r="K28" s="133">
        <f t="shared" si="10"/>
        <v>43754</v>
      </c>
      <c r="L28" s="77">
        <f>+VLOOKUP($K28,'Prezzi-Rend EUR'!$D$4:$M$360,L$3,0)</f>
        <v>5.2086889999999997</v>
      </c>
      <c r="M28" s="77">
        <f>+VLOOKUP($K28,'Prezzi-Rend EUR'!$D$4:$M$360,M$3,0)</f>
        <v>272.1231011337868</v>
      </c>
      <c r="N28" s="77">
        <f>+VLOOKUP($K28,'Prezzi-Rend EUR'!$D$4:$M$360,N$3,0)</f>
        <v>0</v>
      </c>
      <c r="O28" s="77">
        <f>+VLOOKUP($K28,'Prezzi-Rend EUR'!$D$4:$M$360,O$3,0)</f>
        <v>23.331464852607709</v>
      </c>
      <c r="P28" s="77">
        <f>+VLOOKUP($K28,'Prezzi-Rend EUR'!$D$4:$M$360,P$3,0)</f>
        <v>0</v>
      </c>
      <c r="Q28" s="77">
        <f>+VLOOKUP($K28,'Prezzi-Rend EUR'!$D$4:$M$360,Q$3,0)</f>
        <v>51.359669841269834</v>
      </c>
      <c r="R28" s="77">
        <f>+VLOOKUP($K28,'Prezzi-Rend EUR'!$D$4:$M$360,R$3,0)</f>
        <v>0</v>
      </c>
      <c r="S28" s="77">
        <f>+VLOOKUP($K28,'Prezzi-Rend EUR'!$D$4:$M$360,S$3,0)</f>
        <v>102.33608163265306</v>
      </c>
      <c r="T28" s="77">
        <f>+VLOOKUP($K28,'Prezzi-Rend EUR'!$D$4:$M$360,T$3,0)</f>
        <v>0</v>
      </c>
      <c r="U28" s="77"/>
      <c r="V28" s="77">
        <f t="shared" si="8"/>
        <v>0</v>
      </c>
      <c r="W28" s="29"/>
      <c r="X28" s="133">
        <f t="shared" si="0"/>
        <v>43754</v>
      </c>
      <c r="Y28" s="77">
        <f>+D28*L28</f>
        <v>500122.69171299995</v>
      </c>
      <c r="Z28" s="77">
        <f t="shared" si="2"/>
        <v>990800.2112281177</v>
      </c>
      <c r="AA28" s="77">
        <f t="shared" si="3"/>
        <v>1013028.8724353742</v>
      </c>
      <c r="AB28" s="77">
        <f t="shared" si="4"/>
        <v>749440.30232380948</v>
      </c>
      <c r="AC28" s="77">
        <f t="shared" si="5"/>
        <v>1746979.2495510203</v>
      </c>
      <c r="AD28" s="77">
        <f>+I28+SUM($V$6:V28)</f>
        <v>11389.133343376394</v>
      </c>
      <c r="AE28" s="77">
        <f t="shared" si="11"/>
        <v>5011760.4605946979</v>
      </c>
      <c r="AF28" s="130">
        <f>+AE28/AE27-1</f>
        <v>-1.2474157160212718E-3</v>
      </c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</row>
    <row r="29" spans="1:51" x14ac:dyDescent="0.75">
      <c r="C29" s="15">
        <v>43755</v>
      </c>
      <c r="D29" s="18">
        <f>implementazione!$M$33</f>
        <v>574615</v>
      </c>
      <c r="E29" s="18">
        <f>implementazione!$N$33</f>
        <v>2747</v>
      </c>
      <c r="F29" s="18">
        <f>implementazione!$O$33</f>
        <v>10710</v>
      </c>
      <c r="G29" s="18">
        <f>implementazione!$P$33</f>
        <v>4869</v>
      </c>
      <c r="H29" s="18">
        <f>implementazione!$Q$33</f>
        <v>7316</v>
      </c>
      <c r="I29" s="21">
        <f>implementazione!$N$37</f>
        <v>125.89725257683313</v>
      </c>
      <c r="K29" s="3">
        <f t="shared" si="10"/>
        <v>43755</v>
      </c>
      <c r="L29" s="2">
        <f>+VLOOKUP($K29,'Prezzi-Rend EUR'!$D$4:$M$360,L$3,0)</f>
        <v>5.2077739999999997</v>
      </c>
      <c r="M29" s="2">
        <f>+VLOOKUP($K29,'Prezzi-Rend EUR'!$D$4:$M$360,M$3,0)</f>
        <v>270.73445874201389</v>
      </c>
      <c r="N29" s="2">
        <f>+VLOOKUP($K29,'Prezzi-Rend EUR'!$D$4:$M$360,N$3,0)</f>
        <v>0</v>
      </c>
      <c r="O29" s="2">
        <f>+VLOOKUP($K29,'Prezzi-Rend EUR'!$D$4:$M$360,O$3,0)</f>
        <v>23.318973274543328</v>
      </c>
      <c r="P29" s="2">
        <f>+VLOOKUP($K29,'Prezzi-Rend EUR'!$D$4:$M$360,P$3,0)</f>
        <v>0</v>
      </c>
      <c r="Q29" s="2">
        <f>+VLOOKUP($K29,'Prezzi-Rend EUR'!$D$4:$M$360,Q$3,0)</f>
        <v>51.08232340502115</v>
      </c>
      <c r="R29" s="2">
        <f>+VLOOKUP($K29,'Prezzi-Rend EUR'!$D$4:$M$360,R$3,0)</f>
        <v>0</v>
      </c>
      <c r="S29" s="2">
        <f>+VLOOKUP($K29,'Prezzi-Rend EUR'!$D$4:$M$360,S$3,0)</f>
        <v>101.60225411680014</v>
      </c>
      <c r="T29" s="2">
        <f>+VLOOKUP($K29,'Prezzi-Rend EUR'!$D$4:$M$360,T$3,0)</f>
        <v>0</v>
      </c>
      <c r="U29" s="2"/>
      <c r="V29" s="2">
        <f t="shared" si="8"/>
        <v>0</v>
      </c>
      <c r="X29" s="3">
        <f t="shared" si="0"/>
        <v>43755</v>
      </c>
      <c r="Y29" s="2">
        <f>+D29*L29</f>
        <v>2992465.0570099996</v>
      </c>
      <c r="Z29" s="2">
        <f t="shared" si="2"/>
        <v>743707.55816431215</v>
      </c>
      <c r="AA29" s="2">
        <f t="shared" si="3"/>
        <v>249746.20377035905</v>
      </c>
      <c r="AB29" s="2">
        <f t="shared" si="4"/>
        <v>248719.83265904797</v>
      </c>
      <c r="AC29" s="2">
        <f t="shared" si="5"/>
        <v>743322.09111850976</v>
      </c>
      <c r="AD29" s="2">
        <f>+I29+SUM($V$29:V29)</f>
        <v>125.89725257683313</v>
      </c>
      <c r="AE29" s="2">
        <f t="shared" si="11"/>
        <v>4978086.6399748046</v>
      </c>
      <c r="AF29" s="12">
        <f t="shared" si="12"/>
        <v>-6.7189605099158278E-3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75">
      <c r="C30" s="15">
        <v>43756</v>
      </c>
      <c r="D30" s="18">
        <f>implementazione!$M$33</f>
        <v>574615</v>
      </c>
      <c r="E30" s="18">
        <f>implementazione!$N$33</f>
        <v>2747</v>
      </c>
      <c r="F30" s="18">
        <f>implementazione!$O$33</f>
        <v>10710</v>
      </c>
      <c r="G30" s="18">
        <f>implementazione!$P$33</f>
        <v>4869</v>
      </c>
      <c r="H30" s="18">
        <f>implementazione!$Q$33</f>
        <v>7316</v>
      </c>
      <c r="I30" s="21">
        <f>implementazione!$N$37</f>
        <v>125.89725257683313</v>
      </c>
      <c r="K30" s="3">
        <f t="shared" si="10"/>
        <v>43756</v>
      </c>
      <c r="L30" s="2">
        <f>+VLOOKUP($K30,'Prezzi-Rend EUR'!$D$4:$M$360,L$3,0)</f>
        <v>5.2061260000000003</v>
      </c>
      <c r="M30" s="2">
        <f>+VLOOKUP($K30,'Prezzi-Rend EUR'!$D$4:$M$360,M$3,0)</f>
        <v>268.93045136396267</v>
      </c>
      <c r="N30" s="2">
        <f>+VLOOKUP($K30,'Prezzi-Rend EUR'!$D$4:$M$360,N$3,0)</f>
        <v>0</v>
      </c>
      <c r="O30" s="2">
        <f>+VLOOKUP($K30,'Prezzi-Rend EUR'!$D$4:$M$360,O$3,0)</f>
        <v>23.235192928930363</v>
      </c>
      <c r="P30" s="2">
        <f>+VLOOKUP($K30,'Prezzi-Rend EUR'!$D$4:$M$360,P$3,0)</f>
        <v>0</v>
      </c>
      <c r="Q30" s="2">
        <f>+VLOOKUP($K30,'Prezzi-Rend EUR'!$D$4:$M$360,Q$3,0)</f>
        <v>50.817858937544862</v>
      </c>
      <c r="R30" s="2">
        <f>+VLOOKUP($K30,'Prezzi-Rend EUR'!$D$4:$M$360,R$3,0)</f>
        <v>0</v>
      </c>
      <c r="S30" s="2">
        <f>+VLOOKUP($K30,'Prezzi-Rend EUR'!$D$4:$M$360,S$3,0)</f>
        <v>101.37500717875089</v>
      </c>
      <c r="T30" s="2">
        <f>+VLOOKUP($K30,'Prezzi-Rend EUR'!$D$4:$M$360,T$3,0)</f>
        <v>0</v>
      </c>
      <c r="U30" s="2"/>
      <c r="V30" s="2">
        <f t="shared" si="8"/>
        <v>0</v>
      </c>
      <c r="X30" s="3">
        <f t="shared" si="0"/>
        <v>43756</v>
      </c>
      <c r="Y30" s="2">
        <f t="shared" si="13"/>
        <v>2991518.09149</v>
      </c>
      <c r="Z30" s="2">
        <f t="shared" si="2"/>
        <v>738751.94989680545</v>
      </c>
      <c r="AA30" s="2">
        <f t="shared" si="3"/>
        <v>248848.91626884419</v>
      </c>
      <c r="AB30" s="2">
        <f t="shared" si="4"/>
        <v>247432.15516690593</v>
      </c>
      <c r="AC30" s="2">
        <f t="shared" si="5"/>
        <v>741659.55251974147</v>
      </c>
      <c r="AD30" s="2">
        <f>+I30+SUM($V$29:V30)</f>
        <v>125.89725257683313</v>
      </c>
      <c r="AE30" s="2">
        <f t="shared" si="11"/>
        <v>4968336.5625948738</v>
      </c>
      <c r="AF30" s="12">
        <f t="shared" si="12"/>
        <v>-1.9585993746344954E-3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75">
      <c r="C31" s="15">
        <v>43759</v>
      </c>
      <c r="D31" s="18">
        <f>implementazione!$M$33</f>
        <v>574615</v>
      </c>
      <c r="E31" s="18">
        <f>implementazione!$N$33</f>
        <v>2747</v>
      </c>
      <c r="F31" s="18">
        <f>implementazione!$O$33</f>
        <v>10710</v>
      </c>
      <c r="G31" s="18">
        <f>implementazione!$P$33</f>
        <v>4869</v>
      </c>
      <c r="H31" s="18">
        <f>implementazione!$Q$33</f>
        <v>7316</v>
      </c>
      <c r="I31" s="21">
        <f>implementazione!$N$37</f>
        <v>125.89725257683313</v>
      </c>
      <c r="K31" s="3">
        <v>43759</v>
      </c>
      <c r="L31" s="2">
        <f>+VLOOKUP($K31,'Prezzi-Rend EUR'!$D$4:$M$360,L$3,0)</f>
        <v>5.1953860000000001</v>
      </c>
      <c r="M31" s="2">
        <f>+VLOOKUP($K31,'Prezzi-Rend EUR'!$D$4:$M$360,M$3,0)</f>
        <v>270.08209433455653</v>
      </c>
      <c r="N31" s="2">
        <f>+VLOOKUP($K31,'Prezzi-Rend EUR'!$D$4:$M$360,N$3,0)</f>
        <v>0</v>
      </c>
      <c r="O31" s="2">
        <f>+VLOOKUP($K31,'Prezzi-Rend EUR'!$D$4:$M$360,O$3,0)</f>
        <v>23.195601002416542</v>
      </c>
      <c r="P31" s="2">
        <f>+VLOOKUP($K31,'Prezzi-Rend EUR'!$D$4:$M$360,P$3,0)</f>
        <v>0</v>
      </c>
      <c r="Q31" s="2">
        <f>+VLOOKUP($K31,'Prezzi-Rend EUR'!$D$4:$M$360,Q$3,0)</f>
        <v>50.478400608610045</v>
      </c>
      <c r="R31" s="2">
        <f>+VLOOKUP($K31,'Prezzi-Rend EUR'!$D$4:$M$360,R$3,0)</f>
        <v>0</v>
      </c>
      <c r="S31" s="2">
        <f>+VLOOKUP($K31,'Prezzi-Rend EUR'!$D$4:$M$360,S$3,0)</f>
        <v>100.9299194486709</v>
      </c>
      <c r="T31" s="2">
        <f>+VLOOKUP($K31,'Prezzi-Rend EUR'!$D$4:$M$360,T$3,0)</f>
        <v>0</v>
      </c>
      <c r="U31" s="2"/>
      <c r="V31" s="2">
        <f t="shared" ref="V31:V34" si="14">+N31*E31+P31*F31+R31*G31+T31*H31</f>
        <v>0</v>
      </c>
      <c r="X31" s="3">
        <v>43759</v>
      </c>
      <c r="Y31" s="2">
        <f t="shared" ref="Y31:Y40" si="15">+D31*L31</f>
        <v>2985346.72639</v>
      </c>
      <c r="Z31" s="2">
        <f t="shared" ref="Z31:Z40" si="16">+E31*(M31+N31)</f>
        <v>741915.51313702681</v>
      </c>
      <c r="AA31" s="2">
        <f t="shared" ref="AA31:AA40" si="17">+F31*(O31+P31)</f>
        <v>248424.88673588115</v>
      </c>
      <c r="AB31" s="2">
        <f t="shared" ref="AB31:AB40" si="18">+G31*(Q31+R31)</f>
        <v>245779.3325633223</v>
      </c>
      <c r="AC31" s="2">
        <f t="shared" ref="AC31:AC40" si="19">+(S31+T31)*H31</f>
        <v>738403.29068647628</v>
      </c>
      <c r="AD31" s="2">
        <f>+I31+SUM($V$29:V31)</f>
        <v>125.89725257683313</v>
      </c>
      <c r="AE31" s="2">
        <f t="shared" si="11"/>
        <v>4959995.6467652824</v>
      </c>
      <c r="AF31" s="12">
        <f t="shared" si="12"/>
        <v>-1.6788145739536908E-3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75">
      <c r="C32" s="15">
        <v>43760</v>
      </c>
      <c r="D32" s="18">
        <f>implementazione!$M$33</f>
        <v>574615</v>
      </c>
      <c r="E32" s="18">
        <f>implementazione!$N$33</f>
        <v>2747</v>
      </c>
      <c r="F32" s="18">
        <f>implementazione!$O$33</f>
        <v>10710</v>
      </c>
      <c r="G32" s="18">
        <f>implementazione!$P$33</f>
        <v>4869</v>
      </c>
      <c r="H32" s="18">
        <f>implementazione!$Q$33</f>
        <v>7316</v>
      </c>
      <c r="I32" s="21">
        <f>implementazione!$N$37</f>
        <v>125.89725257683313</v>
      </c>
      <c r="K32" s="3">
        <v>43760</v>
      </c>
      <c r="L32" s="2">
        <f>+VLOOKUP($K32,'Prezzi-Rend EUR'!$D$4:$M$360,L$3,0)</f>
        <v>5.203023</v>
      </c>
      <c r="M32" s="2">
        <f>+VLOOKUP($K32,'Prezzi-Rend EUR'!$D$4:$M$360,M$3,0)</f>
        <v>270.1648517520216</v>
      </c>
      <c r="N32" s="2">
        <f>+VLOOKUP($K32,'Prezzi-Rend EUR'!$D$4:$M$360,N$3,0)</f>
        <v>0</v>
      </c>
      <c r="O32" s="2">
        <f>+VLOOKUP($K32,'Prezzi-Rend EUR'!$D$4:$M$360,O$3,0)</f>
        <v>23.31827044025157</v>
      </c>
      <c r="P32" s="2">
        <f>+VLOOKUP($K32,'Prezzi-Rend EUR'!$D$4:$M$360,P$3,0)</f>
        <v>0</v>
      </c>
      <c r="Q32" s="2">
        <f>+VLOOKUP($K32,'Prezzi-Rend EUR'!$D$4:$M$360,Q$3,0)</f>
        <v>50.701190476190476</v>
      </c>
      <c r="R32" s="2">
        <f>+VLOOKUP($K32,'Prezzi-Rend EUR'!$D$4:$M$360,R$3,0)</f>
        <v>0</v>
      </c>
      <c r="S32" s="2">
        <f>+VLOOKUP($K32,'Prezzi-Rend EUR'!$D$4:$M$360,S$3,0)</f>
        <v>101.40932524707996</v>
      </c>
      <c r="T32" s="2">
        <f>+VLOOKUP($K32,'Prezzi-Rend EUR'!$D$4:$M$360,T$3,0)</f>
        <v>0</v>
      </c>
      <c r="U32" s="2"/>
      <c r="V32" s="2">
        <f t="shared" si="14"/>
        <v>0</v>
      </c>
      <c r="X32" s="3">
        <v>43760</v>
      </c>
      <c r="Y32" s="2">
        <f t="shared" si="15"/>
        <v>2989735.0611450002</v>
      </c>
      <c r="Z32" s="2">
        <f t="shared" si="16"/>
        <v>742142.84776280331</v>
      </c>
      <c r="AA32" s="2">
        <f t="shared" si="17"/>
        <v>249738.67641509432</v>
      </c>
      <c r="AB32" s="2">
        <f t="shared" si="18"/>
        <v>246864.09642857141</v>
      </c>
      <c r="AC32" s="2">
        <f t="shared" si="19"/>
        <v>741910.62350763706</v>
      </c>
      <c r="AD32" s="2">
        <f>+I32+SUM($V$29:V32)</f>
        <v>125.89725257683313</v>
      </c>
      <c r="AE32" s="2">
        <f t="shared" si="11"/>
        <v>4970517.2025116831</v>
      </c>
      <c r="AF32" s="12">
        <f t="shared" si="12"/>
        <v>2.1212832622670152E-3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3:51" x14ac:dyDescent="0.75">
      <c r="C33" s="15">
        <v>43761</v>
      </c>
      <c r="D33" s="18">
        <f>implementazione!$M$33</f>
        <v>574615</v>
      </c>
      <c r="E33" s="18">
        <f>implementazione!$N$33</f>
        <v>2747</v>
      </c>
      <c r="F33" s="18">
        <f>implementazione!$O$33</f>
        <v>10710</v>
      </c>
      <c r="G33" s="18">
        <f>implementazione!$P$33</f>
        <v>4869</v>
      </c>
      <c r="H33" s="18">
        <f>implementazione!$Q$33</f>
        <v>7316</v>
      </c>
      <c r="I33" s="21">
        <f>implementazione!$N$37</f>
        <v>125.89725257683313</v>
      </c>
      <c r="K33" s="3">
        <v>43761</v>
      </c>
      <c r="L33" s="2">
        <f>+VLOOKUP($K33,'Prezzi-Rend EUR'!$D$4:$M$360,L$3,0)</f>
        <v>5.206696</v>
      </c>
      <c r="M33" s="2">
        <f>+VLOOKUP($K33,'Prezzi-Rend EUR'!$D$4:$M$360,M$3,0)</f>
        <v>271.11427582486738</v>
      </c>
      <c r="N33" s="2">
        <f>+VLOOKUP($K33,'Prezzi-Rend EUR'!$D$4:$M$360,N$3,0)</f>
        <v>0</v>
      </c>
      <c r="O33" s="2">
        <f>+VLOOKUP($K33,'Prezzi-Rend EUR'!$D$4:$M$360,O$3,0)</f>
        <v>23.285215319608017</v>
      </c>
      <c r="P33" s="2">
        <f>+VLOOKUP($K33,'Prezzi-Rend EUR'!$D$4:$M$360,P$3,0)</f>
        <v>0</v>
      </c>
      <c r="Q33" s="2">
        <f>+VLOOKUP($K33,'Prezzi-Rend EUR'!$D$4:$M$360,Q$3,0)</f>
        <v>50.979396745482333</v>
      </c>
      <c r="R33" s="2">
        <f>+VLOOKUP($K33,'Prezzi-Rend EUR'!$D$4:$M$360,R$3,0)</f>
        <v>0</v>
      </c>
      <c r="S33" s="2">
        <f>+VLOOKUP($K33,'Prezzi-Rend EUR'!$D$4:$M$360,S$3,0)</f>
        <v>101.55974916838983</v>
      </c>
      <c r="T33" s="2">
        <f>+VLOOKUP($K33,'Prezzi-Rend EUR'!$D$4:$M$360,T$3,0)</f>
        <v>0</v>
      </c>
      <c r="U33" s="2"/>
      <c r="V33" s="2">
        <f t="shared" si="14"/>
        <v>0</v>
      </c>
      <c r="X33" s="3">
        <v>43761</v>
      </c>
      <c r="Y33" s="2">
        <f t="shared" si="15"/>
        <v>2991845.6220399998</v>
      </c>
      <c r="Z33" s="2">
        <f t="shared" si="16"/>
        <v>744750.91569091065</v>
      </c>
      <c r="AA33" s="2">
        <f t="shared" si="17"/>
        <v>249384.65607300185</v>
      </c>
      <c r="AB33" s="2">
        <f t="shared" si="18"/>
        <v>248218.68275375347</v>
      </c>
      <c r="AC33" s="2">
        <f t="shared" si="19"/>
        <v>743011.12491593999</v>
      </c>
      <c r="AD33" s="2">
        <f>+I33+SUM($V$29:V33)</f>
        <v>125.89725257683313</v>
      </c>
      <c r="AE33" s="2">
        <f t="shared" si="11"/>
        <v>4977336.8987261821</v>
      </c>
      <c r="AF33" s="12">
        <f t="shared" si="12"/>
        <v>1.3720294964583157E-3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3:51" x14ac:dyDescent="0.75">
      <c r="C34" s="15">
        <v>43762</v>
      </c>
      <c r="D34" s="18">
        <f>implementazione!$M$33</f>
        <v>574615</v>
      </c>
      <c r="E34" s="18">
        <f>implementazione!$N$33</f>
        <v>2747</v>
      </c>
      <c r="F34" s="18">
        <f>implementazione!$O$33</f>
        <v>10710</v>
      </c>
      <c r="G34" s="18">
        <f>implementazione!$P$33</f>
        <v>4869</v>
      </c>
      <c r="H34" s="18">
        <f>implementazione!$Q$33</f>
        <v>7316</v>
      </c>
      <c r="I34" s="21">
        <f>implementazione!$N$37</f>
        <v>125.89725257683313</v>
      </c>
      <c r="K34" s="3">
        <v>43762</v>
      </c>
      <c r="L34" s="2">
        <f>+VLOOKUP($K34,'Prezzi-Rend EUR'!$D$4:$M$360,L$3,0)</f>
        <v>5.2097389999999999</v>
      </c>
      <c r="M34" s="2">
        <f>+VLOOKUP($K34,'Prezzi-Rend EUR'!$D$4:$M$360,M$3,0)</f>
        <v>271.51206236520488</v>
      </c>
      <c r="N34" s="2">
        <f>+VLOOKUP($K34,'Prezzi-Rend EUR'!$D$4:$M$360,N$3,0)</f>
        <v>0</v>
      </c>
      <c r="O34" s="2">
        <f>+VLOOKUP($K34,'Prezzi-Rend EUR'!$D$4:$M$360,O$3,0)</f>
        <v>23.341507009345793</v>
      </c>
      <c r="P34" s="2">
        <f>+VLOOKUP($K34,'Prezzi-Rend EUR'!$D$4:$M$360,P$3,0)</f>
        <v>0</v>
      </c>
      <c r="Q34" s="2">
        <f>+VLOOKUP($K34,'Prezzi-Rend EUR'!$D$4:$M$360,Q$3,0)</f>
        <v>51.273203630481667</v>
      </c>
      <c r="R34" s="2">
        <f>+VLOOKUP($K34,'Prezzi-Rend EUR'!$D$4:$M$360,R$3,0)</f>
        <v>0</v>
      </c>
      <c r="S34" s="2">
        <f>+VLOOKUP($K34,'Prezzi-Rend EUR'!$D$4:$M$360,S$3,0)</f>
        <v>101.66521028037383</v>
      </c>
      <c r="T34" s="2">
        <f>+VLOOKUP($K34,'Prezzi-Rend EUR'!$D$4:$M$360,T$3,0)</f>
        <v>0</v>
      </c>
      <c r="U34" s="2"/>
      <c r="V34" s="2">
        <f t="shared" si="14"/>
        <v>0</v>
      </c>
      <c r="X34" s="3">
        <v>43762</v>
      </c>
      <c r="Y34" s="2">
        <f t="shared" si="15"/>
        <v>2993594.175485</v>
      </c>
      <c r="Z34" s="2">
        <f t="shared" si="16"/>
        <v>745843.63531721779</v>
      </c>
      <c r="AA34" s="2">
        <f t="shared" si="17"/>
        <v>249987.54007009344</v>
      </c>
      <c r="AB34" s="2">
        <f t="shared" si="18"/>
        <v>249649.22847681525</v>
      </c>
      <c r="AC34" s="2">
        <f t="shared" si="19"/>
        <v>743782.67841121496</v>
      </c>
      <c r="AD34" s="2">
        <f>+I34+SUM($V$29:V34)</f>
        <v>125.89725257683313</v>
      </c>
      <c r="AE34" s="2">
        <f t="shared" si="11"/>
        <v>4982983.1550129168</v>
      </c>
      <c r="AF34" s="12">
        <f t="shared" si="12"/>
        <v>1.1343930301723759E-3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3:51" x14ac:dyDescent="0.75">
      <c r="C35" s="15">
        <v>43763</v>
      </c>
      <c r="D35" s="18">
        <f>implementazione!$M$33</f>
        <v>574615</v>
      </c>
      <c r="E35" s="18">
        <f>implementazione!$N$33</f>
        <v>2747</v>
      </c>
      <c r="F35" s="18">
        <f>implementazione!$O$33</f>
        <v>10710</v>
      </c>
      <c r="G35" s="18">
        <f>implementazione!$P$33</f>
        <v>4869</v>
      </c>
      <c r="H35" s="18">
        <f>implementazione!$Q$33</f>
        <v>7316</v>
      </c>
      <c r="I35" s="21">
        <f>implementazione!$N$37</f>
        <v>125.89725257683313</v>
      </c>
      <c r="K35" s="3">
        <v>43763</v>
      </c>
      <c r="L35" s="2">
        <f>+VLOOKUP($K35,'Prezzi-Rend EUR'!$D$4:$M$360,L$3,0)</f>
        <v>5.2021139999999999</v>
      </c>
      <c r="M35" s="2">
        <f>+VLOOKUP($K35,'Prezzi-Rend EUR'!$D$4:$M$360,M$3,0)</f>
        <v>273.13751778157922</v>
      </c>
      <c r="N35" s="2">
        <f>+VLOOKUP($K35,'Prezzi-Rend EUR'!$D$4:$M$360,N$3,0)</f>
        <v>0</v>
      </c>
      <c r="O35" s="2">
        <f>+VLOOKUP($K35,'Prezzi-Rend EUR'!$D$4:$M$360,O$3,0)</f>
        <v>23.348020167461961</v>
      </c>
      <c r="P35" s="2">
        <f>+VLOOKUP($K35,'Prezzi-Rend EUR'!$D$4:$M$360,P$3,0)</f>
        <v>0</v>
      </c>
      <c r="Q35" s="2">
        <f>+VLOOKUP($K35,'Prezzi-Rend EUR'!$D$4:$M$360,Q$3,0)</f>
        <v>51.412717205365979</v>
      </c>
      <c r="R35" s="2">
        <f>+VLOOKUP($K35,'Prezzi-Rend EUR'!$D$4:$M$360,R$3,0)</f>
        <v>0</v>
      </c>
      <c r="S35" s="2">
        <f>+VLOOKUP($K35,'Prezzi-Rend EUR'!$D$4:$M$360,S$3,0)</f>
        <v>101.9111731340596</v>
      </c>
      <c r="T35" s="2">
        <f>+VLOOKUP($K35,'Prezzi-Rend EUR'!$D$4:$M$360,T$3,0)</f>
        <v>0</v>
      </c>
      <c r="U35" s="2"/>
      <c r="V35" s="2">
        <f>+N35*E35+P35*F35+R35*G35+T35*H35</f>
        <v>0</v>
      </c>
      <c r="X35" s="3">
        <v>43763</v>
      </c>
      <c r="Y35" s="2">
        <f t="shared" si="15"/>
        <v>2989212.7361099999</v>
      </c>
      <c r="Z35" s="2">
        <f t="shared" si="16"/>
        <v>750308.76134599815</v>
      </c>
      <c r="AA35" s="2">
        <f t="shared" si="17"/>
        <v>250057.29599351759</v>
      </c>
      <c r="AB35" s="2">
        <f t="shared" si="18"/>
        <v>250328.52007292694</v>
      </c>
      <c r="AC35" s="2">
        <f t="shared" si="19"/>
        <v>745582.14264878002</v>
      </c>
      <c r="AD35" s="2">
        <f>+I35+SUM($V$29:V35)</f>
        <v>125.89725257683313</v>
      </c>
      <c r="AE35" s="2">
        <f t="shared" si="11"/>
        <v>4985615.3534237994</v>
      </c>
      <c r="AF35" s="12">
        <f t="shared" si="12"/>
        <v>5.2823746920238612E-4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3:51" x14ac:dyDescent="0.75">
      <c r="C36" s="15">
        <v>43766</v>
      </c>
      <c r="D36" s="18">
        <f>implementazione!$M$33</f>
        <v>574615</v>
      </c>
      <c r="E36" s="18">
        <f>implementazione!$N$33</f>
        <v>2747</v>
      </c>
      <c r="F36" s="18">
        <f>implementazione!$O$33</f>
        <v>10710</v>
      </c>
      <c r="G36" s="18">
        <f>implementazione!$P$33</f>
        <v>4869</v>
      </c>
      <c r="H36" s="18">
        <f>implementazione!$Q$33</f>
        <v>7316</v>
      </c>
      <c r="I36" s="21">
        <f>implementazione!$N$37</f>
        <v>125.89725257683313</v>
      </c>
      <c r="K36" s="3">
        <v>43766</v>
      </c>
      <c r="L36" s="2">
        <f>+VLOOKUP($K36,'Prezzi-Rend EUR'!$D$4:$M$360,L$3,0)</f>
        <v>5.1895619999999996</v>
      </c>
      <c r="M36" s="2">
        <f>+VLOOKUP($K36,'Prezzi-Rend EUR'!$D$4:$M$360,M$3,0)</f>
        <v>275.15639577884008</v>
      </c>
      <c r="N36" s="2">
        <f>+VLOOKUP($K36,'Prezzi-Rend EUR'!$D$4:$M$360,N$3,0)</f>
        <v>0</v>
      </c>
      <c r="O36" s="2">
        <f>+VLOOKUP($K36,'Prezzi-Rend EUR'!$D$4:$M$360,O$3,0)</f>
        <v>23.391073329124197</v>
      </c>
      <c r="P36" s="2">
        <f>+VLOOKUP($K36,'Prezzi-Rend EUR'!$D$4:$M$360,P$3,0)</f>
        <v>0</v>
      </c>
      <c r="Q36" s="2">
        <f>+VLOOKUP($K36,'Prezzi-Rend EUR'!$D$4:$M$360,Q$3,0)</f>
        <v>51.15584017317579</v>
      </c>
      <c r="R36" s="2">
        <f>+VLOOKUP($K36,'Prezzi-Rend EUR'!$D$4:$M$360,R$3,0)</f>
        <v>0</v>
      </c>
      <c r="S36" s="2">
        <f>+VLOOKUP($K36,'Prezzi-Rend EUR'!$D$4:$M$360,S$3,0)</f>
        <v>101.87347163344458</v>
      </c>
      <c r="T36" s="2">
        <f>+VLOOKUP($K36,'Prezzi-Rend EUR'!$D$4:$M$360,T$3,0)</f>
        <v>0</v>
      </c>
      <c r="U36" s="1"/>
      <c r="V36" s="2">
        <f t="shared" ref="V36:V39" si="20">+N36*E36+P36*F36+R36*G36+T36*H36</f>
        <v>0</v>
      </c>
      <c r="X36" s="3">
        <v>43766</v>
      </c>
      <c r="Y36" s="2">
        <f t="shared" si="15"/>
        <v>2982000.1686299997</v>
      </c>
      <c r="Z36" s="2">
        <f t="shared" si="16"/>
        <v>755854.61920447368</v>
      </c>
      <c r="AA36" s="2">
        <f t="shared" si="17"/>
        <v>250518.39535492015</v>
      </c>
      <c r="AB36" s="2">
        <f t="shared" si="18"/>
        <v>249077.78580319291</v>
      </c>
      <c r="AC36" s="2">
        <f t="shared" si="19"/>
        <v>745306.3184702805</v>
      </c>
      <c r="AD36" s="2">
        <f>+I36+SUM($V$29:V36)</f>
        <v>125.89725257683313</v>
      </c>
      <c r="AE36" s="2">
        <f t="shared" si="11"/>
        <v>4982883.1847154433</v>
      </c>
      <c r="AF36" s="12">
        <f t="shared" si="12"/>
        <v>-5.4801032865081645E-4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3:51" x14ac:dyDescent="0.75">
      <c r="C37" s="15">
        <v>43767</v>
      </c>
      <c r="D37" s="18">
        <f>implementazione!$M$33</f>
        <v>574615</v>
      </c>
      <c r="E37" s="18">
        <f>implementazione!$N$33</f>
        <v>2747</v>
      </c>
      <c r="F37" s="18">
        <f>implementazione!$O$33</f>
        <v>10710</v>
      </c>
      <c r="G37" s="18">
        <f>implementazione!$P$33</f>
        <v>4869</v>
      </c>
      <c r="H37" s="18">
        <f>implementazione!$Q$33</f>
        <v>7316</v>
      </c>
      <c r="I37" s="21">
        <f>implementazione!$N$37</f>
        <v>125.89725257683313</v>
      </c>
      <c r="K37" s="3">
        <v>43767</v>
      </c>
      <c r="L37" s="2">
        <f>+VLOOKUP($K37,'Prezzi-Rend EUR'!$D$4:$M$360,L$3,0)</f>
        <v>5.1909320000000001</v>
      </c>
      <c r="M37" s="2">
        <f>+VLOOKUP($K37,'Prezzi-Rend EUR'!$D$4:$M$360,M$3,0)</f>
        <v>274.73233528616493</v>
      </c>
      <c r="N37" s="2">
        <f>+VLOOKUP($K37,'Prezzi-Rend EUR'!$D$4:$M$360,N$3,0)</f>
        <v>0</v>
      </c>
      <c r="O37" s="2">
        <f>+VLOOKUP($K37,'Prezzi-Rend EUR'!$D$4:$M$360,O$3,0)</f>
        <v>23.382728255971159</v>
      </c>
      <c r="P37" s="2">
        <f>+VLOOKUP($K37,'Prezzi-Rend EUR'!$D$4:$M$360,P$3,0)</f>
        <v>0</v>
      </c>
      <c r="Q37" s="2">
        <f>+VLOOKUP($K37,'Prezzi-Rend EUR'!$D$4:$M$360,Q$3,0)</f>
        <v>50.947113114015323</v>
      </c>
      <c r="R37" s="2">
        <f>+VLOOKUP($K37,'Prezzi-Rend EUR'!$D$4:$M$360,R$3,0)</f>
        <v>0</v>
      </c>
      <c r="S37" s="2">
        <f>+VLOOKUP($K37,'Prezzi-Rend EUR'!$D$4:$M$360,S$3,0)</f>
        <v>101.72130959891844</v>
      </c>
      <c r="T37" s="2">
        <f>+VLOOKUP($K37,'Prezzi-Rend EUR'!$D$4:$M$360,T$3,0)</f>
        <v>0</v>
      </c>
      <c r="U37" s="1"/>
      <c r="V37" s="2">
        <f t="shared" si="20"/>
        <v>0</v>
      </c>
      <c r="X37" s="3">
        <v>43767</v>
      </c>
      <c r="Y37" s="2">
        <f t="shared" si="15"/>
        <v>2982787.3911800003</v>
      </c>
      <c r="Z37" s="2">
        <f t="shared" si="16"/>
        <v>754689.72503109509</v>
      </c>
      <c r="AA37" s="2">
        <f t="shared" si="17"/>
        <v>250429.01962145112</v>
      </c>
      <c r="AB37" s="2">
        <f t="shared" si="18"/>
        <v>248061.49375214061</v>
      </c>
      <c r="AC37" s="2">
        <f t="shared" si="19"/>
        <v>744193.1010256873</v>
      </c>
      <c r="AD37" s="2">
        <f>+I37+SUM($V$29:V37)</f>
        <v>125.89725257683313</v>
      </c>
      <c r="AE37" s="2">
        <f t="shared" si="11"/>
        <v>4980286.6278629508</v>
      </c>
      <c r="AF37" s="12">
        <f t="shared" si="12"/>
        <v>-5.2109526879084989E-4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3:51" x14ac:dyDescent="0.75">
      <c r="C38" s="15">
        <v>43768</v>
      </c>
      <c r="D38" s="18">
        <f>implementazione!$M$33</f>
        <v>574615</v>
      </c>
      <c r="E38" s="18">
        <f>implementazione!$N$33</f>
        <v>2747</v>
      </c>
      <c r="F38" s="18">
        <f>implementazione!$O$33</f>
        <v>10710</v>
      </c>
      <c r="G38" s="18">
        <f>implementazione!$P$33</f>
        <v>4869</v>
      </c>
      <c r="H38" s="18">
        <f>implementazione!$Q$33</f>
        <v>7316</v>
      </c>
      <c r="I38" s="21">
        <f>implementazione!$N$37</f>
        <v>125.89725257683313</v>
      </c>
      <c r="K38" s="3">
        <v>43768</v>
      </c>
      <c r="L38" s="2">
        <f>+VLOOKUP($K38,'Prezzi-Rend EUR'!$D$4:$M$360,L$3,0)</f>
        <v>5.1973929999999999</v>
      </c>
      <c r="M38" s="2">
        <f>+VLOOKUP($K38,'Prezzi-Rend EUR'!$D$4:$M$360,M$3,0)</f>
        <v>275.3752584188727</v>
      </c>
      <c r="N38" s="2">
        <f>+VLOOKUP($K38,'Prezzi-Rend EUR'!$D$4:$M$360,N$3,0)</f>
        <v>0</v>
      </c>
      <c r="O38" s="2">
        <f>+VLOOKUP($K38,'Prezzi-Rend EUR'!$D$4:$M$360,O$3,0)</f>
        <v>23.544344498469293</v>
      </c>
      <c r="P38" s="2">
        <f>+VLOOKUP($K38,'Prezzi-Rend EUR'!$D$4:$M$360,P$3,0)</f>
        <v>0</v>
      </c>
      <c r="Q38" s="2">
        <f>+VLOOKUP($K38,'Prezzi-Rend EUR'!$D$4:$M$360,Q$3,0)</f>
        <v>51.125374572303258</v>
      </c>
      <c r="R38" s="2">
        <f>+VLOOKUP($K38,'Prezzi-Rend EUR'!$D$4:$M$360,R$3,0)</f>
        <v>0</v>
      </c>
      <c r="S38" s="2">
        <f>+VLOOKUP($K38,'Prezzi-Rend EUR'!$D$4:$M$360,S$3,0)</f>
        <v>101.46514766792724</v>
      </c>
      <c r="T38" s="2">
        <f>+VLOOKUP($K38,'Prezzi-Rend EUR'!$D$4:$M$360,T$3,0)</f>
        <v>0</v>
      </c>
      <c r="U38" s="1"/>
      <c r="V38" s="2">
        <f t="shared" si="20"/>
        <v>0</v>
      </c>
      <c r="X38" s="3">
        <v>43768</v>
      </c>
      <c r="Y38" s="2">
        <f t="shared" si="15"/>
        <v>2986499.9786950001</v>
      </c>
      <c r="Z38" s="2">
        <f t="shared" si="16"/>
        <v>756455.83487664326</v>
      </c>
      <c r="AA38" s="2">
        <f t="shared" si="17"/>
        <v>252159.92957860613</v>
      </c>
      <c r="AB38" s="2">
        <f t="shared" si="18"/>
        <v>248929.44879254457</v>
      </c>
      <c r="AC38" s="2">
        <f t="shared" si="19"/>
        <v>742319.02033855568</v>
      </c>
      <c r="AD38" s="2">
        <f>+I38+SUM($V$29:V38)</f>
        <v>125.89725257683313</v>
      </c>
      <c r="AE38" s="2">
        <f t="shared" si="11"/>
        <v>4986490.1095339255</v>
      </c>
      <c r="AF38" s="12">
        <f t="shared" si="12"/>
        <v>1.2456073584738991E-3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3:51" x14ac:dyDescent="0.75">
      <c r="C39" s="15">
        <v>43769</v>
      </c>
      <c r="D39" s="18">
        <f>implementazione!$M$33</f>
        <v>574615</v>
      </c>
      <c r="E39" s="18">
        <f>implementazione!$N$33</f>
        <v>2747</v>
      </c>
      <c r="F39" s="18">
        <f>implementazione!$O$33</f>
        <v>10710</v>
      </c>
      <c r="G39" s="18">
        <f>implementazione!$P$33</f>
        <v>4869</v>
      </c>
      <c r="H39" s="18">
        <f>implementazione!$Q$33</f>
        <v>7316</v>
      </c>
      <c r="I39" s="21">
        <f>implementazione!$N$37</f>
        <v>125.89725257683313</v>
      </c>
      <c r="K39" s="3">
        <v>43769</v>
      </c>
      <c r="L39" s="2">
        <f>+VLOOKUP($K39,'Prezzi-Rend EUR'!$D$4:$M$360,L$3,0)</f>
        <v>5.2179380000000002</v>
      </c>
      <c r="M39" s="2">
        <f>+VLOOKUP($K39,'Prezzi-Rend EUR'!$D$4:$M$360,M$3,0)</f>
        <v>273.3793033889188</v>
      </c>
      <c r="N39" s="2">
        <f>+VLOOKUP($K39,'Prezzi-Rend EUR'!$D$4:$M$360,N$3,0)</f>
        <v>0</v>
      </c>
      <c r="O39" s="2">
        <f>+VLOOKUP($K39,'Prezzi-Rend EUR'!$D$4:$M$360,O$3,0)</f>
        <v>23.440445580060963</v>
      </c>
      <c r="P39" s="2">
        <f>+VLOOKUP($K39,'Prezzi-Rend EUR'!$D$4:$M$360,P$3,0)</f>
        <v>0</v>
      </c>
      <c r="Q39" s="2">
        <f>+VLOOKUP($K39,'Prezzi-Rend EUR'!$D$4:$M$360,Q$3,0)</f>
        <v>51.473577192038732</v>
      </c>
      <c r="R39" s="2">
        <f>+VLOOKUP($K39,'Prezzi-Rend EUR'!$D$4:$M$360,R$3,0)</f>
        <v>0</v>
      </c>
      <c r="S39" s="2">
        <f>+VLOOKUP($K39,'Prezzi-Rend EUR'!$D$4:$M$360,S$3,0)</f>
        <v>101.44107853684777</v>
      </c>
      <c r="T39" s="2">
        <f>+VLOOKUP($K39,'Prezzi-Rend EUR'!$D$4:$M$360,T$3,0)</f>
        <v>0</v>
      </c>
      <c r="U39" s="1"/>
      <c r="V39" s="2">
        <f t="shared" si="20"/>
        <v>0</v>
      </c>
      <c r="X39" s="3">
        <v>43769</v>
      </c>
      <c r="Y39" s="2">
        <f t="shared" si="15"/>
        <v>2998305.4438700001</v>
      </c>
      <c r="Z39" s="2">
        <f t="shared" si="16"/>
        <v>750972.94640935992</v>
      </c>
      <c r="AA39" s="2">
        <f t="shared" si="17"/>
        <v>251047.17216245292</v>
      </c>
      <c r="AB39" s="2">
        <f t="shared" si="18"/>
        <v>250624.84734803659</v>
      </c>
      <c r="AC39" s="2">
        <f t="shared" si="19"/>
        <v>742142.93057557824</v>
      </c>
      <c r="AD39" s="2">
        <f>+I39+SUM($V$29:V39)</f>
        <v>125.89725257683313</v>
      </c>
      <c r="AE39" s="2">
        <f t="shared" si="11"/>
        <v>4993219.237618004</v>
      </c>
      <c r="AF39" s="12">
        <f t="shared" si="12"/>
        <v>1.3494718602193867E-3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3:51" x14ac:dyDescent="0.75">
      <c r="C40" s="15">
        <v>43770</v>
      </c>
      <c r="D40" s="18">
        <f>implementazione!$M$33</f>
        <v>574615</v>
      </c>
      <c r="E40" s="18">
        <f>implementazione!$N$33</f>
        <v>2747</v>
      </c>
      <c r="F40" s="18">
        <f>implementazione!$O$33</f>
        <v>10710</v>
      </c>
      <c r="G40" s="18">
        <f>implementazione!$P$33</f>
        <v>4869</v>
      </c>
      <c r="H40" s="18">
        <f>implementazione!$Q$33</f>
        <v>7316</v>
      </c>
      <c r="I40" s="21">
        <f>implementazione!$N$37</f>
        <v>125.89725257683313</v>
      </c>
      <c r="K40" s="3">
        <v>43770</v>
      </c>
      <c r="L40" s="2">
        <f>+VLOOKUP($K40,'Prezzi-Rend EUR'!$D$4:$M$360,L$3,0)</f>
        <v>5.214162</v>
      </c>
      <c r="M40" s="2">
        <f>+VLOOKUP($K40,'Prezzi-Rend EUR'!$D$4:$M$360,M$3,0)</f>
        <v>276.41511446269868</v>
      </c>
      <c r="N40" s="2">
        <f>+VLOOKUP($K40,'Prezzi-Rend EUR'!$D$4:$M$360,N$3,0)</f>
        <v>0</v>
      </c>
      <c r="O40" s="2">
        <f>+VLOOKUP($K40,'Prezzi-Rend EUR'!$D$4:$M$360,O$3,0)</f>
        <v>23.546198042912295</v>
      </c>
      <c r="P40" s="2">
        <f>+VLOOKUP($K40,'Prezzi-Rend EUR'!$D$4:$M$360,P$3,0)</f>
        <v>0</v>
      </c>
      <c r="Q40" s="2">
        <f>+VLOOKUP($K40,'Prezzi-Rend EUR'!$D$4:$M$360,Q$3,0)</f>
        <v>51.457355238351745</v>
      </c>
      <c r="R40" s="2">
        <f>+VLOOKUP($K40,'Prezzi-Rend EUR'!$D$4:$M$360,R$3,0)</f>
        <v>0</v>
      </c>
      <c r="S40" s="2">
        <f>+VLOOKUP($K40,'Prezzi-Rend EUR'!$D$4:$M$360,S$3,0)</f>
        <v>101.48409282700423</v>
      </c>
      <c r="T40" s="2">
        <f>+VLOOKUP($K40,'Prezzi-Rend EUR'!$D$4:$M$360,T$3,0)</f>
        <v>0</v>
      </c>
      <c r="U40" s="1"/>
      <c r="V40" s="2">
        <f>+N40*E40+P40*F40+R40*G40+T40*H40</f>
        <v>0</v>
      </c>
      <c r="X40" s="3">
        <v>43770</v>
      </c>
      <c r="Y40" s="2">
        <f t="shared" si="15"/>
        <v>2996135.6976299998</v>
      </c>
      <c r="Z40" s="2">
        <f t="shared" si="16"/>
        <v>759312.31942903332</v>
      </c>
      <c r="AA40" s="2">
        <f t="shared" si="17"/>
        <v>252179.78103959069</v>
      </c>
      <c r="AB40" s="2">
        <f t="shared" si="18"/>
        <v>250545.86265553464</v>
      </c>
      <c r="AC40" s="2">
        <f t="shared" si="19"/>
        <v>742457.623122363</v>
      </c>
      <c r="AD40" s="2">
        <f>+I40+SUM($V$29:V40)</f>
        <v>125.89725257683313</v>
      </c>
      <c r="AE40" s="2">
        <f t="shared" si="11"/>
        <v>5000757.1811290979</v>
      </c>
      <c r="AF40" s="12">
        <f t="shared" si="12"/>
        <v>1.5096359988171493E-3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3:51" x14ac:dyDescent="0.75"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X41" s="1"/>
      <c r="Y41" s="1"/>
      <c r="Z41" s="1"/>
      <c r="AA41" s="1"/>
      <c r="AB41" s="1"/>
      <c r="AC41" s="1"/>
      <c r="AD41" s="1"/>
      <c r="AE41" s="1"/>
      <c r="AF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3:51" x14ac:dyDescent="0.75"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X42" s="1"/>
      <c r="Y42" s="1"/>
      <c r="Z42" s="1"/>
      <c r="AA42" s="1"/>
      <c r="AB42" s="1"/>
      <c r="AC42" s="1"/>
      <c r="AD42" s="1"/>
      <c r="AE42" s="1"/>
      <c r="AF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3:51" x14ac:dyDescent="0.75"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X43" s="1"/>
      <c r="Y43" s="1"/>
      <c r="Z43" s="1"/>
      <c r="AA43" s="1"/>
      <c r="AB43" s="1"/>
      <c r="AC43" s="1"/>
      <c r="AD43" s="1"/>
      <c r="AE43" s="1"/>
      <c r="AF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3:51" x14ac:dyDescent="0.75">
      <c r="C44" s="1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X44" s="1"/>
      <c r="Y44" s="1"/>
      <c r="Z44" s="1"/>
      <c r="AA44" s="1"/>
      <c r="AB44" s="1"/>
      <c r="AC44" s="1"/>
      <c r="AD44" s="1"/>
      <c r="AE44" s="1"/>
      <c r="AF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3:51" x14ac:dyDescent="0.75">
      <c r="C45" s="1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X45" s="1"/>
      <c r="Y45" s="1"/>
      <c r="Z45" s="1"/>
      <c r="AA45" s="1"/>
      <c r="AB45" s="1"/>
      <c r="AC45" s="1"/>
      <c r="AD45" s="1"/>
      <c r="AE45" s="1"/>
      <c r="AF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3:51" x14ac:dyDescent="0.75">
      <c r="C46" s="1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X46" s="1"/>
      <c r="Y46" s="1"/>
      <c r="Z46" s="1"/>
      <c r="AA46" s="1"/>
      <c r="AB46" s="1"/>
      <c r="AC46" s="1"/>
      <c r="AD46" s="1"/>
      <c r="AE46" s="1"/>
      <c r="AF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3:51" x14ac:dyDescent="0.75">
      <c r="C47" s="1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X47" s="1"/>
      <c r="Y47" s="1"/>
      <c r="Z47" s="1"/>
      <c r="AA47" s="1"/>
      <c r="AB47" s="1"/>
      <c r="AC47" s="1"/>
      <c r="AD47" s="1"/>
      <c r="AE47" s="1"/>
      <c r="AF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3:51" x14ac:dyDescent="0.75">
      <c r="C48" s="1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X48" s="1"/>
      <c r="Y48" s="1"/>
      <c r="Z48" s="1"/>
      <c r="AA48" s="1"/>
      <c r="AB48" s="1"/>
      <c r="AC48" s="1"/>
      <c r="AD48" s="1"/>
      <c r="AE48" s="1"/>
      <c r="AF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3:51" x14ac:dyDescent="0.75">
      <c r="C49" s="1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X49" s="1"/>
      <c r="Y49" s="1"/>
      <c r="Z49" s="1"/>
      <c r="AA49" s="1"/>
      <c r="AB49" s="1"/>
      <c r="AC49" s="1"/>
      <c r="AD49" s="1"/>
      <c r="AE49" s="1"/>
      <c r="AF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3:51" x14ac:dyDescent="0.75">
      <c r="C50" s="1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X50" s="1"/>
      <c r="Y50" s="1"/>
      <c r="Z50" s="1"/>
      <c r="AA50" s="1"/>
      <c r="AB50" s="1"/>
      <c r="AC50" s="1"/>
      <c r="AD50" s="1"/>
      <c r="AE50" s="1"/>
      <c r="AF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3:51" x14ac:dyDescent="0.75">
      <c r="C51" s="1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X51" s="1"/>
      <c r="Y51" s="1"/>
      <c r="Z51" s="1"/>
      <c r="AA51" s="1"/>
      <c r="AB51" s="1"/>
      <c r="AC51" s="1"/>
      <c r="AD51" s="1"/>
      <c r="AE51" s="1"/>
      <c r="AF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3:51" x14ac:dyDescent="0.75">
      <c r="C52" s="1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X52" s="1"/>
      <c r="Y52" s="1"/>
      <c r="Z52" s="1"/>
      <c r="AA52" s="1"/>
      <c r="AB52" s="1"/>
      <c r="AC52" s="1"/>
      <c r="AD52" s="1"/>
      <c r="AE52" s="1"/>
      <c r="AF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3:51" x14ac:dyDescent="0.75">
      <c r="C53" s="1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X53" s="1"/>
      <c r="Y53" s="1"/>
      <c r="Z53" s="1"/>
      <c r="AA53" s="1"/>
      <c r="AB53" s="1"/>
      <c r="AC53" s="1"/>
      <c r="AD53" s="1"/>
      <c r="AE53" s="1"/>
      <c r="AF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3:51" x14ac:dyDescent="0.75">
      <c r="C54" s="1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X54" s="1"/>
      <c r="Y54" s="1"/>
      <c r="Z54" s="1"/>
      <c r="AA54" s="1"/>
      <c r="AB54" s="1"/>
      <c r="AC54" s="1"/>
      <c r="AD54" s="1"/>
      <c r="AE54" s="1"/>
      <c r="AF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3:51" x14ac:dyDescent="0.75">
      <c r="C55" s="1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X55" s="1"/>
      <c r="Y55" s="1"/>
      <c r="Z55" s="1"/>
      <c r="AA55" s="1"/>
      <c r="AB55" s="1"/>
      <c r="AC55" s="1"/>
      <c r="AD55" s="1"/>
      <c r="AE55" s="1"/>
      <c r="AF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3:51" x14ac:dyDescent="0.75">
      <c r="C56" s="1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X56" s="1"/>
      <c r="Y56" s="1"/>
      <c r="Z56" s="1"/>
      <c r="AA56" s="1"/>
      <c r="AB56" s="1"/>
      <c r="AC56" s="1"/>
      <c r="AD56" s="1"/>
      <c r="AE56" s="1"/>
      <c r="AF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3:51" x14ac:dyDescent="0.75">
      <c r="C57" s="1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X57" s="1"/>
      <c r="Y57" s="1"/>
      <c r="Z57" s="1"/>
      <c r="AA57" s="1"/>
      <c r="AB57" s="1"/>
      <c r="AC57" s="1"/>
      <c r="AD57" s="1"/>
      <c r="AE57" s="1"/>
      <c r="AF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3:51" x14ac:dyDescent="0.75">
      <c r="C58" s="1"/>
      <c r="D58" s="1"/>
      <c r="E58" s="1"/>
      <c r="F58" s="1"/>
      <c r="G58" s="1"/>
      <c r="H58" s="1"/>
      <c r="I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X58" s="1"/>
      <c r="Y58" s="1"/>
      <c r="Z58" s="1"/>
      <c r="AA58" s="1"/>
      <c r="AB58" s="1"/>
      <c r="AC58" s="1"/>
      <c r="AD58" s="1"/>
      <c r="AE58" s="1"/>
      <c r="AF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3:51" x14ac:dyDescent="0.75">
      <c r="C59" s="1"/>
      <c r="D59" s="1"/>
      <c r="E59" s="1"/>
      <c r="F59" s="1"/>
      <c r="G59" s="1"/>
      <c r="H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X59" s="1"/>
      <c r="Y59" s="1"/>
      <c r="Z59" s="1"/>
      <c r="AA59" s="1"/>
      <c r="AB59" s="1"/>
      <c r="AC59" s="1"/>
      <c r="AD59" s="1"/>
      <c r="AE59" s="1"/>
      <c r="AF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3:51" x14ac:dyDescent="0.75">
      <c r="C60" s="1"/>
      <c r="D60" s="1"/>
      <c r="E60" s="1"/>
      <c r="F60" s="1"/>
      <c r="G60" s="1"/>
      <c r="H60" s="1"/>
      <c r="I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X60" s="1"/>
      <c r="Y60" s="1"/>
      <c r="Z60" s="1"/>
      <c r="AA60" s="1"/>
      <c r="AB60" s="1"/>
      <c r="AC60" s="1"/>
      <c r="AD60" s="1"/>
      <c r="AE60" s="1"/>
      <c r="AF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3:51" x14ac:dyDescent="0.75">
      <c r="C61" s="1"/>
      <c r="D61" s="1"/>
      <c r="E61" s="1"/>
      <c r="F61" s="1"/>
      <c r="G61" s="1"/>
      <c r="H61" s="1"/>
      <c r="I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X61" s="1"/>
      <c r="Y61" s="1"/>
      <c r="Z61" s="1"/>
      <c r="AA61" s="1"/>
      <c r="AB61" s="1"/>
      <c r="AC61" s="1"/>
      <c r="AD61" s="1"/>
      <c r="AE61" s="1"/>
      <c r="AF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3:51" x14ac:dyDescent="0.75">
      <c r="C62" s="1"/>
      <c r="D62" s="1"/>
      <c r="E62" s="1"/>
      <c r="F62" s="1"/>
      <c r="G62" s="1"/>
      <c r="H62" s="1"/>
      <c r="I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X62" s="1"/>
      <c r="Y62" s="1"/>
      <c r="Z62" s="1"/>
      <c r="AA62" s="1"/>
      <c r="AB62" s="1"/>
      <c r="AC62" s="1"/>
      <c r="AD62" s="1"/>
      <c r="AE62" s="1"/>
      <c r="AF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3:51" x14ac:dyDescent="0.75">
      <c r="C63" s="1"/>
      <c r="D63" s="1"/>
      <c r="E63" s="1"/>
      <c r="F63" s="1"/>
      <c r="G63" s="1"/>
      <c r="H63" s="1"/>
      <c r="I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X63" s="1"/>
      <c r="Y63" s="1"/>
      <c r="Z63" s="1"/>
      <c r="AA63" s="1"/>
      <c r="AB63" s="1"/>
      <c r="AC63" s="1"/>
      <c r="AD63" s="1"/>
      <c r="AE63" s="1"/>
      <c r="AF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3:51" x14ac:dyDescent="0.75">
      <c r="C64" s="1"/>
      <c r="D64" s="1"/>
      <c r="E64" s="1"/>
      <c r="F64" s="1"/>
      <c r="G64" s="1"/>
      <c r="H64" s="1"/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X64" s="1"/>
      <c r="Y64" s="1"/>
      <c r="Z64" s="1"/>
      <c r="AA64" s="1"/>
      <c r="AB64" s="1"/>
      <c r="AC64" s="1"/>
      <c r="AD64" s="1"/>
      <c r="AE64" s="1"/>
      <c r="AF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3:51" x14ac:dyDescent="0.75">
      <c r="C65" s="1"/>
      <c r="D65" s="1"/>
      <c r="E65" s="1"/>
      <c r="F65" s="1"/>
      <c r="G65" s="1"/>
      <c r="H65" s="1"/>
      <c r="I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X65" s="1"/>
      <c r="Y65" s="1"/>
      <c r="Z65" s="1"/>
      <c r="AA65" s="1"/>
      <c r="AB65" s="1"/>
      <c r="AC65" s="1"/>
      <c r="AD65" s="1"/>
      <c r="AE65" s="1"/>
      <c r="AF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3:51" x14ac:dyDescent="0.75">
      <c r="C66" s="1"/>
      <c r="D66" s="1"/>
      <c r="E66" s="1"/>
      <c r="F66" s="1"/>
      <c r="G66" s="1"/>
      <c r="H66" s="1"/>
      <c r="I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X66" s="1"/>
      <c r="Y66" s="1"/>
      <c r="Z66" s="1"/>
      <c r="AA66" s="1"/>
      <c r="AB66" s="1"/>
      <c r="AC66" s="1"/>
      <c r="AD66" s="1"/>
      <c r="AE66" s="1"/>
      <c r="AF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3:51" x14ac:dyDescent="0.75">
      <c r="C67" s="1"/>
      <c r="D67" s="1"/>
      <c r="E67" s="1"/>
      <c r="F67" s="1"/>
      <c r="G67" s="1"/>
      <c r="H67" s="1"/>
      <c r="I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X67" s="1"/>
      <c r="Y67" s="1"/>
      <c r="Z67" s="1"/>
      <c r="AA67" s="1"/>
      <c r="AB67" s="1"/>
      <c r="AC67" s="1"/>
      <c r="AD67" s="1"/>
      <c r="AE67" s="1"/>
      <c r="AF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3:51" x14ac:dyDescent="0.75">
      <c r="C68" s="1"/>
      <c r="D68" s="1"/>
      <c r="E68" s="1"/>
      <c r="F68" s="1"/>
      <c r="G68" s="1"/>
      <c r="H68" s="1"/>
      <c r="I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X68" s="1"/>
      <c r="Y68" s="1"/>
      <c r="Z68" s="1"/>
      <c r="AA68" s="1"/>
      <c r="AB68" s="1"/>
      <c r="AC68" s="1"/>
      <c r="AD68" s="1"/>
      <c r="AE68" s="1"/>
      <c r="AF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3:51" x14ac:dyDescent="0.75">
      <c r="C69" s="1"/>
      <c r="D69" s="1"/>
      <c r="E69" s="1"/>
      <c r="F69" s="1"/>
      <c r="G69" s="1"/>
      <c r="H69" s="1"/>
      <c r="I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X69" s="1"/>
      <c r="Y69" s="1"/>
      <c r="Z69" s="1"/>
      <c r="AA69" s="1"/>
      <c r="AB69" s="1"/>
      <c r="AC69" s="1"/>
      <c r="AD69" s="1"/>
      <c r="AE69" s="1"/>
      <c r="AF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3:51" x14ac:dyDescent="0.75">
      <c r="C70" s="1"/>
      <c r="D70" s="1"/>
      <c r="E70" s="1"/>
      <c r="F70" s="1"/>
      <c r="G70" s="1"/>
      <c r="H70" s="1"/>
      <c r="I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X70" s="1"/>
      <c r="Y70" s="1"/>
      <c r="Z70" s="1"/>
      <c r="AA70" s="1"/>
      <c r="AB70" s="1"/>
      <c r="AC70" s="1"/>
      <c r="AD70" s="1"/>
      <c r="AE70" s="1"/>
      <c r="AF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3:51" x14ac:dyDescent="0.75">
      <c r="C71" s="1"/>
      <c r="D71" s="1"/>
      <c r="E71" s="1"/>
      <c r="F71" s="1"/>
      <c r="G71" s="1"/>
      <c r="H71" s="1"/>
      <c r="I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X71" s="1"/>
      <c r="Y71" s="1"/>
      <c r="Z71" s="1"/>
      <c r="AA71" s="1"/>
      <c r="AB71" s="1"/>
      <c r="AC71" s="1"/>
      <c r="AD71" s="1"/>
      <c r="AE71" s="1"/>
      <c r="AF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3:51" x14ac:dyDescent="0.75">
      <c r="C72" s="1"/>
      <c r="D72" s="1"/>
      <c r="E72" s="1"/>
      <c r="F72" s="1"/>
      <c r="G72" s="1"/>
      <c r="H72" s="1"/>
      <c r="I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X72" s="1"/>
      <c r="Y72" s="1"/>
      <c r="Z72" s="1"/>
      <c r="AA72" s="1"/>
      <c r="AB72" s="1"/>
      <c r="AC72" s="1"/>
      <c r="AD72" s="1"/>
      <c r="AE72" s="1"/>
      <c r="AF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3:51" x14ac:dyDescent="0.75">
      <c r="C73" s="1"/>
      <c r="D73" s="1"/>
      <c r="E73" s="1"/>
      <c r="F73" s="1"/>
      <c r="G73" s="1"/>
      <c r="H73" s="1"/>
      <c r="I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X73" s="1"/>
      <c r="Y73" s="1"/>
      <c r="Z73" s="1"/>
      <c r="AA73" s="1"/>
      <c r="AB73" s="1"/>
      <c r="AC73" s="1"/>
      <c r="AD73" s="1"/>
      <c r="AE73" s="1"/>
      <c r="AF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3:51" x14ac:dyDescent="0.75">
      <c r="C74" s="1"/>
      <c r="D74" s="1"/>
      <c r="E74" s="1"/>
      <c r="F74" s="1"/>
      <c r="G74" s="1"/>
      <c r="H74" s="1"/>
      <c r="I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X74" s="1"/>
      <c r="Y74" s="1"/>
      <c r="Z74" s="1"/>
      <c r="AA74" s="1"/>
      <c r="AB74" s="1"/>
      <c r="AC74" s="1"/>
      <c r="AD74" s="1"/>
      <c r="AE74" s="1"/>
      <c r="AF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3:51" x14ac:dyDescent="0.75">
      <c r="C75" s="1"/>
      <c r="D75" s="1"/>
      <c r="E75" s="1"/>
      <c r="F75" s="1"/>
      <c r="G75" s="1"/>
      <c r="H75" s="1"/>
      <c r="I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X75" s="1"/>
      <c r="Y75" s="1"/>
      <c r="Z75" s="1"/>
      <c r="AA75" s="1"/>
      <c r="AB75" s="1"/>
      <c r="AC75" s="1"/>
      <c r="AD75" s="1"/>
      <c r="AE75" s="1"/>
      <c r="AF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3:51" x14ac:dyDescent="0.75">
      <c r="C76" s="1"/>
      <c r="D76" s="1"/>
      <c r="E76" s="1"/>
      <c r="F76" s="1"/>
      <c r="G76" s="1"/>
      <c r="H76" s="1"/>
      <c r="I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X76" s="1"/>
      <c r="Y76" s="1"/>
      <c r="Z76" s="1"/>
      <c r="AA76" s="1"/>
      <c r="AB76" s="1"/>
      <c r="AC76" s="1"/>
      <c r="AD76" s="1"/>
      <c r="AE76" s="1"/>
      <c r="AF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3:51" x14ac:dyDescent="0.75">
      <c r="C77" s="1"/>
      <c r="D77" s="1"/>
      <c r="E77" s="1"/>
      <c r="F77" s="1"/>
      <c r="G77" s="1"/>
      <c r="H77" s="1"/>
      <c r="I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X77" s="1"/>
      <c r="Y77" s="1"/>
      <c r="Z77" s="1"/>
      <c r="AA77" s="1"/>
      <c r="AB77" s="1"/>
      <c r="AC77" s="1"/>
      <c r="AD77" s="1"/>
      <c r="AE77" s="1"/>
      <c r="AF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3:51" x14ac:dyDescent="0.75">
      <c r="C78" s="1"/>
      <c r="D78" s="1"/>
      <c r="E78" s="1"/>
      <c r="F78" s="1"/>
      <c r="G78" s="1"/>
      <c r="H78" s="1"/>
      <c r="I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X78" s="1"/>
      <c r="Y78" s="1"/>
      <c r="Z78" s="1"/>
      <c r="AA78" s="1"/>
      <c r="AB78" s="1"/>
      <c r="AC78" s="1"/>
      <c r="AD78" s="1"/>
      <c r="AE78" s="1"/>
      <c r="AF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3:51" x14ac:dyDescent="0.75">
      <c r="C79" s="1"/>
      <c r="D79" s="1"/>
      <c r="E79" s="1"/>
      <c r="F79" s="1"/>
      <c r="G79" s="1"/>
      <c r="H79" s="1"/>
      <c r="I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X79" s="1"/>
      <c r="Y79" s="1"/>
      <c r="Z79" s="1"/>
      <c r="AA79" s="1"/>
      <c r="AB79" s="1"/>
      <c r="AC79" s="1"/>
      <c r="AD79" s="1"/>
      <c r="AE79" s="1"/>
      <c r="AF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3:51" x14ac:dyDescent="0.75">
      <c r="C80" s="1"/>
      <c r="D80" s="1"/>
      <c r="E80" s="1"/>
      <c r="F80" s="1"/>
      <c r="G80" s="1"/>
      <c r="H80" s="1"/>
      <c r="I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X80" s="1"/>
      <c r="Y80" s="1"/>
      <c r="Z80" s="1"/>
      <c r="AA80" s="1"/>
      <c r="AB80" s="1"/>
      <c r="AC80" s="1"/>
      <c r="AD80" s="1"/>
      <c r="AE80" s="1"/>
      <c r="AF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3:51" x14ac:dyDescent="0.75">
      <c r="C81" s="1"/>
      <c r="D81" s="1"/>
      <c r="E81" s="1"/>
      <c r="F81" s="1"/>
      <c r="G81" s="1"/>
      <c r="H81" s="1"/>
      <c r="I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X81" s="1"/>
      <c r="Y81" s="1"/>
      <c r="Z81" s="1"/>
      <c r="AA81" s="1"/>
      <c r="AB81" s="1"/>
      <c r="AC81" s="1"/>
      <c r="AD81" s="1"/>
      <c r="AE81" s="1"/>
      <c r="AF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3:51" x14ac:dyDescent="0.75">
      <c r="C82" s="1"/>
      <c r="D82" s="1"/>
      <c r="E82" s="1"/>
      <c r="F82" s="1"/>
      <c r="G82" s="1"/>
      <c r="H82" s="1"/>
      <c r="I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X82" s="1"/>
      <c r="Y82" s="1"/>
      <c r="Z82" s="1"/>
      <c r="AA82" s="1"/>
      <c r="AB82" s="1"/>
      <c r="AC82" s="1"/>
      <c r="AD82" s="1"/>
      <c r="AE82" s="1"/>
      <c r="AF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3:51" x14ac:dyDescent="0.75">
      <c r="C83" s="1"/>
      <c r="D83" s="1"/>
      <c r="E83" s="1"/>
      <c r="F83" s="1"/>
      <c r="G83" s="1"/>
      <c r="H83" s="1"/>
      <c r="I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X83" s="1"/>
      <c r="Y83" s="1"/>
      <c r="Z83" s="1"/>
      <c r="AA83" s="1"/>
      <c r="AB83" s="1"/>
      <c r="AC83" s="1"/>
      <c r="AD83" s="1"/>
      <c r="AE83" s="1"/>
      <c r="AF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3:51" x14ac:dyDescent="0.75">
      <c r="C84" s="1"/>
      <c r="D84" s="1"/>
      <c r="E84" s="1"/>
      <c r="F84" s="1"/>
      <c r="G84" s="1"/>
      <c r="H84" s="1"/>
      <c r="I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X84" s="1"/>
      <c r="Y84" s="1"/>
      <c r="Z84" s="1"/>
      <c r="AA84" s="1"/>
      <c r="AB84" s="1"/>
      <c r="AC84" s="1"/>
      <c r="AD84" s="1"/>
      <c r="AE84" s="1"/>
      <c r="AF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3:51" x14ac:dyDescent="0.75">
      <c r="C85" s="1"/>
      <c r="D85" s="1"/>
      <c r="E85" s="1"/>
      <c r="F85" s="1"/>
      <c r="G85" s="1"/>
      <c r="H85" s="1"/>
      <c r="I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X85" s="1"/>
      <c r="Y85" s="1"/>
      <c r="Z85" s="1"/>
      <c r="AA85" s="1"/>
      <c r="AB85" s="1"/>
      <c r="AC85" s="1"/>
      <c r="AD85" s="1"/>
      <c r="AE85" s="1"/>
      <c r="AF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3:51" x14ac:dyDescent="0.75">
      <c r="C86" s="1"/>
      <c r="D86" s="1"/>
      <c r="E86" s="1"/>
      <c r="F86" s="1"/>
      <c r="G86" s="1"/>
      <c r="H86" s="1"/>
      <c r="I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X86" s="1"/>
      <c r="Y86" s="1"/>
      <c r="Z86" s="1"/>
      <c r="AA86" s="1"/>
      <c r="AB86" s="1"/>
      <c r="AC86" s="1"/>
      <c r="AD86" s="1"/>
      <c r="AE86" s="1"/>
      <c r="AF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3:51" x14ac:dyDescent="0.75">
      <c r="C87" s="1"/>
      <c r="D87" s="1"/>
      <c r="E87" s="1"/>
      <c r="F87" s="1"/>
      <c r="G87" s="1"/>
      <c r="H87" s="1"/>
      <c r="I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X87" s="1"/>
      <c r="Y87" s="1"/>
      <c r="Z87" s="1"/>
      <c r="AA87" s="1"/>
      <c r="AB87" s="1"/>
      <c r="AC87" s="1"/>
      <c r="AD87" s="1"/>
      <c r="AE87" s="1"/>
      <c r="AF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3:51" x14ac:dyDescent="0.75">
      <c r="C88" s="1"/>
      <c r="D88" s="1"/>
      <c r="E88" s="1"/>
      <c r="F88" s="1"/>
      <c r="G88" s="1"/>
      <c r="H88" s="1"/>
      <c r="I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X88" s="1"/>
      <c r="Y88" s="1"/>
      <c r="Z88" s="1"/>
      <c r="AA88" s="1"/>
      <c r="AB88" s="1"/>
      <c r="AC88" s="1"/>
      <c r="AD88" s="1"/>
      <c r="AE88" s="1"/>
      <c r="AF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3:51" x14ac:dyDescent="0.75">
      <c r="C89" s="1"/>
      <c r="D89" s="1"/>
      <c r="E89" s="1"/>
      <c r="F89" s="1"/>
      <c r="G89" s="1"/>
      <c r="H89" s="1"/>
      <c r="I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X89" s="1"/>
      <c r="Y89" s="1"/>
      <c r="Z89" s="1"/>
      <c r="AA89" s="1"/>
      <c r="AB89" s="1"/>
      <c r="AC89" s="1"/>
      <c r="AD89" s="1"/>
      <c r="AE89" s="1"/>
      <c r="AF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3:51" x14ac:dyDescent="0.75">
      <c r="C90" s="1"/>
      <c r="D90" s="1"/>
      <c r="E90" s="1"/>
      <c r="F90" s="1"/>
      <c r="G90" s="1"/>
      <c r="H90" s="1"/>
      <c r="I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X90" s="1"/>
      <c r="Y90" s="1"/>
      <c r="Z90" s="1"/>
      <c r="AA90" s="1"/>
      <c r="AB90" s="1"/>
      <c r="AC90" s="1"/>
      <c r="AD90" s="1"/>
      <c r="AE90" s="1"/>
      <c r="AF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3:51" x14ac:dyDescent="0.75">
      <c r="C91" s="1"/>
      <c r="D91" s="1"/>
      <c r="E91" s="1"/>
      <c r="F91" s="1"/>
      <c r="G91" s="1"/>
      <c r="H91" s="1"/>
      <c r="I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X91" s="1"/>
      <c r="Y91" s="1"/>
      <c r="Z91" s="1"/>
      <c r="AA91" s="1"/>
      <c r="AB91" s="1"/>
      <c r="AC91" s="1"/>
      <c r="AD91" s="1"/>
      <c r="AE91" s="1"/>
      <c r="AF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3:51" x14ac:dyDescent="0.75">
      <c r="C92" s="1"/>
      <c r="D92" s="1"/>
      <c r="E92" s="1"/>
      <c r="F92" s="1"/>
      <c r="G92" s="1"/>
      <c r="H92" s="1"/>
      <c r="I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X92" s="1"/>
      <c r="Y92" s="1"/>
      <c r="Z92" s="1"/>
      <c r="AA92" s="1"/>
      <c r="AB92" s="1"/>
      <c r="AC92" s="1"/>
      <c r="AD92" s="1"/>
      <c r="AE92" s="1"/>
      <c r="AF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3:51" x14ac:dyDescent="0.75">
      <c r="C93" s="1"/>
      <c r="D93" s="1"/>
      <c r="E93" s="1"/>
      <c r="F93" s="1"/>
      <c r="G93" s="1"/>
      <c r="H93" s="1"/>
      <c r="I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X93" s="1"/>
      <c r="Y93" s="1"/>
      <c r="Z93" s="1"/>
      <c r="AA93" s="1"/>
      <c r="AB93" s="1"/>
      <c r="AC93" s="1"/>
      <c r="AD93" s="1"/>
      <c r="AE93" s="1"/>
      <c r="AF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3:51" x14ac:dyDescent="0.75">
      <c r="C94" s="1"/>
      <c r="D94" s="1"/>
      <c r="E94" s="1"/>
      <c r="F94" s="1"/>
      <c r="G94" s="1"/>
      <c r="H94" s="1"/>
      <c r="I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X94" s="1"/>
      <c r="Y94" s="1"/>
      <c r="Z94" s="1"/>
      <c r="AA94" s="1"/>
      <c r="AB94" s="1"/>
      <c r="AC94" s="1"/>
      <c r="AD94" s="1"/>
      <c r="AE94" s="1"/>
      <c r="AF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3:51" x14ac:dyDescent="0.75">
      <c r="C95" s="1"/>
      <c r="D95" s="1"/>
      <c r="E95" s="1"/>
      <c r="F95" s="1"/>
      <c r="G95" s="1"/>
      <c r="H95" s="1"/>
      <c r="I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  <c r="AC95" s="1"/>
      <c r="AD95" s="1"/>
      <c r="AE95" s="1"/>
      <c r="AF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3:51" x14ac:dyDescent="0.75">
      <c r="C96" s="1"/>
      <c r="D96" s="1"/>
      <c r="E96" s="1"/>
      <c r="F96" s="1"/>
      <c r="G96" s="1"/>
      <c r="H96" s="1"/>
      <c r="I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X96" s="1"/>
      <c r="Y96" s="1"/>
      <c r="Z96" s="1"/>
      <c r="AA96" s="1"/>
      <c r="AB96" s="1"/>
      <c r="AC96" s="1"/>
      <c r="AD96" s="1"/>
      <c r="AE96" s="1"/>
      <c r="AF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3:51" x14ac:dyDescent="0.75">
      <c r="C97" s="1"/>
      <c r="D97" s="1"/>
      <c r="E97" s="1"/>
      <c r="F97" s="1"/>
      <c r="G97" s="1"/>
      <c r="H97" s="1"/>
      <c r="I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X97" s="1"/>
      <c r="Y97" s="1"/>
      <c r="Z97" s="1"/>
      <c r="AA97" s="1"/>
      <c r="AB97" s="1"/>
      <c r="AC97" s="1"/>
      <c r="AD97" s="1"/>
      <c r="AE97" s="1"/>
      <c r="AF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3:51" x14ac:dyDescent="0.75">
      <c r="C98" s="1"/>
      <c r="D98" s="1"/>
      <c r="E98" s="1"/>
      <c r="F98" s="1"/>
      <c r="G98" s="1"/>
      <c r="H98" s="1"/>
      <c r="I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X98" s="1"/>
      <c r="Y98" s="1"/>
      <c r="Z98" s="1"/>
      <c r="AA98" s="1"/>
      <c r="AB98" s="1"/>
      <c r="AC98" s="1"/>
      <c r="AD98" s="1"/>
      <c r="AE98" s="1"/>
      <c r="AF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3:51" x14ac:dyDescent="0.75">
      <c r="C99" s="1"/>
      <c r="D99" s="1"/>
      <c r="E99" s="1"/>
      <c r="F99" s="1"/>
      <c r="G99" s="1"/>
      <c r="H99" s="1"/>
      <c r="I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X99" s="1"/>
      <c r="Y99" s="1"/>
      <c r="Z99" s="1"/>
      <c r="AA99" s="1"/>
      <c r="AB99" s="1"/>
      <c r="AC99" s="1"/>
      <c r="AD99" s="1"/>
      <c r="AE99" s="1"/>
      <c r="AF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3:51" x14ac:dyDescent="0.75">
      <c r="C100" s="1"/>
      <c r="D100" s="1"/>
      <c r="E100" s="1"/>
      <c r="F100" s="1"/>
      <c r="G100" s="1"/>
      <c r="H100" s="1"/>
      <c r="I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X100" s="1"/>
      <c r="Y100" s="1"/>
      <c r="Z100" s="1"/>
      <c r="AA100" s="1"/>
      <c r="AB100" s="1"/>
      <c r="AC100" s="1"/>
      <c r="AD100" s="1"/>
      <c r="AE100" s="1"/>
      <c r="AF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3:51" x14ac:dyDescent="0.75">
      <c r="C101" s="1"/>
      <c r="D101" s="1"/>
      <c r="E101" s="1"/>
      <c r="F101" s="1"/>
      <c r="G101" s="1"/>
      <c r="H101" s="1"/>
      <c r="I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X101" s="1"/>
      <c r="Y101" s="1"/>
      <c r="Z101" s="1"/>
      <c r="AA101" s="1"/>
      <c r="AB101" s="1"/>
      <c r="AC101" s="1"/>
      <c r="AD101" s="1"/>
      <c r="AE101" s="1"/>
      <c r="AF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3:51" x14ac:dyDescent="0.75">
      <c r="C102" s="1"/>
      <c r="D102" s="1"/>
      <c r="E102" s="1"/>
      <c r="F102" s="1"/>
      <c r="G102" s="1"/>
      <c r="H102" s="1"/>
      <c r="I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X102" s="1"/>
      <c r="Y102" s="1"/>
      <c r="Z102" s="1"/>
      <c r="AA102" s="1"/>
      <c r="AB102" s="1"/>
      <c r="AC102" s="1"/>
      <c r="AD102" s="1"/>
      <c r="AE102" s="1"/>
      <c r="AF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3:51" x14ac:dyDescent="0.75">
      <c r="C103" s="1"/>
      <c r="D103" s="1"/>
      <c r="E103" s="1"/>
      <c r="F103" s="1"/>
      <c r="G103" s="1"/>
      <c r="H103" s="1"/>
      <c r="I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X103" s="1"/>
      <c r="Y103" s="1"/>
      <c r="Z103" s="1"/>
      <c r="AA103" s="1"/>
      <c r="AB103" s="1"/>
      <c r="AC103" s="1"/>
      <c r="AD103" s="1"/>
      <c r="AE103" s="1"/>
      <c r="AF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3:51" x14ac:dyDescent="0.75">
      <c r="C104" s="1"/>
      <c r="D104" s="1"/>
      <c r="E104" s="1"/>
      <c r="F104" s="1"/>
      <c r="G104" s="1"/>
      <c r="H104" s="1"/>
      <c r="I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X104" s="1"/>
      <c r="Y104" s="1"/>
      <c r="Z104" s="1"/>
      <c r="AA104" s="1"/>
      <c r="AB104" s="1"/>
      <c r="AC104" s="1"/>
      <c r="AD104" s="1"/>
      <c r="AE104" s="1"/>
      <c r="AF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3:51" x14ac:dyDescent="0.75">
      <c r="C105" s="1"/>
      <c r="D105" s="1"/>
      <c r="E105" s="1"/>
      <c r="F105" s="1"/>
      <c r="G105" s="1"/>
      <c r="H105" s="1"/>
      <c r="I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X105" s="1"/>
      <c r="Y105" s="1"/>
      <c r="Z105" s="1"/>
      <c r="AA105" s="1"/>
      <c r="AB105" s="1"/>
      <c r="AC105" s="1"/>
      <c r="AD105" s="1"/>
      <c r="AE105" s="1"/>
      <c r="AF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3:51" x14ac:dyDescent="0.75">
      <c r="C106" s="1"/>
      <c r="D106" s="1"/>
      <c r="E106" s="1"/>
      <c r="F106" s="1"/>
      <c r="G106" s="1"/>
      <c r="H106" s="1"/>
      <c r="I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X106" s="1"/>
      <c r="Y106" s="1"/>
      <c r="Z106" s="1"/>
      <c r="AA106" s="1"/>
      <c r="AB106" s="1"/>
      <c r="AC106" s="1"/>
      <c r="AD106" s="1"/>
      <c r="AE106" s="1"/>
      <c r="AF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3:51" x14ac:dyDescent="0.75">
      <c r="C107" s="1"/>
      <c r="D107" s="1"/>
      <c r="E107" s="1"/>
      <c r="F107" s="1"/>
      <c r="G107" s="1"/>
      <c r="H107" s="1"/>
      <c r="I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X107" s="1"/>
      <c r="Y107" s="1"/>
      <c r="Z107" s="1"/>
      <c r="AA107" s="1"/>
      <c r="AB107" s="1"/>
      <c r="AC107" s="1"/>
      <c r="AD107" s="1"/>
      <c r="AE107" s="1"/>
      <c r="AF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3:51" x14ac:dyDescent="0.75">
      <c r="C108" s="1"/>
      <c r="D108" s="1"/>
      <c r="E108" s="1"/>
      <c r="F108" s="1"/>
      <c r="G108" s="1"/>
      <c r="H108" s="1"/>
      <c r="I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X108" s="1"/>
      <c r="Y108" s="1"/>
      <c r="Z108" s="1"/>
      <c r="AA108" s="1"/>
      <c r="AB108" s="1"/>
      <c r="AC108" s="1"/>
      <c r="AD108" s="1"/>
      <c r="AE108" s="1"/>
      <c r="AF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3:51" x14ac:dyDescent="0.75">
      <c r="C109" s="1"/>
      <c r="D109" s="1"/>
      <c r="E109" s="1"/>
      <c r="F109" s="1"/>
      <c r="G109" s="1"/>
      <c r="H109" s="1"/>
      <c r="I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X109" s="1"/>
      <c r="Y109" s="1"/>
      <c r="Z109" s="1"/>
      <c r="AA109" s="1"/>
      <c r="AB109" s="1"/>
      <c r="AC109" s="1"/>
      <c r="AD109" s="1"/>
      <c r="AE109" s="1"/>
      <c r="AF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3:51" x14ac:dyDescent="0.75">
      <c r="C110" s="1"/>
      <c r="D110" s="1"/>
      <c r="E110" s="1"/>
      <c r="F110" s="1"/>
      <c r="G110" s="1"/>
      <c r="H110" s="1"/>
      <c r="I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X110" s="1"/>
      <c r="Y110" s="1"/>
      <c r="Z110" s="1"/>
      <c r="AA110" s="1"/>
      <c r="AB110" s="1"/>
      <c r="AC110" s="1"/>
      <c r="AD110" s="1"/>
      <c r="AE110" s="1"/>
      <c r="AF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3:51" x14ac:dyDescent="0.75">
      <c r="C111" s="1"/>
      <c r="D111" s="1"/>
      <c r="E111" s="1"/>
      <c r="F111" s="1"/>
      <c r="G111" s="1"/>
      <c r="H111" s="1"/>
      <c r="I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X111" s="1"/>
      <c r="Y111" s="1"/>
      <c r="Z111" s="1"/>
      <c r="AA111" s="1"/>
      <c r="AB111" s="1"/>
      <c r="AC111" s="1"/>
      <c r="AD111" s="1"/>
      <c r="AE111" s="1"/>
      <c r="AF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3:51" x14ac:dyDescent="0.75">
      <c r="C112" s="1"/>
      <c r="D112" s="1"/>
      <c r="E112" s="1"/>
      <c r="F112" s="1"/>
      <c r="G112" s="1"/>
      <c r="H112" s="1"/>
      <c r="I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X112" s="1"/>
      <c r="Y112" s="1"/>
      <c r="Z112" s="1"/>
      <c r="AA112" s="1"/>
      <c r="AB112" s="1"/>
      <c r="AC112" s="1"/>
      <c r="AD112" s="1"/>
      <c r="AE112" s="1"/>
      <c r="AF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3:51" x14ac:dyDescent="0.75">
      <c r="C113" s="1"/>
      <c r="D113" s="1"/>
      <c r="E113" s="1"/>
      <c r="F113" s="1"/>
      <c r="G113" s="1"/>
      <c r="H113" s="1"/>
      <c r="I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X113" s="1"/>
      <c r="Y113" s="1"/>
      <c r="Z113" s="1"/>
      <c r="AA113" s="1"/>
      <c r="AB113" s="1"/>
      <c r="AC113" s="1"/>
      <c r="AD113" s="1"/>
      <c r="AE113" s="1"/>
      <c r="AF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3:51" x14ac:dyDescent="0.75">
      <c r="C114" s="1"/>
      <c r="D114" s="1"/>
      <c r="E114" s="1"/>
      <c r="F114" s="1"/>
      <c r="G114" s="1"/>
      <c r="H114" s="1"/>
      <c r="I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X114" s="1"/>
      <c r="Y114" s="1"/>
      <c r="Z114" s="1"/>
      <c r="AA114" s="1"/>
      <c r="AB114" s="1"/>
      <c r="AC114" s="1"/>
      <c r="AD114" s="1"/>
      <c r="AE114" s="1"/>
      <c r="AF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3:51" x14ac:dyDescent="0.75">
      <c r="C115" s="1"/>
      <c r="D115" s="1"/>
      <c r="E115" s="1"/>
      <c r="F115" s="1"/>
      <c r="G115" s="1"/>
      <c r="H115" s="1"/>
      <c r="I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X115" s="1"/>
      <c r="Y115" s="1"/>
      <c r="Z115" s="1"/>
      <c r="AA115" s="1"/>
      <c r="AB115" s="1"/>
      <c r="AC115" s="1"/>
      <c r="AD115" s="1"/>
      <c r="AE115" s="1"/>
      <c r="AF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3:51" x14ac:dyDescent="0.75">
      <c r="C116" s="1"/>
      <c r="D116" s="1"/>
      <c r="E116" s="1"/>
      <c r="F116" s="1"/>
      <c r="G116" s="1"/>
      <c r="H116" s="1"/>
      <c r="I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X116" s="1"/>
      <c r="Y116" s="1"/>
      <c r="Z116" s="1"/>
      <c r="AA116" s="1"/>
      <c r="AB116" s="1"/>
      <c r="AC116" s="1"/>
      <c r="AD116" s="1"/>
      <c r="AE116" s="1"/>
      <c r="AF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3:51" x14ac:dyDescent="0.75">
      <c r="C117" s="1"/>
      <c r="D117" s="1"/>
      <c r="E117" s="1"/>
      <c r="F117" s="1"/>
      <c r="G117" s="1"/>
      <c r="H117" s="1"/>
      <c r="I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X117" s="1"/>
      <c r="Y117" s="1"/>
      <c r="Z117" s="1"/>
      <c r="AA117" s="1"/>
      <c r="AB117" s="1"/>
      <c r="AC117" s="1"/>
      <c r="AD117" s="1"/>
      <c r="AE117" s="1"/>
      <c r="AF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3:51" x14ac:dyDescent="0.75">
      <c r="C118" s="1"/>
      <c r="D118" s="1"/>
      <c r="E118" s="1"/>
      <c r="F118" s="1"/>
      <c r="G118" s="1"/>
      <c r="H118" s="1"/>
      <c r="I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X118" s="1"/>
      <c r="Y118" s="1"/>
      <c r="Z118" s="1"/>
      <c r="AA118" s="1"/>
      <c r="AB118" s="1"/>
      <c r="AC118" s="1"/>
      <c r="AD118" s="1"/>
      <c r="AE118" s="1"/>
      <c r="AF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3:51" x14ac:dyDescent="0.75">
      <c r="C119" s="1"/>
      <c r="D119" s="1"/>
      <c r="E119" s="1"/>
      <c r="F119" s="1"/>
      <c r="G119" s="1"/>
      <c r="H119" s="1"/>
      <c r="I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X119" s="1"/>
      <c r="Y119" s="1"/>
      <c r="Z119" s="1"/>
      <c r="AA119" s="1"/>
      <c r="AB119" s="1"/>
      <c r="AC119" s="1"/>
      <c r="AD119" s="1"/>
      <c r="AE119" s="1"/>
      <c r="AF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3:51" x14ac:dyDescent="0.75">
      <c r="C120" s="1"/>
      <c r="D120" s="1"/>
      <c r="E120" s="1"/>
      <c r="F120" s="1"/>
      <c r="G120" s="1"/>
      <c r="H120" s="1"/>
      <c r="I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X120" s="1"/>
      <c r="Y120" s="1"/>
      <c r="Z120" s="1"/>
      <c r="AA120" s="1"/>
      <c r="AB120" s="1"/>
      <c r="AC120" s="1"/>
      <c r="AD120" s="1"/>
      <c r="AE120" s="1"/>
      <c r="AF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3:51" x14ac:dyDescent="0.75">
      <c r="C121" s="1"/>
      <c r="D121" s="1"/>
      <c r="E121" s="1"/>
      <c r="F121" s="1"/>
      <c r="G121" s="1"/>
      <c r="H121" s="1"/>
      <c r="I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3:51" x14ac:dyDescent="0.75">
      <c r="C122" s="1"/>
      <c r="D122" s="1"/>
      <c r="E122" s="1"/>
      <c r="F122" s="1"/>
      <c r="G122" s="1"/>
      <c r="H122" s="1"/>
      <c r="I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X122" s="1"/>
      <c r="Y122" s="1"/>
      <c r="Z122" s="1"/>
      <c r="AA122" s="1"/>
      <c r="AB122" s="1"/>
      <c r="AC122" s="1"/>
      <c r="AD122" s="1"/>
      <c r="AE122" s="1"/>
      <c r="AF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3:51" x14ac:dyDescent="0.75">
      <c r="C123" s="1"/>
      <c r="D123" s="1"/>
      <c r="E123" s="1"/>
      <c r="F123" s="1"/>
      <c r="G123" s="1"/>
      <c r="H123" s="1"/>
      <c r="I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X123" s="1"/>
      <c r="Y123" s="1"/>
      <c r="Z123" s="1"/>
      <c r="AA123" s="1"/>
      <c r="AB123" s="1"/>
      <c r="AC123" s="1"/>
      <c r="AD123" s="1"/>
      <c r="AE123" s="1"/>
      <c r="AF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3:51" x14ac:dyDescent="0.75">
      <c r="C124" s="1"/>
      <c r="D124" s="1"/>
      <c r="E124" s="1"/>
      <c r="F124" s="1"/>
      <c r="G124" s="1"/>
      <c r="H124" s="1"/>
      <c r="I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X124" s="1"/>
      <c r="Y124" s="1"/>
      <c r="Z124" s="1"/>
      <c r="AA124" s="1"/>
      <c r="AB124" s="1"/>
      <c r="AC124" s="1"/>
      <c r="AD124" s="1"/>
      <c r="AE124" s="1"/>
      <c r="AF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3:51" x14ac:dyDescent="0.75">
      <c r="C125" s="1"/>
      <c r="D125" s="1"/>
      <c r="E125" s="1"/>
      <c r="F125" s="1"/>
      <c r="G125" s="1"/>
      <c r="H125" s="1"/>
      <c r="I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X125" s="1"/>
      <c r="Y125" s="1"/>
      <c r="Z125" s="1"/>
      <c r="AA125" s="1"/>
      <c r="AB125" s="1"/>
      <c r="AC125" s="1"/>
      <c r="AD125" s="1"/>
      <c r="AE125" s="1"/>
      <c r="AF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3:51" x14ac:dyDescent="0.75">
      <c r="C126" s="1"/>
      <c r="D126" s="1"/>
      <c r="E126" s="1"/>
      <c r="F126" s="1"/>
      <c r="G126" s="1"/>
      <c r="H126" s="1"/>
      <c r="I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X126" s="1"/>
      <c r="Y126" s="1"/>
      <c r="Z126" s="1"/>
      <c r="AA126" s="1"/>
      <c r="AB126" s="1"/>
      <c r="AC126" s="1"/>
      <c r="AD126" s="1"/>
      <c r="AE126" s="1"/>
      <c r="AF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3:51" x14ac:dyDescent="0.75">
      <c r="C127" s="1"/>
      <c r="D127" s="1"/>
      <c r="E127" s="1"/>
      <c r="F127" s="1"/>
      <c r="G127" s="1"/>
      <c r="H127" s="1"/>
      <c r="I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X127" s="1"/>
      <c r="Y127" s="1"/>
      <c r="Z127" s="1"/>
      <c r="AA127" s="1"/>
      <c r="AB127" s="1"/>
      <c r="AC127" s="1"/>
      <c r="AD127" s="1"/>
      <c r="AE127" s="1"/>
      <c r="AF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3:51" x14ac:dyDescent="0.75">
      <c r="C128" s="1"/>
      <c r="D128" s="1"/>
      <c r="E128" s="1"/>
      <c r="F128" s="1"/>
      <c r="G128" s="1"/>
      <c r="H128" s="1"/>
      <c r="I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X128" s="1"/>
      <c r="Y128" s="1"/>
      <c r="Z128" s="1"/>
      <c r="AA128" s="1"/>
      <c r="AB128" s="1"/>
      <c r="AC128" s="1"/>
      <c r="AD128" s="1"/>
      <c r="AE128" s="1"/>
      <c r="AF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3:51" x14ac:dyDescent="0.75">
      <c r="C129" s="1"/>
      <c r="D129" s="1"/>
      <c r="E129" s="1"/>
      <c r="F129" s="1"/>
      <c r="G129" s="1"/>
      <c r="H129" s="1"/>
      <c r="I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X129" s="1"/>
      <c r="Y129" s="1"/>
      <c r="Z129" s="1"/>
      <c r="AA129" s="1"/>
      <c r="AB129" s="1"/>
      <c r="AC129" s="1"/>
      <c r="AD129" s="1"/>
      <c r="AE129" s="1"/>
      <c r="AF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950D-7607-4102-988A-93BA95AE501B}">
  <dimension ref="A1:BU64"/>
  <sheetViews>
    <sheetView tabSelected="1" topLeftCell="X1" zoomScale="85" zoomScaleNormal="85" workbookViewId="0">
      <selection activeCell="AG5" sqref="AG5"/>
    </sheetView>
  </sheetViews>
  <sheetFormatPr defaultColWidth="8.81640625" defaultRowHeight="14.75" x14ac:dyDescent="0.75"/>
  <cols>
    <col min="1" max="2" width="8.81640625" style="1"/>
    <col min="3" max="3" width="27.453125" style="1" bestFit="1" customWidth="1"/>
    <col min="4" max="4" width="10.1796875" style="1" bestFit="1" customWidth="1"/>
    <col min="5" max="5" width="12.6328125" style="1" bestFit="1" customWidth="1"/>
    <col min="6" max="6" width="11.36328125" style="1" customWidth="1"/>
    <col min="7" max="7" width="10" style="1" bestFit="1" customWidth="1"/>
    <col min="8" max="8" width="23.453125" style="1" customWidth="1"/>
    <col min="9" max="9" width="9.81640625" style="1" customWidth="1"/>
    <col min="10" max="11" width="10" style="1" customWidth="1"/>
    <col min="12" max="22" width="8.81640625" style="1"/>
    <col min="23" max="23" width="22.36328125" style="1" bestFit="1" customWidth="1"/>
    <col min="24" max="24" width="8.81640625" style="1"/>
    <col min="25" max="25" width="14.453125" style="1" customWidth="1"/>
    <col min="26" max="26" width="12.453125" style="1" customWidth="1"/>
    <col min="27" max="27" width="13.453125" style="1" customWidth="1"/>
    <col min="28" max="28" width="18.36328125" style="1" bestFit="1" customWidth="1"/>
    <col min="29" max="29" width="17" style="1" bestFit="1" customWidth="1"/>
    <col min="30" max="30" width="16.81640625" style="1" bestFit="1" customWidth="1"/>
    <col min="31" max="31" width="16" style="1" bestFit="1" customWidth="1"/>
    <col min="32" max="32" width="18.36328125" style="1" customWidth="1"/>
    <col min="33" max="33" width="23.6328125" style="1" bestFit="1" customWidth="1"/>
    <col min="34" max="34" width="12.36328125" style="1" customWidth="1"/>
    <col min="35" max="35" width="13.453125" style="1" bestFit="1" customWidth="1"/>
    <col min="36" max="36" width="16" style="1" bestFit="1" customWidth="1"/>
    <col min="37" max="37" width="17" style="1" bestFit="1" customWidth="1"/>
    <col min="38" max="38" width="16" style="1" bestFit="1" customWidth="1"/>
    <col min="39" max="39" width="17" style="1" bestFit="1" customWidth="1"/>
    <col min="40" max="40" width="13.36328125" style="1" customWidth="1"/>
    <col min="41" max="41" width="14" style="1" bestFit="1" customWidth="1"/>
    <col min="42" max="42" width="13.81640625" style="1" bestFit="1" customWidth="1"/>
    <col min="43" max="43" width="13.81640625" style="1" customWidth="1"/>
    <col min="44" max="44" width="13.453125" style="1" bestFit="1" customWidth="1"/>
    <col min="45" max="45" width="16" style="1" bestFit="1" customWidth="1"/>
    <col min="46" max="46" width="17" style="1" bestFit="1" customWidth="1"/>
    <col min="47" max="51" width="13.6328125" style="1" customWidth="1"/>
    <col min="52" max="52" width="16" style="1" bestFit="1" customWidth="1"/>
    <col min="53" max="53" width="17" style="1" bestFit="1" customWidth="1"/>
    <col min="54" max="54" width="10.81640625" style="1" customWidth="1"/>
    <col min="55" max="55" width="12.453125" style="1" customWidth="1"/>
    <col min="56" max="56" width="8.81640625" style="149"/>
    <col min="57" max="57" width="25.81640625" style="1" bestFit="1" customWidth="1"/>
    <col min="58" max="58" width="15.81640625" style="1" bestFit="1" customWidth="1"/>
    <col min="59" max="61" width="8.81640625" style="1"/>
    <col min="62" max="62" width="26.36328125" style="1" bestFit="1" customWidth="1"/>
    <col min="63" max="66" width="8.81640625" style="1"/>
    <col min="67" max="67" width="18" style="1" bestFit="1" customWidth="1"/>
    <col min="68" max="69" width="10" style="1" customWidth="1"/>
    <col min="70" max="70" width="19" style="1" customWidth="1"/>
    <col min="71" max="71" width="13.36328125" style="1" bestFit="1" customWidth="1"/>
    <col min="72" max="72" width="15.81640625" style="1" customWidth="1"/>
    <col min="73" max="73" width="13.6328125" style="1" customWidth="1"/>
    <col min="74" max="16384" width="8.81640625" style="1"/>
  </cols>
  <sheetData>
    <row r="1" spans="1:73" ht="15.5" thickBot="1" x14ac:dyDescent="0.9">
      <c r="C1" s="17" t="s">
        <v>37</v>
      </c>
      <c r="D1" s="7"/>
      <c r="E1" s="8"/>
      <c r="F1" s="17" t="s">
        <v>40</v>
      </c>
      <c r="G1" s="8"/>
      <c r="H1" s="10"/>
      <c r="X1" s="10"/>
      <c r="Y1" s="11" t="s">
        <v>38</v>
      </c>
      <c r="AT1" s="10"/>
      <c r="AU1" s="10"/>
      <c r="AV1" s="10"/>
      <c r="AW1" s="10"/>
      <c r="AX1" s="10"/>
      <c r="AY1" s="10"/>
      <c r="AZ1" s="10"/>
      <c r="BA1" s="10"/>
      <c r="BB1" s="10"/>
      <c r="BE1" s="1" t="s">
        <v>85</v>
      </c>
    </row>
    <row r="2" spans="1:73" ht="15.5" thickBot="1" x14ac:dyDescent="0.9">
      <c r="C2" s="5"/>
      <c r="D2" s="6" t="s">
        <v>38</v>
      </c>
      <c r="E2" s="8" t="s">
        <v>39</v>
      </c>
      <c r="F2" s="6" t="s">
        <v>38</v>
      </c>
      <c r="G2" s="8" t="s">
        <v>39</v>
      </c>
      <c r="H2" s="10"/>
      <c r="I2" s="1" t="s">
        <v>80</v>
      </c>
      <c r="W2" s="150"/>
      <c r="X2" s="176"/>
      <c r="Z2" s="150" t="s">
        <v>100</v>
      </c>
      <c r="AA2" s="151"/>
      <c r="AB2" s="151"/>
      <c r="AC2" s="151"/>
      <c r="AD2" s="151"/>
      <c r="AE2" s="151"/>
      <c r="AF2" s="151"/>
      <c r="AG2" s="150" t="s">
        <v>101</v>
      </c>
      <c r="AH2" s="151"/>
      <c r="AI2" s="151"/>
      <c r="AJ2" s="151"/>
      <c r="AK2" s="151"/>
      <c r="AL2" s="151"/>
      <c r="AM2" s="151"/>
      <c r="AN2" s="150" t="s">
        <v>103</v>
      </c>
      <c r="AO2" s="152"/>
      <c r="AP2" s="152"/>
      <c r="AQ2" s="152"/>
      <c r="AR2" s="152"/>
      <c r="AS2" s="151"/>
      <c r="AT2" s="151"/>
      <c r="AU2" s="150" t="s">
        <v>102</v>
      </c>
      <c r="AV2" s="152"/>
      <c r="AW2" s="152"/>
      <c r="AX2" s="152"/>
      <c r="AY2" s="152"/>
      <c r="AZ2" s="151"/>
      <c r="BA2" s="151"/>
      <c r="BB2" s="176"/>
      <c r="BE2" s="1" t="s">
        <v>113</v>
      </c>
      <c r="BF2" s="1" t="s">
        <v>112</v>
      </c>
      <c r="BJ2" s="1" t="s">
        <v>114</v>
      </c>
      <c r="BK2" s="1" t="s">
        <v>128</v>
      </c>
      <c r="BO2" s="1" t="s">
        <v>124</v>
      </c>
      <c r="BP2" s="1" t="s">
        <v>125</v>
      </c>
    </row>
    <row r="3" spans="1:73" x14ac:dyDescent="0.75">
      <c r="W3" s="176" t="s">
        <v>127</v>
      </c>
      <c r="X3" s="176"/>
      <c r="Z3" s="153" t="s">
        <v>86</v>
      </c>
      <c r="AA3" s="1" t="s">
        <v>21</v>
      </c>
      <c r="AB3" s="1" t="s">
        <v>87</v>
      </c>
      <c r="AC3" s="1" t="s">
        <v>6</v>
      </c>
      <c r="AD3" s="1" t="s">
        <v>88</v>
      </c>
      <c r="AE3" s="1" t="s">
        <v>104</v>
      </c>
      <c r="AF3" s="1" t="s">
        <v>105</v>
      </c>
      <c r="AG3" s="153" t="s">
        <v>86</v>
      </c>
      <c r="AH3" s="1" t="s">
        <v>21</v>
      </c>
      <c r="AI3" s="1" t="s">
        <v>87</v>
      </c>
      <c r="AJ3" s="1" t="s">
        <v>6</v>
      </c>
      <c r="AK3" s="1" t="s">
        <v>88</v>
      </c>
      <c r="AL3" s="1" t="s">
        <v>104</v>
      </c>
      <c r="AM3" s="1" t="s">
        <v>105</v>
      </c>
      <c r="AN3" s="153" t="s">
        <v>86</v>
      </c>
      <c r="AO3" s="1" t="s">
        <v>21</v>
      </c>
      <c r="AP3" s="1" t="s">
        <v>87</v>
      </c>
      <c r="AQ3" s="1" t="s">
        <v>6</v>
      </c>
      <c r="AR3" s="1" t="s">
        <v>88</v>
      </c>
      <c r="AS3" s="1" t="s">
        <v>104</v>
      </c>
      <c r="AT3" s="1" t="s">
        <v>105</v>
      </c>
      <c r="AU3" s="153" t="s">
        <v>86</v>
      </c>
      <c r="AV3" s="1" t="s">
        <v>21</v>
      </c>
      <c r="AW3" s="1" t="s">
        <v>87</v>
      </c>
      <c r="AX3" s="1" t="s">
        <v>6</v>
      </c>
      <c r="AY3" s="1" t="s">
        <v>88</v>
      </c>
      <c r="AZ3" s="1" t="s">
        <v>104</v>
      </c>
      <c r="BA3" s="1" t="s">
        <v>105</v>
      </c>
      <c r="BB3" s="153"/>
      <c r="BR3" s="1" t="s">
        <v>89</v>
      </c>
    </row>
    <row r="4" spans="1:73" x14ac:dyDescent="0.75">
      <c r="C4" s="3"/>
      <c r="D4" s="31"/>
      <c r="E4" s="12"/>
      <c r="F4" s="31"/>
      <c r="G4" s="31"/>
      <c r="H4" s="31"/>
      <c r="I4" s="31"/>
      <c r="J4" s="31"/>
      <c r="K4" s="31"/>
      <c r="W4" s="159"/>
      <c r="X4" s="176"/>
      <c r="Y4" s="3">
        <f>+Valorizzazione!C6</f>
        <v>43724</v>
      </c>
      <c r="Z4" s="154"/>
      <c r="AA4" s="2">
        <f>+Valorizzazione!Z6+Valorizzazione!AA6</f>
        <v>1985194.307324812</v>
      </c>
      <c r="AB4" s="2"/>
      <c r="AC4" s="2"/>
      <c r="AD4" s="2"/>
      <c r="AG4" s="154"/>
      <c r="AH4" s="2">
        <f>+Valorizzazione!AB6</f>
        <v>755921.25093282573</v>
      </c>
      <c r="AI4" s="2"/>
      <c r="AJ4" s="2"/>
      <c r="AK4" s="2"/>
      <c r="AL4" s="2"/>
      <c r="AM4" s="10"/>
      <c r="AN4" s="154"/>
      <c r="AO4" s="2">
        <f>+Valorizzazione!AC6</f>
        <v>1748485.2201930922</v>
      </c>
      <c r="AP4" s="2"/>
      <c r="AQ4" s="2"/>
      <c r="AR4" s="2"/>
      <c r="AS4" s="2"/>
      <c r="AT4" s="10"/>
      <c r="AU4" s="154"/>
      <c r="AV4" s="20">
        <f>+Valorizzazione!Y6</f>
        <v>499592.96592400002</v>
      </c>
      <c r="AW4" s="2"/>
      <c r="AX4" s="2"/>
      <c r="AY4" s="2"/>
      <c r="AZ4" s="2"/>
      <c r="BA4" s="2"/>
      <c r="BB4" s="154"/>
      <c r="BH4" s="1" t="s">
        <v>90</v>
      </c>
      <c r="BM4" s="1" t="s">
        <v>90</v>
      </c>
      <c r="BR4" s="20">
        <f>+Valorizzazione!AE6</f>
        <v>4989421.5108260103</v>
      </c>
      <c r="BS4" s="20"/>
    </row>
    <row r="5" spans="1:73" x14ac:dyDescent="0.75">
      <c r="C5" s="3">
        <f>+Valorizzazione!C5</f>
        <v>43721</v>
      </c>
      <c r="D5" s="31"/>
      <c r="E5" s="12"/>
      <c r="F5" s="12">
        <v>0</v>
      </c>
      <c r="G5" s="12">
        <v>0</v>
      </c>
      <c r="H5" s="12"/>
      <c r="I5" s="12"/>
      <c r="J5" s="12"/>
      <c r="K5" s="12"/>
      <c r="W5" s="154">
        <f>+VLOOKUP($Y$5,Prezzi!$S$12:$T$367,2,0)/VLOOKUP($Y$4,Prezzi!$S$12:$T$367,2,0)-1</f>
        <v>-5.4392167527872459E-4</v>
      </c>
      <c r="X5" s="176"/>
      <c r="Y5" s="3">
        <f>+Valorizzazione!C28</f>
        <v>43754</v>
      </c>
      <c r="Z5" s="154">
        <f>+AA4/$BR4</f>
        <v>0.39788065670886935</v>
      </c>
      <c r="AA5" s="2">
        <f>+Valorizzazione!Z28+Valorizzazione!AA28</f>
        <v>2003829.083663492</v>
      </c>
      <c r="AB5" s="2"/>
      <c r="AC5" s="2">
        <f>'Prezzi-Rend EUR'!G29 *3641</f>
        <v>4948.7372577830838</v>
      </c>
      <c r="AD5" s="155">
        <f>+AA5-AA4-AB5+AC5</f>
        <v>23583.513596463032</v>
      </c>
      <c r="AE5" s="193">
        <f>+AD5/AA4</f>
        <v>1.1879700394790806E-2</v>
      </c>
      <c r="AF5" s="12">
        <f>AE5+$W5</f>
        <v>1.1335778719512081E-2</v>
      </c>
      <c r="AG5" s="154">
        <f>+AH4/$BR4</f>
        <v>0.15150478853963997</v>
      </c>
      <c r="AH5" s="2">
        <f>+Valorizzazione!AB28</f>
        <v>749440.30232380948</v>
      </c>
      <c r="AI5" s="2"/>
      <c r="AJ5" s="75">
        <v>0</v>
      </c>
      <c r="AK5" s="155">
        <f>+AH5-AH4-AI5+AJ5</f>
        <v>-6480.9486090162536</v>
      </c>
      <c r="AL5" s="12">
        <f>+AK5/AH4</f>
        <v>-8.5735764155573102E-3</v>
      </c>
      <c r="AM5" s="12">
        <f>AL5+$W5</f>
        <v>-9.1174980908360348E-3</v>
      </c>
      <c r="AN5" s="154">
        <f>+AO4/$BR4</f>
        <v>0.35043846594224237</v>
      </c>
      <c r="AO5" s="2">
        <f>+Valorizzazione!AC28</f>
        <v>1746979.2495510203</v>
      </c>
      <c r="AP5" s="2"/>
      <c r="AQ5" s="2">
        <f>'Prezzi-Rend EUR'!M24 *17071</f>
        <v>6212.6296343127451</v>
      </c>
      <c r="AR5" s="155">
        <f>+AO5-AO4-AP5+AQ5</f>
        <v>4706.6589922408293</v>
      </c>
      <c r="AS5" s="193">
        <f>+AR5/AO4</f>
        <v>2.6918494579674253E-3</v>
      </c>
      <c r="AT5" s="12">
        <f>AS5+$W5</f>
        <v>2.1479277826887007E-3</v>
      </c>
      <c r="AU5" s="154">
        <f>AV4/$BR4</f>
        <v>0.10013043893765777</v>
      </c>
      <c r="AV5" s="20">
        <f>+Valorizzazione!Y28</f>
        <v>500122.69171299995</v>
      </c>
      <c r="AW5" s="2"/>
      <c r="AX5" s="75">
        <v>0</v>
      </c>
      <c r="AY5" s="155">
        <f>+AV5-AV4-AW5+AX5</f>
        <v>529.72578899993096</v>
      </c>
      <c r="AZ5" s="193">
        <f>+AY5/AV4</f>
        <v>1.0603147464660558E-3</v>
      </c>
      <c r="BA5" s="193">
        <f>+AZ5</f>
        <v>1.0603147464660558E-3</v>
      </c>
      <c r="BB5" s="154"/>
      <c r="BE5" s="158">
        <f>+Z5*AE5+AG5*AL5+AN5*AS5+AU5*AZ5</f>
        <v>4.4772624882898045E-3</v>
      </c>
      <c r="BF5" s="156">
        <f>+BE5-BE13</f>
        <v>6.1691883911375502E-3</v>
      </c>
      <c r="BG5" s="12"/>
      <c r="BH5" s="1" t="b">
        <f>+ABS(BF5-Z54)&lt;10^-5</f>
        <v>1</v>
      </c>
      <c r="BJ5" s="158">
        <f>+Z5*AF5+AG5*AM5+AN5*AT5+AU5*BA5</f>
        <v>3.9878287590590766E-3</v>
      </c>
      <c r="BK5" s="156">
        <f>+BJ5-BE13</f>
        <v>5.6797546619068232E-3</v>
      </c>
      <c r="BM5" s="1" t="b">
        <f>+ABS(BK5-AF54)&lt;10^-5</f>
        <v>1</v>
      </c>
      <c r="BO5" s="158">
        <f t="array" ref="BO5">PRODUCT(1+D7:D28)-1</f>
        <v>4.4772624882898349E-3</v>
      </c>
      <c r="BP5" s="158" t="b">
        <f>+ABS(BO5-BE5)&lt;10^-8</f>
        <v>1</v>
      </c>
      <c r="BQ5" s="158"/>
      <c r="BR5" s="20">
        <f>+Valorizzazione!AE28</f>
        <v>5011760.4605946979</v>
      </c>
      <c r="BT5" s="1" t="s">
        <v>91</v>
      </c>
      <c r="BU5" s="20">
        <f>+SUM(AD5:AD6,AK5:AK6,AR5:AR6,AY5:AY6)</f>
        <v>11335.67030308739</v>
      </c>
    </row>
    <row r="6" spans="1:73" ht="15.5" thickBot="1" x14ac:dyDescent="0.9">
      <c r="A6" s="140"/>
      <c r="C6" s="3">
        <f>+Valorizzazione!C6</f>
        <v>43724</v>
      </c>
      <c r="D6" s="31">
        <f>+Valorizzazione!AF6</f>
        <v>-2.1156978347979249E-3</v>
      </c>
      <c r="E6" s="12">
        <f>+VLOOKUP(C6,'Prezzi-Rend EUR'!$AY$5:$AZ$359,2,0)</f>
        <v>4.5654807462369544E-5</v>
      </c>
      <c r="F6" s="12">
        <f>+D6</f>
        <v>-2.1156978347979249E-3</v>
      </c>
      <c r="G6" s="12">
        <f>+E6</f>
        <v>4.5654807462369544E-5</v>
      </c>
      <c r="H6" s="12"/>
      <c r="I6" s="12">
        <f t="shared" ref="I6:I40" si="0">+D6-E6</f>
        <v>-2.1613526422602945E-3</v>
      </c>
      <c r="J6" s="12"/>
      <c r="K6" s="12"/>
      <c r="W6" s="154">
        <f>+VLOOKUP($Y$6,Prezzi!$S$12:$T$367,2,0)/VLOOKUP($Y$5,Prezzi!$S$12:$T$367,2,0)-1</f>
        <v>1.0340136054421745E-2</v>
      </c>
      <c r="X6" s="176"/>
      <c r="Y6" s="3">
        <f>+Valorizzazione!C40</f>
        <v>43770</v>
      </c>
      <c r="Z6" s="154">
        <f>+(AA5+AB6)/$BR5</f>
        <v>0.20021540515567898</v>
      </c>
      <c r="AA6" s="2">
        <f>+Valorizzazione!Z40+Valorizzazione!AA40</f>
        <v>1011492.100468624</v>
      </c>
      <c r="AB6" s="2">
        <f>+implementazione!N30+implementazione!O30</f>
        <v>-1000397.4325023122</v>
      </c>
      <c r="AC6" s="157">
        <v>0</v>
      </c>
      <c r="AD6" s="2">
        <f>+AA6-AA5-AB6+AC6</f>
        <v>8060.4493074442726</v>
      </c>
      <c r="AE6" s="12">
        <f>+AD6/(AA5+AB6)</f>
        <v>8.0328832542970428E-3</v>
      </c>
      <c r="AF6" s="12">
        <f>AE6+$W6</f>
        <v>1.8373019308718787E-2</v>
      </c>
      <c r="AG6" s="154">
        <f>+(AH5+AI6)/$BR5</f>
        <v>5.0493626049255669E-2</v>
      </c>
      <c r="AH6" s="2">
        <f>+Valorizzazione!AB40</f>
        <v>250545.86265553464</v>
      </c>
      <c r="AI6" s="155">
        <f>+implementazione!P30</f>
        <v>-496378.34377809544</v>
      </c>
      <c r="AJ6" s="157">
        <v>0</v>
      </c>
      <c r="AK6" s="155">
        <f>+AH6-AH5-AI6+AJ6</f>
        <v>-2516.0958901793929</v>
      </c>
      <c r="AL6" s="12">
        <f>+AK6/(AH5+AI6)</f>
        <v>-9.9426081448147647E-3</v>
      </c>
      <c r="AM6" s="12">
        <f>AL6+$W6</f>
        <v>3.9752790960697997E-4</v>
      </c>
      <c r="AN6" s="154">
        <f>+(AO5+AP6)/$BR5</f>
        <v>0.15058012557060882</v>
      </c>
      <c r="AO6" s="2">
        <f>+Valorizzazione!AC40</f>
        <v>742457.623122363</v>
      </c>
      <c r="AP6" s="157">
        <f>+implementazione!Q30</f>
        <v>-992307.73006485845</v>
      </c>
      <c r="AQ6" s="157">
        <v>0</v>
      </c>
      <c r="AR6" s="155">
        <f>+AO6-AO5-AP6+AQ6</f>
        <v>-12213.896363798878</v>
      </c>
      <c r="AS6" s="12">
        <f>+AR6/(AO5+AP6)</f>
        <v>-1.6184387575822436E-2</v>
      </c>
      <c r="AT6" s="12">
        <f>AS6+$W6</f>
        <v>-5.8442515214006917E-3</v>
      </c>
      <c r="AU6" s="154">
        <f>+(AV5+AW6)/$BR5</f>
        <v>0.59868572285935406</v>
      </c>
      <c r="AV6" s="20">
        <f>+Valorizzazione!Y40</f>
        <v>2996135.6976299998</v>
      </c>
      <c r="AW6" s="157">
        <f>++implementazione!M30</f>
        <v>2500346.7424360658</v>
      </c>
      <c r="AX6" s="157">
        <v>0</v>
      </c>
      <c r="AY6" s="155">
        <f>+AV6-AV5-AW6+AX6</f>
        <v>-4333.7365190661512</v>
      </c>
      <c r="AZ6" s="12">
        <f>+AY6/(AV5+AW6)</f>
        <v>-1.444352830174789E-3</v>
      </c>
      <c r="BA6" s="12">
        <f>+AZ6</f>
        <v>-1.444352830174789E-3</v>
      </c>
      <c r="BB6" s="154"/>
      <c r="BE6" s="158">
        <f>+Z6*AE6+AG6*AL6+AN6*AS6+AU6*AZ6</f>
        <v>-2.1954918939391002E-3</v>
      </c>
      <c r="BF6" s="156">
        <f>+BE6-BE14</f>
        <v>-1.1650382228470542E-2</v>
      </c>
      <c r="BG6" s="158"/>
      <c r="BH6" s="1" t="b">
        <f>+ABS(BF6-AA54)&lt;10^-5</f>
        <v>1</v>
      </c>
      <c r="BJ6" s="158">
        <f>+Z6*AF6+AG6*AM6+AN6*AT6+AU6*BA6</f>
        <v>1.9538925842841966E-3</v>
      </c>
      <c r="BK6" s="156">
        <f>+BJ6-BE14</f>
        <v>-7.5009977502472451E-3</v>
      </c>
      <c r="BM6" s="1" t="b">
        <f>+ABS(BK6-AG54)&lt;10^-5</f>
        <v>1</v>
      </c>
      <c r="BO6" s="158">
        <f t="array" ref="BO6">+PRODUCT(1+D29:D40)-1</f>
        <v>-2.1954918939391943E-3</v>
      </c>
      <c r="BP6" s="158" t="b">
        <f>+ABS(BO6-BE6)&lt;10^-8</f>
        <v>1</v>
      </c>
      <c r="BQ6" s="158"/>
      <c r="BR6" s="20">
        <f>+Valorizzazione!AE40</f>
        <v>5000757.1811290979</v>
      </c>
      <c r="BU6" s="20">
        <f>BR6-BR4</f>
        <v>11335.670303087682</v>
      </c>
    </row>
    <row r="7" spans="1:73" x14ac:dyDescent="0.75">
      <c r="A7" s="140"/>
      <c r="C7" s="3">
        <f>+Valorizzazione!C7</f>
        <v>43725</v>
      </c>
      <c r="D7" s="31">
        <f>+Valorizzazione!AF7</f>
        <v>3.7801016507608143E-3</v>
      </c>
      <c r="E7" s="12">
        <f>+VLOOKUP(C7,'Prezzi-Rend EUR'!$AY$5:$AZ$359,2,0)</f>
        <v>-3.6541847983553302E-4</v>
      </c>
      <c r="F7" s="12">
        <f t="shared" ref="F7:G22" si="1">+(1+F6)*(1+D7)-1</f>
        <v>1.6564062630850529E-3</v>
      </c>
      <c r="G7" s="12">
        <f t="shared" si="1"/>
        <v>-3.1978035548352324E-4</v>
      </c>
      <c r="H7" s="12"/>
      <c r="I7" s="12">
        <f t="shared" si="0"/>
        <v>4.1455201305963477E-3</v>
      </c>
      <c r="J7" s="12"/>
      <c r="K7" s="12"/>
      <c r="W7" s="151"/>
      <c r="Y7" s="3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E7" s="158">
        <f>+(1+BE5)*(1+BE6)-1</f>
        <v>2.2719408008506914E-3</v>
      </c>
      <c r="BF7" s="156">
        <f>+BE7-BE15</f>
        <v>-5.4750266569674189E-3</v>
      </c>
      <c r="BH7" s="1" t="b">
        <f>+ABS(BF7-AC54)&lt;10^-5</f>
        <v>1</v>
      </c>
      <c r="BJ7" s="158">
        <f>+(1+BJ5)*(1+BJ6)-1</f>
        <v>5.9495131323830108E-3</v>
      </c>
      <c r="BK7" s="156">
        <f>+BJ7-BE15</f>
        <v>-1.7974543254350994E-3</v>
      </c>
      <c r="BM7" s="1" t="b">
        <f>+ABS(BK7-AI54)&lt;10^-5</f>
        <v>1</v>
      </c>
      <c r="BU7" s="1" t="b">
        <f>+ABS(BU5-BU6)&lt;10^-5</f>
        <v>1</v>
      </c>
    </row>
    <row r="8" spans="1:73" x14ac:dyDescent="0.75">
      <c r="A8" s="140"/>
      <c r="C8" s="3">
        <f>+Valorizzazione!C8</f>
        <v>43726</v>
      </c>
      <c r="D8" s="31">
        <f>+Valorizzazione!AF8</f>
        <v>-4.2647286868235934E-4</v>
      </c>
      <c r="E8" s="12">
        <f>+VLOOKUP(C8,'Prezzi-Rend EUR'!$AY$5:$AZ$359,2,0)</f>
        <v>2.0870296103520313E-3</v>
      </c>
      <c r="F8" s="12">
        <f t="shared" si="1"/>
        <v>1.2292269820719515E-3</v>
      </c>
      <c r="G8" s="12">
        <f t="shared" si="1"/>
        <v>1.7665818637979669E-3</v>
      </c>
      <c r="H8" s="12"/>
      <c r="I8" s="12">
        <f t="shared" si="0"/>
        <v>-2.5135024790343906E-3</v>
      </c>
      <c r="J8" s="12"/>
      <c r="K8" s="12"/>
      <c r="AD8" s="155"/>
      <c r="AE8" s="177"/>
      <c r="AS8" s="177"/>
      <c r="AT8" s="10"/>
      <c r="AU8" s="10"/>
      <c r="AV8" s="10"/>
      <c r="AW8" s="10"/>
      <c r="AX8" s="10"/>
      <c r="AY8" s="10"/>
      <c r="AZ8" s="10"/>
      <c r="BA8" s="10"/>
    </row>
    <row r="9" spans="1:73" x14ac:dyDescent="0.75">
      <c r="A9" s="140"/>
      <c r="C9" s="3">
        <f>+Valorizzazione!C9</f>
        <v>43727</v>
      </c>
      <c r="D9" s="31">
        <f>+Valorizzazione!AF9</f>
        <v>-4.1062662044033527E-4</v>
      </c>
      <c r="E9" s="12">
        <f>+VLOOKUP(C9,'Prezzi-Rend EUR'!$AY$5:$AZ$359,2,0)</f>
        <v>5.3672622491007793E-5</v>
      </c>
      <c r="F9" s="12">
        <f t="shared" si="1"/>
        <v>8.1809560831014316E-4</v>
      </c>
      <c r="G9" s="12">
        <f t="shared" si="1"/>
        <v>1.8203493033703833E-3</v>
      </c>
      <c r="H9" s="12"/>
      <c r="I9" s="12">
        <f t="shared" si="0"/>
        <v>-4.6429924293134306E-4</v>
      </c>
      <c r="J9" s="12"/>
      <c r="K9" s="12"/>
      <c r="W9" s="10"/>
    </row>
    <row r="10" spans="1:73" ht="15.5" thickBot="1" x14ac:dyDescent="0.9">
      <c r="A10" s="140"/>
      <c r="C10" s="3">
        <f>+Valorizzazione!C10</f>
        <v>43728</v>
      </c>
      <c r="D10" s="31">
        <f>+Valorizzazione!AF10</f>
        <v>3.9686154154905395E-3</v>
      </c>
      <c r="E10" s="12">
        <f>+VLOOKUP(C10,'Prezzi-Rend EUR'!$AY$5:$AZ$359,2,0)</f>
        <v>-6.3537155876551847E-4</v>
      </c>
      <c r="F10" s="12">
        <f t="shared" si="1"/>
        <v>4.7899577306431684E-3</v>
      </c>
      <c r="G10" s="12">
        <f t="shared" si="1"/>
        <v>1.1838211464305637E-3</v>
      </c>
      <c r="H10" s="12"/>
      <c r="I10" s="12">
        <f t="shared" si="0"/>
        <v>4.6039869742560578E-3</v>
      </c>
      <c r="J10" s="12"/>
      <c r="K10" s="12"/>
      <c r="W10" s="10"/>
      <c r="Y10" s="11" t="s">
        <v>39</v>
      </c>
      <c r="AL10" s="10"/>
      <c r="BE10" s="1" t="s">
        <v>92</v>
      </c>
      <c r="BT10" s="20"/>
    </row>
    <row r="11" spans="1:73" x14ac:dyDescent="0.75">
      <c r="A11" s="140"/>
      <c r="C11" s="3">
        <f>+Valorizzazione!C11</f>
        <v>43731</v>
      </c>
      <c r="D11" s="31">
        <f>+Valorizzazione!AF11</f>
        <v>5.2491519145814181E-3</v>
      </c>
      <c r="E11" s="12">
        <f>+VLOOKUP(C11,'Prezzi-Rend EUR'!$AY$5:$AZ$359,2,0)</f>
        <v>2.5557547139487989E-3</v>
      </c>
      <c r="F11" s="12">
        <f t="shared" si="1"/>
        <v>1.0064252861017087E-2</v>
      </c>
      <c r="G11" s="12">
        <f t="shared" si="1"/>
        <v>3.742601416854674E-3</v>
      </c>
      <c r="H11" s="12"/>
      <c r="I11" s="12">
        <f t="shared" si="0"/>
        <v>2.6933972006326192E-3</v>
      </c>
      <c r="J11" s="3"/>
      <c r="K11" s="3"/>
      <c r="W11" s="80"/>
      <c r="Z11" s="150" t="s">
        <v>93</v>
      </c>
      <c r="AA11" s="151"/>
      <c r="AB11" s="151"/>
      <c r="AC11" s="151"/>
      <c r="AD11" s="150" t="s">
        <v>94</v>
      </c>
      <c r="AE11" s="151"/>
      <c r="AF11" s="151"/>
      <c r="AG11" s="151"/>
      <c r="AH11" s="150" t="s">
        <v>95</v>
      </c>
      <c r="AI11" s="151"/>
      <c r="AJ11" s="151"/>
      <c r="AK11" s="151"/>
      <c r="AL11" s="176"/>
      <c r="AM11" s="11"/>
      <c r="AN11" s="11"/>
      <c r="AO11" s="11"/>
      <c r="AP11" s="11"/>
      <c r="AQ11" s="11"/>
    </row>
    <row r="12" spans="1:73" x14ac:dyDescent="0.75">
      <c r="A12" s="140"/>
      <c r="C12" s="3">
        <f>+Valorizzazione!C12</f>
        <v>43732</v>
      </c>
      <c r="D12" s="31">
        <f>+Valorizzazione!AF12</f>
        <v>-3.7509930709147543E-3</v>
      </c>
      <c r="E12" s="12">
        <f>+VLOOKUP(C12,'Prezzi-Rend EUR'!$AY$5:$AZ$359,2,0)</f>
        <v>-1.2560932213839136E-3</v>
      </c>
      <c r="F12" s="12">
        <f t="shared" si="1"/>
        <v>6.2755088473567255E-3</v>
      </c>
      <c r="G12" s="12">
        <f t="shared" si="1"/>
        <v>2.4818071392007646E-3</v>
      </c>
      <c r="H12" s="12"/>
      <c r="I12" s="12">
        <f t="shared" si="0"/>
        <v>-2.4948998495308407E-3</v>
      </c>
      <c r="J12" s="3"/>
      <c r="K12" s="12"/>
      <c r="W12" s="10"/>
      <c r="Z12" s="153" t="s">
        <v>35</v>
      </c>
      <c r="AA12" s="1" t="s">
        <v>96</v>
      </c>
      <c r="AB12" s="1" t="s">
        <v>104</v>
      </c>
      <c r="AC12" s="1" t="s">
        <v>105</v>
      </c>
      <c r="AD12" s="153" t="s">
        <v>35</v>
      </c>
      <c r="AE12" s="1" t="s">
        <v>96</v>
      </c>
      <c r="AF12" s="1" t="s">
        <v>104</v>
      </c>
      <c r="AG12" s="1" t="s">
        <v>105</v>
      </c>
      <c r="AH12" s="153" t="s">
        <v>35</v>
      </c>
      <c r="AI12" s="1" t="s">
        <v>96</v>
      </c>
      <c r="AJ12" s="1" t="s">
        <v>104</v>
      </c>
      <c r="AK12" s="1" t="s">
        <v>105</v>
      </c>
      <c r="AL12" s="153"/>
    </row>
    <row r="13" spans="1:73" x14ac:dyDescent="0.75">
      <c r="A13" s="140"/>
      <c r="C13" s="3">
        <f>+Valorizzazione!C13</f>
        <v>43733</v>
      </c>
      <c r="D13" s="31">
        <f>+Valorizzazione!AF13</f>
        <v>-3.4689717935878495E-3</v>
      </c>
      <c r="E13" s="12">
        <f>+VLOOKUP(C13,'Prezzi-Rend EUR'!$AY$5:$AZ$359,2,0)</f>
        <v>-4.4165458047822341E-4</v>
      </c>
      <c r="F13" s="12">
        <f t="shared" si="1"/>
        <v>2.7847674905869813E-3</v>
      </c>
      <c r="G13" s="12">
        <f t="shared" si="1"/>
        <v>2.0390564572316805E-3</v>
      </c>
      <c r="H13" s="12"/>
      <c r="I13" s="12">
        <f t="shared" si="0"/>
        <v>-3.0273172131096262E-3</v>
      </c>
      <c r="J13" s="3"/>
      <c r="K13" s="12"/>
      <c r="W13" s="10"/>
      <c r="Y13" s="3">
        <f>+Y4</f>
        <v>43724</v>
      </c>
      <c r="Z13" s="159"/>
      <c r="AA13" s="20">
        <f>+'Prezzi-Rend EUR'!AJ39</f>
        <v>261.28319999999997</v>
      </c>
      <c r="AD13" s="159"/>
      <c r="AE13" s="20">
        <f>+'Prezzi-Rend EUR'!AK39</f>
        <v>254.01599999999999</v>
      </c>
      <c r="AH13" s="154"/>
      <c r="AI13" s="20">
        <f>+'Prezzi-Rend EUR'!AK39</f>
        <v>254.01599999999999</v>
      </c>
      <c r="AK13" s="10"/>
      <c r="AL13" s="154"/>
      <c r="AM13" s="3"/>
      <c r="BE13" s="156">
        <f>+Z14*AB14+AD14*AF14+AH14*AJ14</f>
        <v>-1.6919259028477462E-3</v>
      </c>
    </row>
    <row r="14" spans="1:73" x14ac:dyDescent="0.75">
      <c r="A14" s="140"/>
      <c r="C14" s="3">
        <f>+Valorizzazione!C14</f>
        <v>43734</v>
      </c>
      <c r="D14" s="31">
        <f>+Valorizzazione!AF14</f>
        <v>5.4087226142633948E-3</v>
      </c>
      <c r="E14" s="12">
        <f>+VLOOKUP(C14,'Prezzi-Rend EUR'!$AY$5:$AZ$359,2,0)</f>
        <v>6.0559193366982461E-5</v>
      </c>
      <c r="F14" s="12">
        <f t="shared" si="1"/>
        <v>8.2085521397521344E-3</v>
      </c>
      <c r="G14" s="12">
        <f t="shared" si="1"/>
        <v>2.0997391342127969E-3</v>
      </c>
      <c r="H14" s="12"/>
      <c r="I14" s="12">
        <f t="shared" si="0"/>
        <v>5.3481634208964127E-3</v>
      </c>
      <c r="J14" s="3"/>
      <c r="K14" s="12"/>
      <c r="W14" s="175"/>
      <c r="Y14" s="3">
        <f>+Y5</f>
        <v>43754</v>
      </c>
      <c r="Z14" s="154">
        <v>0.4</v>
      </c>
      <c r="AA14" s="20">
        <f>+'Prezzi-Rend EUR'!AJ17</f>
        <v>261.56509999999997</v>
      </c>
      <c r="AB14" s="31">
        <f>+AA14/AA13-1</f>
        <v>1.0789059533871104E-3</v>
      </c>
      <c r="AC14" s="31">
        <f>AB14</f>
        <v>1.0789059533871104E-3</v>
      </c>
      <c r="AD14" s="154">
        <v>0.45</v>
      </c>
      <c r="AE14" s="20">
        <f>+'Prezzi-Rend EUR'!AK17</f>
        <v>253.11699999999999</v>
      </c>
      <c r="AF14" s="31">
        <f>+AE14/AE13-1</f>
        <v>-3.5391471403376507E-3</v>
      </c>
      <c r="AG14" s="31">
        <f>AF14</f>
        <v>-3.5391471403376507E-3</v>
      </c>
      <c r="AH14" s="154">
        <v>0.15</v>
      </c>
      <c r="AI14" s="20">
        <f>+'Prezzi-Rend EUR'!AK17</f>
        <v>253.11699999999999</v>
      </c>
      <c r="AJ14" s="31">
        <f>+AI14/AI13-1</f>
        <v>-3.5391471403376507E-3</v>
      </c>
      <c r="AK14" s="31">
        <f>AJ14</f>
        <v>-3.5391471403376507E-3</v>
      </c>
      <c r="AL14" s="154"/>
      <c r="AM14" s="160"/>
      <c r="BE14" s="156">
        <f>+Z15*AB15+AD15*AF15+AH15*AJ15</f>
        <v>9.4548903345314413E-3</v>
      </c>
      <c r="BF14" s="156"/>
    </row>
    <row r="15" spans="1:73" ht="15.5" thickBot="1" x14ac:dyDescent="0.9">
      <c r="A15" s="140"/>
      <c r="C15" s="3">
        <f>+Valorizzazione!C15</f>
        <v>43735</v>
      </c>
      <c r="D15" s="31">
        <f>+Valorizzazione!AF15</f>
        <v>-9.4574482661502479E-4</v>
      </c>
      <c r="E15" s="12">
        <f>+VLOOKUP(C15,'Prezzi-Rend EUR'!$AY$5:$AZ$359,2,0)</f>
        <v>-1.6689588932176315E-3</v>
      </c>
      <c r="F15" s="12">
        <f t="shared" si="1"/>
        <v>7.2550441174168423E-3</v>
      </c>
      <c r="G15" s="12">
        <f t="shared" si="1"/>
        <v>4.272758626937545E-4</v>
      </c>
      <c r="H15" s="12"/>
      <c r="I15" s="12">
        <f t="shared" si="0"/>
        <v>7.2321406660260669E-4</v>
      </c>
      <c r="J15" s="3"/>
      <c r="K15" s="12"/>
      <c r="W15" s="175"/>
      <c r="Y15" s="3">
        <f>+Y6</f>
        <v>43770</v>
      </c>
      <c r="Z15" s="154">
        <v>0.4</v>
      </c>
      <c r="AA15" s="20">
        <f>+'Prezzi-Rend EUR'!AJ5</f>
        <v>268.3895</v>
      </c>
      <c r="AB15" s="31">
        <f>+AA15/AA14-1</f>
        <v>2.6090636709561021E-2</v>
      </c>
      <c r="AC15" s="31">
        <f>AB15</f>
        <v>2.6090636709561021E-2</v>
      </c>
      <c r="AD15" s="154">
        <v>0.45</v>
      </c>
      <c r="AE15" s="20">
        <f>+'Prezzi-Rend EUR'!AK5</f>
        <v>252.703</v>
      </c>
      <c r="AF15" s="31">
        <f>+AE15/AE14-1</f>
        <v>-1.6356072488216133E-3</v>
      </c>
      <c r="AG15" s="31">
        <f>AF15</f>
        <v>-1.6356072488216133E-3</v>
      </c>
      <c r="AH15" s="154">
        <v>0.15</v>
      </c>
      <c r="AI15" s="20">
        <f>+'Prezzi-Rend EUR'!AK5</f>
        <v>252.703</v>
      </c>
      <c r="AJ15" s="31">
        <f>+AI15/AI14-1</f>
        <v>-1.6356072488216133E-3</v>
      </c>
      <c r="AK15" s="31">
        <f>AJ15</f>
        <v>-1.6356072488216133E-3</v>
      </c>
      <c r="AL15" s="154"/>
      <c r="AM15" s="3"/>
      <c r="BE15" s="161">
        <f>(1+BE13)*(1+BE14)-1</f>
        <v>7.7469674578181102E-3</v>
      </c>
      <c r="BF15" s="161"/>
    </row>
    <row r="16" spans="1:73" x14ac:dyDescent="0.75">
      <c r="A16" s="140"/>
      <c r="C16" s="3">
        <f>+Valorizzazione!C16</f>
        <v>43738</v>
      </c>
      <c r="D16" s="31">
        <f>+Valorizzazione!AF16</f>
        <v>3.2954881470137476E-3</v>
      </c>
      <c r="E16" s="12">
        <f>+VLOOKUP(C16,'Prezzi-Rend EUR'!$AY$5:$AZ$359,2,0)</f>
        <v>7.5723917195373862E-4</v>
      </c>
      <c r="F16" s="12">
        <f t="shared" si="1"/>
        <v>1.0574441176325555E-2</v>
      </c>
      <c r="G16" s="12">
        <f t="shared" si="1"/>
        <v>1.1848385846680021E-3</v>
      </c>
      <c r="H16" s="12"/>
      <c r="I16" s="12">
        <f t="shared" si="0"/>
        <v>2.5382489750600092E-3</v>
      </c>
      <c r="J16" s="3"/>
      <c r="K16" s="12"/>
      <c r="W16" s="80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BF16" s="161"/>
    </row>
    <row r="17" spans="1:58" x14ac:dyDescent="0.75">
      <c r="A17" s="140"/>
      <c r="C17" s="3">
        <f>+Valorizzazione!C17</f>
        <v>43739</v>
      </c>
      <c r="D17" s="31">
        <f>+Valorizzazione!AF17</f>
        <v>-5.9133087376211924E-3</v>
      </c>
      <c r="E17" s="12">
        <f>+VLOOKUP(C17,'Prezzi-Rend EUR'!$AY$5:$AZ$359,2,0)</f>
        <v>-4.3524053172925735E-3</v>
      </c>
      <c r="F17" s="12">
        <f t="shared" si="1"/>
        <v>4.5986025033009081E-3</v>
      </c>
      <c r="G17" s="12">
        <f t="shared" si="1"/>
        <v>-3.1727236303805695E-3</v>
      </c>
      <c r="H17" s="12"/>
      <c r="I17" s="12">
        <f t="shared" si="0"/>
        <v>-1.5609034203286189E-3</v>
      </c>
      <c r="J17" s="3"/>
      <c r="K17" s="12"/>
      <c r="W17" s="10"/>
      <c r="BF17" s="156"/>
    </row>
    <row r="18" spans="1:58" x14ac:dyDescent="0.75">
      <c r="A18" s="140"/>
      <c r="C18" s="3">
        <f>+Valorizzazione!C18</f>
        <v>43740</v>
      </c>
      <c r="D18" s="31">
        <f>+Valorizzazione!AF18</f>
        <v>-8.5048587303225842E-3</v>
      </c>
      <c r="E18" s="12">
        <f>+VLOOKUP(C18,'Prezzi-Rend EUR'!$AY$5:$AZ$359,2,0)</f>
        <v>-7.6837633226891642E-3</v>
      </c>
      <c r="F18" s="12">
        <f t="shared" si="1"/>
        <v>-3.9453666916691166E-3</v>
      </c>
      <c r="G18" s="12">
        <f t="shared" si="1"/>
        <v>-1.0832108495605564E-2</v>
      </c>
      <c r="H18" s="12"/>
      <c r="I18" s="12">
        <f t="shared" si="0"/>
        <v>-8.2109540763342006E-4</v>
      </c>
      <c r="J18" s="3"/>
      <c r="K18" s="12"/>
      <c r="AJ18" s="156"/>
      <c r="AK18" s="156"/>
      <c r="AL18" s="156"/>
      <c r="AM18" s="156"/>
      <c r="AN18" s="156"/>
      <c r="AO18" s="156"/>
    </row>
    <row r="19" spans="1:58" x14ac:dyDescent="0.75">
      <c r="A19" s="140"/>
      <c r="C19" s="3">
        <f>+Valorizzazione!C19</f>
        <v>43741</v>
      </c>
      <c r="D19" s="31">
        <f>+Valorizzazione!AF19</f>
        <v>1.9783711001162274E-3</v>
      </c>
      <c r="E19" s="12">
        <f>+VLOOKUP(C19,'Prezzi-Rend EUR'!$AY$5:$AZ$359,2,0)</f>
        <v>3.7547558050841975E-3</v>
      </c>
      <c r="F19" s="12">
        <f t="shared" si="1"/>
        <v>-1.9748009909950071E-3</v>
      </c>
      <c r="G19" s="12">
        <f t="shared" si="1"/>
        <v>-7.1180246127766633E-3</v>
      </c>
      <c r="H19" s="12"/>
      <c r="I19" s="12">
        <f t="shared" si="0"/>
        <v>-1.7763847049679701E-3</v>
      </c>
      <c r="J19" s="3"/>
      <c r="K19" s="12"/>
    </row>
    <row r="20" spans="1:58" ht="15.5" thickBot="1" x14ac:dyDescent="0.9">
      <c r="A20" s="140"/>
      <c r="C20" s="3">
        <f>+Valorizzazione!C20</f>
        <v>43742</v>
      </c>
      <c r="D20" s="31">
        <f>+Valorizzazione!AF20</f>
        <v>3.7857375602479149E-3</v>
      </c>
      <c r="E20" s="12">
        <f>+VLOOKUP(C20,'Prezzi-Rend EUR'!$AY$5:$AZ$359,2,0)</f>
        <v>3.8047778900347049E-3</v>
      </c>
      <c r="F20" s="12">
        <f t="shared" si="1"/>
        <v>1.8034604909673568E-3</v>
      </c>
      <c r="G20" s="12">
        <f t="shared" si="1"/>
        <v>-3.3403292254092776E-3</v>
      </c>
      <c r="H20" s="12"/>
      <c r="I20" s="12">
        <f t="shared" si="0"/>
        <v>-1.9040329786790006E-5</v>
      </c>
      <c r="J20" s="3"/>
      <c r="K20" s="12"/>
      <c r="Y20" s="11" t="s">
        <v>126</v>
      </c>
      <c r="AE20" s="80" t="s">
        <v>115</v>
      </c>
    </row>
    <row r="21" spans="1:58" ht="15.5" thickBot="1" x14ac:dyDescent="0.9">
      <c r="A21" s="140"/>
      <c r="C21" s="3">
        <f>+Valorizzazione!C21</f>
        <v>43745</v>
      </c>
      <c r="D21" s="31">
        <f>+Valorizzazione!AF21</f>
        <v>1.5238600973450644E-3</v>
      </c>
      <c r="E21" s="12">
        <f>+VLOOKUP(C21,'Prezzi-Rend EUR'!$AY$5:$AZ$359,2,0)</f>
        <v>-1.0455379230951412E-3</v>
      </c>
      <c r="F21" s="12">
        <f t="shared" si="1"/>
        <v>3.3300688097916975E-3</v>
      </c>
      <c r="G21" s="12">
        <f t="shared" si="1"/>
        <v>-4.382374707623593E-3</v>
      </c>
      <c r="H21" s="12"/>
      <c r="I21" s="12">
        <f t="shared" si="0"/>
        <v>2.5693980204402056E-3</v>
      </c>
      <c r="J21" s="3"/>
      <c r="K21" s="12"/>
      <c r="W21" s="27"/>
      <c r="Y21" s="6"/>
      <c r="Z21" s="162" t="s">
        <v>97</v>
      </c>
      <c r="AA21" s="162" t="s">
        <v>98</v>
      </c>
      <c r="AB21" s="7"/>
      <c r="AC21" s="8" t="s">
        <v>99</v>
      </c>
      <c r="AE21" s="6"/>
      <c r="AF21" s="162" t="s">
        <v>97</v>
      </c>
      <c r="AG21" s="162" t="s">
        <v>98</v>
      </c>
      <c r="AH21" s="7"/>
      <c r="AI21" s="8" t="s">
        <v>99</v>
      </c>
      <c r="AL21" s="1" t="s">
        <v>116</v>
      </c>
      <c r="AM21" s="10" t="s">
        <v>117</v>
      </c>
      <c r="AN21" s="10" t="s">
        <v>118</v>
      </c>
    </row>
    <row r="22" spans="1:58" x14ac:dyDescent="0.75">
      <c r="A22" s="140"/>
      <c r="C22" s="3">
        <f>+Valorizzazione!C22</f>
        <v>43746</v>
      </c>
      <c r="D22" s="31">
        <f>+Valorizzazione!AF22</f>
        <v>-6.5596814184689656E-3</v>
      </c>
      <c r="E22" s="12">
        <f>+VLOOKUP(C22,'Prezzi-Rend EUR'!$AY$5:$AZ$359,2,0)</f>
        <v>-3.8795707637936604E-3</v>
      </c>
      <c r="F22" s="12">
        <f t="shared" si="1"/>
        <v>-3.2514567991710486E-3</v>
      </c>
      <c r="G22" s="12">
        <f t="shared" si="1"/>
        <v>-8.2449437386254987E-3</v>
      </c>
      <c r="H22" s="12"/>
      <c r="I22" s="12">
        <f t="shared" si="0"/>
        <v>-2.6801106546753052E-3</v>
      </c>
      <c r="J22" s="3"/>
      <c r="K22" s="12"/>
      <c r="W22" s="166"/>
      <c r="Y22" s="1" t="s">
        <v>93</v>
      </c>
      <c r="Z22" s="164">
        <f>+(Z5-Z14)*(AB14-BE13)</f>
        <v>-5.8723439053624869E-6</v>
      </c>
      <c r="AA22" s="164">
        <f>+(Z6-Z15)*(AB15-BE14)</f>
        <v>-3.3235658494681669E-3</v>
      </c>
      <c r="AC22" s="165">
        <f>+Z22*(1+$BE$14)+AA22*(1+$BE$5)</f>
        <v>-3.3443741924463464E-3</v>
      </c>
      <c r="AD22" s="165"/>
      <c r="AF22" s="175">
        <f>AL22-AM22</f>
        <v>4.8943372923072794E-4</v>
      </c>
      <c r="AG22" s="175">
        <f>AL23-AM23</f>
        <v>-4.1493844782232968E-3</v>
      </c>
      <c r="AH22" s="10"/>
      <c r="AI22" s="194">
        <f>+AF22*(1+$BE$14)+AG22*(1+$BE$5)</f>
        <v>-3.673901090230513E-3</v>
      </c>
      <c r="AK22" s="1" t="s">
        <v>97</v>
      </c>
      <c r="AL22" s="175">
        <f>Z5*AE5+AG5*AL5+AN5*AS5+AU5*AZ5</f>
        <v>4.4772624882898045E-3</v>
      </c>
      <c r="AM22" s="192">
        <f>Z5*AF5+AG5*AM5+AN5*AT5+AU5*BA5</f>
        <v>3.9878287590590766E-3</v>
      </c>
      <c r="AN22" s="181">
        <f>Z14*AB14+AD14*AF14+AH14*AJ14</f>
        <v>-1.6919259028477462E-3</v>
      </c>
    </row>
    <row r="23" spans="1:58" x14ac:dyDescent="0.75">
      <c r="A23" s="140"/>
      <c r="C23" s="3">
        <f>+Valorizzazione!C23</f>
        <v>43747</v>
      </c>
      <c r="D23" s="31">
        <f>+Valorizzazione!AF23</f>
        <v>3.0341557287898446E-3</v>
      </c>
      <c r="E23" s="12">
        <f>+VLOOKUP(C23,'Prezzi-Rend EUR'!$AY$5:$AZ$359,2,0)</f>
        <v>7.2637373578217108E-4</v>
      </c>
      <c r="F23" s="12">
        <f t="shared" ref="F23:G38" si="2">+(1+F22)*(1+D23)-1</f>
        <v>-2.2716649665532884E-4</v>
      </c>
      <c r="G23" s="12">
        <f t="shared" si="2"/>
        <v>-7.524558913428181E-3</v>
      </c>
      <c r="H23" s="12"/>
      <c r="I23" s="12">
        <f t="shared" si="0"/>
        <v>2.3077819930076736E-3</v>
      </c>
      <c r="J23" s="3"/>
      <c r="K23" s="12"/>
      <c r="M23" s="31"/>
      <c r="W23" s="166"/>
      <c r="Y23" s="1" t="s">
        <v>94</v>
      </c>
      <c r="Z23" s="164">
        <f>+(AN5+AU5-AD14)*(AF14-BE13)</f>
        <v>-1.050893176263171E-6</v>
      </c>
      <c r="AA23" s="164">
        <f>+(AN6+AU6-AD15)*(AF15-BE14)</f>
        <v>-3.319007168792605E-3</v>
      </c>
      <c r="AC23" s="165">
        <f>+Z23*(1+$BE$14)+AA23*(1+$BE$5)</f>
        <v>-3.3349280643438029E-3</v>
      </c>
      <c r="AD23" s="165"/>
      <c r="AH23" s="10"/>
      <c r="AK23" s="1" t="s">
        <v>98</v>
      </c>
      <c r="AL23" s="175">
        <f>Z6*AE6+AG6*AL6+AN6*AS6+AU6*AZ6</f>
        <v>-2.1954918939391002E-3</v>
      </c>
      <c r="AM23" s="192">
        <f>Z6*AF6+AG6*AM6+AN6*AT6+AU6*BA6</f>
        <v>1.9538925842841966E-3</v>
      </c>
      <c r="AN23" s="181">
        <f>Z15*AB15+AD15*AF15+AH15*AJ15</f>
        <v>9.4548903345314413E-3</v>
      </c>
    </row>
    <row r="24" spans="1:58" x14ac:dyDescent="0.75">
      <c r="A24" s="140"/>
      <c r="C24" s="3">
        <f>+Valorizzazione!C24</f>
        <v>43748</v>
      </c>
      <c r="D24" s="31">
        <f>+Valorizzazione!AF24</f>
        <v>-4.0924658877935505E-3</v>
      </c>
      <c r="E24" s="12">
        <f>+VLOOKUP(C24,'Prezzi-Rend EUR'!$AY$5:$AZ$359,2,0)</f>
        <v>-4.7390365239039466E-4</v>
      </c>
      <c r="F24" s="12">
        <f t="shared" si="2"/>
        <v>-4.3187027133104738E-3</v>
      </c>
      <c r="G24" s="12">
        <f t="shared" si="2"/>
        <v>-7.9948966498668561E-3</v>
      </c>
      <c r="H24" s="12"/>
      <c r="I24" s="12">
        <f t="shared" si="0"/>
        <v>-3.6185622354031558E-3</v>
      </c>
      <c r="J24" s="12"/>
      <c r="W24" s="166"/>
      <c r="Y24" s="1" t="s">
        <v>95</v>
      </c>
      <c r="Z24" s="164">
        <f>+(AG5-AH14)*(AJ14-BE13)</f>
        <v>-2.7796773483543874E-6</v>
      </c>
      <c r="AA24" s="164">
        <f>+(AG6-AH15)*(AJ15-BE14)</f>
        <v>1.1035751998289553E-3</v>
      </c>
      <c r="AC24" s="165">
        <f>+Z24*(1+$BE$14)+AA24*(1+$BE$5)</f>
        <v>1.1057102367813081E-3</v>
      </c>
      <c r="AD24" s="165"/>
      <c r="AE24" s="10"/>
      <c r="AF24" s="181"/>
      <c r="AG24" s="181"/>
      <c r="AH24" s="10"/>
      <c r="AI24" s="180"/>
      <c r="BE24" s="31"/>
    </row>
    <row r="25" spans="1:58" x14ac:dyDescent="0.75">
      <c r="A25" s="140"/>
      <c r="C25" s="3">
        <f>+Valorizzazione!C25</f>
        <v>43749</v>
      </c>
      <c r="D25" s="31">
        <f>+Valorizzazione!AF25</f>
        <v>2.6541844235745682E-3</v>
      </c>
      <c r="E25" s="12">
        <f>+VLOOKUP(C25,'Prezzi-Rend EUR'!$AY$5:$AZ$359,2,0)</f>
        <v>4.5054998026507588E-3</v>
      </c>
      <c r="F25" s="12">
        <f t="shared" si="2"/>
        <v>-1.6759809232076428E-3</v>
      </c>
      <c r="G25" s="12">
        <f t="shared" si="2"/>
        <v>-3.5254178524942725E-3</v>
      </c>
      <c r="H25" s="12"/>
      <c r="I25" s="12">
        <f t="shared" si="0"/>
        <v>-1.8513153790761907E-3</v>
      </c>
      <c r="J25" s="12"/>
      <c r="Y25" s="167"/>
      <c r="Z25" s="168">
        <f>+SUM(Z22:Z24)</f>
        <v>-9.7029144299800447E-6</v>
      </c>
      <c r="AA25" s="168">
        <f>+SUM(AA22:AA24)</f>
        <v>-5.5389978184318166E-3</v>
      </c>
      <c r="AB25" s="167"/>
      <c r="AC25" s="189">
        <f>+Z25*(1+$BE$14)+AA25*(1+$BE$5)</f>
        <v>-5.5735920200088414E-3</v>
      </c>
      <c r="AE25" s="10"/>
      <c r="AF25" s="183"/>
      <c r="AG25" s="183"/>
      <c r="AH25" s="10"/>
      <c r="AI25" s="180"/>
      <c r="BE25" s="31"/>
      <c r="BF25" s="31"/>
    </row>
    <row r="26" spans="1:58" x14ac:dyDescent="0.75">
      <c r="A26" s="140"/>
      <c r="C26" s="3">
        <f>+Valorizzazione!C26</f>
        <v>43752</v>
      </c>
      <c r="D26" s="31">
        <f>+Valorizzazione!AF26</f>
        <v>7.2479045546991472E-4</v>
      </c>
      <c r="E26" s="12">
        <f>+VLOOKUP(C26,'Prezzi-Rend EUR'!$AY$5:$AZ$359,2,0)</f>
        <v>4.1331522680914111E-4</v>
      </c>
      <c r="F26" s="12">
        <f t="shared" si="2"/>
        <v>-9.5240520271444584E-4</v>
      </c>
      <c r="G26" s="12">
        <f t="shared" si="2"/>
        <v>-3.1135597345645083E-3</v>
      </c>
      <c r="H26" s="12"/>
      <c r="I26" s="12">
        <f t="shared" si="0"/>
        <v>3.1147522866077361E-4</v>
      </c>
      <c r="J26" s="12"/>
      <c r="W26" s="166"/>
      <c r="Z26" s="166"/>
      <c r="AB26" s="166"/>
      <c r="AD26" s="163"/>
      <c r="AL26" s="179"/>
      <c r="AM26" s="31"/>
      <c r="BE26" s="31"/>
      <c r="BF26" s="31"/>
    </row>
    <row r="27" spans="1:58" x14ac:dyDescent="0.75">
      <c r="A27" s="140"/>
      <c r="C27" s="3">
        <f>+Valorizzazione!C27</f>
        <v>43753</v>
      </c>
      <c r="D27" s="31">
        <f>+Valorizzazione!AF27</f>
        <v>4.5607524126396459E-3</v>
      </c>
      <c r="E27" s="12">
        <f>+VLOOKUP(C27,'Prezzi-Rend EUR'!$AY$5:$AZ$359,2,0)</f>
        <v>2.1167858475205081E-3</v>
      </c>
      <c r="F27" s="12">
        <f t="shared" si="2"/>
        <v>3.6040035255990865E-3</v>
      </c>
      <c r="G27" s="12">
        <f t="shared" si="2"/>
        <v>-1.0033646262256335E-3</v>
      </c>
      <c r="H27" s="12"/>
      <c r="I27" s="12">
        <f t="shared" si="0"/>
        <v>2.4439665651191378E-3</v>
      </c>
      <c r="J27" s="12"/>
      <c r="W27" s="170"/>
      <c r="AD27" s="163"/>
      <c r="AK27" s="10"/>
      <c r="AL27" s="197"/>
      <c r="AM27" s="175"/>
      <c r="AN27" s="10"/>
      <c r="AO27" s="10"/>
      <c r="BE27" s="31"/>
    </row>
    <row r="28" spans="1:58" x14ac:dyDescent="0.75">
      <c r="A28" s="140"/>
      <c r="C28" s="3">
        <f>+Valorizzazione!C28</f>
        <v>43754</v>
      </c>
      <c r="D28" s="31">
        <f>+Valorizzazione!AF28</f>
        <v>-1.2474157160212718E-3</v>
      </c>
      <c r="E28" s="12">
        <f>+VLOOKUP(C28,'Prezzi-Rend EUR'!$AY$5:$AZ$359,2,0)</f>
        <v>-5.0015665321900826E-4</v>
      </c>
      <c r="F28" s="12">
        <f t="shared" si="2"/>
        <v>2.3520921189394972E-3</v>
      </c>
      <c r="G28" s="12">
        <f t="shared" si="2"/>
        <v>-1.5030194399512364E-3</v>
      </c>
      <c r="H28" s="12"/>
      <c r="I28" s="12">
        <f t="shared" si="0"/>
        <v>-7.4725906280226351E-4</v>
      </c>
      <c r="J28" s="12"/>
      <c r="W28" s="27"/>
      <c r="Z28" s="27"/>
      <c r="AC28" s="163"/>
      <c r="AD28" s="171"/>
      <c r="AK28" s="10"/>
      <c r="AL28" s="197"/>
      <c r="AM28" s="10"/>
      <c r="AN28" s="10"/>
      <c r="AO28" s="10"/>
      <c r="BE28" s="31"/>
    </row>
    <row r="29" spans="1:58" ht="15.5" thickBot="1" x14ac:dyDescent="0.9">
      <c r="A29" s="140"/>
      <c r="B29" s="139"/>
      <c r="C29" s="3">
        <f>+Valorizzazione!C29</f>
        <v>43755</v>
      </c>
      <c r="D29" s="31">
        <f>+Valorizzazione!AF29</f>
        <v>-6.7189605099158278E-3</v>
      </c>
      <c r="E29" s="12">
        <f>+VLOOKUP(C29,'Prezzi-Rend EUR'!$AY$5:$AZ$359,2,0)</f>
        <v>1.782063097835085E-3</v>
      </c>
      <c r="F29" s="12">
        <f t="shared" si="2"/>
        <v>-4.3826720050391677E-3</v>
      </c>
      <c r="G29" s="12">
        <f t="shared" si="2"/>
        <v>2.7636518240470309E-4</v>
      </c>
      <c r="H29" s="12"/>
      <c r="I29" s="12">
        <f t="shared" si="0"/>
        <v>-8.501023607750912E-3</v>
      </c>
      <c r="J29" s="12"/>
      <c r="W29" s="27"/>
      <c r="Y29" s="11" t="s">
        <v>107</v>
      </c>
      <c r="Z29" s="27"/>
      <c r="AA29" s="27"/>
      <c r="AC29" s="171"/>
      <c r="AD29" s="171"/>
      <c r="AE29" s="11" t="s">
        <v>108</v>
      </c>
      <c r="AF29" s="27"/>
      <c r="AG29" s="27"/>
      <c r="AI29" s="171"/>
      <c r="AK29" s="80"/>
      <c r="AL29" s="182"/>
      <c r="AM29" s="182"/>
      <c r="AN29" s="10"/>
      <c r="AO29" s="198"/>
      <c r="BE29" s="31"/>
      <c r="BF29" s="31"/>
    </row>
    <row r="30" spans="1:58" ht="15.5" thickBot="1" x14ac:dyDescent="0.9">
      <c r="A30" s="140"/>
      <c r="B30" s="139"/>
      <c r="C30" s="3">
        <f>+Valorizzazione!C30</f>
        <v>43756</v>
      </c>
      <c r="D30" s="31">
        <f>+Valorizzazione!AF30</f>
        <v>-1.9585993746344954E-3</v>
      </c>
      <c r="E30" s="12">
        <f>+VLOOKUP(C30,'Prezzi-Rend EUR'!$AY$5:$AZ$359,2,0)</f>
        <v>-2.0510790475039451E-3</v>
      </c>
      <c r="F30" s="12">
        <f t="shared" si="2"/>
        <v>-6.3326874810253342E-3</v>
      </c>
      <c r="G30" s="12">
        <f t="shared" si="2"/>
        <v>-1.775280711934335E-3</v>
      </c>
      <c r="H30" s="12"/>
      <c r="I30" s="12">
        <f t="shared" si="0"/>
        <v>9.247967286944974E-5</v>
      </c>
      <c r="J30" s="12"/>
      <c r="W30" s="27"/>
      <c r="Y30" s="6"/>
      <c r="Z30" s="162" t="s">
        <v>97</v>
      </c>
      <c r="AA30" s="162" t="s">
        <v>98</v>
      </c>
      <c r="AB30" s="7"/>
      <c r="AC30" s="172" t="s">
        <v>99</v>
      </c>
      <c r="AD30" s="171"/>
      <c r="AE30" s="6"/>
      <c r="AF30" s="162" t="s">
        <v>97</v>
      </c>
      <c r="AG30" s="162" t="s">
        <v>98</v>
      </c>
      <c r="AH30" s="7"/>
      <c r="AI30" s="172" t="s">
        <v>99</v>
      </c>
      <c r="AK30" s="10"/>
      <c r="AL30" s="182"/>
      <c r="AM30" s="182"/>
      <c r="AN30" s="10"/>
      <c r="AO30" s="198"/>
      <c r="BE30" s="31"/>
    </row>
    <row r="31" spans="1:58" x14ac:dyDescent="0.75">
      <c r="A31" s="140"/>
      <c r="B31" s="139"/>
      <c r="C31" s="3">
        <v>43759</v>
      </c>
      <c r="D31" s="31">
        <f>+Valorizzazione!AF31</f>
        <v>-1.6788145739536908E-3</v>
      </c>
      <c r="E31" s="12">
        <f>+VLOOKUP(C31,'Prezzi-Rend EUR'!$AY$5:$AZ$359,2,0)</f>
        <v>4.9374353146118847E-4</v>
      </c>
      <c r="F31" s="12">
        <f t="shared" si="2"/>
        <v>-8.0008706469435475E-3</v>
      </c>
      <c r="G31" s="12">
        <f t="shared" si="2"/>
        <v>-1.2824137138411906E-3</v>
      </c>
      <c r="H31" s="12"/>
      <c r="I31" s="12">
        <f t="shared" si="0"/>
        <v>-2.1725581054148793E-3</v>
      </c>
      <c r="J31" s="12"/>
      <c r="W31" s="166"/>
      <c r="Y31" s="1" t="s">
        <v>93</v>
      </c>
      <c r="Z31" s="164">
        <f>+(AE5-AB14)*Z14</f>
        <v>4.3203177765614781E-3</v>
      </c>
      <c r="AA31" s="164">
        <f>+(AE6-AB15)*Z15</f>
        <v>-7.223101382105592E-3</v>
      </c>
      <c r="AC31" s="163">
        <f>+Z31*(1+$BE$14)+AA31*(1+$BE$5)</f>
        <v>-2.8942751956236136E-3</v>
      </c>
      <c r="AD31" s="163"/>
      <c r="AE31" s="1" t="s">
        <v>93</v>
      </c>
      <c r="AF31" s="164">
        <f>+(AF5-AC14)*Z14</f>
        <v>4.1027491064499887E-3</v>
      </c>
      <c r="AG31" s="164">
        <f>+(AF6-AC15)*Z15</f>
        <v>-3.0870469603368937E-3</v>
      </c>
      <c r="AI31" s="163">
        <f>+AF31*(1+$BE$14)+AG31*(1+$BE$5)</f>
        <v>1.0406716694295716E-3</v>
      </c>
      <c r="AK31" s="10"/>
      <c r="AL31" s="181"/>
      <c r="AM31" s="181"/>
      <c r="AN31" s="10"/>
      <c r="AO31" s="180"/>
      <c r="BE31" s="31"/>
    </row>
    <row r="32" spans="1:58" x14ac:dyDescent="0.75">
      <c r="A32" s="140"/>
      <c r="B32" s="139"/>
      <c r="C32" s="3">
        <v>43760</v>
      </c>
      <c r="D32" s="31">
        <f>+Valorizzazione!AF32</f>
        <v>2.1212832622670152E-3</v>
      </c>
      <c r="E32" s="12">
        <f>+VLOOKUP(C32,'Prezzi-Rend EUR'!$AY$5:$AZ$359,2,0)</f>
        <v>1.136887608533854E-3</v>
      </c>
      <c r="F32" s="12">
        <f t="shared" si="2"/>
        <v>-5.8965594976634339E-3</v>
      </c>
      <c r="G32" s="12">
        <f t="shared" si="2"/>
        <v>-1.4698406556767907E-4</v>
      </c>
      <c r="H32" s="12"/>
      <c r="I32" s="12">
        <f t="shared" si="0"/>
        <v>9.8439565373316124E-4</v>
      </c>
      <c r="J32" s="12"/>
      <c r="W32" s="11"/>
      <c r="Y32" s="1" t="s">
        <v>94</v>
      </c>
      <c r="Z32" s="164">
        <f>+((AN5*AS5+AU5*AZ5)/(AN5+AU5)-AF14)*AD14</f>
        <v>2.6407884547181037E-3</v>
      </c>
      <c r="AA32" s="164">
        <f>+((AN6*AS6+AU6*AZ6)/(AN6+AU6)-AF15)*AD15</f>
        <v>-1.2469741512380567E-3</v>
      </c>
      <c r="AC32" s="163">
        <f>+Z32*(1+$BE$14)+AA32*(1+$BE$5)</f>
        <v>1.4131996381248984E-3</v>
      </c>
      <c r="AD32" s="163"/>
      <c r="AE32" s="1" t="s">
        <v>94</v>
      </c>
      <c r="AF32" s="164">
        <f>+((AN5*AT5+AU5*BA5)/(AN5+AU5)-AG14)*AD14</f>
        <v>2.4504180498014613E-3</v>
      </c>
      <c r="AG32" s="164">
        <f>+((AN6*AT6+AU6*BA6)/(AN6+AU6)-AG15)*AD15</f>
        <v>-3.1184739357308864E-4</v>
      </c>
      <c r="AI32" s="163">
        <f>+AF32*(1+$BE$14)+AG32*(1+$BE$5)</f>
        <v>2.1603428675256863E-3</v>
      </c>
      <c r="AK32" s="10"/>
      <c r="AL32" s="181"/>
      <c r="AM32" s="181"/>
      <c r="AN32" s="10"/>
      <c r="AO32" s="180"/>
      <c r="BE32" s="31"/>
    </row>
    <row r="33" spans="1:57" x14ac:dyDescent="0.75">
      <c r="A33" s="140"/>
      <c r="B33" s="139"/>
      <c r="C33" s="3">
        <v>43761</v>
      </c>
      <c r="D33" s="31">
        <f>+Valorizzazione!AF33</f>
        <v>1.3720294964583157E-3</v>
      </c>
      <c r="E33" s="12">
        <f>+VLOOKUP(C33,'Prezzi-Rend EUR'!$AY$5:$AZ$359,2,0)</f>
        <v>1.3226628569126485E-3</v>
      </c>
      <c r="F33" s="12">
        <f t="shared" si="2"/>
        <v>-4.5326202547635308E-3</v>
      </c>
      <c r="G33" s="12">
        <f t="shared" si="2"/>
        <v>1.1754843809810289E-3</v>
      </c>
      <c r="H33" s="12"/>
      <c r="I33" s="12">
        <f t="shared" si="0"/>
        <v>4.9366639545667199E-5</v>
      </c>
      <c r="J33" s="12"/>
      <c r="W33" s="166"/>
      <c r="Y33" s="1" t="s">
        <v>95</v>
      </c>
      <c r="Z33" s="164">
        <f>+(AL5-AJ14)*AH14</f>
        <v>-7.5516439128294887E-4</v>
      </c>
      <c r="AA33" s="164">
        <f>+(AL6-AJ15)*AH15</f>
        <v>-1.2460501343989727E-3</v>
      </c>
      <c r="AC33" s="163">
        <f>+Z33*(1+$BE$14)+AA33*(1+$BE$5)</f>
        <v>-2.0139334157113181E-3</v>
      </c>
      <c r="AD33" s="163"/>
      <c r="AE33" s="1" t="s">
        <v>95</v>
      </c>
      <c r="AF33" s="164">
        <f>+(AM5-AK14)*AH14</f>
        <v>-8.3675264257475758E-4</v>
      </c>
      <c r="AG33" s="164">
        <f>+(AM6-AK15)*AH15</f>
        <v>3.0497027376428896E-4</v>
      </c>
      <c r="AI33" s="163">
        <f>+AF33*(1+$BE$14)+AG33*(1+$BE$5)</f>
        <v>-5.3832834131637406E-4</v>
      </c>
      <c r="AK33" s="10"/>
      <c r="AL33" s="181"/>
      <c r="AM33" s="181"/>
      <c r="AN33" s="10"/>
      <c r="AO33" s="180"/>
      <c r="BE33" s="31"/>
    </row>
    <row r="34" spans="1:57" x14ac:dyDescent="0.75">
      <c r="A34" s="140"/>
      <c r="B34" s="139"/>
      <c r="C34" s="3">
        <v>43762</v>
      </c>
      <c r="D34" s="31">
        <f>+Valorizzazione!AF34</f>
        <v>1.1343930301723759E-3</v>
      </c>
      <c r="E34" s="12">
        <f>+VLOOKUP(C34,'Prezzi-Rend EUR'!$AY$5:$AZ$359,2,0)</f>
        <v>1.9219202277003244E-3</v>
      </c>
      <c r="F34" s="12">
        <f t="shared" si="2"/>
        <v>-3.403368997416556E-3</v>
      </c>
      <c r="G34" s="12">
        <f t="shared" si="2"/>
        <v>3.0996637958904394E-3</v>
      </c>
      <c r="H34" s="12"/>
      <c r="I34" s="12">
        <f t="shared" si="0"/>
        <v>-7.8752719752794853E-4</v>
      </c>
      <c r="J34" s="12"/>
      <c r="W34" s="166"/>
      <c r="Y34" s="167"/>
      <c r="Z34" s="168">
        <f>+SUM(Z31:Z33)</f>
        <v>6.2059418399966334E-3</v>
      </c>
      <c r="AA34" s="168">
        <f>+SUM(AA31:AA33)</f>
        <v>-9.7161256677426224E-3</v>
      </c>
      <c r="AB34" s="168"/>
      <c r="AC34" s="169">
        <f>+Z34*(1+$BE$14)+AA34*(1+$BE$5)</f>
        <v>-3.4950089732100351E-3</v>
      </c>
      <c r="AD34" s="163"/>
      <c r="AE34" s="167"/>
      <c r="AF34" s="168">
        <f>+SUM(AF31:AF33)</f>
        <v>5.7164145136766919E-3</v>
      </c>
      <c r="AG34" s="168">
        <f>+SUM(AG31:AG33)</f>
        <v>-3.0939240801456935E-3</v>
      </c>
      <c r="AH34" s="168"/>
      <c r="AI34" s="169">
        <f>+AF34*(1+$BE$14)+AG34*(1+$BE$5)</f>
        <v>2.6626861956388832E-3</v>
      </c>
      <c r="AK34" s="10"/>
      <c r="AL34" s="183"/>
      <c r="AM34" s="183"/>
      <c r="AN34" s="183"/>
      <c r="AO34" s="180"/>
      <c r="BE34" s="31"/>
    </row>
    <row r="35" spans="1:57" x14ac:dyDescent="0.75">
      <c r="A35" s="140"/>
      <c r="B35" s="139"/>
      <c r="C35" s="3">
        <v>43763</v>
      </c>
      <c r="D35" s="31">
        <f>+Valorizzazione!AF35</f>
        <v>5.2823746920238612E-4</v>
      </c>
      <c r="E35" s="12">
        <f>+VLOOKUP(C35,'Prezzi-Rend EUR'!$AY$5:$AZ$359,2,0)</f>
        <v>-3.7145891584446913E-4</v>
      </c>
      <c r="F35" s="12">
        <f t="shared" si="2"/>
        <v>-2.8769293152400843E-3</v>
      </c>
      <c r="G35" s="12">
        <f t="shared" si="2"/>
        <v>2.7270534822929626E-3</v>
      </c>
      <c r="H35" s="12"/>
      <c r="I35" s="12">
        <f t="shared" si="0"/>
        <v>8.9969638504685525E-4</v>
      </c>
      <c r="J35" s="12"/>
      <c r="Z35" s="166"/>
      <c r="AB35" s="166"/>
      <c r="AD35" s="163"/>
      <c r="AK35" s="10"/>
      <c r="AL35" s="10"/>
      <c r="AM35" s="10"/>
      <c r="AN35" s="10"/>
      <c r="AO35" s="10"/>
      <c r="BE35" s="31"/>
    </row>
    <row r="36" spans="1:57" x14ac:dyDescent="0.75">
      <c r="A36" s="140"/>
      <c r="B36" s="139"/>
      <c r="C36" s="3">
        <v>43766</v>
      </c>
      <c r="D36" s="31">
        <f>+Valorizzazione!AF36</f>
        <v>-5.4801032865081645E-4</v>
      </c>
      <c r="E36" s="12">
        <f>+VLOOKUP(C36,'Prezzi-Rend EUR'!$AY$5:$AZ$359,2,0)</f>
        <v>-1.7593102941626504E-4</v>
      </c>
      <c r="F36" s="12">
        <f t="shared" si="2"/>
        <v>-3.4233630569113771E-3</v>
      </c>
      <c r="G36" s="12">
        <f t="shared" si="2"/>
        <v>2.5506426795502968E-3</v>
      </c>
      <c r="H36" s="12"/>
      <c r="I36" s="12">
        <f t="shared" si="0"/>
        <v>-3.720792992345514E-4</v>
      </c>
      <c r="J36" s="12"/>
      <c r="AD36" s="163"/>
      <c r="AK36" s="10"/>
      <c r="AL36" s="10"/>
      <c r="AM36" s="10"/>
      <c r="AN36" s="10"/>
      <c r="AO36" s="10"/>
      <c r="BE36" s="31"/>
    </row>
    <row r="37" spans="1:57" x14ac:dyDescent="0.75">
      <c r="A37" s="140"/>
      <c r="B37" s="139"/>
      <c r="C37" s="3">
        <v>43767</v>
      </c>
      <c r="D37" s="31">
        <f>+Valorizzazione!AF37</f>
        <v>-5.2109526879084989E-4</v>
      </c>
      <c r="E37" s="12">
        <f>+VLOOKUP(C37,'Prezzi-Rend EUR'!$AY$5:$AZ$359,2,0)</f>
        <v>-1.2849360397964248E-3</v>
      </c>
      <c r="F37" s="12">
        <f t="shared" si="2"/>
        <v>-3.9426744274099201E-3</v>
      </c>
      <c r="G37" s="12">
        <f t="shared" si="2"/>
        <v>1.2624292270502213E-3</v>
      </c>
      <c r="H37" s="12"/>
      <c r="I37" s="12">
        <f t="shared" si="0"/>
        <v>7.6384077100557493E-4</v>
      </c>
      <c r="J37" s="12"/>
      <c r="Z37" s="27"/>
      <c r="AA37" s="27"/>
      <c r="AD37" s="171"/>
      <c r="BE37" s="31"/>
    </row>
    <row r="38" spans="1:57" ht="15.5" thickBot="1" x14ac:dyDescent="0.9">
      <c r="A38" s="140"/>
      <c r="B38" s="139"/>
      <c r="C38" s="3">
        <v>43768</v>
      </c>
      <c r="D38" s="31">
        <f>+Valorizzazione!AF38</f>
        <v>1.2456073584738991E-3</v>
      </c>
      <c r="E38" s="12">
        <f>+VLOOKUP(C38,'Prezzi-Rend EUR'!$AY$5:$AZ$359,2,0)</f>
        <v>3.0354336989730337E-3</v>
      </c>
      <c r="F38" s="12">
        <f t="shared" si="2"/>
        <v>-2.7019780932148185E-3</v>
      </c>
      <c r="G38" s="12">
        <f t="shared" si="2"/>
        <v>4.3016949462415521E-3</v>
      </c>
      <c r="H38" s="12"/>
      <c r="I38" s="12">
        <f t="shared" si="0"/>
        <v>-1.7898263404991345E-3</v>
      </c>
      <c r="J38" s="12"/>
      <c r="Y38" s="11" t="s">
        <v>106</v>
      </c>
      <c r="Z38" s="27"/>
      <c r="AA38" s="27"/>
      <c r="AC38" s="171"/>
      <c r="AD38" s="171"/>
      <c r="AE38" s="11" t="s">
        <v>109</v>
      </c>
      <c r="AF38" s="27"/>
      <c r="AG38" s="27"/>
      <c r="AI38" s="171"/>
      <c r="BE38" s="31"/>
    </row>
    <row r="39" spans="1:57" ht="15.5" thickBot="1" x14ac:dyDescent="0.9">
      <c r="A39" s="140"/>
      <c r="B39" s="139"/>
      <c r="C39" s="3">
        <v>43769</v>
      </c>
      <c r="D39" s="31">
        <f>+Valorizzazione!AF39</f>
        <v>1.3494718602193867E-3</v>
      </c>
      <c r="E39" s="12">
        <f>+VLOOKUP(C39,'Prezzi-Rend EUR'!$AY$5:$AZ$359,2,0)</f>
        <v>1.7430532403168715E-3</v>
      </c>
      <c r="F39" s="12">
        <f t="shared" ref="F39:G40" si="3">+(1+F38)*(1+D39)-1</f>
        <v>-1.3561524763991972E-3</v>
      </c>
      <c r="G39" s="12">
        <f t="shared" si="3"/>
        <v>6.0522462698733293E-3</v>
      </c>
      <c r="H39" s="12"/>
      <c r="I39" s="12">
        <f t="shared" si="0"/>
        <v>-3.9358138009748479E-4</v>
      </c>
      <c r="J39" s="12"/>
      <c r="Y39" s="6"/>
      <c r="Z39" s="162" t="s">
        <v>97</v>
      </c>
      <c r="AA39" s="162" t="s">
        <v>98</v>
      </c>
      <c r="AB39" s="7"/>
      <c r="AC39" s="172" t="s">
        <v>99</v>
      </c>
      <c r="AD39" s="171"/>
      <c r="AE39" s="6"/>
      <c r="AF39" s="162" t="s">
        <v>97</v>
      </c>
      <c r="AG39" s="162" t="s">
        <v>98</v>
      </c>
      <c r="AH39" s="7"/>
      <c r="AI39" s="172" t="s">
        <v>99</v>
      </c>
      <c r="BE39" s="31"/>
    </row>
    <row r="40" spans="1:57" x14ac:dyDescent="0.75">
      <c r="A40" s="140"/>
      <c r="B40" s="139"/>
      <c r="C40" s="3">
        <v>43770</v>
      </c>
      <c r="D40" s="31">
        <f>+Valorizzazione!AF40</f>
        <v>1.5096359988171493E-3</v>
      </c>
      <c r="E40" s="12">
        <f>+VLOOKUP(C40,'Prezzi-Rend EUR'!$AY$5:$AZ$359,2,0)</f>
        <v>1.8265212018408364E-3</v>
      </c>
      <c r="F40" s="12">
        <f t="shared" si="3"/>
        <v>1.5143622581970106E-4</v>
      </c>
      <c r="G40" s="12">
        <f t="shared" si="3"/>
        <v>7.8898220278449394E-3</v>
      </c>
      <c r="H40" s="12"/>
      <c r="I40" s="12">
        <f t="shared" si="0"/>
        <v>-3.1688520302368709E-4</v>
      </c>
      <c r="J40" s="12"/>
      <c r="Y40" s="1" t="s">
        <v>93</v>
      </c>
      <c r="Z40" s="164">
        <f>+(Z5-Z14)*(AE5-AB14)</f>
        <v>-2.2890591238270364E-5</v>
      </c>
      <c r="AA40" s="164">
        <f>+(Z6-Z15)*(AE6-AB15)</f>
        <v>3.6076609578585524E-3</v>
      </c>
      <c r="AC40" s="163">
        <f>Z40*(1+$BE$14)+AA40*(1+$BE$5)</f>
        <v>3.6007063836675196E-3</v>
      </c>
      <c r="AD40" s="163"/>
      <c r="AE40" s="1" t="s">
        <v>93</v>
      </c>
      <c r="AF40" s="164">
        <f>+(Z5-Z14)*(AF5-AC14)</f>
        <v>-2.1737834484867843E-5</v>
      </c>
      <c r="AG40" s="164">
        <f>+(Z6-Z15)*(AF6-AC15)</f>
        <v>1.5418610655907477E-3</v>
      </c>
      <c r="AI40" s="163">
        <f>AF40*(1+$BE$14)+AG40*(1+$BE$5)</f>
        <v>1.5268210189758394E-3</v>
      </c>
      <c r="BE40" s="31"/>
    </row>
    <row r="41" spans="1:57" x14ac:dyDescent="0.75">
      <c r="C41" s="134"/>
      <c r="E41" s="12"/>
      <c r="F41" s="12"/>
      <c r="G41" s="12"/>
      <c r="H41" s="12"/>
      <c r="I41" s="12"/>
      <c r="J41" s="12"/>
      <c r="Y41" s="1" t="s">
        <v>94</v>
      </c>
      <c r="Z41" s="164">
        <f>+(AN5+AU5-AD14)*((AN5*AS5+AU5*AZ5)/(AN5+AU5)-AF14)</f>
        <v>3.3385720859401405E-6</v>
      </c>
      <c r="AA41" s="164">
        <f>+(AN6+AU6-AD15)*((AN6*AS6+AU6*AZ6)/(AN6+AU6)-AF15)</f>
        <v>-8.2928172742331089E-4</v>
      </c>
      <c r="AC41" s="163">
        <f>Z41*(1+$BE$14)+AA41*(1+$BE$5)</f>
        <v>-8.2962450147484087E-4</v>
      </c>
      <c r="AD41" s="163"/>
      <c r="AE41" s="1" t="s">
        <v>94</v>
      </c>
      <c r="AF41" s="164">
        <f>+(AN5+AU5-AD14)*((AN5*AT5+AU5*BA5)/(AN5+AU5)-AG14)</f>
        <v>3.0978995251720463E-6</v>
      </c>
      <c r="AG41" s="164">
        <f>+(AN6+AU6-AD15)*((AN6*AT6+AU6*BA6)/(AN6+AU6)-AG15)</f>
        <v>-2.0738949959627317E-4</v>
      </c>
      <c r="AI41" s="163">
        <f>AF41*(1+$BE$14)+AG41*(1+$BE$5)</f>
        <v>-2.0519084699783082E-4</v>
      </c>
      <c r="BE41" s="31"/>
    </row>
    <row r="42" spans="1:57" x14ac:dyDescent="0.75">
      <c r="C42" s="134"/>
      <c r="E42" s="12"/>
      <c r="F42" s="12"/>
      <c r="G42" s="12"/>
      <c r="H42" s="12"/>
      <c r="I42" s="12"/>
      <c r="J42" s="12"/>
      <c r="Y42" s="1" t="s">
        <v>95</v>
      </c>
      <c r="Z42" s="164">
        <f>+(AG5-AH14)*(AL5-AJ14)</f>
        <v>-7.5757514769785468E-6</v>
      </c>
      <c r="AA42" s="164">
        <f>+(AG6-AH15)*(AL6-AJ15)</f>
        <v>8.2659953756586272E-4</v>
      </c>
      <c r="AC42" s="163">
        <f>Z42*(1+$BE$14)+AA42*(1+$BE$5)</f>
        <v>8.22653061291849E-4</v>
      </c>
      <c r="AD42" s="163"/>
      <c r="AE42" s="1" t="s">
        <v>95</v>
      </c>
      <c r="AF42" s="164">
        <f>+(AG5-AH14)*(AM5-AK14)</f>
        <v>-8.3942385803997494E-6</v>
      </c>
      <c r="AG42" s="164">
        <f>+(AG6-AH15)*(AM6-AK15)</f>
        <v>-2.023099073670014E-4</v>
      </c>
      <c r="AI42" s="163">
        <f>AF42*(1+$BE$14)+AG42*(1+$BE$5)</f>
        <v>-2.1168930711188441E-4</v>
      </c>
      <c r="BE42" s="31"/>
    </row>
    <row r="43" spans="1:57" x14ac:dyDescent="0.75">
      <c r="C43" s="134"/>
      <c r="E43" s="12"/>
      <c r="F43" s="12"/>
      <c r="G43" s="12"/>
      <c r="H43" s="12"/>
      <c r="I43" s="12"/>
      <c r="J43" s="12"/>
      <c r="Y43" s="167"/>
      <c r="Z43" s="168">
        <f>+SUM(Z40:Z42)</f>
        <v>-2.7127770629308769E-5</v>
      </c>
      <c r="AA43" s="168">
        <f>+SUM(AA40:AA42)</f>
        <v>3.6049787680011041E-3</v>
      </c>
      <c r="AB43" s="167"/>
      <c r="AC43" s="169">
        <f>+Z43*(1+$BE$14)+AA43*(1+$BE$5)</f>
        <v>3.5937349434845278E-3</v>
      </c>
      <c r="AD43" s="163"/>
      <c r="AE43" s="167"/>
      <c r="AF43" s="168">
        <f>+SUM(AF40:AF42)</f>
        <v>-2.7034173540095548E-5</v>
      </c>
      <c r="AG43" s="168">
        <f>+SUM(AG40:AG42)</f>
        <v>1.1321616586274733E-3</v>
      </c>
      <c r="AH43" s="167"/>
      <c r="AI43" s="169">
        <f>+AF43*(1+$BE$14)+AG43*(1+$BE$5)</f>
        <v>1.1099408648661243E-3</v>
      </c>
      <c r="BE43" s="31"/>
    </row>
    <row r="44" spans="1:57" x14ac:dyDescent="0.75">
      <c r="C44" s="3"/>
      <c r="D44" s="31"/>
      <c r="E44" s="12"/>
      <c r="F44" s="12"/>
      <c r="G44" s="12"/>
      <c r="H44" s="142" t="s">
        <v>82</v>
      </c>
      <c r="I44" s="131">
        <f>AVERAGE(I6:I40)</f>
        <v>-2.169883445033215E-4</v>
      </c>
      <c r="J44" s="12"/>
      <c r="Z44" s="164"/>
      <c r="AB44" s="164"/>
      <c r="AD44" s="163"/>
      <c r="BE44" s="31"/>
    </row>
    <row r="45" spans="1:57" x14ac:dyDescent="0.75">
      <c r="C45" s="3"/>
      <c r="D45" s="31"/>
      <c r="E45" s="12"/>
      <c r="F45" s="12"/>
      <c r="G45" s="12"/>
      <c r="H45" s="125" t="s">
        <v>83</v>
      </c>
      <c r="I45" s="143">
        <f>_xlfn.STDEV.P(I6:I40)</f>
        <v>2.6090812916131009E-3</v>
      </c>
      <c r="J45" s="12"/>
      <c r="AD45" s="163"/>
      <c r="BE45" s="31"/>
    </row>
    <row r="46" spans="1:57" x14ac:dyDescent="0.75">
      <c r="C46" s="3"/>
      <c r="D46" s="31"/>
      <c r="H46" s="125" t="s">
        <v>84</v>
      </c>
      <c r="I46" s="141">
        <f>I44/I45</f>
        <v>-8.3166571007515608E-2</v>
      </c>
      <c r="BE46" s="31"/>
    </row>
    <row r="47" spans="1:57" ht="15.5" thickBot="1" x14ac:dyDescent="0.9">
      <c r="C47" s="3"/>
      <c r="D47" s="31"/>
      <c r="Y47" s="11" t="s">
        <v>110</v>
      </c>
      <c r="AC47" s="13"/>
      <c r="AD47" s="174"/>
      <c r="AE47" s="80"/>
      <c r="AF47" s="10"/>
      <c r="AG47" s="10"/>
      <c r="AH47" s="10"/>
      <c r="AI47" s="68"/>
      <c r="BE47" s="31"/>
    </row>
    <row r="48" spans="1:57" ht="15.5" thickBot="1" x14ac:dyDescent="0.9">
      <c r="C48" s="3"/>
      <c r="D48" s="31"/>
      <c r="Y48" s="6" t="s">
        <v>111</v>
      </c>
      <c r="Z48" s="162" t="s">
        <v>97</v>
      </c>
      <c r="AA48" s="162" t="s">
        <v>98</v>
      </c>
      <c r="AB48" s="7"/>
      <c r="AC48" s="8" t="s">
        <v>99</v>
      </c>
      <c r="AE48" s="10"/>
      <c r="AF48" s="182"/>
      <c r="AG48" s="182"/>
      <c r="AH48" s="10"/>
      <c r="AI48" s="10"/>
    </row>
    <row r="49" spans="3:35" x14ac:dyDescent="0.75">
      <c r="C49" s="3"/>
      <c r="D49" s="31"/>
      <c r="Z49" s="158">
        <f>+((Z5+AG5+AN5+AU5)-(Z14+AD14+AH14))*BE13</f>
        <v>7.723620020583319E-8</v>
      </c>
      <c r="AA49" s="158">
        <f>+((Z6+AG6+AN6+AU6)-(Z15+AD15+AH15))*BE14</f>
        <v>-2.3751029720746559E-7</v>
      </c>
      <c r="AC49" s="178">
        <f>+Z49*(1+$BE$14)+AA49*(1+$BE$5)</f>
        <v>-1.6060723314309989E-7</v>
      </c>
      <c r="AE49" s="10"/>
      <c r="AF49" s="190"/>
      <c r="AG49" s="190"/>
      <c r="AH49" s="10"/>
      <c r="AI49" s="191"/>
    </row>
    <row r="51" spans="3:35" x14ac:dyDescent="0.75">
      <c r="Y51" s="27"/>
      <c r="Z51" s="27"/>
      <c r="AE51" s="163"/>
    </row>
    <row r="52" spans="3:35" x14ac:dyDescent="0.75">
      <c r="Y52" s="166"/>
      <c r="Z52" s="166"/>
    </row>
    <row r="53" spans="3:35" x14ac:dyDescent="0.75">
      <c r="Y53" s="166"/>
      <c r="Z53" s="166"/>
    </row>
    <row r="54" spans="3:35" x14ac:dyDescent="0.75">
      <c r="X54" s="11" t="s">
        <v>119</v>
      </c>
      <c r="Y54" s="11"/>
      <c r="Z54" s="173">
        <f>+Z43+Z34+Z25+Z49</f>
        <v>6.1691883911375502E-3</v>
      </c>
      <c r="AA54" s="173">
        <f>+AA43+AA34+AA25+AA49</f>
        <v>-1.1650382228470542E-2</v>
      </c>
      <c r="AB54" s="173"/>
      <c r="AC54" s="173">
        <f>+AC43+AC34+AC25+AC49</f>
        <v>-5.4750266569674917E-3</v>
      </c>
      <c r="AE54" s="11" t="s">
        <v>120</v>
      </c>
      <c r="AF54" s="195">
        <f>Z25+AF34+AF43+Z49</f>
        <v>5.6797546619068214E-3</v>
      </c>
      <c r="AG54" s="195">
        <f>AA25+AG34+AG43+AA49</f>
        <v>-7.5009977502472434E-3</v>
      </c>
      <c r="AH54" s="196"/>
      <c r="AI54" s="196">
        <f>AC25+AI34+AI43+AC49</f>
        <v>-1.801125566736977E-3</v>
      </c>
    </row>
    <row r="56" spans="3:35" x14ac:dyDescent="0.75">
      <c r="Y56" s="166"/>
      <c r="Z56" s="166"/>
      <c r="AA56" s="11"/>
      <c r="AE56" s="179"/>
    </row>
    <row r="57" spans="3:35" x14ac:dyDescent="0.75">
      <c r="AA57" s="31"/>
      <c r="AC57" s="31"/>
      <c r="AE57" s="179"/>
    </row>
    <row r="58" spans="3:35" x14ac:dyDescent="0.75">
      <c r="Y58" s="27"/>
      <c r="Z58" s="27"/>
      <c r="AA58" s="31"/>
      <c r="AE58" s="179"/>
    </row>
    <row r="59" spans="3:35" x14ac:dyDescent="0.75">
      <c r="Y59" s="27"/>
      <c r="Z59" s="27"/>
      <c r="AA59" s="31" t="s">
        <v>121</v>
      </c>
      <c r="AD59" s="196">
        <f>AF54+AF22</f>
        <v>6.1691883911375494E-3</v>
      </c>
      <c r="AE59" s="196">
        <f>AG54+AG22</f>
        <v>-1.165038222847054E-2</v>
      </c>
      <c r="AF59" s="196">
        <f>AI54+AI22</f>
        <v>-5.47502665696749E-3</v>
      </c>
    </row>
    <row r="60" spans="3:35" x14ac:dyDescent="0.75">
      <c r="Y60" s="27"/>
      <c r="Z60" s="27"/>
      <c r="AA60" s="31" t="s">
        <v>122</v>
      </c>
      <c r="AD60" s="1" t="b">
        <f>+ABS(Z54-AD59)&lt;10^-5</f>
        <v>1</v>
      </c>
      <c r="AE60" s="1" t="b">
        <f>+ABS(AA54-AE59)&lt;10^-5</f>
        <v>1</v>
      </c>
      <c r="AF60" s="1" t="b">
        <f>+ABS(AC54-AF59)&lt;10^-5</f>
        <v>1</v>
      </c>
    </row>
    <row r="61" spans="3:35" x14ac:dyDescent="0.75">
      <c r="Y61" s="166"/>
      <c r="Z61" s="170"/>
      <c r="AA61" s="31" t="s">
        <v>123</v>
      </c>
      <c r="AC61" s="31"/>
    </row>
    <row r="62" spans="3:35" x14ac:dyDescent="0.75">
      <c r="Z62" s="27"/>
      <c r="AA62" s="31"/>
    </row>
    <row r="63" spans="3:35" x14ac:dyDescent="0.75">
      <c r="Y63" s="166"/>
      <c r="Z63" s="27"/>
      <c r="AA63" s="31"/>
    </row>
    <row r="64" spans="3:35" x14ac:dyDescent="0.75">
      <c r="Y64" s="166"/>
      <c r="Z64" s="166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Prezzi</vt:lpstr>
      <vt:lpstr>benchmark</vt:lpstr>
      <vt:lpstr>Prezzi-Rend EUR</vt:lpstr>
      <vt:lpstr>implementazione</vt:lpstr>
      <vt:lpstr>Valorizzazione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Sebastian Castellano</cp:lastModifiedBy>
  <dcterms:created xsi:type="dcterms:W3CDTF">2015-10-25T07:49:37Z</dcterms:created>
  <dcterms:modified xsi:type="dcterms:W3CDTF">2021-10-18T14:00:59Z</dcterms:modified>
</cp:coreProperties>
</file>