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Computational Finance/Polimi Hedge Fund/"/>
    </mc:Choice>
  </mc:AlternateContent>
  <xr:revisionPtr revIDLastSave="1" documentId="8_{51D72DA6-4C36-48BD-9A1F-5EE87571C551}" xr6:coauthVersionLast="47" xr6:coauthVersionMax="47" xr10:uidLastSave="{90290C00-F08D-477B-85F9-B66713328F69}"/>
  <bookViews>
    <workbookView xWindow="-90" yWindow="-90" windowWidth="19380" windowHeight="10380" firstSheet="2" activeTab="6" xr2:uid="{AE8D6A57-75D6-40DF-9916-A48C5EC1258A}"/>
  </bookViews>
  <sheets>
    <sheet name="Value History" sheetId="1" r:id="rId1"/>
    <sheet name="Rebalancing History" sheetId="2" r:id="rId2"/>
    <sheet name="Fund Performance" sheetId="8" r:id="rId3"/>
    <sheet name="Attribution" sheetId="11" r:id="rId4"/>
    <sheet name="Change Impact" sheetId="10" r:id="rId5"/>
    <sheet name="Transaction Impact" sheetId="12" r:id="rId6"/>
    <sheet name="Asset Prices" sheetId="6" r:id="rId7"/>
    <sheet name="Asset Returns" sheetId="5" r:id="rId8"/>
    <sheet name="Euro Prices" sheetId="4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6" l="1" a="1"/>
  <c r="C51" i="6" s="1"/>
  <c r="C40" i="6" a="1"/>
  <c r="C40" i="6" s="1"/>
  <c r="C41" i="6" a="1"/>
  <c r="C41" i="6" s="1"/>
  <c r="C42" i="6" a="1"/>
  <c r="C42" i="6" s="1"/>
  <c r="C43" i="6" a="1"/>
  <c r="C43" i="6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39" i="6" a="1"/>
  <c r="C39" i="6" s="1"/>
  <c r="D52" i="6" a="1"/>
  <c r="D52" i="6" s="1"/>
  <c r="D53" i="6" a="1"/>
  <c r="D53" i="6" s="1"/>
  <c r="D54" i="6" a="1"/>
  <c r="D54" i="6"/>
  <c r="D55" i="6" a="1"/>
  <c r="D55" i="6"/>
  <c r="D56" i="6" a="1"/>
  <c r="D56" i="6" s="1"/>
  <c r="D57" i="6" a="1"/>
  <c r="D57" i="6" s="1"/>
  <c r="D58" i="6" a="1"/>
  <c r="D58" i="6"/>
  <c r="D59" i="6" a="1"/>
  <c r="D59" i="6"/>
  <c r="D60" i="6" a="1"/>
  <c r="D60" i="6" s="1"/>
  <c r="D61" i="6" a="1"/>
  <c r="D61" i="6" s="1"/>
  <c r="D62" i="6" a="1"/>
  <c r="D62" i="6"/>
  <c r="D63" i="6" a="1"/>
  <c r="D63" i="6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51" i="6" a="1"/>
  <c r="D51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39" i="6" a="1"/>
  <c r="D39" i="6" s="1"/>
  <c r="C62" i="6" a="1"/>
  <c r="C62" i="6" s="1"/>
  <c r="C63" i="6" a="1"/>
  <c r="C63" i="6" s="1"/>
  <c r="C64" i="6" a="1"/>
  <c r="C64" i="6"/>
  <c r="C65" i="6" a="1"/>
  <c r="C65" i="6"/>
  <c r="C66" i="6" a="1"/>
  <c r="C66" i="6" s="1"/>
  <c r="C67" i="6" a="1"/>
  <c r="C67" i="6" s="1"/>
  <c r="C68" i="6" a="1"/>
  <c r="C68" i="6"/>
  <c r="C69" i="6" a="1"/>
  <c r="C69" i="6" s="1"/>
  <c r="C61" i="6" a="1"/>
  <c r="C61" i="6" s="1"/>
  <c r="C52" i="6" a="1"/>
  <c r="C52" i="6" s="1"/>
  <c r="C53" i="6" a="1"/>
  <c r="C53" i="6" s="1"/>
  <c r="C54" i="6" a="1"/>
  <c r="C54" i="6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D12" i="1" a="1"/>
  <c r="D12" i="1" s="1"/>
  <c r="C58" i="1" a="1"/>
  <c r="C58" i="1" s="1"/>
  <c r="AD9" i="11"/>
  <c r="W16" i="11"/>
  <c r="W9" i="11"/>
  <c r="W6" i="11"/>
  <c r="B6" i="12" l="1" a="1"/>
  <c r="B6" i="12" s="1"/>
  <c r="AD7" i="11"/>
  <c r="AD8" i="11"/>
  <c r="AD6" i="11"/>
  <c r="W14" i="11"/>
  <c r="W15" i="11"/>
  <c r="W13" i="11"/>
  <c r="U7" i="11"/>
  <c r="V7" i="11"/>
  <c r="W7" i="11"/>
  <c r="U8" i="11"/>
  <c r="V8" i="11"/>
  <c r="W8" i="11"/>
  <c r="U6" i="11"/>
  <c r="V6" i="11"/>
  <c r="K15" i="11"/>
  <c r="K16" i="11"/>
  <c r="K14" i="11"/>
  <c r="K9" i="11"/>
  <c r="K10" i="11"/>
  <c r="K8" i="11"/>
  <c r="C9" i="11"/>
  <c r="C10" i="11"/>
  <c r="C8" i="11"/>
  <c r="H8" i="10" l="1"/>
  <c r="I8" i="10" s="1"/>
  <c r="H6" i="10"/>
  <c r="H9" i="10" s="1"/>
  <c r="H7" i="10"/>
  <c r="I7" i="10" s="1"/>
  <c r="C6" i="10"/>
  <c r="C7" i="10"/>
  <c r="C8" i="10"/>
  <c r="C9" i="10"/>
  <c r="C10" i="10"/>
  <c r="C11" i="10"/>
  <c r="D12" i="10" s="1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D26" i="10" s="1"/>
  <c r="C27" i="10"/>
  <c r="C28" i="10"/>
  <c r="C29" i="10"/>
  <c r="C30" i="10"/>
  <c r="C31" i="10"/>
  <c r="C32" i="10"/>
  <c r="C33" i="10"/>
  <c r="C34" i="10"/>
  <c r="C35" i="10"/>
  <c r="C36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D30" i="10" l="1"/>
  <c r="D22" i="10"/>
  <c r="D16" i="10"/>
  <c r="D8" i="10"/>
  <c r="D36" i="10"/>
  <c r="D32" i="10"/>
  <c r="D28" i="10"/>
  <c r="D24" i="10"/>
  <c r="D20" i="10"/>
  <c r="D34" i="10"/>
  <c r="D18" i="10"/>
  <c r="D14" i="10"/>
  <c r="D10" i="10"/>
  <c r="G6" i="10"/>
  <c r="I6" i="10" s="1"/>
  <c r="D35" i="10"/>
  <c r="D31" i="10"/>
  <c r="D27" i="10"/>
  <c r="D23" i="10"/>
  <c r="D19" i="10"/>
  <c r="D15" i="10"/>
  <c r="D11" i="10"/>
  <c r="D7" i="10"/>
  <c r="G7" i="10"/>
  <c r="D33" i="10"/>
  <c r="D29" i="10"/>
  <c r="D25" i="10"/>
  <c r="D21" i="10"/>
  <c r="D17" i="10"/>
  <c r="D13" i="10"/>
  <c r="D9" i="10"/>
  <c r="G8" i="10"/>
  <c r="G9" i="10"/>
  <c r="I9" i="10" s="1"/>
  <c r="J9" i="10" s="1"/>
  <c r="B7" i="8"/>
  <c r="N7" i="8" s="1"/>
  <c r="B8" i="8"/>
  <c r="N8" i="8" s="1"/>
  <c r="B9" i="8"/>
  <c r="N9" i="8" s="1"/>
  <c r="B10" i="8"/>
  <c r="N10" i="8" s="1"/>
  <c r="B11" i="8"/>
  <c r="N11" i="8" s="1"/>
  <c r="B12" i="8"/>
  <c r="N12" i="8" s="1"/>
  <c r="B13" i="8"/>
  <c r="N13" i="8" s="1"/>
  <c r="B14" i="8"/>
  <c r="N14" i="8" s="1"/>
  <c r="B15" i="8"/>
  <c r="N15" i="8" s="1"/>
  <c r="B16" i="8"/>
  <c r="N16" i="8" s="1"/>
  <c r="B17" i="8"/>
  <c r="N17" i="8" s="1"/>
  <c r="B18" i="8"/>
  <c r="N18" i="8" s="1"/>
  <c r="B19" i="8"/>
  <c r="N19" i="8" s="1"/>
  <c r="B20" i="8"/>
  <c r="N20" i="8" s="1"/>
  <c r="B21" i="8"/>
  <c r="N21" i="8" s="1"/>
  <c r="B22" i="8"/>
  <c r="N22" i="8" s="1"/>
  <c r="B23" i="8"/>
  <c r="N23" i="8" s="1"/>
  <c r="B24" i="8"/>
  <c r="N24" i="8" s="1"/>
  <c r="B25" i="8"/>
  <c r="N25" i="8" s="1"/>
  <c r="B26" i="8"/>
  <c r="N26" i="8" s="1"/>
  <c r="B27" i="8"/>
  <c r="N27" i="8" s="1"/>
  <c r="B28" i="8"/>
  <c r="N28" i="8" s="1"/>
  <c r="B29" i="8"/>
  <c r="N29" i="8" s="1"/>
  <c r="B30" i="8"/>
  <c r="N30" i="8" s="1"/>
  <c r="B31" i="8"/>
  <c r="N31" i="8" s="1"/>
  <c r="B32" i="8"/>
  <c r="N32" i="8" s="1"/>
  <c r="B33" i="8"/>
  <c r="N33" i="8" s="1"/>
  <c r="B34" i="8"/>
  <c r="N34" i="8" s="1"/>
  <c r="B35" i="8"/>
  <c r="N35" i="8" s="1"/>
  <c r="B6" i="8"/>
  <c r="N6" i="8" s="1"/>
  <c r="E32" i="4"/>
  <c r="D32" i="4"/>
  <c r="T6" i="6" l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44" i="1" s="1"/>
  <c r="T28" i="6"/>
  <c r="T29" i="6"/>
  <c r="T30" i="6"/>
  <c r="T31" i="6"/>
  <c r="T32" i="6"/>
  <c r="T33" i="6"/>
  <c r="T34" i="6"/>
  <c r="T35" i="6"/>
  <c r="T52" i="1" s="1"/>
  <c r="T36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37" i="1" s="1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38" i="1" s="1"/>
  <c r="P22" i="6"/>
  <c r="P23" i="6"/>
  <c r="P24" i="6"/>
  <c r="P25" i="6"/>
  <c r="P26" i="6"/>
  <c r="P27" i="6"/>
  <c r="P28" i="6"/>
  <c r="P29" i="6"/>
  <c r="P46" i="1" s="1"/>
  <c r="P30" i="6"/>
  <c r="P31" i="6"/>
  <c r="P32" i="6"/>
  <c r="P33" i="6"/>
  <c r="P34" i="6"/>
  <c r="P35" i="6"/>
  <c r="P36" i="6"/>
  <c r="O6" i="6"/>
  <c r="O23" i="1" s="1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47" i="1" s="1"/>
  <c r="O31" i="6"/>
  <c r="O32" i="6"/>
  <c r="O33" i="6"/>
  <c r="O34" i="6"/>
  <c r="O35" i="6"/>
  <c r="O36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40" i="1" s="1"/>
  <c r="N24" i="6"/>
  <c r="N25" i="6"/>
  <c r="N26" i="6"/>
  <c r="N27" i="6"/>
  <c r="N28" i="6"/>
  <c r="N29" i="6"/>
  <c r="N30" i="6"/>
  <c r="N31" i="6"/>
  <c r="N48" i="1" s="1"/>
  <c r="N32" i="6"/>
  <c r="N33" i="6"/>
  <c r="N34" i="6"/>
  <c r="N35" i="6"/>
  <c r="N36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49" i="1" s="1"/>
  <c r="M33" i="6"/>
  <c r="M34" i="6"/>
  <c r="M35" i="6"/>
  <c r="M36" i="6"/>
  <c r="L6" i="6"/>
  <c r="L7" i="6"/>
  <c r="L8" i="6"/>
  <c r="L9" i="6"/>
  <c r="L26" i="1" s="1"/>
  <c r="L10" i="6"/>
  <c r="L11" i="6"/>
  <c r="L12" i="6"/>
  <c r="L13" i="6"/>
  <c r="L14" i="6"/>
  <c r="L15" i="6"/>
  <c r="L16" i="6"/>
  <c r="L17" i="6"/>
  <c r="L34" i="1" s="1"/>
  <c r="L18" i="6"/>
  <c r="L19" i="6"/>
  <c r="L20" i="6"/>
  <c r="L21" i="6"/>
  <c r="L22" i="6"/>
  <c r="L23" i="6"/>
  <c r="L24" i="6"/>
  <c r="L25" i="6"/>
  <c r="L42" i="1" s="1"/>
  <c r="L26" i="6"/>
  <c r="L27" i="6"/>
  <c r="L28" i="6"/>
  <c r="L29" i="6"/>
  <c r="L30" i="6"/>
  <c r="L31" i="6"/>
  <c r="L32" i="6"/>
  <c r="L33" i="6"/>
  <c r="L50" i="1" s="1"/>
  <c r="L34" i="6"/>
  <c r="L35" i="6"/>
  <c r="L36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43" i="1" s="1"/>
  <c r="K27" i="6"/>
  <c r="K28" i="6"/>
  <c r="K29" i="6"/>
  <c r="K30" i="6"/>
  <c r="K31" i="6"/>
  <c r="K32" i="6"/>
  <c r="K33" i="6"/>
  <c r="K34" i="6"/>
  <c r="K51" i="1" s="1"/>
  <c r="K35" i="6"/>
  <c r="K36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36" i="1" s="1"/>
  <c r="J20" i="6"/>
  <c r="J21" i="6"/>
  <c r="J22" i="6"/>
  <c r="J23" i="6"/>
  <c r="J24" i="6"/>
  <c r="J25" i="6"/>
  <c r="J26" i="6"/>
  <c r="J27" i="6"/>
  <c r="J44" i="1" s="1"/>
  <c r="J28" i="6"/>
  <c r="J29" i="6"/>
  <c r="J30" i="6"/>
  <c r="J31" i="6"/>
  <c r="J32" i="6"/>
  <c r="J33" i="6"/>
  <c r="J34" i="6"/>
  <c r="J35" i="6"/>
  <c r="J52" i="1" s="1"/>
  <c r="J36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37" i="1" s="1"/>
  <c r="I21" i="6"/>
  <c r="I22" i="6"/>
  <c r="I23" i="6"/>
  <c r="I24" i="6"/>
  <c r="I25" i="6"/>
  <c r="I26" i="6"/>
  <c r="I27" i="6"/>
  <c r="I28" i="6"/>
  <c r="I45" i="1" s="1"/>
  <c r="I29" i="6"/>
  <c r="I30" i="6"/>
  <c r="I31" i="6"/>
  <c r="I32" i="6"/>
  <c r="I33" i="6"/>
  <c r="I34" i="6"/>
  <c r="I35" i="6"/>
  <c r="I36" i="6"/>
  <c r="I53" i="1" s="1"/>
  <c r="H6" i="6"/>
  <c r="H7" i="6"/>
  <c r="H8" i="6"/>
  <c r="H9" i="6"/>
  <c r="H10" i="6"/>
  <c r="H11" i="6"/>
  <c r="H12" i="6"/>
  <c r="H13" i="6"/>
  <c r="H30" i="1" s="1"/>
  <c r="H14" i="6"/>
  <c r="H15" i="6"/>
  <c r="H16" i="6"/>
  <c r="H17" i="6"/>
  <c r="H18" i="6"/>
  <c r="H19" i="6"/>
  <c r="H20" i="6"/>
  <c r="H21" i="6"/>
  <c r="H38" i="1" s="1"/>
  <c r="H22" i="6"/>
  <c r="H23" i="6"/>
  <c r="H24" i="6"/>
  <c r="H25" i="6"/>
  <c r="H26" i="6"/>
  <c r="H27" i="6"/>
  <c r="H28" i="6"/>
  <c r="H29" i="6"/>
  <c r="H46" i="1" s="1"/>
  <c r="H30" i="6"/>
  <c r="H31" i="6"/>
  <c r="H32" i="6"/>
  <c r="H33" i="6"/>
  <c r="H34" i="6"/>
  <c r="H35" i="6"/>
  <c r="H36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39" i="1" s="1"/>
  <c r="G23" i="6"/>
  <c r="G24" i="6"/>
  <c r="G25" i="6"/>
  <c r="G26" i="6"/>
  <c r="G27" i="6"/>
  <c r="G28" i="6"/>
  <c r="G29" i="6"/>
  <c r="G30" i="6"/>
  <c r="G47" i="1" s="1"/>
  <c r="G31" i="6"/>
  <c r="G32" i="6"/>
  <c r="G33" i="6"/>
  <c r="G34" i="6"/>
  <c r="G35" i="6"/>
  <c r="G36" i="6"/>
  <c r="F6" i="6"/>
  <c r="F7" i="6"/>
  <c r="F24" i="1" s="1"/>
  <c r="F8" i="6"/>
  <c r="F9" i="6"/>
  <c r="F10" i="6"/>
  <c r="F11" i="6"/>
  <c r="F12" i="6"/>
  <c r="F13" i="6"/>
  <c r="F14" i="6"/>
  <c r="F15" i="6"/>
  <c r="F32" i="1" s="1"/>
  <c r="F16" i="6"/>
  <c r="F17" i="6"/>
  <c r="F18" i="6"/>
  <c r="F19" i="6"/>
  <c r="F20" i="6"/>
  <c r="F21" i="6"/>
  <c r="F22" i="6"/>
  <c r="F23" i="6"/>
  <c r="F40" i="1" s="1"/>
  <c r="F24" i="6"/>
  <c r="F25" i="6"/>
  <c r="F26" i="6"/>
  <c r="F27" i="6"/>
  <c r="F28" i="6"/>
  <c r="F29" i="6"/>
  <c r="F30" i="6"/>
  <c r="F31" i="6"/>
  <c r="F48" i="1" s="1"/>
  <c r="F32" i="6"/>
  <c r="F33" i="6"/>
  <c r="F34" i="6"/>
  <c r="F35" i="6"/>
  <c r="F36" i="6"/>
  <c r="E6" i="6"/>
  <c r="E7" i="6"/>
  <c r="E8" i="6"/>
  <c r="E9" i="6"/>
  <c r="E10" i="6"/>
  <c r="E11" i="6"/>
  <c r="E12" i="6"/>
  <c r="E13" i="6"/>
  <c r="E14" i="6"/>
  <c r="E15" i="6"/>
  <c r="E16" i="6"/>
  <c r="E33" i="1" s="1"/>
  <c r="E17" i="6"/>
  <c r="E18" i="6"/>
  <c r="E19" i="6"/>
  <c r="E20" i="6"/>
  <c r="E21" i="6"/>
  <c r="E22" i="6"/>
  <c r="E23" i="6"/>
  <c r="E24" i="6"/>
  <c r="E41" i="1" s="1"/>
  <c r="E25" i="6"/>
  <c r="E26" i="6"/>
  <c r="E27" i="6"/>
  <c r="E28" i="6"/>
  <c r="E29" i="6"/>
  <c r="E30" i="6"/>
  <c r="E31" i="6"/>
  <c r="E32" i="6"/>
  <c r="E49" i="1" s="1"/>
  <c r="E33" i="6"/>
  <c r="E34" i="6"/>
  <c r="E35" i="6"/>
  <c r="E36" i="6"/>
  <c r="D6" i="6"/>
  <c r="D7" i="6"/>
  <c r="D8" i="6"/>
  <c r="D9" i="6"/>
  <c r="D26" i="1" s="1"/>
  <c r="D10" i="6"/>
  <c r="D11" i="6"/>
  <c r="D12" i="6"/>
  <c r="D13" i="6"/>
  <c r="D14" i="6"/>
  <c r="D15" i="6"/>
  <c r="D16" i="6"/>
  <c r="D17" i="6"/>
  <c r="D34" i="1" s="1"/>
  <c r="D18" i="6"/>
  <c r="D19" i="6"/>
  <c r="D20" i="6"/>
  <c r="D21" i="6"/>
  <c r="D22" i="6"/>
  <c r="D23" i="6"/>
  <c r="D24" i="6"/>
  <c r="D25" i="6"/>
  <c r="D42" i="1" s="1"/>
  <c r="D26" i="6"/>
  <c r="D27" i="6"/>
  <c r="D28" i="6"/>
  <c r="D29" i="6"/>
  <c r="D30" i="6"/>
  <c r="D31" i="6"/>
  <c r="D32" i="6"/>
  <c r="D33" i="6"/>
  <c r="D50" i="1" s="1"/>
  <c r="D34" i="6"/>
  <c r="D35" i="6"/>
  <c r="D36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43" i="1" s="1"/>
  <c r="C27" i="6"/>
  <c r="C28" i="6"/>
  <c r="C29" i="6"/>
  <c r="C30" i="6"/>
  <c r="C31" i="6"/>
  <c r="C32" i="6"/>
  <c r="C33" i="6"/>
  <c r="C34" i="6"/>
  <c r="C51" i="1" s="1"/>
  <c r="C35" i="6"/>
  <c r="C36" i="6"/>
  <c r="S7" i="5"/>
  <c r="T7" i="5"/>
  <c r="S8" i="5"/>
  <c r="T8" i="5"/>
  <c r="S9" i="5"/>
  <c r="P8" i="8" s="1" a="1"/>
  <c r="P8" i="8" s="1"/>
  <c r="T9" i="5"/>
  <c r="S10" i="5"/>
  <c r="T10" i="5"/>
  <c r="S11" i="5"/>
  <c r="P10" i="8" s="1" a="1"/>
  <c r="P10" i="8" s="1"/>
  <c r="T11" i="5"/>
  <c r="S12" i="5"/>
  <c r="T12" i="5"/>
  <c r="S13" i="5"/>
  <c r="P12" i="8" s="1" a="1"/>
  <c r="P12" i="8" s="1"/>
  <c r="T13" i="5"/>
  <c r="S14" i="5"/>
  <c r="T14" i="5"/>
  <c r="S15" i="5"/>
  <c r="P14" i="8" s="1" a="1"/>
  <c r="P14" i="8" s="1"/>
  <c r="T15" i="5"/>
  <c r="S16" i="5"/>
  <c r="T16" i="5"/>
  <c r="S17" i="5"/>
  <c r="P16" i="8" s="1" a="1"/>
  <c r="P16" i="8" s="1"/>
  <c r="T17" i="5"/>
  <c r="S18" i="5"/>
  <c r="T18" i="5"/>
  <c r="S19" i="5"/>
  <c r="P18" i="8" s="1" a="1"/>
  <c r="P18" i="8" s="1"/>
  <c r="T19" i="5"/>
  <c r="S20" i="5"/>
  <c r="T20" i="5"/>
  <c r="S21" i="5"/>
  <c r="P20" i="8" s="1" a="1"/>
  <c r="P20" i="8" s="1"/>
  <c r="T21" i="5"/>
  <c r="S22" i="5"/>
  <c r="T22" i="5"/>
  <c r="S23" i="5"/>
  <c r="P22" i="8" s="1" a="1"/>
  <c r="P22" i="8" s="1"/>
  <c r="T23" i="5"/>
  <c r="S24" i="5"/>
  <c r="T24" i="5"/>
  <c r="S25" i="5"/>
  <c r="P24" i="8" s="1" a="1"/>
  <c r="P24" i="8" s="1"/>
  <c r="T25" i="5"/>
  <c r="S26" i="5"/>
  <c r="T26" i="5"/>
  <c r="S27" i="5"/>
  <c r="P26" i="8" s="1" a="1"/>
  <c r="P26" i="8" s="1"/>
  <c r="T27" i="5"/>
  <c r="S28" i="5"/>
  <c r="T28" i="5"/>
  <c r="S29" i="5"/>
  <c r="P28" i="8" s="1" a="1"/>
  <c r="P28" i="8" s="1"/>
  <c r="T29" i="5"/>
  <c r="S30" i="5"/>
  <c r="T30" i="5"/>
  <c r="S31" i="5"/>
  <c r="P30" i="8" s="1" a="1"/>
  <c r="P30" i="8" s="1"/>
  <c r="T31" i="5"/>
  <c r="S32" i="5"/>
  <c r="T32" i="5"/>
  <c r="S33" i="5"/>
  <c r="P32" i="8" s="1" a="1"/>
  <c r="P32" i="8" s="1"/>
  <c r="T33" i="5"/>
  <c r="S34" i="5"/>
  <c r="T34" i="5"/>
  <c r="S35" i="5"/>
  <c r="P34" i="8" s="1" a="1"/>
  <c r="P34" i="8" s="1"/>
  <c r="T35" i="5"/>
  <c r="S36" i="5"/>
  <c r="T36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P7" i="5"/>
  <c r="G6" i="8" s="1"/>
  <c r="D8" i="5"/>
  <c r="E8" i="5"/>
  <c r="F8" i="5"/>
  <c r="G8" i="5"/>
  <c r="H8" i="5"/>
  <c r="I8" i="5"/>
  <c r="J8" i="5"/>
  <c r="K8" i="5"/>
  <c r="L8" i="5"/>
  <c r="M8" i="5"/>
  <c r="N8" i="5"/>
  <c r="O8" i="5"/>
  <c r="P8" i="5"/>
  <c r="G7" i="8" s="1"/>
  <c r="D9" i="5"/>
  <c r="E9" i="5"/>
  <c r="F9" i="5"/>
  <c r="G9" i="5"/>
  <c r="H9" i="5"/>
  <c r="I9" i="5"/>
  <c r="J9" i="5"/>
  <c r="K9" i="5"/>
  <c r="L9" i="5"/>
  <c r="M9" i="5"/>
  <c r="N9" i="5"/>
  <c r="O9" i="5"/>
  <c r="P9" i="5"/>
  <c r="G8" i="8" s="1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G9" i="8" s="1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G10" i="8" s="1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G11" i="8" s="1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G12" i="8" s="1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G13" i="8" s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G14" i="8" s="1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G15" i="8" s="1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G16" i="8" s="1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G17" i="8" s="1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G18" i="8" s="1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G19" i="8" s="1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G20" i="8" s="1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G21" i="8" s="1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G22" i="8" s="1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G23" i="8" s="1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G24" i="8" s="1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G25" i="8" s="1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G26" i="8" s="1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G27" i="8" s="1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G28" i="8" s="1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G29" i="8" s="1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G30" i="8" s="1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G31" i="8" s="1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G32" i="8" s="1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G33" i="8" s="1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G34" i="8" s="1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G35" i="8" s="1"/>
  <c r="O7" i="5"/>
  <c r="N7" i="5"/>
  <c r="M7" i="5"/>
  <c r="L7" i="5"/>
  <c r="K7" i="5"/>
  <c r="J7" i="5"/>
  <c r="I7" i="5"/>
  <c r="H7" i="5"/>
  <c r="G7" i="5"/>
  <c r="F7" i="5"/>
  <c r="E7" i="5"/>
  <c r="D7" i="5"/>
  <c r="C7" i="5"/>
  <c r="G23" i="1" l="1"/>
  <c r="I29" i="1"/>
  <c r="K35" i="1"/>
  <c r="C27" i="1"/>
  <c r="K27" i="1"/>
  <c r="M41" i="1"/>
  <c r="M25" i="1"/>
  <c r="N24" i="1"/>
  <c r="E25" i="1"/>
  <c r="G31" i="1"/>
  <c r="J28" i="1"/>
  <c r="M33" i="1"/>
  <c r="N32" i="1"/>
  <c r="O31" i="1"/>
  <c r="C35" i="1"/>
  <c r="O39" i="1"/>
  <c r="S45" i="1"/>
  <c r="T36" i="1"/>
  <c r="D49" i="1"/>
  <c r="E24" i="1"/>
  <c r="C46" i="1"/>
  <c r="C38" i="1"/>
  <c r="C30" i="1"/>
  <c r="D45" i="1"/>
  <c r="D37" i="1"/>
  <c r="D29" i="1"/>
  <c r="E44" i="1"/>
  <c r="E36" i="1"/>
  <c r="F51" i="1"/>
  <c r="F43" i="1"/>
  <c r="G50" i="1"/>
  <c r="C53" i="1"/>
  <c r="C45" i="1"/>
  <c r="C37" i="1"/>
  <c r="C29" i="1"/>
  <c r="D52" i="1"/>
  <c r="D44" i="1"/>
  <c r="D36" i="1"/>
  <c r="D28" i="1"/>
  <c r="E51" i="1"/>
  <c r="E43" i="1"/>
  <c r="E35" i="1"/>
  <c r="E27" i="1"/>
  <c r="F50" i="1"/>
  <c r="F42" i="1"/>
  <c r="F34" i="1"/>
  <c r="F26" i="1"/>
  <c r="G49" i="1"/>
  <c r="G41" i="1"/>
  <c r="G33" i="1"/>
  <c r="G25" i="1"/>
  <c r="H48" i="1"/>
  <c r="H40" i="1"/>
  <c r="H32" i="1"/>
  <c r="H24" i="1"/>
  <c r="I47" i="1"/>
  <c r="I39" i="1"/>
  <c r="I31" i="1"/>
  <c r="I23" i="1"/>
  <c r="J46" i="1"/>
  <c r="J38" i="1"/>
  <c r="J30" i="1"/>
  <c r="K53" i="1"/>
  <c r="K45" i="1"/>
  <c r="K37" i="1"/>
  <c r="K29" i="1"/>
  <c r="L52" i="1"/>
  <c r="L44" i="1"/>
  <c r="L36" i="1"/>
  <c r="L28" i="1"/>
  <c r="M51" i="1"/>
  <c r="M43" i="1"/>
  <c r="M35" i="1"/>
  <c r="M27" i="1"/>
  <c r="N50" i="1"/>
  <c r="N42" i="1"/>
  <c r="N34" i="1"/>
  <c r="N26" i="1"/>
  <c r="O49" i="1"/>
  <c r="O41" i="1"/>
  <c r="O33" i="1"/>
  <c r="O25" i="1"/>
  <c r="P48" i="1"/>
  <c r="P40" i="1"/>
  <c r="P32" i="1"/>
  <c r="P24" i="1"/>
  <c r="S47" i="1"/>
  <c r="S39" i="1"/>
  <c r="S31" i="1"/>
  <c r="S23" i="1"/>
  <c r="T46" i="1"/>
  <c r="T38" i="1"/>
  <c r="T30" i="1"/>
  <c r="C52" i="1"/>
  <c r="C44" i="1"/>
  <c r="C36" i="1"/>
  <c r="C28" i="1"/>
  <c r="D51" i="1"/>
  <c r="D43" i="1"/>
  <c r="D35" i="1"/>
  <c r="D27" i="1"/>
  <c r="E50" i="1"/>
  <c r="E42" i="1"/>
  <c r="E34" i="1"/>
  <c r="E26" i="1"/>
  <c r="F49" i="1"/>
  <c r="F41" i="1"/>
  <c r="F33" i="1"/>
  <c r="F25" i="1"/>
  <c r="G48" i="1"/>
  <c r="G40" i="1"/>
  <c r="G32" i="1"/>
  <c r="G24" i="1"/>
  <c r="H47" i="1"/>
  <c r="H39" i="1"/>
  <c r="H31" i="1"/>
  <c r="H23" i="1"/>
  <c r="I46" i="1"/>
  <c r="I38" i="1"/>
  <c r="I30" i="1"/>
  <c r="J53" i="1"/>
  <c r="J45" i="1"/>
  <c r="J37" i="1"/>
  <c r="J29" i="1"/>
  <c r="K52" i="1"/>
  <c r="K44" i="1"/>
  <c r="K36" i="1"/>
  <c r="K28" i="1"/>
  <c r="L51" i="1"/>
  <c r="L43" i="1"/>
  <c r="L35" i="1"/>
  <c r="L27" i="1"/>
  <c r="M50" i="1"/>
  <c r="M42" i="1"/>
  <c r="M34" i="1"/>
  <c r="M26" i="1"/>
  <c r="N49" i="1"/>
  <c r="N41" i="1"/>
  <c r="N33" i="1"/>
  <c r="N25" i="1"/>
  <c r="O48" i="1"/>
  <c r="O40" i="1"/>
  <c r="O32" i="1"/>
  <c r="O24" i="1"/>
  <c r="P47" i="1"/>
  <c r="P39" i="1"/>
  <c r="P31" i="1"/>
  <c r="P23" i="1"/>
  <c r="S46" i="1"/>
  <c r="S38" i="1"/>
  <c r="S30" i="1"/>
  <c r="T53" i="1"/>
  <c r="T45" i="1"/>
  <c r="T37" i="1"/>
  <c r="T29" i="1"/>
  <c r="S53" i="1"/>
  <c r="T28" i="1"/>
  <c r="C50" i="1"/>
  <c r="C26" i="1"/>
  <c r="D25" i="1"/>
  <c r="F47" i="1"/>
  <c r="F23" i="1"/>
  <c r="G38" i="1"/>
  <c r="G30" i="1"/>
  <c r="H37" i="1"/>
  <c r="I44" i="1"/>
  <c r="J51" i="1"/>
  <c r="K50" i="1"/>
  <c r="K26" i="1"/>
  <c r="L33" i="1"/>
  <c r="M40" i="1"/>
  <c r="N47" i="1"/>
  <c r="N23" i="1"/>
  <c r="P53" i="1"/>
  <c r="P29" i="1"/>
  <c r="S36" i="1"/>
  <c r="T51" i="1"/>
  <c r="T27" i="1"/>
  <c r="C49" i="1"/>
  <c r="C41" i="1"/>
  <c r="C33" i="1"/>
  <c r="C25" i="1"/>
  <c r="D48" i="1"/>
  <c r="D40" i="1"/>
  <c r="D32" i="1"/>
  <c r="D24" i="1"/>
  <c r="E47" i="1"/>
  <c r="E39" i="1"/>
  <c r="E31" i="1"/>
  <c r="E23" i="1"/>
  <c r="F46" i="1"/>
  <c r="F38" i="1"/>
  <c r="F30" i="1"/>
  <c r="G53" i="1"/>
  <c r="G45" i="1"/>
  <c r="G37" i="1"/>
  <c r="G29" i="1"/>
  <c r="H52" i="1"/>
  <c r="H44" i="1"/>
  <c r="H36" i="1"/>
  <c r="H28" i="1"/>
  <c r="I51" i="1"/>
  <c r="I43" i="1"/>
  <c r="I35" i="1"/>
  <c r="I27" i="1"/>
  <c r="J50" i="1"/>
  <c r="J42" i="1"/>
  <c r="J34" i="1"/>
  <c r="J26" i="1"/>
  <c r="K49" i="1"/>
  <c r="K41" i="1"/>
  <c r="K33" i="1"/>
  <c r="K25" i="1"/>
  <c r="L48" i="1"/>
  <c r="L40" i="1"/>
  <c r="L32" i="1"/>
  <c r="L24" i="1"/>
  <c r="M47" i="1"/>
  <c r="M39" i="1"/>
  <c r="M31" i="1"/>
  <c r="M23" i="1"/>
  <c r="N46" i="1"/>
  <c r="N38" i="1"/>
  <c r="N30" i="1"/>
  <c r="O53" i="1"/>
  <c r="O45" i="1"/>
  <c r="O37" i="1"/>
  <c r="O29" i="1"/>
  <c r="P52" i="1"/>
  <c r="P44" i="1"/>
  <c r="P36" i="1"/>
  <c r="P28" i="1"/>
  <c r="S51" i="1"/>
  <c r="S43" i="1"/>
  <c r="S35" i="1"/>
  <c r="S27" i="1"/>
  <c r="T50" i="1"/>
  <c r="T42" i="1"/>
  <c r="T34" i="1"/>
  <c r="T26" i="1"/>
  <c r="P30" i="1"/>
  <c r="S29" i="1"/>
  <c r="C42" i="1"/>
  <c r="D41" i="1"/>
  <c r="E40" i="1"/>
  <c r="F39" i="1"/>
  <c r="G46" i="1"/>
  <c r="H53" i="1"/>
  <c r="I52" i="1"/>
  <c r="I28" i="1"/>
  <c r="J43" i="1"/>
  <c r="J27" i="1"/>
  <c r="K34" i="1"/>
  <c r="L49" i="1"/>
  <c r="L25" i="1"/>
  <c r="M32" i="1"/>
  <c r="N39" i="1"/>
  <c r="O46" i="1"/>
  <c r="P45" i="1"/>
  <c r="S52" i="1"/>
  <c r="S28" i="1"/>
  <c r="T43" i="1"/>
  <c r="C48" i="1"/>
  <c r="C40" i="1"/>
  <c r="C32" i="1"/>
  <c r="D47" i="1"/>
  <c r="D39" i="1"/>
  <c r="D31" i="1"/>
  <c r="D23" i="1"/>
  <c r="E46" i="1"/>
  <c r="E38" i="1"/>
  <c r="E30" i="1"/>
  <c r="F53" i="1"/>
  <c r="F45" i="1"/>
  <c r="F37" i="1"/>
  <c r="F29" i="1"/>
  <c r="G52" i="1"/>
  <c r="G44" i="1"/>
  <c r="G36" i="1"/>
  <c r="G28" i="1"/>
  <c r="H51" i="1"/>
  <c r="H43" i="1"/>
  <c r="H35" i="1"/>
  <c r="H27" i="1"/>
  <c r="I50" i="1"/>
  <c r="I42" i="1"/>
  <c r="I34" i="1"/>
  <c r="I26" i="1"/>
  <c r="J49" i="1"/>
  <c r="J41" i="1"/>
  <c r="J33" i="1"/>
  <c r="J25" i="1"/>
  <c r="K48" i="1"/>
  <c r="K40" i="1"/>
  <c r="K32" i="1"/>
  <c r="K24" i="1"/>
  <c r="L47" i="1"/>
  <c r="L39" i="1"/>
  <c r="L31" i="1"/>
  <c r="L23" i="1"/>
  <c r="M46" i="1"/>
  <c r="M38" i="1"/>
  <c r="M30" i="1"/>
  <c r="N53" i="1"/>
  <c r="N45" i="1"/>
  <c r="N37" i="1"/>
  <c r="N29" i="1"/>
  <c r="O52" i="1"/>
  <c r="O44" i="1"/>
  <c r="O36" i="1"/>
  <c r="O28" i="1"/>
  <c r="P51" i="1"/>
  <c r="P43" i="1"/>
  <c r="P35" i="1"/>
  <c r="P27" i="1"/>
  <c r="S50" i="1"/>
  <c r="S42" i="1"/>
  <c r="S34" i="1"/>
  <c r="S26" i="1"/>
  <c r="T49" i="1"/>
  <c r="T41" i="1"/>
  <c r="T33" i="1"/>
  <c r="T25" i="1"/>
  <c r="C34" i="1"/>
  <c r="E48" i="1"/>
  <c r="E32" i="1"/>
  <c r="F31" i="1"/>
  <c r="H45" i="1"/>
  <c r="H29" i="1"/>
  <c r="I36" i="1"/>
  <c r="J35" i="1"/>
  <c r="K42" i="1"/>
  <c r="L41" i="1"/>
  <c r="M48" i="1"/>
  <c r="M24" i="1"/>
  <c r="N31" i="1"/>
  <c r="O38" i="1"/>
  <c r="O30" i="1"/>
  <c r="P37" i="1"/>
  <c r="S44" i="1"/>
  <c r="T35" i="1"/>
  <c r="C24" i="1"/>
  <c r="C47" i="1"/>
  <c r="C39" i="1"/>
  <c r="C31" i="1"/>
  <c r="C23" i="1"/>
  <c r="D46" i="1"/>
  <c r="D38" i="1"/>
  <c r="D30" i="1"/>
  <c r="E53" i="1"/>
  <c r="E45" i="1"/>
  <c r="E37" i="1"/>
  <c r="E29" i="1"/>
  <c r="F52" i="1"/>
  <c r="F44" i="1"/>
  <c r="F36" i="1"/>
  <c r="F28" i="1"/>
  <c r="G51" i="1"/>
  <c r="G43" i="1"/>
  <c r="G35" i="1"/>
  <c r="G27" i="1"/>
  <c r="H50" i="1"/>
  <c r="H42" i="1"/>
  <c r="H34" i="1"/>
  <c r="H26" i="1"/>
  <c r="I49" i="1"/>
  <c r="I41" i="1"/>
  <c r="I33" i="1"/>
  <c r="I25" i="1"/>
  <c r="J48" i="1"/>
  <c r="J40" i="1"/>
  <c r="J32" i="1"/>
  <c r="J24" i="1"/>
  <c r="K47" i="1"/>
  <c r="K39" i="1"/>
  <c r="K31" i="1"/>
  <c r="K23" i="1"/>
  <c r="L46" i="1"/>
  <c r="L38" i="1"/>
  <c r="L30" i="1"/>
  <c r="M53" i="1"/>
  <c r="M45" i="1"/>
  <c r="M37" i="1"/>
  <c r="M29" i="1"/>
  <c r="N52" i="1"/>
  <c r="N44" i="1"/>
  <c r="N36" i="1"/>
  <c r="N28" i="1"/>
  <c r="O51" i="1"/>
  <c r="O43" i="1"/>
  <c r="O35" i="1"/>
  <c r="O27" i="1"/>
  <c r="P50" i="1"/>
  <c r="P42" i="1"/>
  <c r="P34" i="1"/>
  <c r="P26" i="1"/>
  <c r="S49" i="1"/>
  <c r="S41" i="1"/>
  <c r="S33" i="1"/>
  <c r="S25" i="1"/>
  <c r="T48" i="1"/>
  <c r="T40" i="1"/>
  <c r="T32" i="1"/>
  <c r="T24" i="1"/>
  <c r="D33" i="1"/>
  <c r="D53" i="1"/>
  <c r="E52" i="1"/>
  <c r="E28" i="1"/>
  <c r="F35" i="1"/>
  <c r="F27" i="1"/>
  <c r="G42" i="1"/>
  <c r="G34" i="1"/>
  <c r="G26" i="1"/>
  <c r="H49" i="1"/>
  <c r="H41" i="1"/>
  <c r="H33" i="1"/>
  <c r="H25" i="1"/>
  <c r="I48" i="1"/>
  <c r="I40" i="1"/>
  <c r="I32" i="1"/>
  <c r="I24" i="1"/>
  <c r="J47" i="1"/>
  <c r="J39" i="1"/>
  <c r="J31" i="1"/>
  <c r="J23" i="1"/>
  <c r="K46" i="1"/>
  <c r="K38" i="1"/>
  <c r="K30" i="1"/>
  <c r="L53" i="1"/>
  <c r="L45" i="1"/>
  <c r="L37" i="1"/>
  <c r="L29" i="1"/>
  <c r="M52" i="1"/>
  <c r="M44" i="1"/>
  <c r="M36" i="1"/>
  <c r="M28" i="1"/>
  <c r="N51" i="1"/>
  <c r="N43" i="1"/>
  <c r="N35" i="1"/>
  <c r="N27" i="1"/>
  <c r="O50" i="1"/>
  <c r="O42" i="1"/>
  <c r="O34" i="1"/>
  <c r="O26" i="1"/>
  <c r="P49" i="1"/>
  <c r="P41" i="1"/>
  <c r="P33" i="1"/>
  <c r="P25" i="1"/>
  <c r="S48" i="1"/>
  <c r="S40" i="1"/>
  <c r="S32" i="1"/>
  <c r="S24" i="1"/>
  <c r="T47" i="1"/>
  <c r="T39" i="1"/>
  <c r="T31" i="1"/>
  <c r="T23" i="1"/>
  <c r="C18" i="12" a="1"/>
  <c r="C18" i="12" s="1"/>
  <c r="C7" i="12" a="1"/>
  <c r="C7" i="12" s="1"/>
  <c r="D7" i="12" s="1"/>
  <c r="C30" i="12" a="1"/>
  <c r="C30" i="12" s="1"/>
  <c r="C6" i="12" a="1"/>
  <c r="C6" i="12" s="1"/>
  <c r="D6" i="12" s="1"/>
  <c r="C35" i="12" a="1"/>
  <c r="C35" i="12" s="1"/>
  <c r="C27" i="12" a="1"/>
  <c r="C27" i="12" s="1"/>
  <c r="C19" i="12" a="1"/>
  <c r="C19" i="12" s="1"/>
  <c r="C11" i="12" a="1"/>
  <c r="C11" i="12" s="1"/>
  <c r="D11" i="12" s="1"/>
  <c r="C33" i="12" a="1"/>
  <c r="C33" i="12" s="1"/>
  <c r="C25" i="12" a="1"/>
  <c r="C25" i="12" s="1"/>
  <c r="C17" i="12" a="1"/>
  <c r="C17" i="12" s="1"/>
  <c r="C9" i="12" a="1"/>
  <c r="C9" i="12" s="1"/>
  <c r="D9" i="12" s="1"/>
  <c r="Q41" i="8"/>
  <c r="M15" i="11" s="1"/>
  <c r="T7" i="11" s="1"/>
  <c r="C32" i="12" a="1"/>
  <c r="C32" i="12" s="1"/>
  <c r="C24" i="12" a="1"/>
  <c r="C24" i="12" s="1"/>
  <c r="C16" i="12" a="1"/>
  <c r="C16" i="12" s="1"/>
  <c r="D16" i="12" s="1"/>
  <c r="C8" i="12" a="1"/>
  <c r="C8" i="12" s="1"/>
  <c r="D8" i="12" s="1"/>
  <c r="P41" i="8"/>
  <c r="L15" i="11" s="1"/>
  <c r="S7" i="11" s="1"/>
  <c r="C10" i="12" a="1"/>
  <c r="C10" i="12" s="1"/>
  <c r="D10" i="12" s="1"/>
  <c r="C31" i="12" a="1"/>
  <c r="C31" i="12" s="1"/>
  <c r="C23" i="12" a="1"/>
  <c r="C23" i="12" s="1"/>
  <c r="C15" i="12" a="1"/>
  <c r="C15" i="12" s="1"/>
  <c r="D15" i="12" s="1"/>
  <c r="P40" i="8"/>
  <c r="L14" i="11" s="1"/>
  <c r="S6" i="11" s="1"/>
  <c r="C26" i="12" a="1"/>
  <c r="C26" i="12" s="1"/>
  <c r="C22" i="12" a="1"/>
  <c r="C22" i="12" s="1"/>
  <c r="C29" i="12" a="1"/>
  <c r="C29" i="12" s="1"/>
  <c r="C21" i="12" a="1"/>
  <c r="C21" i="12" s="1"/>
  <c r="C13" i="12" a="1"/>
  <c r="C13" i="12" s="1"/>
  <c r="D13" i="12" s="1"/>
  <c r="G40" i="8"/>
  <c r="G14" i="11" s="1"/>
  <c r="C34" i="12" a="1"/>
  <c r="C34" i="12" s="1"/>
  <c r="C14" i="12" a="1"/>
  <c r="C14" i="12" s="1"/>
  <c r="D14" i="12" s="1"/>
  <c r="C28" i="12" a="1"/>
  <c r="C28" i="12" s="1"/>
  <c r="C20" i="12" a="1"/>
  <c r="C20" i="12" s="1"/>
  <c r="C12" i="12" a="1"/>
  <c r="C12" i="12" s="1"/>
  <c r="D12" i="12" s="1"/>
  <c r="F33" i="8" a="1"/>
  <c r="F33" i="8" s="1"/>
  <c r="F29" i="8" a="1"/>
  <c r="F29" i="8" s="1"/>
  <c r="F25" i="8" a="1"/>
  <c r="F25" i="8" s="1"/>
  <c r="F21" i="8" a="1"/>
  <c r="F21" i="8" s="1"/>
  <c r="F17" i="8" a="1"/>
  <c r="F17" i="8" s="1"/>
  <c r="F13" i="8" a="1"/>
  <c r="F13" i="8" s="1"/>
  <c r="Q40" i="8"/>
  <c r="M14" i="11" s="1"/>
  <c r="T6" i="11" s="1"/>
  <c r="Q42" i="8"/>
  <c r="M16" i="11" s="1"/>
  <c r="T8" i="11" s="1"/>
  <c r="Q43" i="8"/>
  <c r="P42" i="8"/>
  <c r="L16" i="11" s="1"/>
  <c r="S8" i="11" s="1"/>
  <c r="P43" i="8"/>
  <c r="F12" i="8" a="1"/>
  <c r="F12" i="8" s="1"/>
  <c r="F7" i="8" a="1"/>
  <c r="F7" i="8" s="1"/>
  <c r="P6" i="8" a="1"/>
  <c r="P6" i="8" s="1"/>
  <c r="E34" i="8" a="1"/>
  <c r="E34" i="8" s="1"/>
  <c r="E30" i="8" a="1"/>
  <c r="E30" i="8" s="1"/>
  <c r="E22" i="8" a="1"/>
  <c r="E22" i="8" s="1"/>
  <c r="E18" i="8" a="1"/>
  <c r="E18" i="8" s="1"/>
  <c r="E14" i="8" a="1"/>
  <c r="E14" i="8" s="1"/>
  <c r="E10" i="8" a="1"/>
  <c r="E10" i="8" s="1"/>
  <c r="E6" i="8" a="1"/>
  <c r="E6" i="8" s="1"/>
  <c r="F34" i="8" a="1"/>
  <c r="F34" i="8" s="1"/>
  <c r="F30" i="8" a="1"/>
  <c r="F30" i="8" s="1"/>
  <c r="F22" i="8" a="1"/>
  <c r="F22" i="8" s="1"/>
  <c r="F18" i="8" a="1"/>
  <c r="F18" i="8" s="1"/>
  <c r="F14" i="8" a="1"/>
  <c r="F14" i="8" s="1"/>
  <c r="F10" i="8" a="1"/>
  <c r="F10" i="8" s="1"/>
  <c r="D32" i="8" a="1"/>
  <c r="D32" i="8" s="1"/>
  <c r="C32" i="8" a="1"/>
  <c r="C32" i="8" s="1"/>
  <c r="O32" i="8" s="1"/>
  <c r="Q32" i="8" s="1"/>
  <c r="D20" i="8" a="1"/>
  <c r="D20" i="8" s="1"/>
  <c r="C20" i="8" a="1"/>
  <c r="C20" i="8" s="1"/>
  <c r="O20" i="8" s="1"/>
  <c r="Q20" i="8" s="1"/>
  <c r="E26" i="8" a="1"/>
  <c r="E26" i="8" s="1"/>
  <c r="E41" i="8" a="1"/>
  <c r="E41" i="8" s="1"/>
  <c r="E15" i="11" s="1"/>
  <c r="D42" i="8" a="1"/>
  <c r="D42" i="8" s="1"/>
  <c r="D16" i="11" s="1"/>
  <c r="C35" i="8" a="1"/>
  <c r="C35" i="8" s="1"/>
  <c r="O35" i="8" s="1"/>
  <c r="D35" i="8" a="1"/>
  <c r="D35" i="8" s="1"/>
  <c r="C43" i="8" a="1"/>
  <c r="C43" i="8" s="1"/>
  <c r="G12" i="1"/>
  <c r="C42" i="8" a="1"/>
  <c r="C42" i="8" s="1"/>
  <c r="C16" i="11" s="1"/>
  <c r="D43" i="8" a="1"/>
  <c r="D43" i="8" s="1"/>
  <c r="D23" i="8" a="1"/>
  <c r="D23" i="8" s="1"/>
  <c r="C23" i="8" a="1"/>
  <c r="C23" i="8" s="1"/>
  <c r="O23" i="8" s="1"/>
  <c r="D15" i="8" a="1"/>
  <c r="D15" i="8" s="1"/>
  <c r="C15" i="8" a="1"/>
  <c r="C15" i="8" s="1"/>
  <c r="O15" i="8" s="1"/>
  <c r="C7" i="8" a="1"/>
  <c r="C7" i="8" s="1"/>
  <c r="O7" i="8" s="1"/>
  <c r="D7" i="8" a="1"/>
  <c r="D7" i="8" s="1"/>
  <c r="E33" i="8" a="1"/>
  <c r="E33" i="8" s="1"/>
  <c r="E29" i="8" a="1"/>
  <c r="E29" i="8" s="1"/>
  <c r="E25" i="8" a="1"/>
  <c r="E25" i="8" s="1"/>
  <c r="E21" i="8" a="1"/>
  <c r="E21" i="8" s="1"/>
  <c r="E17" i="8" a="1"/>
  <c r="E17" i="8" s="1"/>
  <c r="E13" i="8" a="1"/>
  <c r="E13" i="8" s="1"/>
  <c r="E9" i="8" a="1"/>
  <c r="E9" i="8" s="1"/>
  <c r="F9" i="8" a="1"/>
  <c r="F9" i="8" s="1"/>
  <c r="G41" i="8"/>
  <c r="G15" i="11" s="1"/>
  <c r="D24" i="8" a="1"/>
  <c r="D24" i="8" s="1"/>
  <c r="C24" i="8" a="1"/>
  <c r="C24" i="8" s="1"/>
  <c r="O24" i="8" s="1"/>
  <c r="Q24" i="8" s="1"/>
  <c r="C12" i="8" a="1"/>
  <c r="C12" i="8" s="1"/>
  <c r="O12" i="8" s="1"/>
  <c r="Q12" i="8" s="1"/>
  <c r="D12" i="8" a="1"/>
  <c r="D12" i="8" s="1"/>
  <c r="C31" i="8" a="1"/>
  <c r="C31" i="8" s="1"/>
  <c r="O31" i="8" s="1"/>
  <c r="D31" i="8" a="1"/>
  <c r="D31" i="8" s="1"/>
  <c r="D27" i="8" a="1"/>
  <c r="D27" i="8" s="1"/>
  <c r="C27" i="8" a="1"/>
  <c r="C27" i="8" s="1"/>
  <c r="O27" i="8" s="1"/>
  <c r="C19" i="8" a="1"/>
  <c r="C19" i="8" s="1"/>
  <c r="O19" i="8" s="1"/>
  <c r="D19" i="8" a="1"/>
  <c r="D19" i="8" s="1"/>
  <c r="C11" i="8" a="1"/>
  <c r="C11" i="8" s="1"/>
  <c r="O11" i="8" s="1"/>
  <c r="D11" i="8" a="1"/>
  <c r="D11" i="8" s="1"/>
  <c r="P35" i="8" a="1"/>
  <c r="P35" i="8" s="1"/>
  <c r="P33" i="8" a="1"/>
  <c r="P33" i="8" s="1"/>
  <c r="P31" i="8" a="1"/>
  <c r="P31" i="8" s="1"/>
  <c r="P29" i="8" a="1"/>
  <c r="P29" i="8" s="1"/>
  <c r="P27" i="8" a="1"/>
  <c r="P27" i="8" s="1"/>
  <c r="P25" i="8" a="1"/>
  <c r="P25" i="8" s="1"/>
  <c r="P23" i="8" a="1"/>
  <c r="P23" i="8" s="1"/>
  <c r="P21" i="8" a="1"/>
  <c r="P21" i="8" s="1"/>
  <c r="P19" i="8" a="1"/>
  <c r="P19" i="8" s="1"/>
  <c r="P17" i="8" a="1"/>
  <c r="P17" i="8" s="1"/>
  <c r="P15" i="8" a="1"/>
  <c r="P15" i="8" s="1"/>
  <c r="P13" i="8" a="1"/>
  <c r="P13" i="8" s="1"/>
  <c r="P11" i="8" a="1"/>
  <c r="P11" i="8" s="1"/>
  <c r="P9" i="8" a="1"/>
  <c r="P9" i="8" s="1"/>
  <c r="P7" i="8" a="1"/>
  <c r="P7" i="8" s="1"/>
  <c r="C34" i="8" a="1"/>
  <c r="C34" i="8" s="1"/>
  <c r="O34" i="8" s="1"/>
  <c r="Q34" i="8" s="1"/>
  <c r="D34" i="8" a="1"/>
  <c r="D34" i="8" s="1"/>
  <c r="D30" i="8" a="1"/>
  <c r="D30" i="8" s="1"/>
  <c r="C30" i="8" a="1"/>
  <c r="C30" i="8" s="1"/>
  <c r="O30" i="8" s="1"/>
  <c r="Q30" i="8" s="1"/>
  <c r="D41" i="8" a="1"/>
  <c r="D41" i="8" s="1"/>
  <c r="D15" i="11" s="1"/>
  <c r="D26" i="8" a="1"/>
  <c r="D26" i="8" s="1"/>
  <c r="C41" i="8" a="1"/>
  <c r="C41" i="8" s="1"/>
  <c r="C15" i="11" s="1"/>
  <c r="C26" i="8" a="1"/>
  <c r="C26" i="8" s="1"/>
  <c r="O26" i="8" s="1"/>
  <c r="Q26" i="8" s="1"/>
  <c r="D22" i="8" a="1"/>
  <c r="D22" i="8" s="1"/>
  <c r="C22" i="8" a="1"/>
  <c r="C22" i="8" s="1"/>
  <c r="O22" i="8" s="1"/>
  <c r="Q22" i="8" s="1"/>
  <c r="D18" i="8" a="1"/>
  <c r="D18" i="8" s="1"/>
  <c r="C18" i="8" a="1"/>
  <c r="C18" i="8" s="1"/>
  <c r="O18" i="8" s="1"/>
  <c r="Q18" i="8" s="1"/>
  <c r="D14" i="8" a="1"/>
  <c r="D14" i="8" s="1"/>
  <c r="C14" i="8" a="1"/>
  <c r="C14" i="8" s="1"/>
  <c r="O14" i="8" s="1"/>
  <c r="Q14" i="8" s="1"/>
  <c r="D10" i="8" a="1"/>
  <c r="D10" i="8" s="1"/>
  <c r="C10" i="8" a="1"/>
  <c r="C10" i="8" s="1"/>
  <c r="O10" i="8" s="1"/>
  <c r="Q10" i="8" s="1"/>
  <c r="D6" i="8" a="1"/>
  <c r="D6" i="8" s="1"/>
  <c r="C6" i="8" a="1"/>
  <c r="C6" i="8" s="1"/>
  <c r="O6" i="8" s="1"/>
  <c r="Q6" i="8" s="1"/>
  <c r="E32" i="8" a="1"/>
  <c r="E32" i="8" s="1"/>
  <c r="E28" i="8" a="1"/>
  <c r="E28" i="8" s="1"/>
  <c r="E24" i="8" a="1"/>
  <c r="E24" i="8" s="1"/>
  <c r="E20" i="8" a="1"/>
  <c r="E20" i="8" s="1"/>
  <c r="E40" i="8" a="1"/>
  <c r="E40" i="8" s="1"/>
  <c r="E14" i="11" s="1"/>
  <c r="E16" i="8" a="1"/>
  <c r="E16" i="8" s="1"/>
  <c r="E12" i="8" a="1"/>
  <c r="E12" i="8" s="1"/>
  <c r="E8" i="8" a="1"/>
  <c r="E8" i="8" s="1"/>
  <c r="F32" i="8" a="1"/>
  <c r="F32" i="8" s="1"/>
  <c r="F28" i="8" a="1"/>
  <c r="F28" i="8" s="1"/>
  <c r="F24" i="8" a="1"/>
  <c r="F24" i="8" s="1"/>
  <c r="F20" i="8" a="1"/>
  <c r="F20" i="8" s="1"/>
  <c r="F40" i="8" a="1"/>
  <c r="F40" i="8" s="1"/>
  <c r="F14" i="11" s="1"/>
  <c r="F16" i="8" a="1"/>
  <c r="F16" i="8" s="1"/>
  <c r="F8" i="8" a="1"/>
  <c r="F8" i="8" s="1"/>
  <c r="C28" i="8" a="1"/>
  <c r="C28" i="8" s="1"/>
  <c r="O28" i="8" s="1"/>
  <c r="Q28" i="8" s="1"/>
  <c r="D28" i="8" a="1"/>
  <c r="D28" i="8" s="1"/>
  <c r="D40" i="8" a="1"/>
  <c r="D40" i="8" s="1"/>
  <c r="D14" i="11" s="1"/>
  <c r="C16" i="8" a="1"/>
  <c r="C16" i="8" s="1"/>
  <c r="O16" i="8" s="1"/>
  <c r="Q16" i="8" s="1"/>
  <c r="C40" i="8" a="1"/>
  <c r="C40" i="8" s="1"/>
  <c r="C14" i="11" s="1"/>
  <c r="D16" i="8" a="1"/>
  <c r="D16" i="8" s="1"/>
  <c r="D8" i="8" a="1"/>
  <c r="D8" i="8" s="1"/>
  <c r="C8" i="8" a="1"/>
  <c r="C8" i="8" s="1"/>
  <c r="O8" i="8" s="1"/>
  <c r="Q8" i="8" s="1"/>
  <c r="F41" i="8" a="1"/>
  <c r="F41" i="8" s="1"/>
  <c r="F15" i="11" s="1"/>
  <c r="F26" i="8" a="1"/>
  <c r="F26" i="8" s="1"/>
  <c r="C33" i="8" a="1"/>
  <c r="C33" i="8" s="1"/>
  <c r="O33" i="8" s="1"/>
  <c r="Q33" i="8" s="1"/>
  <c r="D33" i="8" a="1"/>
  <c r="D33" i="8" s="1"/>
  <c r="C29" i="8" a="1"/>
  <c r="C29" i="8" s="1"/>
  <c r="O29" i="8" s="1"/>
  <c r="D29" i="8" a="1"/>
  <c r="D29" i="8" s="1"/>
  <c r="D25" i="8" a="1"/>
  <c r="D25" i="8" s="1"/>
  <c r="C25" i="8" a="1"/>
  <c r="C25" i="8" s="1"/>
  <c r="O25" i="8" s="1"/>
  <c r="Q25" i="8" s="1"/>
  <c r="D21" i="8" a="1"/>
  <c r="D21" i="8" s="1"/>
  <c r="C21" i="8" a="1"/>
  <c r="C21" i="8" s="1"/>
  <c r="O21" i="8" s="1"/>
  <c r="D17" i="8" a="1"/>
  <c r="D17" i="8" s="1"/>
  <c r="C17" i="8" a="1"/>
  <c r="C17" i="8" s="1"/>
  <c r="O17" i="8" s="1"/>
  <c r="Q17" i="8" s="1"/>
  <c r="D13" i="8" a="1"/>
  <c r="D13" i="8" s="1"/>
  <c r="C13" i="8" a="1"/>
  <c r="C13" i="8" s="1"/>
  <c r="O13" i="8" s="1"/>
  <c r="D9" i="8" a="1"/>
  <c r="D9" i="8" s="1"/>
  <c r="C9" i="8" a="1"/>
  <c r="C9" i="8" s="1"/>
  <c r="O9" i="8" s="1"/>
  <c r="Q9" i="8" s="1"/>
  <c r="E43" i="8" a="1"/>
  <c r="E43" i="8" s="1"/>
  <c r="E42" i="8" a="1"/>
  <c r="E42" i="8" s="1"/>
  <c r="E16" i="11" s="1"/>
  <c r="E35" i="8" a="1"/>
  <c r="E35" i="8" s="1"/>
  <c r="E31" i="8" a="1"/>
  <c r="E31" i="8" s="1"/>
  <c r="E27" i="8" a="1"/>
  <c r="E27" i="8" s="1"/>
  <c r="E23" i="8" a="1"/>
  <c r="E23" i="8" s="1"/>
  <c r="E19" i="8" a="1"/>
  <c r="E19" i="8" s="1"/>
  <c r="E15" i="8" a="1"/>
  <c r="E15" i="8" s="1"/>
  <c r="E11" i="8" a="1"/>
  <c r="E11" i="8" s="1"/>
  <c r="E7" i="8" a="1"/>
  <c r="E7" i="8" s="1"/>
  <c r="F43" i="8" a="1"/>
  <c r="F43" i="8" s="1"/>
  <c r="F42" i="8" a="1"/>
  <c r="F42" i="8" s="1"/>
  <c r="F16" i="11" s="1"/>
  <c r="F35" i="8" a="1"/>
  <c r="F35" i="8" s="1"/>
  <c r="F31" i="8" a="1"/>
  <c r="F31" i="8" s="1"/>
  <c r="F27" i="8" a="1"/>
  <c r="F27" i="8" s="1"/>
  <c r="F23" i="8" a="1"/>
  <c r="F23" i="8" s="1"/>
  <c r="F19" i="8" a="1"/>
  <c r="F19" i="8" s="1"/>
  <c r="F15" i="8" a="1"/>
  <c r="F15" i="8" s="1"/>
  <c r="F11" i="8" a="1"/>
  <c r="F11" i="8" s="1"/>
  <c r="F6" i="8" a="1"/>
  <c r="F6" i="8" s="1"/>
  <c r="G43" i="8"/>
  <c r="G42" i="8"/>
  <c r="G16" i="11" s="1"/>
  <c r="U14" i="11" l="1"/>
  <c r="AB7" i="11"/>
  <c r="S15" i="11"/>
  <c r="Z8" i="11"/>
  <c r="U9" i="11"/>
  <c r="U13" i="11"/>
  <c r="AB6" i="11"/>
  <c r="T13" i="11"/>
  <c r="AA6" i="11"/>
  <c r="T14" i="11"/>
  <c r="AA7" i="11"/>
  <c r="AC8" i="11"/>
  <c r="V15" i="11"/>
  <c r="AB8" i="11"/>
  <c r="U15" i="11"/>
  <c r="Z7" i="11"/>
  <c r="S14" i="11"/>
  <c r="V14" i="11"/>
  <c r="AC7" i="11"/>
  <c r="T9" i="11"/>
  <c r="S9" i="11"/>
  <c r="Z6" i="11"/>
  <c r="S13" i="11"/>
  <c r="T15" i="11"/>
  <c r="AA8" i="11"/>
  <c r="V9" i="11"/>
  <c r="V13" i="11"/>
  <c r="AC6" i="11"/>
  <c r="AC9" i="11" s="1"/>
  <c r="O42" i="8" a="1"/>
  <c r="O42" i="8" s="1"/>
  <c r="O40" i="8" a="1"/>
  <c r="O40" i="8" s="1"/>
  <c r="O43" i="8" a="1"/>
  <c r="O43" i="8" s="1"/>
  <c r="O41" i="8" a="1"/>
  <c r="O41" i="8" s="1"/>
  <c r="Q27" i="8"/>
  <c r="Q35" i="8"/>
  <c r="Q11" i="8"/>
  <c r="Q23" i="8"/>
  <c r="Q13" i="8"/>
  <c r="Q21" i="8"/>
  <c r="Q7" i="8"/>
  <c r="K12" i="8" s="1"/>
  <c r="Q29" i="8"/>
  <c r="Q19" i="8"/>
  <c r="Q31" i="8"/>
  <c r="Q15" i="8"/>
  <c r="T16" i="11" l="1"/>
  <c r="S16" i="11"/>
  <c r="Z9" i="11"/>
  <c r="AB9" i="11"/>
  <c r="U16" i="11"/>
  <c r="J12" i="8"/>
  <c r="L12" i="8" s="1"/>
  <c r="V16" i="11"/>
  <c r="AA9" i="11"/>
  <c r="J13" i="8"/>
  <c r="K15" i="8"/>
  <c r="K14" i="8"/>
  <c r="J15" i="8"/>
  <c r="K13" i="8"/>
  <c r="J14" i="8"/>
  <c r="L13" i="8" l="1"/>
  <c r="L14" i="8"/>
  <c r="L1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</authors>
  <commentList>
    <comment ref="H2" authorId="0" shapeId="0" xr:uid="{409CEAAD-7E54-4285-9B30-A16AC827F863}">
      <text>
        <r>
          <rPr>
            <sz val="10"/>
            <color indexed="81"/>
            <rFont val="Tahoma"/>
            <family val="2"/>
          </rPr>
          <t>Liquidity is NOT reported in this table, hence weights will not sum to one.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<sst xmlns="http://schemas.openxmlformats.org/spreadsheetml/2006/main" count="296" uniqueCount="105">
  <si>
    <t>Initial Capital:</t>
  </si>
  <si>
    <t>Fees:</t>
  </si>
  <si>
    <t>Date</t>
  </si>
  <si>
    <t>When</t>
  </si>
  <si>
    <t>Fund</t>
  </si>
  <si>
    <t>Liquidity</t>
  </si>
  <si>
    <t>Total Value</t>
  </si>
  <si>
    <t>Before Rebalancing</t>
  </si>
  <si>
    <t>After Rebalancing</t>
  </si>
  <si>
    <t>Product - Full Name</t>
  </si>
  <si>
    <t>Identifier</t>
  </si>
  <si>
    <t xml:space="preserve">DWS Smart Industrial Technologies LD </t>
  </si>
  <si>
    <t>0P00002C7V.F</t>
  </si>
  <si>
    <t xml:space="preserve">Fidelity Select Financial Services Portfolio </t>
  </si>
  <si>
    <t>FIDSX</t>
  </si>
  <si>
    <t xml:space="preserve">Fidelity Select Chemicals Portfolio </t>
  </si>
  <si>
    <t>FSCHX</t>
  </si>
  <si>
    <t xml:space="preserve">Fidelity Select Semiconductors Portfolio </t>
  </si>
  <si>
    <t>FSELX</t>
  </si>
  <si>
    <t xml:space="preserve">Fidelity Select Health Care Portfolio </t>
  </si>
  <si>
    <t>FSPHX</t>
  </si>
  <si>
    <t xml:space="preserve">Goldman Sachs Emerging Markets Equity Insights Fund Class R6 </t>
  </si>
  <si>
    <t>GERUX</t>
  </si>
  <si>
    <t xml:space="preserve">iShares Core U.S. Aggregate Bond ETF </t>
  </si>
  <si>
    <t>AGG</t>
  </si>
  <si>
    <t xml:space="preserve">PIMCO Active Bond Exchange-Traded Fund </t>
  </si>
  <si>
    <t>BOND</t>
  </si>
  <si>
    <t xml:space="preserve">iShares iBoxx $ High Yield Corporate Bond ETF </t>
  </si>
  <si>
    <t>HYG</t>
  </si>
  <si>
    <t xml:space="preserve">Nationwide Amundi Global High Yield Fund Class A </t>
  </si>
  <si>
    <t>NWXIX</t>
  </si>
  <si>
    <t xml:space="preserve">Eurizon Azioni Energia E Materie Prime </t>
  </si>
  <si>
    <t>0P00000TYK.F</t>
  </si>
  <si>
    <t xml:space="preserve">Invesco Optimum Yield Diversified Commodity Strategy No K-1 ETF </t>
  </si>
  <si>
    <t>PDBC</t>
  </si>
  <si>
    <t xml:space="preserve">PIMCO CommodityRealReturn Strategy Fund Class A </t>
  </si>
  <si>
    <t>PCRAX</t>
  </si>
  <si>
    <t xml:space="preserve">Ethereum EUR </t>
  </si>
  <si>
    <t>ETH-EUR</t>
  </si>
  <si>
    <t>Quantities:</t>
  </si>
  <si>
    <t>Weights:</t>
  </si>
  <si>
    <t>Prices</t>
  </si>
  <si>
    <t>Returns</t>
  </si>
  <si>
    <t>Benchmark Prices</t>
  </si>
  <si>
    <t>Benchmark Returns</t>
  </si>
  <si>
    <t>MSCI</t>
  </si>
  <si>
    <t>MIGAX</t>
  </si>
  <si>
    <t>USDEUR=X</t>
  </si>
  <si>
    <t>Assets and Benchmark Returns: Overview</t>
  </si>
  <si>
    <t>24-set</t>
  </si>
  <si>
    <t>9-ott</t>
  </si>
  <si>
    <t>22-ott</t>
  </si>
  <si>
    <t>Assets and Benchmark Prices: Overview</t>
  </si>
  <si>
    <t>Daily Returns</t>
  </si>
  <si>
    <t>Benchmark Weights</t>
  </si>
  <si>
    <t xml:space="preserve">Daily Returns vs Benchmark </t>
  </si>
  <si>
    <t>Excess Return Analysis</t>
  </si>
  <si>
    <t>Entire Fund</t>
  </si>
  <si>
    <t>Equity Funds</t>
  </si>
  <si>
    <t>Bond Funds</t>
  </si>
  <si>
    <t>Commodities Funds</t>
  </si>
  <si>
    <t>Crypto</t>
  </si>
  <si>
    <t>Benchmark</t>
  </si>
  <si>
    <t>Excess Returns</t>
  </si>
  <si>
    <t>Standard Deviation</t>
  </si>
  <si>
    <t>Information Ratio</t>
  </si>
  <si>
    <t>22-set</t>
  </si>
  <si>
    <t>Assets Value</t>
  </si>
  <si>
    <t>Payed Fees</t>
  </si>
  <si>
    <t>Fund and Benchmark Performance</t>
  </si>
  <si>
    <t>Intervals Returns</t>
  </si>
  <si>
    <t>Interval</t>
  </si>
  <si>
    <t>1st</t>
  </si>
  <si>
    <t>2nd</t>
  </si>
  <si>
    <t>3rd</t>
  </si>
  <si>
    <t>Total</t>
  </si>
  <si>
    <t>1st interval</t>
  </si>
  <si>
    <t>2nd interval</t>
  </si>
  <si>
    <t>3rd interval</t>
  </si>
  <si>
    <t>Mean</t>
  </si>
  <si>
    <t>USD-EUR Exchange Impact On Investment</t>
  </si>
  <si>
    <t>USD-EUR</t>
  </si>
  <si>
    <t>Variation</t>
  </si>
  <si>
    <t>Intervals Movements</t>
  </si>
  <si>
    <t>Change Overview</t>
  </si>
  <si>
    <t>Value of USD Assets (USD)</t>
  </si>
  <si>
    <t>Value Gained / Lost (EUR)</t>
  </si>
  <si>
    <t>Whole Benchmark</t>
  </si>
  <si>
    <t>Equity</t>
  </si>
  <si>
    <t>Bond</t>
  </si>
  <si>
    <t>Performance Attribution</t>
  </si>
  <si>
    <t>Perfomances Recap</t>
  </si>
  <si>
    <t>Portfolio Classes</t>
  </si>
  <si>
    <t>Commodity</t>
  </si>
  <si>
    <t>Benchmark Classes</t>
  </si>
  <si>
    <t>Portfolio Returns</t>
  </si>
  <si>
    <t>Asset Allocation</t>
  </si>
  <si>
    <t>Stock Picking</t>
  </si>
  <si>
    <t>Interaction Effect</t>
  </si>
  <si>
    <t>Whole</t>
  </si>
  <si>
    <t>Rebalancing &amp; Transaction Costs Effect</t>
  </si>
  <si>
    <t>Portfolio Return</t>
  </si>
  <si>
    <t>No Changes</t>
  </si>
  <si>
    <t>Only First Rebalance</t>
  </si>
  <si>
    <t xml:space="preserve">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</si>
</sst>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\ &quot;€&quot;"/>
    <numFmt numFmtId="165" formatCode="#,##0\ [$€-1]"/>
    <numFmt numFmtId="166" formatCode="[$-410]d\-mmm;@"/>
    <numFmt numFmtId="167" formatCode="_-* #,##0.00\ [$€-410]_-;\-* #,##0.00\ [$€-410]_-;_-* &quot;-&quot;??\ [$€-410]_-;_-@_-"/>
    <numFmt numFmtId="168" formatCode="#,##0\ [$€-410];\-#,##0\ [$€-410]"/>
    <numFmt numFmtId="169" formatCode="_-[$$-409]* #,##0.00_ ;_-[$$-409]* \-#,##0.00\ ;_-[$$-409]* &quot;-&quot;??_ ;_-@_ "/>
    <numFmt numFmtId="170" formatCode="0.0000"/>
    <numFmt numFmtId="172" formatCode="d\.m\.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theme="8" tint="0.79998168889431442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8"/>
      </right>
      <top style="thin">
        <color theme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medium">
        <color indexed="64"/>
      </top>
      <bottom style="thin">
        <color indexed="64"/>
      </bottom>
      <diagonal/>
    </border>
    <border>
      <left style="thin">
        <color theme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 style="thin">
        <color indexed="64"/>
      </right>
      <top style="thin">
        <color theme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8"/>
      </top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10" fontId="0" fillId="4" borderId="4" xfId="0" applyNumberForma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6" xfId="0" applyFill="1" applyBorder="1"/>
    <xf numFmtId="0" fontId="0" fillId="0" borderId="5" xfId="0" applyBorder="1"/>
    <xf numFmtId="14" fontId="0" fillId="0" borderId="0" xfId="0" applyNumberFormat="1"/>
    <xf numFmtId="0" fontId="0" fillId="4" borderId="0" xfId="0" applyFill="1" applyBorder="1"/>
    <xf numFmtId="10" fontId="0" fillId="0" borderId="0" xfId="0" applyNumberFormat="1" applyBorder="1"/>
    <xf numFmtId="10" fontId="2" fillId="5" borderId="0" xfId="1" applyNumberFormat="1" applyBorder="1"/>
    <xf numFmtId="10" fontId="0" fillId="0" borderId="5" xfId="0" applyNumberFormat="1" applyBorder="1"/>
    <xf numFmtId="10" fontId="2" fillId="5" borderId="5" xfId="1" applyNumberFormat="1" applyBorder="1"/>
    <xf numFmtId="1" fontId="2" fillId="5" borderId="0" xfId="1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4" borderId="0" xfId="0" applyNumberFormat="1" applyFill="1" applyBorder="1"/>
    <xf numFmtId="1" fontId="2" fillId="5" borderId="5" xfId="1" applyNumberFormat="1" applyBorder="1"/>
    <xf numFmtId="0" fontId="4" fillId="0" borderId="0" xfId="0" applyFont="1"/>
    <xf numFmtId="167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9" xfId="0" applyFont="1" applyBorder="1"/>
    <xf numFmtId="0" fontId="0" fillId="0" borderId="7" xfId="0" applyBorder="1"/>
    <xf numFmtId="0" fontId="0" fillId="0" borderId="8" xfId="0" applyBorder="1"/>
    <xf numFmtId="14" fontId="0" fillId="0" borderId="10" xfId="0" applyNumberFormat="1" applyBorder="1"/>
    <xf numFmtId="14" fontId="0" fillId="0" borderId="11" xfId="0" applyNumberFormat="1" applyBorder="1"/>
    <xf numFmtId="0" fontId="1" fillId="2" borderId="11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0" fillId="0" borderId="6" xfId="0" applyBorder="1"/>
    <xf numFmtId="164" fontId="0" fillId="0" borderId="0" xfId="0" applyNumberFormat="1" applyBorder="1"/>
    <xf numFmtId="164" fontId="0" fillId="0" borderId="5" xfId="0" applyNumberFormat="1" applyBorder="1"/>
    <xf numFmtId="167" fontId="0" fillId="0" borderId="0" xfId="0" applyNumberFormat="1" applyBorder="1"/>
    <xf numFmtId="167" fontId="0" fillId="0" borderId="5" xfId="0" applyNumberFormat="1" applyBorder="1"/>
    <xf numFmtId="16" fontId="0" fillId="0" borderId="0" xfId="0" applyNumberFormat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16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65" fontId="0" fillId="0" borderId="0" xfId="0" applyNumberFormat="1"/>
    <xf numFmtId="0" fontId="1" fillId="2" borderId="11" xfId="0" applyFont="1" applyFill="1" applyBorder="1" applyAlignment="1">
      <alignment horizontal="center"/>
    </xf>
    <xf numFmtId="10" fontId="0" fillId="0" borderId="0" xfId="0" applyNumberFormat="1" applyFont="1" applyBorder="1"/>
    <xf numFmtId="14" fontId="0" fillId="0" borderId="5" xfId="0" applyNumberFormat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10" fontId="0" fillId="0" borderId="5" xfId="0" applyNumberFormat="1" applyFont="1" applyBorder="1"/>
    <xf numFmtId="14" fontId="0" fillId="0" borderId="0" xfId="0" applyNumberFormat="1" applyBorder="1"/>
    <xf numFmtId="10" fontId="0" fillId="0" borderId="13" xfId="0" applyNumberFormat="1" applyFont="1" applyFill="1" applyBorder="1"/>
    <xf numFmtId="14" fontId="0" fillId="0" borderId="10" xfId="0" applyNumberFormat="1" applyFont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1" fillId="0" borderId="14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0" xfId="0" applyNumberFormat="1" applyBorder="1"/>
    <xf numFmtId="164" fontId="0" fillId="0" borderId="0" xfId="0" applyNumberFormat="1"/>
    <xf numFmtId="10" fontId="0" fillId="0" borderId="0" xfId="0" applyNumberFormat="1"/>
    <xf numFmtId="170" fontId="0" fillId="0" borderId="0" xfId="0" applyNumberFormat="1" applyBorder="1"/>
    <xf numFmtId="170" fontId="0" fillId="0" borderId="5" xfId="0" applyNumberFormat="1" applyBorder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169" fontId="0" fillId="0" borderId="0" xfId="0" applyNumberFormat="1" applyFill="1"/>
    <xf numFmtId="164" fontId="0" fillId="0" borderId="0" xfId="0" applyNumberFormat="1" applyFill="1"/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4" fontId="0" fillId="0" borderId="18" xfId="0" applyNumberFormat="1" applyBorder="1"/>
    <xf numFmtId="10" fontId="0" fillId="0" borderId="19" xfId="0" applyNumberFormat="1" applyBorder="1"/>
    <xf numFmtId="14" fontId="0" fillId="0" borderId="3" xfId="0" applyNumberFormat="1" applyBorder="1"/>
    <xf numFmtId="10" fontId="0" fillId="0" borderId="20" xfId="0" applyNumberFormat="1" applyBorder="1"/>
    <xf numFmtId="10" fontId="0" fillId="0" borderId="4" xfId="0" applyNumberFormat="1" applyBorder="1"/>
    <xf numFmtId="0" fontId="0" fillId="0" borderId="0" xfId="0" applyFill="1" applyBorder="1"/>
    <xf numFmtId="0" fontId="0" fillId="0" borderId="19" xfId="0" applyFill="1" applyBorder="1"/>
    <xf numFmtId="10" fontId="0" fillId="0" borderId="19" xfId="0" applyNumberFormat="1" applyFill="1" applyBorder="1"/>
    <xf numFmtId="10" fontId="0" fillId="0" borderId="4" xfId="0" applyNumberFormat="1" applyFill="1" applyBorder="1"/>
    <xf numFmtId="4" fontId="0" fillId="0" borderId="0" xfId="0" applyNumberFormat="1"/>
    <xf numFmtId="0" fontId="1" fillId="2" borderId="21" xfId="0" applyFont="1" applyFill="1" applyBorder="1"/>
    <xf numFmtId="14" fontId="0" fillId="6" borderId="24" xfId="0" applyNumberFormat="1" applyFont="1" applyFill="1" applyBorder="1"/>
    <xf numFmtId="14" fontId="0" fillId="0" borderId="24" xfId="0" applyNumberFormat="1" applyFont="1" applyBorder="1"/>
    <xf numFmtId="14" fontId="0" fillId="0" borderId="25" xfId="0" applyNumberFormat="1" applyFont="1" applyBorder="1"/>
    <xf numFmtId="14" fontId="0" fillId="6" borderId="26" xfId="0" applyNumberFormat="1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72" fontId="0" fillId="6" borderId="24" xfId="0" applyNumberFormat="1" applyFont="1" applyFill="1" applyBorder="1"/>
    <xf numFmtId="172" fontId="0" fillId="0" borderId="24" xfId="0" applyNumberFormat="1" applyFont="1" applyBorder="1"/>
    <xf numFmtId="172" fontId="0" fillId="0" borderId="25" xfId="0" applyNumberFormat="1" applyFont="1" applyBorder="1"/>
    <xf numFmtId="172" fontId="0" fillId="6" borderId="26" xfId="0" applyNumberFormat="1" applyFont="1" applyFill="1" applyBorder="1"/>
  </cellXfs>
  <cellStyles count="2">
    <cellStyle name="20% - Accent5" xfId="1" builtinId="46"/>
    <cellStyle name="Normal" xfId="0" builtinId="0"/>
  </cellStyles>
  <dxfs count="126"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67" formatCode="_-* #,##0.00\ [$€-410]_-;\-* #,##0.00\ [$€-410]_-;_-* &quot;-&quot;??\ [$€-410]_-;_-@_-"/>
    </dxf>
    <dxf>
      <numFmt numFmtId="167" formatCode="_-* #,##0.00\ [$€-410]_-;\-* #,##0.00\ [$€-410]_-;_-* &quot;-&quot;??\ [$€-410]_-;_-@_-"/>
    </dxf>
    <dxf>
      <numFmt numFmtId="19" formatCode="dd/mm/yy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9" formatCode="dd/mm/yy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64" formatCode="#,##0.00\ &quot;€&quot;"/>
    </dxf>
    <dxf>
      <numFmt numFmtId="169" formatCode="_-[$$-409]* #,##0.00_ ;_-[$$-409]* \-#,##0.00\ ;_-[$$-409]* &quot;-&quot;??_ ;_-@_ "/>
    </dxf>
    <dxf>
      <numFmt numFmtId="14" formatCode="0.00%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70" formatCode="0.0000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font>
        <b val="0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-410]d\-mmm;@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4" formatCode="0.00%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4" formatCode="0.00%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-410]d\-mmm;@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68" formatCode="#,##0\ [$€-410];\-#,##0\ [$€-410]"/>
    </dxf>
    <dxf>
      <numFmt numFmtId="168" formatCode="#,##0\ [$€-410];\-#,##0\ [$€-410]"/>
    </dxf>
    <dxf>
      <numFmt numFmtId="168" formatCode="#,##0\ [$€-410];\-#,##0\ [$€-410]"/>
    </dxf>
    <dxf>
      <numFmt numFmtId="168" formatCode="#,##0\ [$€-410];\-#,##0\ [$€-410]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'Value History'!$C$22</c:f>
              <c:strCache>
                <c:ptCount val="1"/>
                <c:pt idx="0">
                  <c:v>0P00002C7V.F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History'!$C$23:$C$53</c:f>
              <c:numCache>
                <c:formatCode>#,##0.00</c:formatCode>
                <c:ptCount val="31"/>
                <c:pt idx="0">
                  <c:v>0</c:v>
                </c:pt>
                <c:pt idx="1">
                  <c:v>0.69800725562593302</c:v>
                </c:pt>
                <c:pt idx="2">
                  <c:v>1.5009488023788164</c:v>
                </c:pt>
                <c:pt idx="3">
                  <c:v>1.7792397773282196</c:v>
                </c:pt>
                <c:pt idx="4">
                  <c:v>1.4918225680901147</c:v>
                </c:pt>
                <c:pt idx="5">
                  <c:v>0.9854244648640379</c:v>
                </c:pt>
                <c:pt idx="6">
                  <c:v>1.0264820772471319</c:v>
                </c:pt>
                <c:pt idx="7">
                  <c:v>-5.930311968342853E-2</c:v>
                </c:pt>
                <c:pt idx="8">
                  <c:v>0.60676579657058916</c:v>
                </c:pt>
                <c:pt idx="9">
                  <c:v>-8.2115224766641987E-2</c:v>
                </c:pt>
                <c:pt idx="10">
                  <c:v>2.2812105083226421E-2</c:v>
                </c:pt>
                <c:pt idx="11">
                  <c:v>0.64326377244832722</c:v>
                </c:pt>
                <c:pt idx="12">
                  <c:v>0.95805272327500168</c:v>
                </c:pt>
                <c:pt idx="13">
                  <c:v>0.77100320738140915</c:v>
                </c:pt>
                <c:pt idx="14">
                  <c:v>0.18248987938823652</c:v>
                </c:pt>
                <c:pt idx="15">
                  <c:v>9.5808056838702554E-2</c:v>
                </c:pt>
                <c:pt idx="16">
                  <c:v>0.3011030800326166</c:v>
                </c:pt>
                <c:pt idx="17">
                  <c:v>1.4598911899957223</c:v>
                </c:pt>
                <c:pt idx="18">
                  <c:v>1.8978529779725997</c:v>
                </c:pt>
                <c:pt idx="19">
                  <c:v>1.6013164957228752</c:v>
                </c:pt>
                <c:pt idx="20">
                  <c:v>1.9662892932218121</c:v>
                </c:pt>
                <c:pt idx="21">
                  <c:v>1.7929256481227314</c:v>
                </c:pt>
                <c:pt idx="22">
                  <c:v>2.0940287281548939</c:v>
                </c:pt>
                <c:pt idx="23">
                  <c:v>1.9525964611502054</c:v>
                </c:pt>
                <c:pt idx="24">
                  <c:v>2.7555380079030889</c:v>
                </c:pt>
                <c:pt idx="25">
                  <c:v>2.7783501129863155</c:v>
                </c:pt>
                <c:pt idx="26">
                  <c:v>1.9389105903556938</c:v>
                </c:pt>
                <c:pt idx="27">
                  <c:v>2.0940287281548939</c:v>
                </c:pt>
                <c:pt idx="28">
                  <c:v>2.9288946917255414</c:v>
                </c:pt>
                <c:pt idx="29">
                  <c:v>3.3075533600185363</c:v>
                </c:pt>
                <c:pt idx="30">
                  <c:v>3.3075533600185363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5-4D74-96FE-F856CB81BD8F}"/>
            </c:ext>
          </c:extLst>
        </c:ser>
        <c:ser>
          <c:idx val="1"/>
          <c:order val="1"/>
          <c:tx>
            <c:strRef>
              <c:f>'Value History'!$D$22</c:f>
              <c:strCache>
                <c:ptCount val="1"/>
                <c:pt idx="0">
                  <c:v>FIDSX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History'!$D$23:$D$53</c:f>
              <c:numCache>
                <c:formatCode>#,##0.00</c:formatCode>
                <c:ptCount val="31"/>
                <c:pt idx="0">
                  <c:v>0</c:v>
                </c:pt>
                <c:pt idx="1">
                  <c:v>0.65049501336770954</c:v>
                </c:pt>
                <c:pt idx="2">
                  <c:v>0.7536948606836531</c:v>
                </c:pt>
                <c:pt idx="3">
                  <c:v>1.4501388161530815</c:v>
                </c:pt>
                <c:pt idx="4">
                  <c:v>0.9369830158865482</c:v>
                </c:pt>
                <c:pt idx="5">
                  <c:v>1.2657675885395692</c:v>
                </c:pt>
                <c:pt idx="6">
                  <c:v>0.90201753684592978</c:v>
                </c:pt>
                <c:pt idx="7">
                  <c:v>1.582425722381384</c:v>
                </c:pt>
                <c:pt idx="8">
                  <c:v>1.2677030618816008</c:v>
                </c:pt>
                <c:pt idx="9">
                  <c:v>1.7785290638734643</c:v>
                </c:pt>
                <c:pt idx="10">
                  <c:v>1.9023788469867848</c:v>
                </c:pt>
                <c:pt idx="11">
                  <c:v>2.1509628515850463</c:v>
                </c:pt>
                <c:pt idx="12">
                  <c:v>2.3605853837497417</c:v>
                </c:pt>
                <c:pt idx="13">
                  <c:v>2.0907839901703102</c:v>
                </c:pt>
                <c:pt idx="14">
                  <c:v>2.1513920910686788</c:v>
                </c:pt>
                <c:pt idx="15">
                  <c:v>1.794050366770837</c:v>
                </c:pt>
                <c:pt idx="16">
                  <c:v>2.367263895601003</c:v>
                </c:pt>
                <c:pt idx="17">
                  <c:v>2.7069679039875241</c:v>
                </c:pt>
                <c:pt idx="18">
                  <c:v>2.6897406098787586</c:v>
                </c:pt>
                <c:pt idx="19">
                  <c:v>2.9200922493108865</c:v>
                </c:pt>
                <c:pt idx="20">
                  <c:v>3.3161557797331978</c:v>
                </c:pt>
                <c:pt idx="21">
                  <c:v>3.2794807369510632</c:v>
                </c:pt>
                <c:pt idx="22">
                  <c:v>3.6181938973991219</c:v>
                </c:pt>
                <c:pt idx="23">
                  <c:v>3.6616050389099053</c:v>
                </c:pt>
                <c:pt idx="24">
                  <c:v>3.5740107844269988</c:v>
                </c:pt>
                <c:pt idx="25">
                  <c:v>2.7846635283402468</c:v>
                </c:pt>
                <c:pt idx="26">
                  <c:v>2.9153036061465363</c:v>
                </c:pt>
                <c:pt idx="27">
                  <c:v>2.7079031343573448</c:v>
                </c:pt>
                <c:pt idx="28">
                  <c:v>3.5233120197948735</c:v>
                </c:pt>
                <c:pt idx="29">
                  <c:v>3.2302593335147725</c:v>
                </c:pt>
                <c:pt idx="30">
                  <c:v>3.5816544846421019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75-4D74-96FE-F856CB81BD8F}"/>
            </c:ext>
          </c:extLst>
        </c:ser>
        <c:ser>
          <c:idx val="2"/>
          <c:order val="2"/>
          <c:tx>
            <c:strRef>
              <c:f>'Value History'!$E$22</c:f>
              <c:strCache>
                <c:ptCount val="1"/>
                <c:pt idx="0">
                  <c:v>FSCHX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History'!$E$23:$E$53</c:f>
              <c:numCache>
                <c:formatCode>#,##0.00</c:formatCode>
                <c:ptCount val="31"/>
                <c:pt idx="0">
                  <c:v>0</c:v>
                </c:pt>
                <c:pt idx="1">
                  <c:v>0.46309867293741264</c:v>
                </c:pt>
                <c:pt idx="2">
                  <c:v>0.49921404540469416</c:v>
                </c:pt>
                <c:pt idx="3">
                  <c:v>1.0282470676236226</c:v>
                </c:pt>
                <c:pt idx="4">
                  <c:v>0.65659029521223433</c:v>
                </c:pt>
                <c:pt idx="5">
                  <c:v>0.82332481617585573</c:v>
                </c:pt>
                <c:pt idx="6">
                  <c:v>0.41854446903508308</c:v>
                </c:pt>
                <c:pt idx="7">
                  <c:v>1.1329319415568446</c:v>
                </c:pt>
                <c:pt idx="8">
                  <c:v>0.81558781644739697</c:v>
                </c:pt>
                <c:pt idx="9">
                  <c:v>1.3680539853899019</c:v>
                </c:pt>
                <c:pt idx="10">
                  <c:v>1.2573224243665437</c:v>
                </c:pt>
                <c:pt idx="11">
                  <c:v>1.6123425655394887</c:v>
                </c:pt>
                <c:pt idx="12">
                  <c:v>1.5756632679263136</c:v>
                </c:pt>
                <c:pt idx="13">
                  <c:v>1.6286196762882537</c:v>
                </c:pt>
                <c:pt idx="14">
                  <c:v>1.7189155258698086</c:v>
                </c:pt>
                <c:pt idx="15">
                  <c:v>1.578031657557003</c:v>
                </c:pt>
                <c:pt idx="16">
                  <c:v>2.2216690192268755</c:v>
                </c:pt>
                <c:pt idx="17">
                  <c:v>2.3497035714233871</c:v>
                </c:pt>
                <c:pt idx="18">
                  <c:v>2.3793540365917027</c:v>
                </c:pt>
                <c:pt idx="19">
                  <c:v>2.4206042812183481</c:v>
                </c:pt>
                <c:pt idx="20">
                  <c:v>2.6118050717534196</c:v>
                </c:pt>
                <c:pt idx="21">
                  <c:v>2.6212695324447273</c:v>
                </c:pt>
                <c:pt idx="22">
                  <c:v>2.8036453629656553</c:v>
                </c:pt>
                <c:pt idx="23">
                  <c:v>3.0791512724156469</c:v>
                </c:pt>
                <c:pt idx="24">
                  <c:v>3.1720271086197815</c:v>
                </c:pt>
                <c:pt idx="25">
                  <c:v>2.5818241377580788</c:v>
                </c:pt>
                <c:pt idx="26">
                  <c:v>2.6598013318034646</c:v>
                </c:pt>
                <c:pt idx="27">
                  <c:v>2.5146290030937424</c:v>
                </c:pt>
                <c:pt idx="28">
                  <c:v>3.1066789793503102</c:v>
                </c:pt>
                <c:pt idx="29">
                  <c:v>3.3692757454896167</c:v>
                </c:pt>
                <c:pt idx="30">
                  <c:v>3.9394512327055358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75-4D74-96FE-F856CB81BD8F}"/>
            </c:ext>
          </c:extLst>
        </c:ser>
        <c:ser>
          <c:idx val="3"/>
          <c:order val="3"/>
          <c:tx>
            <c:strRef>
              <c:f>'Value History'!$F$22</c:f>
              <c:strCache>
                <c:ptCount val="1"/>
                <c:pt idx="0">
                  <c:v>FSELX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History'!$F$23:$F$53</c:f>
              <c:numCache>
                <c:formatCode>#,##0.00</c:formatCode>
                <c:ptCount val="31"/>
                <c:pt idx="0">
                  <c:v>0</c:v>
                </c:pt>
                <c:pt idx="1">
                  <c:v>0.28907887083973455</c:v>
                </c:pt>
                <c:pt idx="2">
                  <c:v>0.21950714753832629</c:v>
                </c:pt>
                <c:pt idx="3">
                  <c:v>0.20287185692248078</c:v>
                </c:pt>
                <c:pt idx="4">
                  <c:v>-0.71948596924485952</c:v>
                </c:pt>
                <c:pt idx="5">
                  <c:v>-0.94037060115970383</c:v>
                </c:pt>
                <c:pt idx="6">
                  <c:v>-0.85223256561267779</c:v>
                </c:pt>
                <c:pt idx="7">
                  <c:v>-0.85223256561267779</c:v>
                </c:pt>
                <c:pt idx="8">
                  <c:v>-1.6175074810979382</c:v>
                </c:pt>
                <c:pt idx="9">
                  <c:v>-1.152692465582871</c:v>
                </c:pt>
                <c:pt idx="10">
                  <c:v>-0.90900510835941395</c:v>
                </c:pt>
                <c:pt idx="11">
                  <c:v>-0.59965320455196658</c:v>
                </c:pt>
                <c:pt idx="12">
                  <c:v>-0.83518304671570187</c:v>
                </c:pt>
                <c:pt idx="13">
                  <c:v>-1.0237001042853175</c:v>
                </c:pt>
                <c:pt idx="14">
                  <c:v>-1.1977282718203088</c:v>
                </c:pt>
                <c:pt idx="15">
                  <c:v>-1.2063730694655845</c:v>
                </c:pt>
                <c:pt idx="16">
                  <c:v>-0.50970003216457094</c:v>
                </c:pt>
                <c:pt idx="17">
                  <c:v>-0.39225774723267143</c:v>
                </c:pt>
                <c:pt idx="18">
                  <c:v>-0.1671119075732701</c:v>
                </c:pt>
                <c:pt idx="19">
                  <c:v>4.2359048509218247E-2</c:v>
                </c:pt>
                <c:pt idx="20">
                  <c:v>-7.4264708699388032E-2</c:v>
                </c:pt>
                <c:pt idx="21">
                  <c:v>0.30168130910252905</c:v>
                </c:pt>
                <c:pt idx="22">
                  <c:v>6.7482365478831283E-2</c:v>
                </c:pt>
                <c:pt idx="23">
                  <c:v>0.34134418417656276</c:v>
                </c:pt>
                <c:pt idx="24">
                  <c:v>0.62724279263071792</c:v>
                </c:pt>
                <c:pt idx="25">
                  <c:v>0.40035358589028097</c:v>
                </c:pt>
                <c:pt idx="26">
                  <c:v>0.84715249496412737</c:v>
                </c:pt>
                <c:pt idx="27">
                  <c:v>1.1034894118050325</c:v>
                </c:pt>
                <c:pt idx="28">
                  <c:v>1.9390428625666047</c:v>
                </c:pt>
                <c:pt idx="29">
                  <c:v>2.2322799729092773</c:v>
                </c:pt>
                <c:pt idx="30">
                  <c:v>2.5356815644378261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75-4D74-96FE-F856CB81BD8F}"/>
            </c:ext>
          </c:extLst>
        </c:ser>
        <c:ser>
          <c:idx val="4"/>
          <c:order val="4"/>
          <c:tx>
            <c:strRef>
              <c:f>'Value History'!$G$22</c:f>
              <c:strCache>
                <c:ptCount val="1"/>
                <c:pt idx="0">
                  <c:v>FSPHX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History'!$G$23:$G$53</c:f>
              <c:numCache>
                <c:formatCode>#,##0.00</c:formatCode>
                <c:ptCount val="31"/>
                <c:pt idx="0">
                  <c:v>0</c:v>
                </c:pt>
                <c:pt idx="1">
                  <c:v>0.12647231931260391</c:v>
                </c:pt>
                <c:pt idx="2">
                  <c:v>-0.22595374454311015</c:v>
                </c:pt>
                <c:pt idx="3">
                  <c:v>-0.36223212440754216</c:v>
                </c:pt>
                <c:pt idx="4">
                  <c:v>-1.3847581347111533</c:v>
                </c:pt>
                <c:pt idx="5">
                  <c:v>-1.0555850422105457</c:v>
                </c:pt>
                <c:pt idx="6">
                  <c:v>-1.0593534975250594</c:v>
                </c:pt>
                <c:pt idx="7">
                  <c:v>-0.96667058902876968</c:v>
                </c:pt>
                <c:pt idx="8">
                  <c:v>-1.8310381473448738</c:v>
                </c:pt>
                <c:pt idx="9">
                  <c:v>-1.5898811431020707</c:v>
                </c:pt>
                <c:pt idx="10">
                  <c:v>-1.411584510299625</c:v>
                </c:pt>
                <c:pt idx="11">
                  <c:v>-0.84477794531081474</c:v>
                </c:pt>
                <c:pt idx="12">
                  <c:v>-1.0436290958941061</c:v>
                </c:pt>
                <c:pt idx="13">
                  <c:v>-1.3127463006810538</c:v>
                </c:pt>
                <c:pt idx="14">
                  <c:v>-1.1190757419705488</c:v>
                </c:pt>
                <c:pt idx="15">
                  <c:v>-1.3254300434690438</c:v>
                </c:pt>
                <c:pt idx="16">
                  <c:v>-0.50206658854050901</c:v>
                </c:pt>
                <c:pt idx="17">
                  <c:v>-0.39630184875744795</c:v>
                </c:pt>
                <c:pt idx="18">
                  <c:v>-0.89048574355553278</c:v>
                </c:pt>
                <c:pt idx="19">
                  <c:v>-0.47112867291182048</c:v>
                </c:pt>
                <c:pt idx="20">
                  <c:v>6.8947526036285635E-3</c:v>
                </c:pt>
                <c:pt idx="21">
                  <c:v>0.5031392203748235</c:v>
                </c:pt>
                <c:pt idx="22">
                  <c:v>0.60859623941420082</c:v>
                </c:pt>
                <c:pt idx="23">
                  <c:v>0.54295482021653185</c:v>
                </c:pt>
                <c:pt idx="24">
                  <c:v>0.75397787151182294</c:v>
                </c:pt>
                <c:pt idx="25">
                  <c:v>0.32387062203942907</c:v>
                </c:pt>
                <c:pt idx="26">
                  <c:v>0.63211085529946576</c:v>
                </c:pt>
                <c:pt idx="27">
                  <c:v>0.84196800840022623</c:v>
                </c:pt>
                <c:pt idx="28">
                  <c:v>1.5536910249346494</c:v>
                </c:pt>
                <c:pt idx="29">
                  <c:v>1.5413752814143773</c:v>
                </c:pt>
                <c:pt idx="30">
                  <c:v>2.1378649701592312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75-4D74-96FE-F856CB81BD8F}"/>
            </c:ext>
          </c:extLst>
        </c:ser>
        <c:ser>
          <c:idx val="5"/>
          <c:order val="5"/>
          <c:tx>
            <c:strRef>
              <c:f>'Value History'!$H$22</c:f>
              <c:strCache>
                <c:ptCount val="1"/>
                <c:pt idx="0">
                  <c:v>GERUX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History'!$H$23:$H$53</c:f>
              <c:numCache>
                <c:formatCode>#,##0.00</c:formatCode>
                <c:ptCount val="31"/>
                <c:pt idx="0">
                  <c:v>0</c:v>
                </c:pt>
                <c:pt idx="1">
                  <c:v>0.31026436407831864</c:v>
                </c:pt>
                <c:pt idx="2">
                  <c:v>-1.012356397511033</c:v>
                </c:pt>
                <c:pt idx="3">
                  <c:v>-0.70343317141223149</c:v>
                </c:pt>
                <c:pt idx="4">
                  <c:v>-2.2019232918744591</c:v>
                </c:pt>
                <c:pt idx="5">
                  <c:v>-1.6078653722198455</c:v>
                </c:pt>
                <c:pt idx="6">
                  <c:v>-0.73254397105148517</c:v>
                </c:pt>
                <c:pt idx="7">
                  <c:v>-0.73254397105148517</c:v>
                </c:pt>
                <c:pt idx="8">
                  <c:v>-3.0095001571234992</c:v>
                </c:pt>
                <c:pt idx="9">
                  <c:v>-1.735817250740995</c:v>
                </c:pt>
                <c:pt idx="10">
                  <c:v>-2.6155199809819178</c:v>
                </c:pt>
                <c:pt idx="11">
                  <c:v>-1.0437719033651534</c:v>
                </c:pt>
                <c:pt idx="12">
                  <c:v>-1.5810776409795524</c:v>
                </c:pt>
                <c:pt idx="13">
                  <c:v>-1.8841271888181756</c:v>
                </c:pt>
                <c:pt idx="14">
                  <c:v>-2.4207413382677756</c:v>
                </c:pt>
                <c:pt idx="15">
                  <c:v>-1.9463298525400876</c:v>
                </c:pt>
                <c:pt idx="16">
                  <c:v>-1.0687843833979795</c:v>
                </c:pt>
                <c:pt idx="17">
                  <c:v>-0.44364222638043882</c:v>
                </c:pt>
                <c:pt idx="18">
                  <c:v>-0.29400149755163008</c:v>
                </c:pt>
                <c:pt idx="19">
                  <c:v>0.51738402286178109</c:v>
                </c:pt>
                <c:pt idx="20">
                  <c:v>0.12521938781034092</c:v>
                </c:pt>
                <c:pt idx="21">
                  <c:v>-0.57838695449058541</c:v>
                </c:pt>
                <c:pt idx="22">
                  <c:v>-1.0236215342344936</c:v>
                </c:pt>
                <c:pt idx="23">
                  <c:v>8.2608324714473214E-2</c:v>
                </c:pt>
                <c:pt idx="24">
                  <c:v>-5.9681565613477164E-2</c:v>
                </c:pt>
                <c:pt idx="25">
                  <c:v>-1.2373278438883353</c:v>
                </c:pt>
                <c:pt idx="26">
                  <c:v>-2.0886015559543973</c:v>
                </c:pt>
                <c:pt idx="27">
                  <c:v>-3.0632257774445888</c:v>
                </c:pt>
                <c:pt idx="28">
                  <c:v>-1.4632125517860839</c:v>
                </c:pt>
                <c:pt idx="29">
                  <c:v>-2.8387762770613647</c:v>
                </c:pt>
                <c:pt idx="30">
                  <c:v>-2.030052881708833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75-4D74-96FE-F856CB81BD8F}"/>
            </c:ext>
          </c:extLst>
        </c:ser>
        <c:ser>
          <c:idx val="6"/>
          <c:order val="6"/>
          <c:tx>
            <c:strRef>
              <c:f>'Value History'!$I$22</c:f>
              <c:strCache>
                <c:ptCount val="1"/>
                <c:pt idx="0">
                  <c:v>AGG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History'!$I$23:$I$53</c:f>
              <c:numCache>
                <c:formatCode>#,##0.00</c:formatCode>
                <c:ptCount val="31"/>
                <c:pt idx="0">
                  <c:v>0</c:v>
                </c:pt>
                <c:pt idx="1">
                  <c:v>-2.1566053410069639</c:v>
                </c:pt>
                <c:pt idx="2">
                  <c:v>-2.5514368250203279</c:v>
                </c:pt>
                <c:pt idx="3">
                  <c:v>-2.0218763021653645</c:v>
                </c:pt>
                <c:pt idx="4">
                  <c:v>-2.7695097684228238</c:v>
                </c:pt>
                <c:pt idx="5">
                  <c:v>-0.94715887158649748</c:v>
                </c:pt>
                <c:pt idx="6">
                  <c:v>-0.44949752364177564</c:v>
                </c:pt>
                <c:pt idx="7">
                  <c:v>0.25245763947862754</c:v>
                </c:pt>
                <c:pt idx="8">
                  <c:v>-0.78032119559261459</c:v>
                </c:pt>
                <c:pt idx="9">
                  <c:v>-0.8779859717079499</c:v>
                </c:pt>
                <c:pt idx="10">
                  <c:v>3.1539983822037695E-2</c:v>
                </c:pt>
                <c:pt idx="11">
                  <c:v>-0.69893866831791152</c:v>
                </c:pt>
                <c:pt idx="12">
                  <c:v>-1.2009823584205372</c:v>
                </c:pt>
                <c:pt idx="13">
                  <c:v>-1.4434121225070886</c:v>
                </c:pt>
                <c:pt idx="14">
                  <c:v>-0.20660495986046895</c:v>
                </c:pt>
                <c:pt idx="15">
                  <c:v>-0.98720256944781637</c:v>
                </c:pt>
                <c:pt idx="16">
                  <c:v>-0.3869752579209817</c:v>
                </c:pt>
                <c:pt idx="17">
                  <c:v>-0.94770779375532588</c:v>
                </c:pt>
                <c:pt idx="18">
                  <c:v>-1.5491115502155959</c:v>
                </c:pt>
                <c:pt idx="19">
                  <c:v>-2.5638027199782982</c:v>
                </c:pt>
                <c:pt idx="20">
                  <c:v>-3.1736614470193056</c:v>
                </c:pt>
                <c:pt idx="21">
                  <c:v>-3.0729566943989157</c:v>
                </c:pt>
                <c:pt idx="22">
                  <c:v>-2.6336498990784825</c:v>
                </c:pt>
                <c:pt idx="23">
                  <c:v>-2.1463228732291002</c:v>
                </c:pt>
                <c:pt idx="24">
                  <c:v>-1.4609663992026527</c:v>
                </c:pt>
                <c:pt idx="25">
                  <c:v>-0.73768829898553867</c:v>
                </c:pt>
                <c:pt idx="26">
                  <c:v>-2.5575534718929887</c:v>
                </c:pt>
                <c:pt idx="27">
                  <c:v>-2.6171594901520505</c:v>
                </c:pt>
                <c:pt idx="28">
                  <c:v>-0.25644001983684922</c:v>
                </c:pt>
                <c:pt idx="29">
                  <c:v>-0.6464888439171983</c:v>
                </c:pt>
                <c:pt idx="30">
                  <c:v>-0.70856617542688527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75-4D74-96FE-F856CB81BD8F}"/>
            </c:ext>
          </c:extLst>
        </c:ser>
        <c:ser>
          <c:idx val="7"/>
          <c:order val="7"/>
          <c:tx>
            <c:strRef>
              <c:f>'Value History'!$J$22</c:f>
              <c:strCache>
                <c:ptCount val="1"/>
                <c:pt idx="0">
                  <c:v>BOND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History'!$J$23:$J$53</c:f>
              <c:numCache>
                <c:formatCode>#,##0.00</c:formatCode>
                <c:ptCount val="31"/>
                <c:pt idx="0">
                  <c:v>0</c:v>
                </c:pt>
                <c:pt idx="1">
                  <c:v>-1.8323309106111956</c:v>
                </c:pt>
                <c:pt idx="2">
                  <c:v>-2.4611762482359087</c:v>
                </c:pt>
                <c:pt idx="3">
                  <c:v>-1.8283155334838912</c:v>
                </c:pt>
                <c:pt idx="4">
                  <c:v>-2.5012504749866551</c:v>
                </c:pt>
                <c:pt idx="5">
                  <c:v>-0.59042107535959887</c:v>
                </c:pt>
                <c:pt idx="6">
                  <c:v>-0.19452912296191749</c:v>
                </c:pt>
                <c:pt idx="7">
                  <c:v>0.56458910638708282</c:v>
                </c:pt>
                <c:pt idx="8">
                  <c:v>-0.23250717984138136</c:v>
                </c:pt>
                <c:pt idx="9">
                  <c:v>-0.44564787749886187</c:v>
                </c:pt>
                <c:pt idx="10">
                  <c:v>5.0165906651088166E-2</c:v>
                </c:pt>
                <c:pt idx="11">
                  <c:v>-0.29399366364731672</c:v>
                </c:pt>
                <c:pt idx="12">
                  <c:v>-0.89404526839199827</c:v>
                </c:pt>
                <c:pt idx="13">
                  <c:v>-1.2200540482274804</c:v>
                </c:pt>
                <c:pt idx="14">
                  <c:v>-0.14338041187244285</c:v>
                </c:pt>
                <c:pt idx="15">
                  <c:v>-1.0302666310065236</c:v>
                </c:pt>
                <c:pt idx="16">
                  <c:v>-0.41869684656980716</c:v>
                </c:pt>
                <c:pt idx="17">
                  <c:v>-0.77775059624962428</c:v>
                </c:pt>
                <c:pt idx="18">
                  <c:v>-1.4793685526132518</c:v>
                </c:pt>
                <c:pt idx="19">
                  <c:v>-2.4166266804448608</c:v>
                </c:pt>
                <c:pt idx="20">
                  <c:v>-2.9670250110930585</c:v>
                </c:pt>
                <c:pt idx="21">
                  <c:v>-2.5508697901204371</c:v>
                </c:pt>
                <c:pt idx="22">
                  <c:v>-2.5508697901204371</c:v>
                </c:pt>
                <c:pt idx="23">
                  <c:v>-2.1156982594264484</c:v>
                </c:pt>
                <c:pt idx="24">
                  <c:v>-1.7623462557521294</c:v>
                </c:pt>
                <c:pt idx="25">
                  <c:v>-1.2995751066221293</c:v>
                </c:pt>
                <c:pt idx="26">
                  <c:v>-2.767343870315436</c:v>
                </c:pt>
                <c:pt idx="27">
                  <c:v>-2.7871492008297261</c:v>
                </c:pt>
                <c:pt idx="28">
                  <c:v>-0.43558014334509498</c:v>
                </c:pt>
                <c:pt idx="29">
                  <c:v>-0.94998377003460033</c:v>
                </c:pt>
                <c:pt idx="30">
                  <c:v>-0.90805931131375028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75-4D74-96FE-F856CB81BD8F}"/>
            </c:ext>
          </c:extLst>
        </c:ser>
        <c:ser>
          <c:idx val="8"/>
          <c:order val="8"/>
          <c:tx>
            <c:strRef>
              <c:f>'Value History'!$K$22</c:f>
              <c:strCache>
                <c:ptCount val="1"/>
                <c:pt idx="0">
                  <c:v>HYG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History'!$K$23:$K$53</c:f>
              <c:numCache>
                <c:formatCode>#,##0.00</c:formatCode>
                <c:ptCount val="31"/>
                <c:pt idx="0">
                  <c:v>0</c:v>
                </c:pt>
                <c:pt idx="1">
                  <c:v>-1.1710617165990285</c:v>
                </c:pt>
                <c:pt idx="2">
                  <c:v>-1.5990648051859373</c:v>
                </c:pt>
                <c:pt idx="3">
                  <c:v>-0.78797685950671115</c:v>
                </c:pt>
                <c:pt idx="4">
                  <c:v>-1.8512636630906181</c:v>
                </c:pt>
                <c:pt idx="5">
                  <c:v>0.79390542009848575</c:v>
                </c:pt>
                <c:pt idx="6">
                  <c:v>1.1438546592518037</c:v>
                </c:pt>
                <c:pt idx="7">
                  <c:v>1.844150930588655</c:v>
                </c:pt>
                <c:pt idx="8">
                  <c:v>-0.29908234817181018</c:v>
                </c:pt>
                <c:pt idx="9">
                  <c:v>0.12786286905537358</c:v>
                </c:pt>
                <c:pt idx="10">
                  <c:v>0.9864647145564146</c:v>
                </c:pt>
                <c:pt idx="11">
                  <c:v>0.90863589046950888</c:v>
                </c:pt>
                <c:pt idx="12">
                  <c:v>3.6387739919004819E-2</c:v>
                </c:pt>
                <c:pt idx="13">
                  <c:v>-0.71847827961903032</c:v>
                </c:pt>
                <c:pt idx="14">
                  <c:v>0.3159064700009282</c:v>
                </c:pt>
                <c:pt idx="15">
                  <c:v>-0.56171711267699431</c:v>
                </c:pt>
                <c:pt idx="16">
                  <c:v>1.27979742210654</c:v>
                </c:pt>
                <c:pt idx="17">
                  <c:v>0.7779579582457733</c:v>
                </c:pt>
                <c:pt idx="18">
                  <c:v>8.2909554945039751E-2</c:v>
                </c:pt>
                <c:pt idx="19">
                  <c:v>-0.17009068620074921</c:v>
                </c:pt>
                <c:pt idx="20">
                  <c:v>-0.64545041937675163</c:v>
                </c:pt>
                <c:pt idx="21">
                  <c:v>-0.63813925718100217</c:v>
                </c:pt>
                <c:pt idx="22">
                  <c:v>-1.338690801366698</c:v>
                </c:pt>
                <c:pt idx="23">
                  <c:v>-0.49758320386562893</c:v>
                </c:pt>
                <c:pt idx="24">
                  <c:v>-9.3315958125927259E-2</c:v>
                </c:pt>
                <c:pt idx="25">
                  <c:v>-0.37458510252116917</c:v>
                </c:pt>
                <c:pt idx="26">
                  <c:v>-1.7212647613422056</c:v>
                </c:pt>
                <c:pt idx="27">
                  <c:v>-2.4847052979483739</c:v>
                </c:pt>
                <c:pt idx="28">
                  <c:v>0.37115670364994874</c:v>
                </c:pt>
                <c:pt idx="29">
                  <c:v>-2.1399531919562317E-3</c:v>
                </c:pt>
                <c:pt idx="30">
                  <c:v>1.0754176485853111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75-4D74-96FE-F856CB81BD8F}"/>
            </c:ext>
          </c:extLst>
        </c:ser>
        <c:ser>
          <c:idx val="9"/>
          <c:order val="9"/>
          <c:tx>
            <c:strRef>
              <c:f>'Value History'!$L$22</c:f>
              <c:strCache>
                <c:ptCount val="1"/>
                <c:pt idx="0">
                  <c:v>NWXIX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History'!$L$23:$L$53</c:f>
              <c:numCache>
                <c:formatCode>#,##0.00</c:formatCode>
                <c:ptCount val="31"/>
                <c:pt idx="0">
                  <c:v>0</c:v>
                </c:pt>
                <c:pt idx="1">
                  <c:v>-1.1544662950414646</c:v>
                </c:pt>
                <c:pt idx="2">
                  <c:v>-1.4299616846374283</c:v>
                </c:pt>
                <c:pt idx="3">
                  <c:v>-0.4083625325024845</c:v>
                </c:pt>
                <c:pt idx="4">
                  <c:v>-0.9916747124675579</c:v>
                </c:pt>
                <c:pt idx="5">
                  <c:v>1.2983827508323751</c:v>
                </c:pt>
                <c:pt idx="6">
                  <c:v>1.9490910965905426</c:v>
                </c:pt>
                <c:pt idx="7">
                  <c:v>1.6696764119613059</c:v>
                </c:pt>
                <c:pt idx="8">
                  <c:v>0.61736981046863915</c:v>
                </c:pt>
                <c:pt idx="9">
                  <c:v>1.1515696765224017</c:v>
                </c:pt>
                <c:pt idx="10">
                  <c:v>1.2901898223371244</c:v>
                </c:pt>
                <c:pt idx="11">
                  <c:v>1.4641001819947557</c:v>
                </c:pt>
                <c:pt idx="12">
                  <c:v>1.4641001819947557</c:v>
                </c:pt>
                <c:pt idx="13">
                  <c:v>1.6086280854963968</c:v>
                </c:pt>
                <c:pt idx="14">
                  <c:v>1.8035216704730339</c:v>
                </c:pt>
                <c:pt idx="15">
                  <c:v>0.51025430442051734</c:v>
                </c:pt>
                <c:pt idx="16">
                  <c:v>0.98194937179451025</c:v>
                </c:pt>
                <c:pt idx="17">
                  <c:v>1.5399839049981738</c:v>
                </c:pt>
                <c:pt idx="18">
                  <c:v>0.72678008106002179</c:v>
                </c:pt>
                <c:pt idx="19">
                  <c:v>0.29556474214629641</c:v>
                </c:pt>
                <c:pt idx="20">
                  <c:v>-0.25152497345814667</c:v>
                </c:pt>
                <c:pt idx="21">
                  <c:v>0.53670349941370121</c:v>
                </c:pt>
                <c:pt idx="22">
                  <c:v>-1.9866681592095314E-2</c:v>
                </c:pt>
                <c:pt idx="23">
                  <c:v>0.30460535176048864</c:v>
                </c:pt>
                <c:pt idx="24">
                  <c:v>0.62587957870605226</c:v>
                </c:pt>
                <c:pt idx="25">
                  <c:v>0.85977643303473772</c:v>
                </c:pt>
                <c:pt idx="26">
                  <c:v>-1.1211797888269013</c:v>
                </c:pt>
                <c:pt idx="27">
                  <c:v>-1.3980637974678114</c:v>
                </c:pt>
                <c:pt idx="28">
                  <c:v>1.901700982207738</c:v>
                </c:pt>
                <c:pt idx="29">
                  <c:v>0.87263804259522548</c:v>
                </c:pt>
                <c:pt idx="30">
                  <c:v>1.3550154884999177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75-4D74-96FE-F856CB81BD8F}"/>
            </c:ext>
          </c:extLst>
        </c:ser>
        <c:ser>
          <c:idx val="10"/>
          <c:order val="10"/>
          <c:tx>
            <c:strRef>
              <c:f>'Value History'!$M$22</c:f>
              <c:strCache>
                <c:ptCount val="1"/>
                <c:pt idx="0">
                  <c:v>0P00000TYK.F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History'!$M$23:$M$53</c:f>
              <c:numCache>
                <c:formatCode>#,##0.00</c:formatCode>
                <c:ptCount val="31"/>
                <c:pt idx="0">
                  <c:v>0</c:v>
                </c:pt>
                <c:pt idx="1">
                  <c:v>0.49027756299682862</c:v>
                </c:pt>
                <c:pt idx="2">
                  <c:v>0.69093676491357292</c:v>
                </c:pt>
                <c:pt idx="3">
                  <c:v>1.2853563982847178</c:v>
                </c:pt>
                <c:pt idx="4">
                  <c:v>1.2802715662715611</c:v>
                </c:pt>
                <c:pt idx="5">
                  <c:v>1.364097400473256</c:v>
                </c:pt>
                <c:pt idx="6">
                  <c:v>1.3412410574819207</c:v>
                </c:pt>
                <c:pt idx="7">
                  <c:v>1.6155795214540651</c:v>
                </c:pt>
                <c:pt idx="8">
                  <c:v>1.854374963470089</c:v>
                </c:pt>
                <c:pt idx="9">
                  <c:v>2.1210884886103538</c:v>
                </c:pt>
                <c:pt idx="10">
                  <c:v>1.8874009704877377</c:v>
                </c:pt>
                <c:pt idx="11">
                  <c:v>2.1490296636148458</c:v>
                </c:pt>
                <c:pt idx="12">
                  <c:v>2.6164485744323653</c:v>
                </c:pt>
                <c:pt idx="13">
                  <c:v>2.791706708163336</c:v>
                </c:pt>
                <c:pt idx="14">
                  <c:v>2.8780772675594695</c:v>
                </c:pt>
                <c:pt idx="15">
                  <c:v>2.8526761993737004</c:v>
                </c:pt>
                <c:pt idx="16">
                  <c:v>3.2896115191800268</c:v>
                </c:pt>
                <c:pt idx="17">
                  <c:v>3.444553416738144</c:v>
                </c:pt>
                <c:pt idx="18">
                  <c:v>3.4115274097204913</c:v>
                </c:pt>
                <c:pt idx="19">
                  <c:v>3.4623503287845558</c:v>
                </c:pt>
                <c:pt idx="20">
                  <c:v>3.5842662193247796</c:v>
                </c:pt>
                <c:pt idx="21">
                  <c:v>3.1625877047461461</c:v>
                </c:pt>
                <c:pt idx="22">
                  <c:v>3.2032409597836526</c:v>
                </c:pt>
                <c:pt idx="23">
                  <c:v>3.5588674603269883</c:v>
                </c:pt>
                <c:pt idx="24">
                  <c:v>3.6604671146945993</c:v>
                </c:pt>
                <c:pt idx="25">
                  <c:v>3.1905288797506381</c:v>
                </c:pt>
                <c:pt idx="26">
                  <c:v>3.0787595613564687</c:v>
                </c:pt>
                <c:pt idx="27">
                  <c:v>3.0432142302123744</c:v>
                </c:pt>
                <c:pt idx="28">
                  <c:v>3.0432142302123744</c:v>
                </c:pt>
                <c:pt idx="29">
                  <c:v>2.9644478269558436</c:v>
                </c:pt>
                <c:pt idx="30">
                  <c:v>2.9644478269558436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775-4D74-96FE-F856CB81BD8F}"/>
            </c:ext>
          </c:extLst>
        </c:ser>
        <c:ser>
          <c:idx val="11"/>
          <c:order val="11"/>
          <c:tx>
            <c:strRef>
              <c:f>'Value History'!$N$22</c:f>
              <c:strCache>
                <c:ptCount val="1"/>
                <c:pt idx="0">
                  <c:v>PDBC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History'!$N$23:$N$53</c:f>
              <c:numCache>
                <c:formatCode>#,##0.00</c:formatCode>
                <c:ptCount val="31"/>
                <c:pt idx="0">
                  <c:v>0</c:v>
                </c:pt>
                <c:pt idx="1">
                  <c:v>0.28701770120885944</c:v>
                </c:pt>
                <c:pt idx="2">
                  <c:v>0.46072803498595782</c:v>
                </c:pt>
                <c:pt idx="3">
                  <c:v>0.9940297171623087</c:v>
                </c:pt>
                <c:pt idx="4">
                  <c:v>0.74514978938125298</c:v>
                </c:pt>
                <c:pt idx="5">
                  <c:v>1.0112023732491728</c:v>
                </c:pt>
                <c:pt idx="6">
                  <c:v>1.244604765357624</c:v>
                </c:pt>
                <c:pt idx="7">
                  <c:v>1.7291545843124168</c:v>
                </c:pt>
                <c:pt idx="8">
                  <c:v>2.0345442003544392</c:v>
                </c:pt>
                <c:pt idx="9">
                  <c:v>2.5646698052696792</c:v>
                </c:pt>
                <c:pt idx="10">
                  <c:v>2.060561754786097</c:v>
                </c:pt>
                <c:pt idx="11">
                  <c:v>2.4454186529034252</c:v>
                </c:pt>
                <c:pt idx="12">
                  <c:v>2.5042252987673823</c:v>
                </c:pt>
                <c:pt idx="13">
                  <c:v>2.8004439128711121</c:v>
                </c:pt>
                <c:pt idx="14">
                  <c:v>2.7675475119998598</c:v>
                </c:pt>
                <c:pt idx="15">
                  <c:v>2.8040296196004388</c:v>
                </c:pt>
                <c:pt idx="16">
                  <c:v>3.1785072824444347</c:v>
                </c:pt>
                <c:pt idx="17">
                  <c:v>3.4570812664406354</c:v>
                </c:pt>
                <c:pt idx="18">
                  <c:v>3.1592143976118696</c:v>
                </c:pt>
                <c:pt idx="19">
                  <c:v>3.1665759910894828</c:v>
                </c:pt>
                <c:pt idx="20">
                  <c:v>3.451618956147021</c:v>
                </c:pt>
                <c:pt idx="21">
                  <c:v>3.0244782122002216</c:v>
                </c:pt>
                <c:pt idx="22">
                  <c:v>3.1268113912346291</c:v>
                </c:pt>
                <c:pt idx="23">
                  <c:v>3.3263125171282342</c:v>
                </c:pt>
                <c:pt idx="24">
                  <c:v>3.423233008290254</c:v>
                </c:pt>
                <c:pt idx="25">
                  <c:v>2.831825777740868</c:v>
                </c:pt>
                <c:pt idx="26">
                  <c:v>2.7159911221493109</c:v>
                </c:pt>
                <c:pt idx="27">
                  <c:v>2.5268892256020075</c:v>
                </c:pt>
                <c:pt idx="28">
                  <c:v>3.0716055952506518</c:v>
                </c:pt>
                <c:pt idx="29">
                  <c:v>3.0384542062995088</c:v>
                </c:pt>
                <c:pt idx="30">
                  <c:v>2.3321475498544917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775-4D74-96FE-F856CB81BD8F}"/>
            </c:ext>
          </c:extLst>
        </c:ser>
        <c:ser>
          <c:idx val="12"/>
          <c:order val="12"/>
          <c:tx>
            <c:strRef>
              <c:f>'Value History'!$O$22</c:f>
              <c:strCache>
                <c:ptCount val="1"/>
                <c:pt idx="0">
                  <c:v>PCRAX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History'!$O$23:$O$53</c:f>
              <c:numCache>
                <c:formatCode>#,##0.00</c:formatCode>
                <c:ptCount val="31"/>
                <c:pt idx="0">
                  <c:v>0</c:v>
                </c:pt>
                <c:pt idx="1">
                  <c:v>0.20967915582776694</c:v>
                </c:pt>
                <c:pt idx="2">
                  <c:v>0.52460367411728148</c:v>
                </c:pt>
                <c:pt idx="3">
                  <c:v>1.3616004551533243</c:v>
                </c:pt>
                <c:pt idx="4">
                  <c:v>1.4597244775288205</c:v>
                </c:pt>
                <c:pt idx="5">
                  <c:v>1.2349767134923746</c:v>
                </c:pt>
                <c:pt idx="6">
                  <c:v>1.7731488570053473</c:v>
                </c:pt>
                <c:pt idx="7">
                  <c:v>1.900922334859769</c:v>
                </c:pt>
                <c:pt idx="8">
                  <c:v>2.1970060276406707</c:v>
                </c:pt>
                <c:pt idx="9">
                  <c:v>3.0389363770241995</c:v>
                </c:pt>
                <c:pt idx="10">
                  <c:v>2.2862365659814214</c:v>
                </c:pt>
                <c:pt idx="11">
                  <c:v>2.5269049778980275</c:v>
                </c:pt>
                <c:pt idx="12">
                  <c:v>2.6548411365212221</c:v>
                </c:pt>
                <c:pt idx="13">
                  <c:v>2.8037748581050077</c:v>
                </c:pt>
                <c:pt idx="14">
                  <c:v>2.8728304194706151</c:v>
                </c:pt>
                <c:pt idx="15">
                  <c:v>2.8354458491887247</c:v>
                </c:pt>
                <c:pt idx="16">
                  <c:v>3.3739164712669902</c:v>
                </c:pt>
                <c:pt idx="17">
                  <c:v>3.4377077786831118</c:v>
                </c:pt>
                <c:pt idx="18">
                  <c:v>2.8494195699458786</c:v>
                </c:pt>
                <c:pt idx="19">
                  <c:v>2.9772150521509491</c:v>
                </c:pt>
                <c:pt idx="20">
                  <c:v>3.4680176080039877</c:v>
                </c:pt>
                <c:pt idx="21">
                  <c:v>2.8095063942476579</c:v>
                </c:pt>
                <c:pt idx="22">
                  <c:v>3.0003295833295556</c:v>
                </c:pt>
                <c:pt idx="23">
                  <c:v>3.9395254285069665</c:v>
                </c:pt>
                <c:pt idx="24">
                  <c:v>3.9877402285222079</c:v>
                </c:pt>
                <c:pt idx="25">
                  <c:v>3.6622608815823336</c:v>
                </c:pt>
                <c:pt idx="26">
                  <c:v>2.9245196459516287</c:v>
                </c:pt>
                <c:pt idx="27">
                  <c:v>2.54477965259245</c:v>
                </c:pt>
                <c:pt idx="28">
                  <c:v>3.049450043287655</c:v>
                </c:pt>
                <c:pt idx="29">
                  <c:v>3.1541866416925801</c:v>
                </c:pt>
                <c:pt idx="30">
                  <c:v>2.8419077274871425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775-4D74-96FE-F856CB81BD8F}"/>
            </c:ext>
          </c:extLst>
        </c:ser>
        <c:ser>
          <c:idx val="13"/>
          <c:order val="13"/>
          <c:tx>
            <c:strRef>
              <c:f>'Value History'!$P$22</c:f>
              <c:strCache>
                <c:ptCount val="1"/>
                <c:pt idx="0">
                  <c:v>ETH-EUR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'Value History'!$B$23:$B$53</c:f>
              <c:numCache>
                <c:formatCode>m/d/yyyy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'Value History'!$P$23:$P$53</c:f>
              <c:numCache>
                <c:formatCode>#,##0.00</c:formatCode>
                <c:ptCount val="31"/>
                <c:pt idx="0">
                  <c:v>0</c:v>
                </c:pt>
                <c:pt idx="1">
                  <c:v>-0.42166457934582646</c:v>
                </c:pt>
                <c:pt idx="2">
                  <c:v>-0.43321946060197203</c:v>
                </c:pt>
                <c:pt idx="3">
                  <c:v>-0.64562119402227947</c:v>
                </c:pt>
                <c:pt idx="4">
                  <c:v>-0.51633733393007175</c:v>
                </c:pt>
                <c:pt idx="5">
                  <c:v>-0.21326055335030727</c:v>
                </c:pt>
                <c:pt idx="6">
                  <c:v>0.37296463223556725</c:v>
                </c:pt>
                <c:pt idx="7">
                  <c:v>0.5371074192680142</c:v>
                </c:pt>
                <c:pt idx="8">
                  <c:v>0.78327744455036075</c:v>
                </c:pt>
                <c:pt idx="9">
                  <c:v>0.92886287702853265</c:v>
                </c:pt>
                <c:pt idx="10">
                  <c:v>0.94068876123172984</c:v>
                </c:pt>
                <c:pt idx="11">
                  <c:v>0.88760916364293541</c:v>
                </c:pt>
                <c:pt idx="12">
                  <c:v>0.9102243871723763</c:v>
                </c:pt>
                <c:pt idx="13">
                  <c:v>0.77120981026404023</c:v>
                </c:pt>
                <c:pt idx="14">
                  <c:v>0.95365495518774157</c:v>
                </c:pt>
                <c:pt idx="15">
                  <c:v>1.3082322306443583</c:v>
                </c:pt>
                <c:pt idx="16">
                  <c:v>1.4516750288241633</c:v>
                </c:pt>
                <c:pt idx="17">
                  <c:v>1.3888155916854665</c:v>
                </c:pt>
                <c:pt idx="18">
                  <c:v>1.4589904525723745</c:v>
                </c:pt>
                <c:pt idx="19">
                  <c:v>1.9867209490956694</c:v>
                </c:pt>
                <c:pt idx="20">
                  <c:v>1.80831269939563</c:v>
                </c:pt>
                <c:pt idx="21">
                  <c:v>1.6318147169049395</c:v>
                </c:pt>
                <c:pt idx="22">
                  <c:v>2.0244251310096431</c:v>
                </c:pt>
                <c:pt idx="23">
                  <c:v>1.9771331849542759</c:v>
                </c:pt>
                <c:pt idx="24">
                  <c:v>1.5841982296420691</c:v>
                </c:pt>
                <c:pt idx="25">
                  <c:v>2.2202956846591246</c:v>
                </c:pt>
                <c:pt idx="26">
                  <c:v>2.5564602140587001</c:v>
                </c:pt>
                <c:pt idx="27">
                  <c:v>2.3822340200203511</c:v>
                </c:pt>
                <c:pt idx="28">
                  <c:v>2.3521824977011487</c:v>
                </c:pt>
                <c:pt idx="29">
                  <c:v>2.8750316295323368</c:v>
                </c:pt>
                <c:pt idx="30">
                  <c:v>2.8910086607107979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775-4D74-96FE-F856CB81B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091072"/>
        <c:axId val="697089408"/>
      </c:lineChart>
      <c:dateAx>
        <c:axId val="697091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89408"/>
        <c:crosses val="autoZero"/>
        <c:auto val="1"/>
        <c:lblOffset val="100"/>
        <c:baseTimeUnit val="days"/>
      </c:dateAx>
      <c:valAx>
        <c:axId val="69708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9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'Asset Prices'!$C$38</c:f>
              <c:strCache>
                <c:ptCount val="1"/>
                <c:pt idx="0">
                  <c:v>Fund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'Asset Prices'!$B$39:$B$69</c:f>
              <c:numCache>
                <c:formatCode>d\.m\.yy;@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'Asset Prices'!$C$39:$C$69</c:f>
              <c:numCache>
                <c:formatCode>#,##0.00</c:formatCode>
                <c:ptCount val="31"/>
                <c:pt idx="0">
                  <c:v>4967976.2767943861</c:v>
                </c:pt>
                <c:pt idx="1">
                  <c:v>4978206.0749060605</c:v>
                </c:pt>
                <c:pt idx="2">
                  <c:v>4981704.4982690187</c:v>
                </c:pt>
                <c:pt idx="3">
                  <c:v>5021082.3865725268</c:v>
                </c:pt>
                <c:pt idx="4">
                  <c:v>4991494.0130588077</c:v>
                </c:pt>
                <c:pt idx="5">
                  <c:v>5038529.9355277419</c:v>
                </c:pt>
                <c:pt idx="6">
                  <c:v>5046709.94776031</c:v>
                </c:pt>
                <c:pt idx="7">
                  <c:v>5089252.0939725684</c:v>
                </c:pt>
                <c:pt idx="8">
                  <c:v>5072334.6879686099</c:v>
                </c:pt>
                <c:pt idx="9">
                  <c:v>5109691.5383235449</c:v>
                </c:pt>
                <c:pt idx="10">
                  <c:v>5111793.4674787289</c:v>
                </c:pt>
                <c:pt idx="11">
                  <c:v>5127110.2057412313</c:v>
                </c:pt>
                <c:pt idx="12">
                  <c:v>5127248.3741957713</c:v>
                </c:pt>
                <c:pt idx="13">
                  <c:v>5090394.0654789926</c:v>
                </c:pt>
                <c:pt idx="14">
                  <c:v>5098064.8438727371</c:v>
                </c:pt>
                <c:pt idx="15">
                  <c:v>5083551.6999722421</c:v>
                </c:pt>
                <c:pt idx="16">
                  <c:v>5127839.6474292642</c:v>
                </c:pt>
                <c:pt idx="17">
                  <c:v>5148992.6190973632</c:v>
                </c:pt>
                <c:pt idx="18">
                  <c:v>5139270.9569741413</c:v>
                </c:pt>
                <c:pt idx="19">
                  <c:v>5158626.6180184847</c:v>
                </c:pt>
                <c:pt idx="20">
                  <c:v>5171444.5270452071</c:v>
                </c:pt>
                <c:pt idx="21">
                  <c:v>5164797.7553606406</c:v>
                </c:pt>
                <c:pt idx="22">
                  <c:v>5187414.8926659822</c:v>
                </c:pt>
                <c:pt idx="23">
                  <c:v>5204956.134647131</c:v>
                </c:pt>
                <c:pt idx="24">
                  <c:v>5208663.9525076831</c:v>
                </c:pt>
                <c:pt idx="25">
                  <c:v>5188117.339682214</c:v>
                </c:pt>
                <c:pt idx="26">
                  <c:v>5186904.378059716</c:v>
                </c:pt>
                <c:pt idx="27">
                  <c:v>5178767.5161560336</c:v>
                </c:pt>
                <c:pt idx="28">
                  <c:v>5249974.4657190163</c:v>
                </c:pt>
                <c:pt idx="29">
                  <c:v>5253859.6468679216</c:v>
                </c:pt>
                <c:pt idx="30">
                  <c:v>5269497.1468322091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9-4C48-9574-7A6C1ECB3201}"/>
            </c:ext>
          </c:extLst>
        </c:ser>
        <c:ser>
          <c:idx val="1"/>
          <c:order val="1"/>
          <c:tx>
            <c:strRef>
              <c:f>'Asset Prices'!$D$38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'Asset Prices'!$B$39:$B$69</c:f>
              <c:numCache>
                <c:formatCode>d\.m\.yy;@</c:formatCode>
                <c:ptCount val="31"/>
                <c:pt idx="0">
                  <c:v>44461</c:v>
                </c:pt>
                <c:pt idx="1">
                  <c:v>44462</c:v>
                </c:pt>
                <c:pt idx="2">
                  <c:v>44463</c:v>
                </c:pt>
                <c:pt idx="3">
                  <c:v>44466</c:v>
                </c:pt>
                <c:pt idx="4">
                  <c:v>44467</c:v>
                </c:pt>
                <c:pt idx="5">
                  <c:v>44468</c:v>
                </c:pt>
                <c:pt idx="6">
                  <c:v>44469</c:v>
                </c:pt>
                <c:pt idx="7">
                  <c:v>44470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44480</c:v>
                </c:pt>
                <c:pt idx="14">
                  <c:v>44481</c:v>
                </c:pt>
                <c:pt idx="15">
                  <c:v>44482</c:v>
                </c:pt>
                <c:pt idx="16">
                  <c:v>44483</c:v>
                </c:pt>
                <c:pt idx="17">
                  <c:v>44484</c:v>
                </c:pt>
                <c:pt idx="18">
                  <c:v>44487</c:v>
                </c:pt>
                <c:pt idx="19">
                  <c:v>44488</c:v>
                </c:pt>
                <c:pt idx="20">
                  <c:v>44489</c:v>
                </c:pt>
                <c:pt idx="21">
                  <c:v>44490</c:v>
                </c:pt>
                <c:pt idx="22">
                  <c:v>44491</c:v>
                </c:pt>
                <c:pt idx="23">
                  <c:v>44494</c:v>
                </c:pt>
                <c:pt idx="24">
                  <c:v>44495</c:v>
                </c:pt>
                <c:pt idx="25">
                  <c:v>44496</c:v>
                </c:pt>
                <c:pt idx="26">
                  <c:v>44497</c:v>
                </c:pt>
                <c:pt idx="27">
                  <c:v>44498</c:v>
                </c:pt>
                <c:pt idx="28">
                  <c:v>44501</c:v>
                </c:pt>
                <c:pt idx="29">
                  <c:v>44502</c:v>
                </c:pt>
                <c:pt idx="30">
                  <c:v>44503</c:v>
                </c:pt>
              </c:numCache>
            </c:numRef>
          </c:cat>
          <c:val>
            <c:numRef>
              <c:f>'Asset Prices'!$D$39:$D$69</c:f>
              <c:numCache>
                <c:formatCode>_-* #,##0.00\ [$€-410]_-;\-* #,##0.00\ [$€-410]_-;_-* "-"??\ [$€-410]_-;_-@_-</c:formatCode>
                <c:ptCount val="31"/>
                <c:pt idx="0">
                  <c:v>4973448.3036444709</c:v>
                </c:pt>
                <c:pt idx="1">
                  <c:v>5011776.3408000208</c:v>
                </c:pt>
                <c:pt idx="2">
                  <c:v>5068802.7857021894</c:v>
                </c:pt>
                <c:pt idx="3">
                  <c:v>4919841.2409093035</c:v>
                </c:pt>
                <c:pt idx="4">
                  <c:v>4620263.6945469007</c:v>
                </c:pt>
                <c:pt idx="5">
                  <c:v>4750515.6632052567</c:v>
                </c:pt>
                <c:pt idx="6">
                  <c:v>4743559.4032086786</c:v>
                </c:pt>
                <c:pt idx="7">
                  <c:v>4762059.0178387547</c:v>
                </c:pt>
                <c:pt idx="8">
                  <c:v>4569554.4787970344</c:v>
                </c:pt>
                <c:pt idx="9">
                  <c:v>4688222.5208742684</c:v>
                </c:pt>
                <c:pt idx="10">
                  <c:v>4688531.6015037801</c:v>
                </c:pt>
                <c:pt idx="11">
                  <c:v>4750060.2431207495</c:v>
                </c:pt>
                <c:pt idx="12">
                  <c:v>4722974.3561086981</c:v>
                </c:pt>
                <c:pt idx="13">
                  <c:v>4702799.942984418</c:v>
                </c:pt>
                <c:pt idx="14">
                  <c:v>4696208.4485391807</c:v>
                </c:pt>
                <c:pt idx="15">
                  <c:v>4693428.0884407097</c:v>
                </c:pt>
                <c:pt idx="16">
                  <c:v>4807376.3948887642</c:v>
                </c:pt>
                <c:pt idx="17">
                  <c:v>4833571.9921970116</c:v>
                </c:pt>
                <c:pt idx="18">
                  <c:v>4852932.0021468308</c:v>
                </c:pt>
                <c:pt idx="19">
                  <c:v>4930260.583103084</c:v>
                </c:pt>
                <c:pt idx="20">
                  <c:v>4862129.2375957482</c:v>
                </c:pt>
                <c:pt idx="21">
                  <c:v>4974569.9195854887</c:v>
                </c:pt>
                <c:pt idx="22">
                  <c:v>5072042.9967015842</c:v>
                </c:pt>
                <c:pt idx="23">
                  <c:v>5100699.31910659</c:v>
                </c:pt>
                <c:pt idx="24">
                  <c:v>5038439.1247241246</c:v>
                </c:pt>
                <c:pt idx="25">
                  <c:v>4991327.7889851294</c:v>
                </c:pt>
                <c:pt idx="26">
                  <c:v>5095071.700344977</c:v>
                </c:pt>
                <c:pt idx="27">
                  <c:v>5168044.8115100702</c:v>
                </c:pt>
                <c:pt idx="28">
                  <c:v>5164870.5807852848</c:v>
                </c:pt>
                <c:pt idx="29">
                  <c:v>5124395.239333679</c:v>
                </c:pt>
                <c:pt idx="30">
                  <c:v>5066316.3430446191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9-4C48-9574-7A6C1ECB3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311312"/>
        <c:axId val="850317552"/>
      </c:lineChart>
      <c:dateAx>
        <c:axId val="850311312"/>
        <c:scaling>
          <c:orientation val="minMax"/>
        </c:scaling>
        <c:delete val="0"/>
        <c:axPos val="b"/>
        <c:numFmt formatCode="d\.m\.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17552"/>
        <c:crosses val="autoZero"/>
        <c:auto val="1"/>
        <c:lblOffset val="100"/>
        <c:baseTimeUnit val="days"/>
      </c:dateAx>
      <c:valAx>
        <c:axId val="8503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1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24</xdr:row>
      <xdr:rowOff>0</xdr:rowOff>
    </xdr:from>
    <xdr:to>
      <xdr:col>36</xdr:col>
      <xdr:colOff>183753</xdr:colOff>
      <xdr:row>54</xdr:row>
      <xdr:rowOff>84930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82F438-0AEB-4CBD-A3D4-9F30E1796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35720</xdr:colOff>
      <xdr:row>37</xdr:row>
      <xdr:rowOff>119062</xdr:rowOff>
    </xdr:from>
    <xdr:to>
      <xdr:col>22</xdr:col>
      <xdr:colOff>190500</xdr:colOff>
      <xdr:row>70</xdr:row>
      <xdr:rowOff>20637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203A30-F92E-47E5-9A0E-B3E742D1D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40c5279d0540352/Documenti/Computational%20Finance/Asset%20Allocation/05_11_2021/Change%20Imp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Currency Prices"/>
      <sheetName val="Original Currency Returns"/>
      <sheetName val="Euro Prices"/>
      <sheetName val="Analysis"/>
    </sheetNames>
    <sheetDataSet>
      <sheetData sheetId="0">
        <row r="32">
          <cell r="D32">
            <v>114.389999389648</v>
          </cell>
          <cell r="E32">
            <v>109.76999664306599</v>
          </cell>
        </row>
      </sheetData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65C8A7-6911-49EC-AD14-47F4D8554FD6}" name="Table9" displayName="Table9" ref="B6:G12" totalsRowShown="0" headerRowDxfId="125" headerRowBorderDxfId="124" tableBorderDxfId="123">
  <autoFilter ref="B6:G12" xr:uid="{4265C8A7-6911-49EC-AD14-47F4D8554FD6}"/>
  <tableColumns count="6">
    <tableColumn id="1" xr3:uid="{22FBF667-7ADD-4D5D-BC68-E97D223FBFC7}" name="Date"/>
    <tableColumn id="2" xr3:uid="{DC0F8C30-0641-4921-A797-0DD9A143BAB7}" name="When" dataDxfId="122"/>
    <tableColumn id="3" xr3:uid="{1181086D-60AE-43A1-B100-78C5BEF6AD55}" name="Assets Value" dataDxfId="121"/>
    <tableColumn id="4" xr3:uid="{EDA3BE42-7C1A-450B-AB09-E5780905484C}" name="Payed Fees" dataDxfId="120"/>
    <tableColumn id="5" xr3:uid="{22D5A579-81BE-4728-B37B-5D864A8B9325}" name="Liquidity" dataDxfId="119"/>
    <tableColumn id="6" xr3:uid="{E97F6E9B-812B-4CC8-AC01-058FA60F3656}" name="Total Value" dataDxfId="11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2784CA-2D03-4E95-96CF-DB9C287BEEAA}" name="Table7" displayName="Table7" ref="H3:L17" totalsRowShown="0" headerRowDxfId="117" headerRowBorderDxfId="116" tableBorderDxfId="115" dataCellStyle="20% - Accent5">
  <autoFilter ref="H3:L17" xr:uid="{942784CA-2D03-4E95-96CF-DB9C287BEEAA}"/>
  <tableColumns count="5">
    <tableColumn id="1" xr3:uid="{E9E552F2-3D42-4C51-8E76-E4F117CA4E1B}" name="Product - Full Name"/>
    <tableColumn id="2" xr3:uid="{C9C6C90A-D019-4DDD-8653-B16F39312C88}" name="Identifier"/>
    <tableColumn id="3" xr3:uid="{BB3E0AA9-A1DF-481F-8B64-BD607995BDCA}" name="22-set" dataDxfId="114" dataCellStyle="20% - Accent5"/>
    <tableColumn id="4" xr3:uid="{BD805B1C-1A36-47D4-BA51-EBD00EAFC111}" name="9-ott" dataDxfId="113" dataCellStyle="20% - Accent5"/>
    <tableColumn id="5" xr3:uid="{52F551DA-1475-49D0-A258-ED7D65862376}" name="22-ott" dataDxfId="112" dataCellStyle="20% - Accent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E77688-E9B8-4369-9F8A-18446A1D0362}" name="Table8" displayName="Table8" ref="B3:F17" totalsRowShown="0" headerRowDxfId="111" headerRowBorderDxfId="110" tableBorderDxfId="109" dataCellStyle="20% - Accent5">
  <autoFilter ref="B3:F17" xr:uid="{ADE77688-E9B8-4369-9F8A-18446A1D0362}"/>
  <tableColumns count="5">
    <tableColumn id="1" xr3:uid="{05931E06-7005-485C-BC66-68743BB0AD19}" name="Product - Full Name"/>
    <tableColumn id="2" xr3:uid="{C4612990-78B2-4475-B982-8D606455E980}" name="Identifier"/>
    <tableColumn id="3" xr3:uid="{C8BC61AA-FD6A-458E-A053-BA778E77427E}" name="24-set" dataDxfId="108" dataCellStyle="20% - Accent5"/>
    <tableColumn id="4" xr3:uid="{747597CE-CC9F-4DF9-A717-A988129D2AAC}" name="9-ott" dataDxfId="107" dataCellStyle="20% - Accent5"/>
    <tableColumn id="5" xr3:uid="{DD6689A5-3413-4BAA-AA35-72F8EA97C490}" name="22-ott" dataDxfId="106" dataCellStyle="20% - Accent5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51BBD35-0131-4D10-8C11-D3945774C8EA}" name="Table13" displayName="Table13" ref="B5:G35" totalsRowShown="0" headerRowDxfId="105" headerRowBorderDxfId="104" tableBorderDxfId="103">
  <autoFilter ref="B5:G35" xr:uid="{851BBD35-0131-4D10-8C11-D3945774C8EA}"/>
  <tableColumns count="6">
    <tableColumn id="1" xr3:uid="{754F1549-D04D-454B-991D-32A808990239}" name="Date" dataDxfId="102">
      <calculatedColumnFormula>'Asset Prices'!$B7</calculatedColumnFormula>
    </tableColumn>
    <tableColumn id="2" xr3:uid="{4FF5B72A-6B3A-4B9C-B1D8-03EFDAF141BD}" name="Entire Fund" dataDxfId="101">
      <calculatedColumnFormula array="1">(MMULT('Asset Prices'!$C7:$P7,Table8[22-ott]) + 'Value History'!$F$11)/(MMULT('Asset Prices'!$C6:$P6,Table8[22-ott]) + 'Value History'!$F$11) - 1</calculatedColumnFormula>
    </tableColumn>
    <tableColumn id="3" xr3:uid="{B443BE9A-4FDC-402E-8261-432DFEBE7C6D}" name="Equity Funds" dataDxfId="100">
      <calculatedColumnFormula array="1">MMULT('Asset Prices'!$C7:$H7,'Rebalancing History'!$F$4:$F$9)/MMULT('Asset Prices'!$C6:$H6,'Rebalancing History'!$F$4:$F$9) - 1</calculatedColumnFormula>
    </tableColumn>
    <tableColumn id="4" xr3:uid="{AA769F9D-BB10-4413-90DB-ED95A9B56DCD}" name="Bond Funds" dataDxfId="99">
      <calculatedColumnFormula array="1">MMULT('Asset Prices'!$I7:$L7,'Rebalancing History'!$F$10:$F$13)/MMULT('Asset Prices'!$I6:$L6,'Rebalancing History'!$F$10:$F$13) - 1</calculatedColumnFormula>
    </tableColumn>
    <tableColumn id="5" xr3:uid="{1E939D88-7B0B-4451-90C8-583C6E8A405E}" name="Commodities Funds" dataDxfId="98">
      <calculatedColumnFormula array="1">MMULT('Asset Prices'!$M7:$O7,'Rebalancing History'!$F$14:$F$16)/MMULT('Asset Prices'!$M6:$O6,'Rebalancing History'!$F$14:$F$16) - 1</calculatedColumnFormula>
    </tableColumn>
    <tableColumn id="6" xr3:uid="{DF5DBD28-AC80-47E7-91DD-DE83F5B921D6}" name="Crypto" dataDxfId="97">
      <calculatedColumnFormula>'Asset Returns'!$P7</calculatedColumnFormula>
    </tableColumn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BDC1BA-8B1C-45B8-BFFD-F052E9B6123E}" name="Table14" displayName="Table14" ref="B39:G43" totalsRowShown="0" headerRowDxfId="96" headerRowBorderDxfId="95" tableBorderDxfId="94">
  <autoFilter ref="B39:G43" xr:uid="{D4BDC1BA-8B1C-45B8-BFFD-F052E9B6123E}"/>
  <tableColumns count="6">
    <tableColumn id="1" xr3:uid="{3B35BC06-AD3C-460F-AB23-29D86AF07321}" name="Interval" dataDxfId="93"/>
    <tableColumn id="2" xr3:uid="{5287A7F8-7562-4A78-9628-14C7CC46C55C}" name="Entire Fund" dataDxfId="92"/>
    <tableColumn id="3" xr3:uid="{1A704471-1DC8-484C-86F9-2B10BAC67E40}" name="Equity Funds" dataDxfId="91"/>
    <tableColumn id="4" xr3:uid="{C977EDA5-3CCF-4B86-8BDE-FBC16BC18A7B}" name="Bond Funds" dataDxfId="90"/>
    <tableColumn id="5" xr3:uid="{90AC813A-3BD9-4642-8B72-0C0E441835B0}" name="Commodities Funds" dataDxfId="89"/>
    <tableColumn id="6" xr3:uid="{551CEC29-34AE-49CE-81BA-2F9569FB988E}" name="Crypto" dataDxfId="88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6F801C-B47C-4A58-9137-06C627C7E055}" name="Table16" displayName="Table16" ref="I5:L7" totalsRowShown="0" headerRowDxfId="87" headerRowBorderDxfId="86" tableBorderDxfId="85">
  <autoFilter ref="I5:L7" xr:uid="{CE6F801C-B47C-4A58-9137-06C627C7E055}"/>
  <tableColumns count="4">
    <tableColumn id="1" xr3:uid="{080DDECE-6C24-4D51-83A1-E7C7B1FBB288}" name="Identifier"/>
    <tableColumn id="2" xr3:uid="{97C9711E-6671-4696-B3AB-1C0F4803CB73}" name="1st interval" dataDxfId="84"/>
    <tableColumn id="3" xr3:uid="{825A4D48-3CE1-43C1-8799-943C515FFFAC}" name="2nd interval" dataDxfId="83"/>
    <tableColumn id="4" xr3:uid="{EF9D68C1-C80C-480B-8664-F271D834D413}" name="3rd interval" dataDxfId="82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723D0A-5969-40FC-B2B2-C5171CBB02BF}" name="Table17" displayName="Table17" ref="N5:Q35" totalsRowShown="0" headerRowDxfId="81" headerRowBorderDxfId="80" tableBorderDxfId="79">
  <autoFilter ref="N5:Q35" xr:uid="{77723D0A-5969-40FC-B2B2-C5171CBB02BF}"/>
  <tableColumns count="4">
    <tableColumn id="1" xr3:uid="{B2E88ECB-24AC-45A1-B4C4-F465E06B8327}" name="Date" dataDxfId="78">
      <calculatedColumnFormula>Table13[[#This Row],[Date]]</calculatedColumnFormula>
    </tableColumn>
    <tableColumn id="2" xr3:uid="{F08209BA-DFCA-4263-9500-3E517D84BB68}" name="Fund" dataDxfId="77">
      <calculatedColumnFormula>Table13[[#This Row],[Entire Fund]]</calculatedColumnFormula>
    </tableColumn>
    <tableColumn id="3" xr3:uid="{DEB45318-79AB-498C-AC6E-205D2700AB98}" name="Benchmark" dataDxfId="76">
      <calculatedColumnFormula array="1">MMULT('Asset Returns'!$S7:$T7,Table16[3rd interval])</calculatedColumnFormula>
    </tableColumn>
    <tableColumn id="4" xr3:uid="{9F948854-51F2-41EA-8789-26B6C305E587}" name="Excess Returns" dataDxfId="75">
      <calculatedColumnFormula>$O6-$P6</calculatedColumnFormula>
    </tableColumn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CDBC8F-2478-4654-86A0-C4EFAC0E2FBD}" name="Table18" displayName="Table18" ref="I11:L15" totalsRowShown="0" headerRowDxfId="74" headerRowBorderDxfId="73" tableBorderDxfId="72">
  <autoFilter ref="I11:L15" xr:uid="{CCCDBC8F-2478-4654-86A0-C4EFAC0E2FBD}"/>
  <tableColumns count="4">
    <tableColumn id="1" xr3:uid="{BC436DBD-2A7B-4CCF-A8EA-791CEC04F983}" name="Interval" dataDxfId="71"/>
    <tableColumn id="2" xr3:uid="{3636A896-5405-4D77-B80A-C6EE7D9AD14F}" name="Mean" dataDxfId="70"/>
    <tableColumn id="3" xr3:uid="{4D989F80-0A91-4A0A-804F-6FE4E7A1FD78}" name="Standard Deviation" dataDxfId="69"/>
    <tableColumn id="4" xr3:uid="{331D7197-79A7-4ABE-A93D-0255C6C6DAEF}" name="Information Ratio" dataDxfId="68">
      <calculatedColumnFormula>$J12/$K12</calculatedColumnFormula>
    </tableColumn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108C6F-3B33-4413-B012-F59CD511342B}" name="Table1411" displayName="Table1411" ref="N39:Q43" totalsRowShown="0" headerRowDxfId="67" headerRowBorderDxfId="66" tableBorderDxfId="65">
  <autoFilter ref="N39:Q43" xr:uid="{68108C6F-3B33-4413-B012-F59CD511342B}"/>
  <tableColumns count="4">
    <tableColumn id="1" xr3:uid="{A3AD8CF6-7649-4953-9A1E-AC52F991F96C}" name="Interval" dataDxfId="64"/>
    <tableColumn id="2" xr3:uid="{066AFBCB-A485-438E-85EE-02B56F59E33C}" name="Whole Benchmark" dataDxfId="63"/>
    <tableColumn id="3" xr3:uid="{8AE386D6-E589-4AF1-ABAE-72BAE2CB6D5B}" name="Equity" dataDxfId="62"/>
    <tableColumn id="4" xr3:uid="{67576FA4-47C9-43BC-AEFB-642588701ED6}" name="Bond" dataDxfId="61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E21FE0-128D-4EA9-A3F4-DE63EAE20670}" name="Table3" displayName="Table3" ref="B5:D36" totalsRowShown="0" headerRowDxfId="60" headerRowBorderDxfId="59" tableBorderDxfId="58">
  <autoFilter ref="B5:D36" xr:uid="{A1E21FE0-128D-4EA9-A3F4-DE63EAE20670}"/>
  <tableColumns count="3">
    <tableColumn id="1" xr3:uid="{EB6F1F1E-DF09-4282-A220-477189B55DEB}" name="Date" dataDxfId="57">
      <calculatedColumnFormula>'Euro Prices'!$A2</calculatedColumnFormula>
    </tableColumn>
    <tableColumn id="2" xr3:uid="{F3DD567F-5A66-43E9-958D-FE1D8B9BDAE9}" name="USD-EUR" dataDxfId="56">
      <calculatedColumnFormula>'Euro Prices'!$P2</calculatedColumnFormula>
    </tableColumn>
    <tableColumn id="3" xr3:uid="{258FAF66-C4B5-4D18-9F59-D1F9085457EC}" name="Variation" dataDxfId="55">
      <calculatedColumnFormula>$C6/$C5 - 1</calculatedColumnFormula>
    </tableColumn>
  </tableColumns>
  <tableStyleInfo name="TableStyleLight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90C2EF-29EB-4D64-9113-042B4EBA9D3C}" name="Table147" displayName="Table147" ref="F5:I9" totalsRowShown="0" headerRowDxfId="54" headerRowBorderDxfId="53" tableBorderDxfId="52" headerRowCellStyle="Normal" dataCellStyle="Normal">
  <autoFilter ref="F5:I9" xr:uid="{8F90C2EF-29EB-4D64-9113-042B4EBA9D3C}"/>
  <tableColumns count="4">
    <tableColumn id="1" xr3:uid="{9E5B428D-169F-4D18-B480-6A948A80523C}" name="Interval" dataDxfId="51" dataCellStyle="Normal"/>
    <tableColumn id="2" xr3:uid="{1AA73403-75C7-4187-A783-AA90F588F15E}" name="Variation" dataDxfId="50" dataCellStyle="Normal"/>
    <tableColumn id="6" xr3:uid="{B60E865F-DF87-44F3-BEC1-65600B4CB572}" name="Value of USD Assets (USD)" dataDxfId="49" dataCellStyle="Normal"/>
    <tableColumn id="7" xr3:uid="{48A82ADB-EE72-4E41-AFE7-BDEEB97B3586}" name="Value Gained / Lost (EUR)" dataDxfId="48" dataCellStyle="Normal">
      <calculatedColumnFormula>Table147[[#This Row],[Value of USD Assets (USD)]]*(Table147[[#This Row],[Variation]])*$C$17</calculatedColumnFormula>
    </tableColumn>
  </tableColumns>
  <tableStyleInfo name="TableStyleLight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49B33-1074-4B15-B04A-4640E2A59C01}" name="Table15" displayName="Table15" ref="B5:P36" totalsRowShown="0" headerRowDxfId="47" headerRowBorderDxfId="46" tableBorderDxfId="45">
  <autoFilter ref="B5:P36" xr:uid="{62049B33-1074-4B15-B04A-4640E2A59C01}"/>
  <tableColumns count="15">
    <tableColumn id="1" xr3:uid="{C07B0B79-9C89-4AE5-BEC3-9582824EBF67}" name="Date" dataDxfId="44"/>
    <tableColumn id="2" xr3:uid="{173C01BC-9B0E-4C33-BC5D-6DA845628024}" name="0P00002C7V.F" dataDxfId="43">
      <calculatedColumnFormula>VLOOKUP($B6,'Euro Prices'!$A$1:$R$448,3,FALSE)</calculatedColumnFormula>
    </tableColumn>
    <tableColumn id="3" xr3:uid="{808003AC-C5E1-4C53-BCB9-783FC8C2B194}" name="FIDSX" dataDxfId="42">
      <calculatedColumnFormula>VLOOKUP($B6,'Euro Prices'!$A$1:$R$448,7,FALSE)</calculatedColumnFormula>
    </tableColumn>
    <tableColumn id="4" xr3:uid="{8B06133F-0432-4638-B997-37A79EF954E1}" name="FSCHX" dataDxfId="41">
      <calculatedColumnFormula>VLOOKUP($B6,'Euro Prices'!$A$1:$R$448,8,FALSE)</calculatedColumnFormula>
    </tableColumn>
    <tableColumn id="5" xr3:uid="{17A8A4D6-0328-4582-831B-A68301FE4A39}" name="FSELX" dataDxfId="40">
      <calculatedColumnFormula>VLOOKUP($B6,'Euro Prices'!$A$1:$R$448,9,FALSE)</calculatedColumnFormula>
    </tableColumn>
    <tableColumn id="6" xr3:uid="{0BC33D53-FFBD-416E-A2C2-4293EB54115F}" name="FSPHX" dataDxfId="39">
      <calculatedColumnFormula>VLOOKUP($B6,'Euro Prices'!$A$1:$R$448,10,FALSE)</calculatedColumnFormula>
    </tableColumn>
    <tableColumn id="7" xr3:uid="{F996A0F9-2842-4017-8D8F-39381C4D6F7F}" name="GERUX" dataDxfId="38">
      <calculatedColumnFormula>VLOOKUP($B6,'Euro Prices'!$A$1:$R$448,11,FALSE)</calculatedColumnFormula>
    </tableColumn>
    <tableColumn id="8" xr3:uid="{68F54447-DFAF-415D-9671-F6A0A982BB9E}" name="AGG" dataDxfId="37">
      <calculatedColumnFormula>VLOOKUP($B6,'Euro Prices'!$A$1:$R$448,4,FALSE)</calculatedColumnFormula>
    </tableColumn>
    <tableColumn id="9" xr3:uid="{D6AFADF4-1568-468B-8291-4CF5AA65EEF2}" name="BOND" dataDxfId="36">
      <calculatedColumnFormula>VLOOKUP($B6,'Euro Prices'!$A$1:$R$448,5,FALSE)</calculatedColumnFormula>
    </tableColumn>
    <tableColumn id="10" xr3:uid="{39E2C859-2250-4CAD-8E4E-DAC3E8B0F9B3}" name="HYG" dataDxfId="35">
      <calculatedColumnFormula>VLOOKUP($B6,'Euro Prices'!$A$1:$R$448,12,FALSE)</calculatedColumnFormula>
    </tableColumn>
    <tableColumn id="11" xr3:uid="{393AEB99-6486-42E4-88BB-BB70F6597E5C}" name="NWXIX" dataDxfId="34">
      <calculatedColumnFormula>VLOOKUP($B6,'Euro Prices'!$A$1:$R$448,13,FALSE)</calculatedColumnFormula>
    </tableColumn>
    <tableColumn id="12" xr3:uid="{6546AD56-D383-403D-B1F9-689D1D5AA8EB}" name="0P00000TYK.F" dataDxfId="33">
      <calculatedColumnFormula>VLOOKUP($B6,'Euro Prices'!$A$1:$R$448,2,FALSE)</calculatedColumnFormula>
    </tableColumn>
    <tableColumn id="13" xr3:uid="{29830CB8-002C-4CBC-9A68-2AAA07F86A98}" name="PDBC" dataDxfId="32">
      <calculatedColumnFormula>VLOOKUP($B6,'Euro Prices'!$A$1:$R$448,15,FALSE)</calculatedColumnFormula>
    </tableColumn>
    <tableColumn id="14" xr3:uid="{924A143C-6ADA-4CA5-89A7-0AC58B56ABAD}" name="PCRAX" dataDxfId="31">
      <calculatedColumnFormula>VLOOKUP($B6,'Euro Prices'!$A$1:$R$448,14,FALSE)</calculatedColumnFormula>
    </tableColumn>
    <tableColumn id="15" xr3:uid="{95DE564F-9689-4050-A8DB-3B1938EB790D}" name="ETH-EUR" dataDxfId="30">
      <calculatedColumnFormula>VLOOKUP($B6,'Euro Prices'!$A$1:$R$448,6,FALSE)</calculatedColumnFormula>
    </tableColumn>
  </tableColumns>
  <tableStyleInfo name="TableStyleLight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1702AE-7AE2-46AE-AFDB-D79BA4BD1CED}" name="Table26" displayName="Table26" ref="R5:T36" totalsRowShown="0" headerRowDxfId="29" headerRowBorderDxfId="28" tableBorderDxfId="27">
  <autoFilter ref="R5:T36" xr:uid="{3F1702AE-7AE2-46AE-AFDB-D79BA4BD1CED}"/>
  <tableColumns count="3">
    <tableColumn id="1" xr3:uid="{357C87A5-EE14-4910-AE1A-DD23696D1744}" name="Date" dataDxfId="26"/>
    <tableColumn id="2" xr3:uid="{7D372A22-624A-4FA4-BCE2-23419C2D67AD}" name="MSCI" dataDxfId="25">
      <calculatedColumnFormula>VLOOKUP($B6,'Euro Prices'!$A$1:$R$448,17,FALSE)</calculatedColumnFormula>
    </tableColumn>
    <tableColumn id="3" xr3:uid="{2B865E68-6B8D-4002-8136-E0D668FFBE82}" name="MIGAX" dataDxfId="24">
      <calculatedColumnFormula>VLOOKUP($B6,'Euro Prices'!$A$1:$R$448,18,FALSE)</calculatedColumnFormula>
    </tableColumn>
  </tableColumns>
  <tableStyleInfo name="TableStyleLight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EEF72-071E-4781-A102-4D9130220694}" name="Table1" displayName="Table1" ref="B5:P36" totalsRowShown="0" headerRowDxfId="23" headerRowBorderDxfId="22" tableBorderDxfId="21">
  <autoFilter ref="B5:P36" xr:uid="{9BFEEF72-071E-4781-A102-4D9130220694}"/>
  <tableColumns count="15">
    <tableColumn id="1" xr3:uid="{8860EDA6-2968-4E6F-8A59-B2C05467B2E7}" name="Date" dataDxfId="20"/>
    <tableColumn id="2" xr3:uid="{024793AA-04CA-4214-A6B8-368B88B3D85F}" name="0P00002C7V.F" dataDxfId="19">
      <calculatedColumnFormula>VLOOKUP($B6,'Euro Prices'!$A$1:$R$448,3,FALSE) / VLOOKUP($B5,'Euro Prices'!$A$1:$R$448,3,FALSE) - 1</calculatedColumnFormula>
    </tableColumn>
    <tableColumn id="3" xr3:uid="{2FB5B024-0BED-47D8-9276-E90FFC9F13EA}" name="FIDSX" dataDxfId="18">
      <calculatedColumnFormula>VLOOKUP($B6,'Euro Prices'!$A$1:$R$448,7,FALSE) / VLOOKUP($B5,'Euro Prices'!$A$1:$R$448,7,FALSE) - 1</calculatedColumnFormula>
    </tableColumn>
    <tableColumn id="4" xr3:uid="{E5E4ED2C-3DF8-4ED9-8909-3A6DC5F25F0A}" name="FSCHX" dataDxfId="17">
      <calculatedColumnFormula>VLOOKUP($B6,'Euro Prices'!$A$1:$R$448,8,FALSE) / VLOOKUP($B5,'Euro Prices'!$A$1:$R$448,8,FALSE) - 1</calculatedColumnFormula>
    </tableColumn>
    <tableColumn id="5" xr3:uid="{754E1325-E53D-4BBC-9BCC-E009B8CD597A}" name="FSELX" dataDxfId="16">
      <calculatedColumnFormula>VLOOKUP($B6,'Euro Prices'!$A$1:$R$448,9,FALSE) / VLOOKUP($B5,'Euro Prices'!$A$1:$R$448,9,FALSE) - 1</calculatedColumnFormula>
    </tableColumn>
    <tableColumn id="6" xr3:uid="{2F7D5EAC-E8C3-4E04-A0AE-6001490C376F}" name="FSPHX" dataDxfId="15">
      <calculatedColumnFormula>VLOOKUP($B6,'Euro Prices'!$A$1:$R$448,10,FALSE) / VLOOKUP($B5,'Euro Prices'!$A$1:$R$448,10,FALSE) - 1</calculatedColumnFormula>
    </tableColumn>
    <tableColumn id="7" xr3:uid="{76241279-B873-4AC3-9856-370B4DBCA155}" name="GERUX" dataDxfId="14">
      <calculatedColumnFormula>VLOOKUP($B6,'Euro Prices'!$A$1:$R$448,11,FALSE) / VLOOKUP($B5,'Euro Prices'!$A$1:$R$448,11,FALSE) - 1</calculatedColumnFormula>
    </tableColumn>
    <tableColumn id="8" xr3:uid="{A7F29455-398C-4853-9FDF-28D718139F5D}" name="AGG" dataDxfId="13">
      <calculatedColumnFormula>VLOOKUP($B6,'Euro Prices'!$A$1:$R$448,4,FALSE) / VLOOKUP($B5,'Euro Prices'!$A$1:$R$448,4,FALSE) - 1</calculatedColumnFormula>
    </tableColumn>
    <tableColumn id="9" xr3:uid="{703693BD-120B-4E98-B479-9CE5022EEBA0}" name="BOND" dataDxfId="12">
      <calculatedColumnFormula>VLOOKUP($B6,'Euro Prices'!$A$1:$R$448,5,FALSE) / VLOOKUP($B5,'Euro Prices'!$A$1:$R$448,5,FALSE) - 1</calculatedColumnFormula>
    </tableColumn>
    <tableColumn id="10" xr3:uid="{CDF0B4D5-A602-4295-9091-E3A6B58467BB}" name="HYG" dataDxfId="11">
      <calculatedColumnFormula>VLOOKUP($B6,'Euro Prices'!$A$1:$R$448,12,FALSE) / VLOOKUP($B5,'Euro Prices'!$A$1:$R$448,12,FALSE) - 1</calculatedColumnFormula>
    </tableColumn>
    <tableColumn id="11" xr3:uid="{7167C3F8-7BFC-4AE1-8EF6-521B01F87583}" name="NWXIX" dataDxfId="10">
      <calculatedColumnFormula>VLOOKUP($B6,'Euro Prices'!$A$1:$R$448,13,FALSE) / VLOOKUP($B5,'Euro Prices'!$A$1:$R$448,13,FALSE) - 1</calculatedColumnFormula>
    </tableColumn>
    <tableColumn id="12" xr3:uid="{2D4AFD6F-8884-42C1-9DE1-0B5E27E19788}" name="0P00000TYK.F" dataDxfId="9">
      <calculatedColumnFormula>VLOOKUP($B6,'Euro Prices'!$A$1:$R$448,2,FALSE) / VLOOKUP($B5,'Euro Prices'!$A$1:$R$448,2,FALSE) - 1</calculatedColumnFormula>
    </tableColumn>
    <tableColumn id="13" xr3:uid="{F031FDA2-5552-4AFA-A89F-FEFF8A399BB2}" name="PDBC" dataDxfId="8">
      <calculatedColumnFormula>VLOOKUP($B6,'Euro Prices'!$A$1:$R$448,15,FALSE) / VLOOKUP($B5,'Euro Prices'!$A$1:$R$448,15,FALSE) - 1</calculatedColumnFormula>
    </tableColumn>
    <tableColumn id="14" xr3:uid="{FB0C7A3C-7178-4AF5-8C03-0AED4246F9F7}" name="PCRAX" dataDxfId="7">
      <calculatedColumnFormula>VLOOKUP($B6,'Euro Prices'!$A$1:$R$448,14,FALSE) / VLOOKUP($B5,'Euro Prices'!$A$1:$R$448,14,FALSE) - 1</calculatedColumnFormula>
    </tableColumn>
    <tableColumn id="15" xr3:uid="{9CF6D211-6EAA-4DC1-8746-3C1FE73A57A2}" name="ETH-EUR" dataDxfId="6">
      <calculatedColumnFormula>VLOOKUP($B6,'Euro Prices'!$A$1:$R$448,6,FALSE) / VLOOKUP($B5,'Euro Prices'!$A$1:$R$448,6,FALSE) - 1</calculatedColumnFormula>
    </tableColumn>
  </tableColumns>
  <tableStyleInfo name="TableStyleLight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2DEC4-50BD-4FC3-B417-8FFBE17D1C94}" name="Table2" displayName="Table2" ref="R5:T36" totalsRowShown="0" headerRowDxfId="5" headerRowBorderDxfId="4" tableBorderDxfId="3">
  <autoFilter ref="R5:T36" xr:uid="{9AF2DEC4-50BD-4FC3-B417-8FFBE17D1C94}"/>
  <tableColumns count="3">
    <tableColumn id="1" xr3:uid="{C7BA48A4-3229-400D-8BE7-88B1E7123DEF}" name="Date" dataDxfId="2"/>
    <tableColumn id="2" xr3:uid="{F3E1B1D0-749B-4CC0-85E8-0A0B2E307B5C}" name="MSCI" dataDxfId="1">
      <calculatedColumnFormula>VLOOKUP($B6,'Euro Prices'!$A$1:$R$448,17,FALSE) / VLOOKUP($B5,'Euro Prices'!$A$1:$R$448,17,FALSE) - 1</calculatedColumnFormula>
    </tableColumn>
    <tableColumn id="3" xr3:uid="{2C9F785C-F6F0-40B8-91D0-D1E453219F47}" name="MIGAX" dataDxfId="0">
      <calculatedColumnFormula>VLOOKUP($B6,'Euro Prices'!$A$1:$R$448,18,FALSE) / VLOOKUP($B5,'Euro Prices'!$A$1:$R$448,18,FALSE) - 1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36A6-C5B3-43A6-85EE-CBDD2BD2B727}">
  <dimension ref="B2:T58"/>
  <sheetViews>
    <sheetView zoomScale="80" zoomScaleNormal="80" workbookViewId="0">
      <selection activeCell="G7" sqref="G7"/>
    </sheetView>
  </sheetViews>
  <sheetFormatPr defaultRowHeight="14.75" x14ac:dyDescent="0.75"/>
  <cols>
    <col min="2" max="2" width="12.453125" bestFit="1" customWidth="1"/>
    <col min="3" max="3" width="17" bestFit="1" customWidth="1"/>
    <col min="4" max="4" width="15.90625" bestFit="1" customWidth="1"/>
    <col min="5" max="5" width="14.6328125" bestFit="1" customWidth="1"/>
    <col min="6" max="6" width="12.7265625" bestFit="1" customWidth="1"/>
    <col min="7" max="7" width="14.81640625" bestFit="1" customWidth="1"/>
    <col min="9" max="9" width="10.54296875" bestFit="1" customWidth="1"/>
    <col min="18" max="18" width="10.953125" bestFit="1" customWidth="1"/>
  </cols>
  <sheetData>
    <row r="2" spans="2:9" ht="15.5" thickBot="1" x14ac:dyDescent="0.9"/>
    <row r="3" spans="2:9" x14ac:dyDescent="0.75">
      <c r="B3" s="1" t="s">
        <v>0</v>
      </c>
      <c r="C3" s="2">
        <v>5000000</v>
      </c>
      <c r="D3" s="3"/>
      <c r="E3" s="3"/>
      <c r="F3" s="3"/>
      <c r="G3" s="3"/>
      <c r="I3" s="3"/>
    </row>
    <row r="4" spans="2:9" ht="15.5" thickBot="1" x14ac:dyDescent="0.9">
      <c r="B4" s="4" t="s">
        <v>1</v>
      </c>
      <c r="C4" s="5">
        <v>3.0000000000000001E-3</v>
      </c>
      <c r="D4" s="3"/>
      <c r="E4" s="3"/>
      <c r="F4" s="3"/>
      <c r="G4" s="3"/>
      <c r="I4" s="3"/>
    </row>
    <row r="5" spans="2:9" x14ac:dyDescent="0.75">
      <c r="B5" s="3"/>
      <c r="C5" s="3"/>
      <c r="D5" s="3"/>
      <c r="E5" s="3"/>
      <c r="F5" s="3"/>
      <c r="G5" s="3"/>
    </row>
    <row r="6" spans="2:9" x14ac:dyDescent="0.75">
      <c r="B6" s="32" t="s">
        <v>2</v>
      </c>
      <c r="C6" s="32" t="s">
        <v>3</v>
      </c>
      <c r="D6" s="32" t="s">
        <v>67</v>
      </c>
      <c r="E6" s="32" t="s">
        <v>68</v>
      </c>
      <c r="F6" s="32" t="s">
        <v>5</v>
      </c>
      <c r="G6" s="32" t="s">
        <v>6</v>
      </c>
    </row>
    <row r="7" spans="2:9" ht="15.5" thickBot="1" x14ac:dyDescent="0.9">
      <c r="B7" s="41">
        <v>44461</v>
      </c>
      <c r="C7" s="42"/>
      <c r="D7" s="57">
        <v>4505122.9790086169</v>
      </c>
      <c r="E7" s="57">
        <v>26551.696355529439</v>
      </c>
      <c r="F7" s="57">
        <v>468325.32463585399</v>
      </c>
      <c r="G7" s="57">
        <v>4973448.3036444709</v>
      </c>
    </row>
    <row r="8" spans="2:9" ht="15.5" thickTop="1" x14ac:dyDescent="0.75">
      <c r="B8" s="39">
        <v>44476</v>
      </c>
      <c r="C8" s="7" t="s">
        <v>7</v>
      </c>
      <c r="D8" s="58">
        <v>4664274.4267485347</v>
      </c>
      <c r="E8" s="58"/>
      <c r="F8" s="58">
        <v>468325.32463585399</v>
      </c>
      <c r="G8" s="58">
        <v>5132599.7513843887</v>
      </c>
      <c r="I8" s="43"/>
    </row>
    <row r="9" spans="2:9" ht="15.5" thickBot="1" x14ac:dyDescent="0.9">
      <c r="B9" s="41">
        <v>44476</v>
      </c>
      <c r="C9" s="42" t="s">
        <v>8</v>
      </c>
      <c r="D9" s="57">
        <v>4619737.5543723376</v>
      </c>
      <c r="E9" s="57">
        <v>27085.8870120514</v>
      </c>
      <c r="F9" s="57">
        <v>485776.31</v>
      </c>
      <c r="G9" s="57">
        <v>5105513.8643723372</v>
      </c>
      <c r="I9" s="43"/>
    </row>
    <row r="10" spans="2:9" ht="15.5" thickTop="1" x14ac:dyDescent="0.75">
      <c r="B10" s="40">
        <v>44491</v>
      </c>
      <c r="C10" s="7" t="s">
        <v>7</v>
      </c>
      <c r="D10" s="58">
        <v>4713653.6373607619</v>
      </c>
      <c r="E10" s="59"/>
      <c r="F10" s="58">
        <v>485776.31</v>
      </c>
      <c r="G10" s="58">
        <v>5199429.9473607615</v>
      </c>
    </row>
    <row r="11" spans="2:9" ht="15.5" thickBot="1" x14ac:dyDescent="0.9">
      <c r="B11" s="41">
        <v>44491</v>
      </c>
      <c r="C11" s="42" t="s">
        <v>8</v>
      </c>
      <c r="D11" s="57">
        <v>4620977.2312655486</v>
      </c>
      <c r="E11" s="57">
        <v>9342.639863397435</v>
      </c>
      <c r="F11" s="57">
        <v>569110.07623181597</v>
      </c>
      <c r="G11" s="57">
        <v>5190087.3074973645</v>
      </c>
    </row>
    <row r="12" spans="2:9" ht="15.5" thickTop="1" x14ac:dyDescent="0.75">
      <c r="B12" s="39">
        <v>44505</v>
      </c>
      <c r="C12" s="7"/>
      <c r="D12" s="58" cm="1">
        <f t="array" ref="D12">MMULT('Asset Prices'!$C$36:$P$36,Table8[22-ott])</f>
        <v>4709729.7104637902</v>
      </c>
      <c r="E12" s="58"/>
      <c r="F12" s="58">
        <v>569110.07623181597</v>
      </c>
      <c r="G12" s="58">
        <f>Table9[[#This Row],[Assets Value]]+Table9[[#This Row],[Liquidity]]</f>
        <v>5278839.7866956061</v>
      </c>
    </row>
    <row r="13" spans="2:9" x14ac:dyDescent="0.75">
      <c r="B13" s="6"/>
      <c r="C13" s="3"/>
    </row>
    <row r="21" spans="2:20" ht="15.5" thickBot="1" x14ac:dyDescent="0.9"/>
    <row r="22" spans="2:20" x14ac:dyDescent="0.75">
      <c r="B22" s="86" t="s">
        <v>2</v>
      </c>
      <c r="C22" s="91" t="s">
        <v>12</v>
      </c>
      <c r="D22" s="91" t="s">
        <v>14</v>
      </c>
      <c r="E22" s="91" t="s">
        <v>16</v>
      </c>
      <c r="F22" s="91" t="s">
        <v>18</v>
      </c>
      <c r="G22" s="91" t="s">
        <v>20</v>
      </c>
      <c r="H22" s="91" t="s">
        <v>22</v>
      </c>
      <c r="I22" s="91" t="s">
        <v>24</v>
      </c>
      <c r="J22" s="91" t="s">
        <v>26</v>
      </c>
      <c r="K22" s="91" t="s">
        <v>28</v>
      </c>
      <c r="L22" s="91" t="s">
        <v>30</v>
      </c>
      <c r="M22" s="91" t="s">
        <v>32</v>
      </c>
      <c r="N22" s="91" t="s">
        <v>34</v>
      </c>
      <c r="O22" s="91" t="s">
        <v>36</v>
      </c>
      <c r="P22" s="92" t="s">
        <v>38</v>
      </c>
      <c r="R22" s="86" t="s">
        <v>2</v>
      </c>
      <c r="S22" s="91" t="s">
        <v>45</v>
      </c>
      <c r="T22" s="92" t="s">
        <v>46</v>
      </c>
    </row>
    <row r="23" spans="2:20" x14ac:dyDescent="0.75">
      <c r="B23" s="87">
        <v>44461</v>
      </c>
      <c r="C23" s="85">
        <f>('Asset Prices'!C6-'Asset Prices'!C$6)/_xlfn.STDEV.P(Table15[0P00002C7V.F])</f>
        <v>0</v>
      </c>
      <c r="D23" s="85">
        <f>('Asset Prices'!D6-'Asset Prices'!D$6)/_xlfn.STDEV.P(Table15[FIDSX])</f>
        <v>0</v>
      </c>
      <c r="E23" s="85">
        <f>('Asset Prices'!E6-'Asset Prices'!E$6)/_xlfn.STDEV.P(Table15[FSCHX])</f>
        <v>0</v>
      </c>
      <c r="F23" s="85">
        <f>('Asset Prices'!F6-'Asset Prices'!F$6)/_xlfn.STDEV.P(Table15[FSELX])</f>
        <v>0</v>
      </c>
      <c r="G23" s="85">
        <f>('Asset Prices'!G6-'Asset Prices'!G$6)/_xlfn.STDEV.P(Table15[FSPHX])</f>
        <v>0</v>
      </c>
      <c r="H23" s="85">
        <f>('Asset Prices'!H6-'Asset Prices'!H$6)/_xlfn.STDEV.P(Table15[GERUX])</f>
        <v>0</v>
      </c>
      <c r="I23" s="85">
        <f>('Asset Prices'!I6-'Asset Prices'!I$6)/_xlfn.STDEV.P(Table15[AGG])</f>
        <v>0</v>
      </c>
      <c r="J23" s="85">
        <f>('Asset Prices'!J6-'Asset Prices'!J$6)/_xlfn.STDEV.P(Table15[BOND])</f>
        <v>0</v>
      </c>
      <c r="K23" s="85">
        <f>('Asset Prices'!K6-'Asset Prices'!K$6)/_xlfn.STDEV.P(Table15[HYG])</f>
        <v>0</v>
      </c>
      <c r="L23" s="85">
        <f>('Asset Prices'!L6-'Asset Prices'!L$6)/_xlfn.STDEV.P(Table15[NWXIX])</f>
        <v>0</v>
      </c>
      <c r="M23" s="85">
        <f>('Asset Prices'!M6-'Asset Prices'!M$6)/_xlfn.STDEV.P(Table15[0P00000TYK.F])</f>
        <v>0</v>
      </c>
      <c r="N23" s="85">
        <f>('Asset Prices'!N6-'Asset Prices'!N$6)/_xlfn.STDEV.P(Table15[PDBC])</f>
        <v>0</v>
      </c>
      <c r="O23" s="85">
        <f>('Asset Prices'!O6-'Asset Prices'!O$6)/_xlfn.STDEV.P(Table15[PCRAX])</f>
        <v>0</v>
      </c>
      <c r="P23" s="85">
        <f>('Asset Prices'!P6-'Asset Prices'!P$6)/_xlfn.STDEV.P(Table15[ETH-EUR])</f>
        <v>0</v>
      </c>
      <c r="Q23" s="85"/>
      <c r="R23" s="87">
        <v>44461</v>
      </c>
      <c r="S23" s="85">
        <f>('Asset Prices'!S6-'Asset Prices'!S$6)/_xlfn.STDEV.P(Table15[FIDSX])</f>
        <v>0</v>
      </c>
      <c r="T23" s="85">
        <f>('Asset Prices'!T6-'Asset Prices'!T$6)/_xlfn.STDEV.P(Table15[FSCHX])</f>
        <v>0</v>
      </c>
    </row>
    <row r="24" spans="2:20" x14ac:dyDescent="0.75">
      <c r="B24" s="88">
        <v>44462</v>
      </c>
      <c r="C24" s="85">
        <f>('Asset Prices'!C7-'Asset Prices'!C$6)/_xlfn.STDEV.P(Table15[0P00002C7V.F])</f>
        <v>0.69800725562593302</v>
      </c>
      <c r="D24" s="85">
        <f>('Asset Prices'!D7-'Asset Prices'!D$6)/_xlfn.STDEV.P(Table15[FIDSX])</f>
        <v>0.65049501336770954</v>
      </c>
      <c r="E24" s="85">
        <f>('Asset Prices'!E7-'Asset Prices'!E$6)/_xlfn.STDEV.P(Table15[FSCHX])</f>
        <v>0.46309867293741264</v>
      </c>
      <c r="F24" s="85">
        <f>('Asset Prices'!F7-'Asset Prices'!F$6)/_xlfn.STDEV.P(Table15[FSELX])</f>
        <v>0.28907887083973455</v>
      </c>
      <c r="G24" s="85">
        <f>('Asset Prices'!G7-'Asset Prices'!G$6)/_xlfn.STDEV.P(Table15[FSPHX])</f>
        <v>0.12647231931260391</v>
      </c>
      <c r="H24" s="85">
        <f>('Asset Prices'!H7-'Asset Prices'!H$6)/_xlfn.STDEV.P(Table15[GERUX])</f>
        <v>0.31026436407831864</v>
      </c>
      <c r="I24" s="85">
        <f>('Asset Prices'!I7-'Asset Prices'!I$6)/_xlfn.STDEV.P(Table15[AGG])</f>
        <v>-2.1566053410069639</v>
      </c>
      <c r="J24" s="85">
        <f>('Asset Prices'!J7-'Asset Prices'!J$6)/_xlfn.STDEV.P(Table15[BOND])</f>
        <v>-1.8323309106111956</v>
      </c>
      <c r="K24" s="85">
        <f>('Asset Prices'!K7-'Asset Prices'!K$6)/_xlfn.STDEV.P(Table15[HYG])</f>
        <v>-1.1710617165990285</v>
      </c>
      <c r="L24" s="85">
        <f>('Asset Prices'!L7-'Asset Prices'!L$6)/_xlfn.STDEV.P(Table15[NWXIX])</f>
        <v>-1.1544662950414646</v>
      </c>
      <c r="M24" s="85">
        <f>('Asset Prices'!M7-'Asset Prices'!M$6)/_xlfn.STDEV.P(Table15[0P00000TYK.F])</f>
        <v>0.49027756299682862</v>
      </c>
      <c r="N24" s="85">
        <f>('Asset Prices'!N7-'Asset Prices'!N$6)/_xlfn.STDEV.P(Table15[PDBC])</f>
        <v>0.28701770120885944</v>
      </c>
      <c r="O24" s="85">
        <f>('Asset Prices'!O7-'Asset Prices'!O$6)/_xlfn.STDEV.P(Table15[PCRAX])</f>
        <v>0.20967915582776694</v>
      </c>
      <c r="P24" s="85">
        <f>('Asset Prices'!P7-'Asset Prices'!P$6)/_xlfn.STDEV.P(Table15[ETH-EUR])</f>
        <v>-0.42166457934582646</v>
      </c>
      <c r="R24" s="88">
        <v>44462</v>
      </c>
      <c r="S24" s="85">
        <f>('Asset Prices'!S7-'Asset Prices'!S$6)/_xlfn.STDEV.P(Table26[MSCI])</f>
        <v>0.24875237971127637</v>
      </c>
      <c r="T24" s="85">
        <f>('Asset Prices'!T7-'Asset Prices'!T$6)/_xlfn.STDEV.P(Table26[MIGAX])</f>
        <v>-2.3636649992061183</v>
      </c>
    </row>
    <row r="25" spans="2:20" x14ac:dyDescent="0.75">
      <c r="B25" s="87">
        <v>44463</v>
      </c>
      <c r="C25" s="85">
        <f>('Asset Prices'!C8-'Asset Prices'!C$6)/_xlfn.STDEV.P(Table15[0P00002C7V.F])</f>
        <v>1.5009488023788164</v>
      </c>
      <c r="D25" s="85">
        <f>('Asset Prices'!D8-'Asset Prices'!D$6)/_xlfn.STDEV.P(Table15[FIDSX])</f>
        <v>0.7536948606836531</v>
      </c>
      <c r="E25" s="85">
        <f>('Asset Prices'!E8-'Asset Prices'!E$6)/_xlfn.STDEV.P(Table15[FSCHX])</f>
        <v>0.49921404540469416</v>
      </c>
      <c r="F25" s="85">
        <f>('Asset Prices'!F8-'Asset Prices'!F$6)/_xlfn.STDEV.P(Table15[FSELX])</f>
        <v>0.21950714753832629</v>
      </c>
      <c r="G25" s="85">
        <f>('Asset Prices'!G8-'Asset Prices'!G$6)/_xlfn.STDEV.P(Table15[FSPHX])</f>
        <v>-0.22595374454311015</v>
      </c>
      <c r="H25" s="85">
        <f>('Asset Prices'!H8-'Asset Prices'!H$6)/_xlfn.STDEV.P(Table15[GERUX])</f>
        <v>-1.012356397511033</v>
      </c>
      <c r="I25" s="85">
        <f>('Asset Prices'!I8-'Asset Prices'!I$6)/_xlfn.STDEV.P(Table15[AGG])</f>
        <v>-2.5514368250203279</v>
      </c>
      <c r="J25" s="85">
        <f>('Asset Prices'!J8-'Asset Prices'!J$6)/_xlfn.STDEV.P(Table15[BOND])</f>
        <v>-2.4611762482359087</v>
      </c>
      <c r="K25" s="85">
        <f>('Asset Prices'!K8-'Asset Prices'!K$6)/_xlfn.STDEV.P(Table15[HYG])</f>
        <v>-1.5990648051859373</v>
      </c>
      <c r="L25" s="85">
        <f>('Asset Prices'!L8-'Asset Prices'!L$6)/_xlfn.STDEV.P(Table15[NWXIX])</f>
        <v>-1.4299616846374283</v>
      </c>
      <c r="M25" s="85">
        <f>('Asset Prices'!M8-'Asset Prices'!M$6)/_xlfn.STDEV.P(Table15[0P00000TYK.F])</f>
        <v>0.69093676491357292</v>
      </c>
      <c r="N25" s="85">
        <f>('Asset Prices'!N8-'Asset Prices'!N$6)/_xlfn.STDEV.P(Table15[PDBC])</f>
        <v>0.46072803498595782</v>
      </c>
      <c r="O25" s="85">
        <f>('Asset Prices'!O8-'Asset Prices'!O$6)/_xlfn.STDEV.P(Table15[PCRAX])</f>
        <v>0.52460367411728148</v>
      </c>
      <c r="P25" s="85">
        <f>('Asset Prices'!P8-'Asset Prices'!P$6)/_xlfn.STDEV.P(Table15[ETH-EUR])</f>
        <v>-0.43321946060197203</v>
      </c>
      <c r="R25" s="87">
        <v>44463</v>
      </c>
      <c r="S25" s="85">
        <f>('Asset Prices'!S8-'Asset Prices'!S$6)/_xlfn.STDEV.P(Table26[MSCI])</f>
        <v>0.59922399392213854</v>
      </c>
      <c r="T25" s="85">
        <f>('Asset Prices'!T8-'Asset Prices'!T$6)/_xlfn.STDEV.P(Table26[MIGAX])</f>
        <v>-2.7029933781396016</v>
      </c>
    </row>
    <row r="26" spans="2:20" x14ac:dyDescent="0.75">
      <c r="B26" s="88">
        <v>44466</v>
      </c>
      <c r="C26" s="85">
        <f>('Asset Prices'!C9-'Asset Prices'!C$6)/_xlfn.STDEV.P(Table15[0P00002C7V.F])</f>
        <v>1.7792397773282196</v>
      </c>
      <c r="D26" s="85">
        <f>('Asset Prices'!D9-'Asset Prices'!D$6)/_xlfn.STDEV.P(Table15[FIDSX])</f>
        <v>1.4501388161530815</v>
      </c>
      <c r="E26" s="85">
        <f>('Asset Prices'!E9-'Asset Prices'!E$6)/_xlfn.STDEV.P(Table15[FSCHX])</f>
        <v>1.0282470676236226</v>
      </c>
      <c r="F26" s="85">
        <f>('Asset Prices'!F9-'Asset Prices'!F$6)/_xlfn.STDEV.P(Table15[FSELX])</f>
        <v>0.20287185692248078</v>
      </c>
      <c r="G26" s="85">
        <f>('Asset Prices'!G9-'Asset Prices'!G$6)/_xlfn.STDEV.P(Table15[FSPHX])</f>
        <v>-0.36223212440754216</v>
      </c>
      <c r="H26" s="85">
        <f>('Asset Prices'!H9-'Asset Prices'!H$6)/_xlfn.STDEV.P(Table15[GERUX])</f>
        <v>-0.70343317141223149</v>
      </c>
      <c r="I26" s="85">
        <f>('Asset Prices'!I9-'Asset Prices'!I$6)/_xlfn.STDEV.P(Table15[AGG])</f>
        <v>-2.0218763021653645</v>
      </c>
      <c r="J26" s="85">
        <f>('Asset Prices'!J9-'Asset Prices'!J$6)/_xlfn.STDEV.P(Table15[BOND])</f>
        <v>-1.8283155334838912</v>
      </c>
      <c r="K26" s="85">
        <f>('Asset Prices'!K9-'Asset Prices'!K$6)/_xlfn.STDEV.P(Table15[HYG])</f>
        <v>-0.78797685950671115</v>
      </c>
      <c r="L26" s="85">
        <f>('Asset Prices'!L9-'Asset Prices'!L$6)/_xlfn.STDEV.P(Table15[NWXIX])</f>
        <v>-0.4083625325024845</v>
      </c>
      <c r="M26" s="85">
        <f>('Asset Prices'!M9-'Asset Prices'!M$6)/_xlfn.STDEV.P(Table15[0P00000TYK.F])</f>
        <v>1.2853563982847178</v>
      </c>
      <c r="N26" s="85">
        <f>('Asset Prices'!N9-'Asset Prices'!N$6)/_xlfn.STDEV.P(Table15[PDBC])</f>
        <v>0.9940297171623087</v>
      </c>
      <c r="O26" s="85">
        <f>('Asset Prices'!O9-'Asset Prices'!O$6)/_xlfn.STDEV.P(Table15[PCRAX])</f>
        <v>1.3616004551533243</v>
      </c>
      <c r="P26" s="85">
        <f>('Asset Prices'!P9-'Asset Prices'!P$6)/_xlfn.STDEV.P(Table15[ETH-EUR])</f>
        <v>-0.64562119402227947</v>
      </c>
      <c r="R26" s="88">
        <v>44466</v>
      </c>
      <c r="S26" s="85">
        <f>('Asset Prices'!S9-'Asset Prices'!S$6)/_xlfn.STDEV.P(Table26[MSCI])</f>
        <v>-0.31482994801148195</v>
      </c>
      <c r="T26" s="85">
        <f>('Asset Prices'!T9-'Asset Prices'!T$6)/_xlfn.STDEV.P(Table26[MIGAX])</f>
        <v>-2.048023080871217</v>
      </c>
    </row>
    <row r="27" spans="2:20" x14ac:dyDescent="0.75">
      <c r="B27" s="87">
        <v>44467</v>
      </c>
      <c r="C27" s="85">
        <f>('Asset Prices'!C10-'Asset Prices'!C$6)/_xlfn.STDEV.P(Table15[0P00002C7V.F])</f>
        <v>1.4918225680901147</v>
      </c>
      <c r="D27" s="85">
        <f>('Asset Prices'!D10-'Asset Prices'!D$6)/_xlfn.STDEV.P(Table15[FIDSX])</f>
        <v>0.9369830158865482</v>
      </c>
      <c r="E27" s="85">
        <f>('Asset Prices'!E10-'Asset Prices'!E$6)/_xlfn.STDEV.P(Table15[FSCHX])</f>
        <v>0.65659029521223433</v>
      </c>
      <c r="F27" s="85">
        <f>('Asset Prices'!F10-'Asset Prices'!F$6)/_xlfn.STDEV.P(Table15[FSELX])</f>
        <v>-0.71948596924485952</v>
      </c>
      <c r="G27" s="85">
        <f>('Asset Prices'!G10-'Asset Prices'!G$6)/_xlfn.STDEV.P(Table15[FSPHX])</f>
        <v>-1.3847581347111533</v>
      </c>
      <c r="H27" s="85">
        <f>('Asset Prices'!H10-'Asset Prices'!H$6)/_xlfn.STDEV.P(Table15[GERUX])</f>
        <v>-2.2019232918744591</v>
      </c>
      <c r="I27" s="85">
        <f>('Asset Prices'!I10-'Asset Prices'!I$6)/_xlfn.STDEV.P(Table15[AGG])</f>
        <v>-2.7695097684228238</v>
      </c>
      <c r="J27" s="85">
        <f>('Asset Prices'!J10-'Asset Prices'!J$6)/_xlfn.STDEV.P(Table15[BOND])</f>
        <v>-2.5012504749866551</v>
      </c>
      <c r="K27" s="85">
        <f>('Asset Prices'!K10-'Asset Prices'!K$6)/_xlfn.STDEV.P(Table15[HYG])</f>
        <v>-1.8512636630906181</v>
      </c>
      <c r="L27" s="85">
        <f>('Asset Prices'!L10-'Asset Prices'!L$6)/_xlfn.STDEV.P(Table15[NWXIX])</f>
        <v>-0.9916747124675579</v>
      </c>
      <c r="M27" s="85">
        <f>('Asset Prices'!M10-'Asset Prices'!M$6)/_xlfn.STDEV.P(Table15[0P00000TYK.F])</f>
        <v>1.2802715662715611</v>
      </c>
      <c r="N27" s="85">
        <f>('Asset Prices'!N10-'Asset Prices'!N$6)/_xlfn.STDEV.P(Table15[PDBC])</f>
        <v>0.74514978938125298</v>
      </c>
      <c r="O27" s="85">
        <f>('Asset Prices'!O10-'Asset Prices'!O$6)/_xlfn.STDEV.P(Table15[PCRAX])</f>
        <v>1.4597244775288205</v>
      </c>
      <c r="P27" s="85">
        <f>('Asset Prices'!P10-'Asset Prices'!P$6)/_xlfn.STDEV.P(Table15[ETH-EUR])</f>
        <v>-0.51633733393007175</v>
      </c>
      <c r="R27" s="87">
        <v>44467</v>
      </c>
      <c r="S27" s="85">
        <f>('Asset Prices'!S10-'Asset Prices'!S$6)/_xlfn.STDEV.P(Table26[MSCI])</f>
        <v>-2.1367020192099835</v>
      </c>
      <c r="T27" s="85">
        <f>('Asset Prices'!T10-'Asset Prices'!T$6)/_xlfn.STDEV.P(Table26[MIGAX])</f>
        <v>-3.3827757140888677</v>
      </c>
    </row>
    <row r="28" spans="2:20" x14ac:dyDescent="0.75">
      <c r="B28" s="88">
        <v>44468</v>
      </c>
      <c r="C28" s="85">
        <f>('Asset Prices'!C11-'Asset Prices'!C$6)/_xlfn.STDEV.P(Table15[0P00002C7V.F])</f>
        <v>0.9854244648640379</v>
      </c>
      <c r="D28" s="85">
        <f>('Asset Prices'!D11-'Asset Prices'!D$6)/_xlfn.STDEV.P(Table15[FIDSX])</f>
        <v>1.2657675885395692</v>
      </c>
      <c r="E28" s="85">
        <f>('Asset Prices'!E11-'Asset Prices'!E$6)/_xlfn.STDEV.P(Table15[FSCHX])</f>
        <v>0.82332481617585573</v>
      </c>
      <c r="F28" s="85">
        <f>('Asset Prices'!F11-'Asset Prices'!F$6)/_xlfn.STDEV.P(Table15[FSELX])</f>
        <v>-0.94037060115970383</v>
      </c>
      <c r="G28" s="85">
        <f>('Asset Prices'!G11-'Asset Prices'!G$6)/_xlfn.STDEV.P(Table15[FSPHX])</f>
        <v>-1.0555850422105457</v>
      </c>
      <c r="H28" s="85">
        <f>('Asset Prices'!H11-'Asset Prices'!H$6)/_xlfn.STDEV.P(Table15[GERUX])</f>
        <v>-1.6078653722198455</v>
      </c>
      <c r="I28" s="85">
        <f>('Asset Prices'!I11-'Asset Prices'!I$6)/_xlfn.STDEV.P(Table15[AGG])</f>
        <v>-0.94715887158649748</v>
      </c>
      <c r="J28" s="85">
        <f>('Asset Prices'!J11-'Asset Prices'!J$6)/_xlfn.STDEV.P(Table15[BOND])</f>
        <v>-0.59042107535959887</v>
      </c>
      <c r="K28" s="85">
        <f>('Asset Prices'!K11-'Asset Prices'!K$6)/_xlfn.STDEV.P(Table15[HYG])</f>
        <v>0.79390542009848575</v>
      </c>
      <c r="L28" s="85">
        <f>('Asset Prices'!L11-'Asset Prices'!L$6)/_xlfn.STDEV.P(Table15[NWXIX])</f>
        <v>1.2983827508323751</v>
      </c>
      <c r="M28" s="85">
        <f>('Asset Prices'!M11-'Asset Prices'!M$6)/_xlfn.STDEV.P(Table15[0P00000TYK.F])</f>
        <v>1.364097400473256</v>
      </c>
      <c r="N28" s="85">
        <f>('Asset Prices'!N11-'Asset Prices'!N$6)/_xlfn.STDEV.P(Table15[PDBC])</f>
        <v>1.0112023732491728</v>
      </c>
      <c r="O28" s="85">
        <f>('Asset Prices'!O11-'Asset Prices'!O$6)/_xlfn.STDEV.P(Table15[PCRAX])</f>
        <v>1.2349767134923746</v>
      </c>
      <c r="P28" s="85">
        <f>('Asset Prices'!P11-'Asset Prices'!P$6)/_xlfn.STDEV.P(Table15[ETH-EUR])</f>
        <v>-0.21326055335030727</v>
      </c>
      <c r="R28" s="88">
        <v>44468</v>
      </c>
      <c r="S28" s="85">
        <f>('Asset Prices'!S11-'Asset Prices'!S$6)/_xlfn.STDEV.P(Table26[MSCI])</f>
        <v>-1.3520469920654488</v>
      </c>
      <c r="T28" s="85">
        <f>('Asset Prices'!T11-'Asset Prices'!T$6)/_xlfn.STDEV.P(Table26[MIGAX])</f>
        <v>-1.5938519753005089</v>
      </c>
    </row>
    <row r="29" spans="2:20" x14ac:dyDescent="0.75">
      <c r="B29" s="87">
        <v>44469</v>
      </c>
      <c r="C29" s="85">
        <f>('Asset Prices'!C12-'Asset Prices'!C$6)/_xlfn.STDEV.P(Table15[0P00002C7V.F])</f>
        <v>1.0264820772471319</v>
      </c>
      <c r="D29" s="85">
        <f>('Asset Prices'!D12-'Asset Prices'!D$6)/_xlfn.STDEV.P(Table15[FIDSX])</f>
        <v>0.90201753684592978</v>
      </c>
      <c r="E29" s="85">
        <f>('Asset Prices'!E12-'Asset Prices'!E$6)/_xlfn.STDEV.P(Table15[FSCHX])</f>
        <v>0.41854446903508308</v>
      </c>
      <c r="F29" s="85">
        <f>('Asset Prices'!F12-'Asset Prices'!F$6)/_xlfn.STDEV.P(Table15[FSELX])</f>
        <v>-0.85223256561267779</v>
      </c>
      <c r="G29" s="85">
        <f>('Asset Prices'!G12-'Asset Prices'!G$6)/_xlfn.STDEV.P(Table15[FSPHX])</f>
        <v>-1.0593534975250594</v>
      </c>
      <c r="H29" s="85">
        <f>('Asset Prices'!H12-'Asset Prices'!H$6)/_xlfn.STDEV.P(Table15[GERUX])</f>
        <v>-0.73254397105148517</v>
      </c>
      <c r="I29" s="85">
        <f>('Asset Prices'!I12-'Asset Prices'!I$6)/_xlfn.STDEV.P(Table15[AGG])</f>
        <v>-0.44949752364177564</v>
      </c>
      <c r="J29" s="85">
        <f>('Asset Prices'!J12-'Asset Prices'!J$6)/_xlfn.STDEV.P(Table15[BOND])</f>
        <v>-0.19452912296191749</v>
      </c>
      <c r="K29" s="85">
        <f>('Asset Prices'!K12-'Asset Prices'!K$6)/_xlfn.STDEV.P(Table15[HYG])</f>
        <v>1.1438546592518037</v>
      </c>
      <c r="L29" s="85">
        <f>('Asset Prices'!L12-'Asset Prices'!L$6)/_xlfn.STDEV.P(Table15[NWXIX])</f>
        <v>1.9490910965905426</v>
      </c>
      <c r="M29" s="85">
        <f>('Asset Prices'!M12-'Asset Prices'!M$6)/_xlfn.STDEV.P(Table15[0P00000TYK.F])</f>
        <v>1.3412410574819207</v>
      </c>
      <c r="N29" s="85">
        <f>('Asset Prices'!N12-'Asset Prices'!N$6)/_xlfn.STDEV.P(Table15[PDBC])</f>
        <v>1.244604765357624</v>
      </c>
      <c r="O29" s="85">
        <f>('Asset Prices'!O12-'Asset Prices'!O$6)/_xlfn.STDEV.P(Table15[PCRAX])</f>
        <v>1.7731488570053473</v>
      </c>
      <c r="P29" s="85">
        <f>('Asset Prices'!P12-'Asset Prices'!P$6)/_xlfn.STDEV.P(Table15[ETH-EUR])</f>
        <v>0.37296463223556725</v>
      </c>
      <c r="R29" s="87">
        <v>44469</v>
      </c>
      <c r="S29" s="85">
        <f>('Asset Prices'!S12-'Asset Prices'!S$6)/_xlfn.STDEV.P(Table26[MSCI])</f>
        <v>-1.3945847333506469</v>
      </c>
      <c r="T29" s="85">
        <f>('Asset Prices'!T12-'Asset Prices'!T$6)/_xlfn.STDEV.P(Table26[MIGAX])</f>
        <v>-1.5870671451103957</v>
      </c>
    </row>
    <row r="30" spans="2:20" x14ac:dyDescent="0.75">
      <c r="B30" s="88">
        <v>44470</v>
      </c>
      <c r="C30" s="85">
        <f>('Asset Prices'!C13-'Asset Prices'!C$6)/_xlfn.STDEV.P(Table15[0P00002C7V.F])</f>
        <v>-5.930311968342853E-2</v>
      </c>
      <c r="D30" s="85">
        <f>('Asset Prices'!D13-'Asset Prices'!D$6)/_xlfn.STDEV.P(Table15[FIDSX])</f>
        <v>1.582425722381384</v>
      </c>
      <c r="E30" s="85">
        <f>('Asset Prices'!E13-'Asset Prices'!E$6)/_xlfn.STDEV.P(Table15[FSCHX])</f>
        <v>1.1329319415568446</v>
      </c>
      <c r="F30" s="85">
        <f>('Asset Prices'!F13-'Asset Prices'!F$6)/_xlfn.STDEV.P(Table15[FSELX])</f>
        <v>-0.85223256561267779</v>
      </c>
      <c r="G30" s="85">
        <f>('Asset Prices'!G13-'Asset Prices'!G$6)/_xlfn.STDEV.P(Table15[FSPHX])</f>
        <v>-0.96667058902876968</v>
      </c>
      <c r="H30" s="85">
        <f>('Asset Prices'!H13-'Asset Prices'!H$6)/_xlfn.STDEV.P(Table15[GERUX])</f>
        <v>-0.73254397105148517</v>
      </c>
      <c r="I30" s="85">
        <f>('Asset Prices'!I13-'Asset Prices'!I$6)/_xlfn.STDEV.P(Table15[AGG])</f>
        <v>0.25245763947862754</v>
      </c>
      <c r="J30" s="85">
        <f>('Asset Prices'!J13-'Asset Prices'!J$6)/_xlfn.STDEV.P(Table15[BOND])</f>
        <v>0.56458910638708282</v>
      </c>
      <c r="K30" s="85">
        <f>('Asset Prices'!K13-'Asset Prices'!K$6)/_xlfn.STDEV.P(Table15[HYG])</f>
        <v>1.844150930588655</v>
      </c>
      <c r="L30" s="85">
        <f>('Asset Prices'!L13-'Asset Prices'!L$6)/_xlfn.STDEV.P(Table15[NWXIX])</f>
        <v>1.6696764119613059</v>
      </c>
      <c r="M30" s="85">
        <f>('Asset Prices'!M13-'Asset Prices'!M$6)/_xlfn.STDEV.P(Table15[0P00000TYK.F])</f>
        <v>1.6155795214540651</v>
      </c>
      <c r="N30" s="85">
        <f>('Asset Prices'!N13-'Asset Prices'!N$6)/_xlfn.STDEV.P(Table15[PDBC])</f>
        <v>1.7291545843124168</v>
      </c>
      <c r="O30" s="85">
        <f>('Asset Prices'!O13-'Asset Prices'!O$6)/_xlfn.STDEV.P(Table15[PCRAX])</f>
        <v>1.900922334859769</v>
      </c>
      <c r="P30" s="85">
        <f>('Asset Prices'!P13-'Asset Prices'!P$6)/_xlfn.STDEV.P(Table15[ETH-EUR])</f>
        <v>0.5371074192680142</v>
      </c>
      <c r="R30" s="88">
        <v>44470</v>
      </c>
      <c r="S30" s="85">
        <f>('Asset Prices'!S13-'Asset Prices'!S$6)/_xlfn.STDEV.P(Table26[MSCI])</f>
        <v>-1.2868880707326908</v>
      </c>
      <c r="T30" s="85">
        <f>('Asset Prices'!T13-'Asset Prices'!T$6)/_xlfn.STDEV.P(Table26[MIGAX])</f>
        <v>-0.72655451838068386</v>
      </c>
    </row>
    <row r="31" spans="2:20" x14ac:dyDescent="0.75">
      <c r="B31" s="87">
        <v>44473</v>
      </c>
      <c r="C31" s="85">
        <f>('Asset Prices'!C14-'Asset Prices'!C$6)/_xlfn.STDEV.P(Table15[0P00002C7V.F])</f>
        <v>0.60676579657058916</v>
      </c>
      <c r="D31" s="85">
        <f>('Asset Prices'!D14-'Asset Prices'!D$6)/_xlfn.STDEV.P(Table15[FIDSX])</f>
        <v>1.2677030618816008</v>
      </c>
      <c r="E31" s="85">
        <f>('Asset Prices'!E14-'Asset Prices'!E$6)/_xlfn.STDEV.P(Table15[FSCHX])</f>
        <v>0.81558781644739697</v>
      </c>
      <c r="F31" s="85">
        <f>('Asset Prices'!F14-'Asset Prices'!F$6)/_xlfn.STDEV.P(Table15[FSELX])</f>
        <v>-1.6175074810979382</v>
      </c>
      <c r="G31" s="85">
        <f>('Asset Prices'!G14-'Asset Prices'!G$6)/_xlfn.STDEV.P(Table15[FSPHX])</f>
        <v>-1.8310381473448738</v>
      </c>
      <c r="H31" s="85">
        <f>('Asset Prices'!H14-'Asset Prices'!H$6)/_xlfn.STDEV.P(Table15[GERUX])</f>
        <v>-3.0095001571234992</v>
      </c>
      <c r="I31" s="85">
        <f>('Asset Prices'!I14-'Asset Prices'!I$6)/_xlfn.STDEV.P(Table15[AGG])</f>
        <v>-0.78032119559261459</v>
      </c>
      <c r="J31" s="85">
        <f>('Asset Prices'!J14-'Asset Prices'!J$6)/_xlfn.STDEV.P(Table15[BOND])</f>
        <v>-0.23250717984138136</v>
      </c>
      <c r="K31" s="85">
        <f>('Asset Prices'!K14-'Asset Prices'!K$6)/_xlfn.STDEV.P(Table15[HYG])</f>
        <v>-0.29908234817181018</v>
      </c>
      <c r="L31" s="85">
        <f>('Asset Prices'!L14-'Asset Prices'!L$6)/_xlfn.STDEV.P(Table15[NWXIX])</f>
        <v>0.61736981046863915</v>
      </c>
      <c r="M31" s="85">
        <f>('Asset Prices'!M14-'Asset Prices'!M$6)/_xlfn.STDEV.P(Table15[0P00000TYK.F])</f>
        <v>1.854374963470089</v>
      </c>
      <c r="N31" s="85">
        <f>('Asset Prices'!N14-'Asset Prices'!N$6)/_xlfn.STDEV.P(Table15[PDBC])</f>
        <v>2.0345442003544392</v>
      </c>
      <c r="O31" s="85">
        <f>('Asset Prices'!O14-'Asset Prices'!O$6)/_xlfn.STDEV.P(Table15[PCRAX])</f>
        <v>2.1970060276406707</v>
      </c>
      <c r="P31" s="85">
        <f>('Asset Prices'!P14-'Asset Prices'!P$6)/_xlfn.STDEV.P(Table15[ETH-EUR])</f>
        <v>0.78327744455036075</v>
      </c>
      <c r="R31" s="87">
        <v>44473</v>
      </c>
      <c r="S31" s="85">
        <f>('Asset Prices'!S14-'Asset Prices'!S$6)/_xlfn.STDEV.P(Table26[MSCI])</f>
        <v>-2.4561730012240894</v>
      </c>
      <c r="T31" s="85">
        <f>('Asset Prices'!T14-'Asset Prices'!T$6)/_xlfn.STDEV.P(Table26[MIGAX])</f>
        <v>-1.8149766004483425</v>
      </c>
    </row>
    <row r="32" spans="2:20" x14ac:dyDescent="0.75">
      <c r="B32" s="88">
        <v>44474</v>
      </c>
      <c r="C32" s="85">
        <f>('Asset Prices'!C15-'Asset Prices'!C$6)/_xlfn.STDEV.P(Table15[0P00002C7V.F])</f>
        <v>-8.2115224766641987E-2</v>
      </c>
      <c r="D32" s="85">
        <f>('Asset Prices'!D15-'Asset Prices'!D$6)/_xlfn.STDEV.P(Table15[FIDSX])</f>
        <v>1.7785290638734643</v>
      </c>
      <c r="E32" s="85">
        <f>('Asset Prices'!E15-'Asset Prices'!E$6)/_xlfn.STDEV.P(Table15[FSCHX])</f>
        <v>1.3680539853899019</v>
      </c>
      <c r="F32" s="85">
        <f>('Asset Prices'!F15-'Asset Prices'!F$6)/_xlfn.STDEV.P(Table15[FSELX])</f>
        <v>-1.152692465582871</v>
      </c>
      <c r="G32" s="85">
        <f>('Asset Prices'!G15-'Asset Prices'!G$6)/_xlfn.STDEV.P(Table15[FSPHX])</f>
        <v>-1.5898811431020707</v>
      </c>
      <c r="H32" s="85">
        <f>('Asset Prices'!H15-'Asset Prices'!H$6)/_xlfn.STDEV.P(Table15[GERUX])</f>
        <v>-1.735817250740995</v>
      </c>
      <c r="I32" s="85">
        <f>('Asset Prices'!I15-'Asset Prices'!I$6)/_xlfn.STDEV.P(Table15[AGG])</f>
        <v>-0.8779859717079499</v>
      </c>
      <c r="J32" s="85">
        <f>('Asset Prices'!J15-'Asset Prices'!J$6)/_xlfn.STDEV.P(Table15[BOND])</f>
        <v>-0.44564787749886187</v>
      </c>
      <c r="K32" s="85">
        <f>('Asset Prices'!K15-'Asset Prices'!K$6)/_xlfn.STDEV.P(Table15[HYG])</f>
        <v>0.12786286905537358</v>
      </c>
      <c r="L32" s="85">
        <f>('Asset Prices'!L15-'Asset Prices'!L$6)/_xlfn.STDEV.P(Table15[NWXIX])</f>
        <v>1.1515696765224017</v>
      </c>
      <c r="M32" s="85">
        <f>('Asset Prices'!M15-'Asset Prices'!M$6)/_xlfn.STDEV.P(Table15[0P00000TYK.F])</f>
        <v>2.1210884886103538</v>
      </c>
      <c r="N32" s="85">
        <f>('Asset Prices'!N15-'Asset Prices'!N$6)/_xlfn.STDEV.P(Table15[PDBC])</f>
        <v>2.5646698052696792</v>
      </c>
      <c r="O32" s="85">
        <f>('Asset Prices'!O15-'Asset Prices'!O$6)/_xlfn.STDEV.P(Table15[PCRAX])</f>
        <v>3.0389363770241995</v>
      </c>
      <c r="P32" s="85">
        <f>('Asset Prices'!P15-'Asset Prices'!P$6)/_xlfn.STDEV.P(Table15[ETH-EUR])</f>
        <v>0.92886287702853265</v>
      </c>
      <c r="R32" s="88">
        <v>44474</v>
      </c>
      <c r="S32" s="85">
        <f>('Asset Prices'!S15-'Asset Prices'!S$6)/_xlfn.STDEV.P(Table26[MSCI])</f>
        <v>-1.7296358549902189</v>
      </c>
      <c r="T32" s="85">
        <f>('Asset Prices'!T15-'Asset Prices'!T$6)/_xlfn.STDEV.P(Table26[MIGAX])</f>
        <v>-2.0728776224346581</v>
      </c>
    </row>
    <row r="33" spans="2:20" x14ac:dyDescent="0.75">
      <c r="B33" s="87">
        <v>44475</v>
      </c>
      <c r="C33" s="85">
        <f>('Asset Prices'!C16-'Asset Prices'!C$6)/_xlfn.STDEV.P(Table15[0P00002C7V.F])</f>
        <v>2.2812105083226421E-2</v>
      </c>
      <c r="D33" s="85">
        <f>('Asset Prices'!D16-'Asset Prices'!D$6)/_xlfn.STDEV.P(Table15[FIDSX])</f>
        <v>1.9023788469867848</v>
      </c>
      <c r="E33" s="85">
        <f>('Asset Prices'!E16-'Asset Prices'!E$6)/_xlfn.STDEV.P(Table15[FSCHX])</f>
        <v>1.2573224243665437</v>
      </c>
      <c r="F33" s="85">
        <f>('Asset Prices'!F16-'Asset Prices'!F$6)/_xlfn.STDEV.P(Table15[FSELX])</f>
        <v>-0.90900510835941395</v>
      </c>
      <c r="G33" s="85">
        <f>('Asset Prices'!G16-'Asset Prices'!G$6)/_xlfn.STDEV.P(Table15[FSPHX])</f>
        <v>-1.411584510299625</v>
      </c>
      <c r="H33" s="85">
        <f>('Asset Prices'!H16-'Asset Prices'!H$6)/_xlfn.STDEV.P(Table15[GERUX])</f>
        <v>-2.6155199809819178</v>
      </c>
      <c r="I33" s="85">
        <f>('Asset Prices'!I16-'Asset Prices'!I$6)/_xlfn.STDEV.P(Table15[AGG])</f>
        <v>3.1539983822037695E-2</v>
      </c>
      <c r="J33" s="85">
        <f>('Asset Prices'!J16-'Asset Prices'!J$6)/_xlfn.STDEV.P(Table15[BOND])</f>
        <v>5.0165906651088166E-2</v>
      </c>
      <c r="K33" s="85">
        <f>('Asset Prices'!K16-'Asset Prices'!K$6)/_xlfn.STDEV.P(Table15[HYG])</f>
        <v>0.9864647145564146</v>
      </c>
      <c r="L33" s="85">
        <f>('Asset Prices'!L16-'Asset Prices'!L$6)/_xlfn.STDEV.P(Table15[NWXIX])</f>
        <v>1.2901898223371244</v>
      </c>
      <c r="M33" s="85">
        <f>('Asset Prices'!M16-'Asset Prices'!M$6)/_xlfn.STDEV.P(Table15[0P00000TYK.F])</f>
        <v>1.8874009704877377</v>
      </c>
      <c r="N33" s="85">
        <f>('Asset Prices'!N16-'Asset Prices'!N$6)/_xlfn.STDEV.P(Table15[PDBC])</f>
        <v>2.060561754786097</v>
      </c>
      <c r="O33" s="85">
        <f>('Asset Prices'!O16-'Asset Prices'!O$6)/_xlfn.STDEV.P(Table15[PCRAX])</f>
        <v>2.2862365659814214</v>
      </c>
      <c r="P33" s="85">
        <f>('Asset Prices'!P16-'Asset Prices'!P$6)/_xlfn.STDEV.P(Table15[ETH-EUR])</f>
        <v>0.94068876123172984</v>
      </c>
      <c r="R33" s="87">
        <v>44475</v>
      </c>
      <c r="S33" s="85">
        <f>('Asset Prices'!S16-'Asset Prices'!S$6)/_xlfn.STDEV.P(Table26[MSCI])</f>
        <v>-1.7325996342570869</v>
      </c>
      <c r="T33" s="85">
        <f>('Asset Prices'!T16-'Asset Prices'!T$6)/_xlfn.STDEV.P(Table26[MIGAX])</f>
        <v>-1.2877089061040035</v>
      </c>
    </row>
    <row r="34" spans="2:20" x14ac:dyDescent="0.75">
      <c r="B34" s="89">
        <v>44476</v>
      </c>
      <c r="C34" s="85">
        <f>('Asset Prices'!C17-'Asset Prices'!C$6)/_xlfn.STDEV.P(Table15[0P00002C7V.F])</f>
        <v>0.64326377244832722</v>
      </c>
      <c r="D34" s="85">
        <f>('Asset Prices'!D17-'Asset Prices'!D$6)/_xlfn.STDEV.P(Table15[FIDSX])</f>
        <v>2.1509628515850463</v>
      </c>
      <c r="E34" s="85">
        <f>('Asset Prices'!E17-'Asset Prices'!E$6)/_xlfn.STDEV.P(Table15[FSCHX])</f>
        <v>1.6123425655394887</v>
      </c>
      <c r="F34" s="85">
        <f>('Asset Prices'!F17-'Asset Prices'!F$6)/_xlfn.STDEV.P(Table15[FSELX])</f>
        <v>-0.59965320455196658</v>
      </c>
      <c r="G34" s="85">
        <f>('Asset Prices'!G17-'Asset Prices'!G$6)/_xlfn.STDEV.P(Table15[FSPHX])</f>
        <v>-0.84477794531081474</v>
      </c>
      <c r="H34" s="85">
        <f>('Asset Prices'!H17-'Asset Prices'!H$6)/_xlfn.STDEV.P(Table15[GERUX])</f>
        <v>-1.0437719033651534</v>
      </c>
      <c r="I34" s="85">
        <f>('Asset Prices'!I17-'Asset Prices'!I$6)/_xlfn.STDEV.P(Table15[AGG])</f>
        <v>-0.69893866831791152</v>
      </c>
      <c r="J34" s="85">
        <f>('Asset Prices'!J17-'Asset Prices'!J$6)/_xlfn.STDEV.P(Table15[BOND])</f>
        <v>-0.29399366364731672</v>
      </c>
      <c r="K34" s="85">
        <f>('Asset Prices'!K17-'Asset Prices'!K$6)/_xlfn.STDEV.P(Table15[HYG])</f>
        <v>0.90863589046950888</v>
      </c>
      <c r="L34" s="85">
        <f>('Asset Prices'!L17-'Asset Prices'!L$6)/_xlfn.STDEV.P(Table15[NWXIX])</f>
        <v>1.4641001819947557</v>
      </c>
      <c r="M34" s="85">
        <f>('Asset Prices'!M17-'Asset Prices'!M$6)/_xlfn.STDEV.P(Table15[0P00000TYK.F])</f>
        <v>2.1490296636148458</v>
      </c>
      <c r="N34" s="85">
        <f>('Asset Prices'!N17-'Asset Prices'!N$6)/_xlfn.STDEV.P(Table15[PDBC])</f>
        <v>2.4454186529034252</v>
      </c>
      <c r="O34" s="85">
        <f>('Asset Prices'!O17-'Asset Prices'!O$6)/_xlfn.STDEV.P(Table15[PCRAX])</f>
        <v>2.5269049778980275</v>
      </c>
      <c r="P34" s="85">
        <f>('Asset Prices'!P17-'Asset Prices'!P$6)/_xlfn.STDEV.P(Table15[ETH-EUR])</f>
        <v>0.88760916364293541</v>
      </c>
      <c r="R34" s="89">
        <v>44476</v>
      </c>
      <c r="S34" s="85">
        <f>('Asset Prices'!S17-'Asset Prices'!S$6)/_xlfn.STDEV.P(Table26[MSCI])</f>
        <v>-1.3519295931393516</v>
      </c>
      <c r="T34" s="85">
        <f>('Asset Prices'!T17-'Asset Prices'!T$6)/_xlfn.STDEV.P(Table26[MIGAX])</f>
        <v>-2.0630743133609233</v>
      </c>
    </row>
    <row r="35" spans="2:20" x14ac:dyDescent="0.75">
      <c r="B35" s="87">
        <v>44477</v>
      </c>
      <c r="C35" s="85">
        <f>('Asset Prices'!C18-'Asset Prices'!C$6)/_xlfn.STDEV.P(Table15[0P00002C7V.F])</f>
        <v>0.95805272327500168</v>
      </c>
      <c r="D35" s="85">
        <f>('Asset Prices'!D18-'Asset Prices'!D$6)/_xlfn.STDEV.P(Table15[FIDSX])</f>
        <v>2.3605853837497417</v>
      </c>
      <c r="E35" s="85">
        <f>('Asset Prices'!E18-'Asset Prices'!E$6)/_xlfn.STDEV.P(Table15[FSCHX])</f>
        <v>1.5756632679263136</v>
      </c>
      <c r="F35" s="85">
        <f>('Asset Prices'!F18-'Asset Prices'!F$6)/_xlfn.STDEV.P(Table15[FSELX])</f>
        <v>-0.83518304671570187</v>
      </c>
      <c r="G35" s="85">
        <f>('Asset Prices'!G18-'Asset Prices'!G$6)/_xlfn.STDEV.P(Table15[FSPHX])</f>
        <v>-1.0436290958941061</v>
      </c>
      <c r="H35" s="85">
        <f>('Asset Prices'!H18-'Asset Prices'!H$6)/_xlfn.STDEV.P(Table15[GERUX])</f>
        <v>-1.5810776409795524</v>
      </c>
      <c r="I35" s="85">
        <f>('Asset Prices'!I18-'Asset Prices'!I$6)/_xlfn.STDEV.P(Table15[AGG])</f>
        <v>-1.2009823584205372</v>
      </c>
      <c r="J35" s="85">
        <f>('Asset Prices'!J18-'Asset Prices'!J$6)/_xlfn.STDEV.P(Table15[BOND])</f>
        <v>-0.89404526839199827</v>
      </c>
      <c r="K35" s="85">
        <f>('Asset Prices'!K18-'Asset Prices'!K$6)/_xlfn.STDEV.P(Table15[HYG])</f>
        <v>3.6387739919004819E-2</v>
      </c>
      <c r="L35" s="85">
        <f>('Asset Prices'!L18-'Asset Prices'!L$6)/_xlfn.STDEV.P(Table15[NWXIX])</f>
        <v>1.4641001819947557</v>
      </c>
      <c r="M35" s="85">
        <f>('Asset Prices'!M18-'Asset Prices'!M$6)/_xlfn.STDEV.P(Table15[0P00000TYK.F])</f>
        <v>2.6164485744323653</v>
      </c>
      <c r="N35" s="85">
        <f>('Asset Prices'!N18-'Asset Prices'!N$6)/_xlfn.STDEV.P(Table15[PDBC])</f>
        <v>2.5042252987673823</v>
      </c>
      <c r="O35" s="85">
        <f>('Asset Prices'!O18-'Asset Prices'!O$6)/_xlfn.STDEV.P(Table15[PCRAX])</f>
        <v>2.6548411365212221</v>
      </c>
      <c r="P35" s="85">
        <f>('Asset Prices'!P18-'Asset Prices'!P$6)/_xlfn.STDEV.P(Table15[ETH-EUR])</f>
        <v>0.9102243871723763</v>
      </c>
      <c r="R35" s="87">
        <v>44477</v>
      </c>
      <c r="S35" s="85">
        <f>('Asset Prices'!S18-'Asset Prices'!S$6)/_xlfn.STDEV.P(Table26[MSCI])</f>
        <v>-1.7348335023430581</v>
      </c>
      <c r="T35" s="85">
        <f>('Asset Prices'!T18-'Asset Prices'!T$6)/_xlfn.STDEV.P(Table26[MIGAX])</f>
        <v>-2.9257355912186229</v>
      </c>
    </row>
    <row r="36" spans="2:20" x14ac:dyDescent="0.75">
      <c r="B36" s="88">
        <v>44480</v>
      </c>
      <c r="C36" s="85">
        <f>('Asset Prices'!C19-'Asset Prices'!C$6)/_xlfn.STDEV.P(Table15[0P00002C7V.F])</f>
        <v>0.77100320738140915</v>
      </c>
      <c r="D36" s="85">
        <f>('Asset Prices'!D19-'Asset Prices'!D$6)/_xlfn.STDEV.P(Table15[FIDSX])</f>
        <v>2.0907839901703102</v>
      </c>
      <c r="E36" s="85">
        <f>('Asset Prices'!E19-'Asset Prices'!E$6)/_xlfn.STDEV.P(Table15[FSCHX])</f>
        <v>1.6286196762882537</v>
      </c>
      <c r="F36" s="85">
        <f>('Asset Prices'!F19-'Asset Prices'!F$6)/_xlfn.STDEV.P(Table15[FSELX])</f>
        <v>-1.0237001042853175</v>
      </c>
      <c r="G36" s="85">
        <f>('Asset Prices'!G19-'Asset Prices'!G$6)/_xlfn.STDEV.P(Table15[FSPHX])</f>
        <v>-1.3127463006810538</v>
      </c>
      <c r="H36" s="85">
        <f>('Asset Prices'!H19-'Asset Prices'!H$6)/_xlfn.STDEV.P(Table15[GERUX])</f>
        <v>-1.8841271888181756</v>
      </c>
      <c r="I36" s="85">
        <f>('Asset Prices'!I19-'Asset Prices'!I$6)/_xlfn.STDEV.P(Table15[AGG])</f>
        <v>-1.4434121225070886</v>
      </c>
      <c r="J36" s="85">
        <f>('Asset Prices'!J19-'Asset Prices'!J$6)/_xlfn.STDEV.P(Table15[BOND])</f>
        <v>-1.2200540482274804</v>
      </c>
      <c r="K36" s="85">
        <f>('Asset Prices'!K19-'Asset Prices'!K$6)/_xlfn.STDEV.P(Table15[HYG])</f>
        <v>-0.71847827961903032</v>
      </c>
      <c r="L36" s="85">
        <f>('Asset Prices'!L19-'Asset Prices'!L$6)/_xlfn.STDEV.P(Table15[NWXIX])</f>
        <v>1.6086280854963968</v>
      </c>
      <c r="M36" s="85">
        <f>('Asset Prices'!M19-'Asset Prices'!M$6)/_xlfn.STDEV.P(Table15[0P00000TYK.F])</f>
        <v>2.791706708163336</v>
      </c>
      <c r="N36" s="85">
        <f>('Asset Prices'!N19-'Asset Prices'!N$6)/_xlfn.STDEV.P(Table15[PDBC])</f>
        <v>2.8004439128711121</v>
      </c>
      <c r="O36" s="85">
        <f>('Asset Prices'!O19-'Asset Prices'!O$6)/_xlfn.STDEV.P(Table15[PCRAX])</f>
        <v>2.8037748581050077</v>
      </c>
      <c r="P36" s="85">
        <f>('Asset Prices'!P19-'Asset Prices'!P$6)/_xlfn.STDEV.P(Table15[ETH-EUR])</f>
        <v>0.77120981026404023</v>
      </c>
      <c r="R36" s="88">
        <v>44480</v>
      </c>
      <c r="S36" s="85">
        <f>('Asset Prices'!S19-'Asset Prices'!S$6)/_xlfn.STDEV.P(Table26[MSCI])</f>
        <v>-1.8536022104954042</v>
      </c>
      <c r="T36" s="85">
        <f>('Asset Prices'!T19-'Asset Prices'!T$6)/_xlfn.STDEV.P(Table26[MIGAX])</f>
        <v>-3.155548575719846</v>
      </c>
    </row>
    <row r="37" spans="2:20" x14ac:dyDescent="0.75">
      <c r="B37" s="87">
        <v>44481</v>
      </c>
      <c r="C37" s="85">
        <f>('Asset Prices'!C20-'Asset Prices'!C$6)/_xlfn.STDEV.P(Table15[0P00002C7V.F])</f>
        <v>0.18248987938823652</v>
      </c>
      <c r="D37" s="85">
        <f>('Asset Prices'!D20-'Asset Prices'!D$6)/_xlfn.STDEV.P(Table15[FIDSX])</f>
        <v>2.1513920910686788</v>
      </c>
      <c r="E37" s="85">
        <f>('Asset Prices'!E20-'Asset Prices'!E$6)/_xlfn.STDEV.P(Table15[FSCHX])</f>
        <v>1.7189155258698086</v>
      </c>
      <c r="F37" s="85">
        <f>('Asset Prices'!F20-'Asset Prices'!F$6)/_xlfn.STDEV.P(Table15[FSELX])</f>
        <v>-1.1977282718203088</v>
      </c>
      <c r="G37" s="85">
        <f>('Asset Prices'!G20-'Asset Prices'!G$6)/_xlfn.STDEV.P(Table15[FSPHX])</f>
        <v>-1.1190757419705488</v>
      </c>
      <c r="H37" s="85">
        <f>('Asset Prices'!H20-'Asset Prices'!H$6)/_xlfn.STDEV.P(Table15[GERUX])</f>
        <v>-2.4207413382677756</v>
      </c>
      <c r="I37" s="85">
        <f>('Asset Prices'!I20-'Asset Prices'!I$6)/_xlfn.STDEV.P(Table15[AGG])</f>
        <v>-0.20660495986046895</v>
      </c>
      <c r="J37" s="85">
        <f>('Asset Prices'!J20-'Asset Prices'!J$6)/_xlfn.STDEV.P(Table15[BOND])</f>
        <v>-0.14338041187244285</v>
      </c>
      <c r="K37" s="85">
        <f>('Asset Prices'!K20-'Asset Prices'!K$6)/_xlfn.STDEV.P(Table15[HYG])</f>
        <v>0.3159064700009282</v>
      </c>
      <c r="L37" s="85">
        <f>('Asset Prices'!L20-'Asset Prices'!L$6)/_xlfn.STDEV.P(Table15[NWXIX])</f>
        <v>1.8035216704730339</v>
      </c>
      <c r="M37" s="85">
        <f>('Asset Prices'!M20-'Asset Prices'!M$6)/_xlfn.STDEV.P(Table15[0P00000TYK.F])</f>
        <v>2.8780772675594695</v>
      </c>
      <c r="N37" s="85">
        <f>('Asset Prices'!N20-'Asset Prices'!N$6)/_xlfn.STDEV.P(Table15[PDBC])</f>
        <v>2.7675475119998598</v>
      </c>
      <c r="O37" s="85">
        <f>('Asset Prices'!O20-'Asset Prices'!O$6)/_xlfn.STDEV.P(Table15[PCRAX])</f>
        <v>2.8728304194706151</v>
      </c>
      <c r="P37" s="85">
        <f>('Asset Prices'!P20-'Asset Prices'!P$6)/_xlfn.STDEV.P(Table15[ETH-EUR])</f>
        <v>0.95365495518774157</v>
      </c>
      <c r="R37" s="87">
        <v>44481</v>
      </c>
      <c r="S37" s="85">
        <f>('Asset Prices'!S20-'Asset Prices'!S$6)/_xlfn.STDEV.P(Table26[MSCI])</f>
        <v>-1.8966753580836626</v>
      </c>
      <c r="T37" s="85">
        <f>('Asset Prices'!T20-'Asset Prices'!T$6)/_xlfn.STDEV.P(Table26[MIGAX])</f>
        <v>-1.9119626367576303</v>
      </c>
    </row>
    <row r="38" spans="2:20" x14ac:dyDescent="0.75">
      <c r="B38" s="88">
        <v>44482</v>
      </c>
      <c r="C38" s="85">
        <f>('Asset Prices'!C21-'Asset Prices'!C$6)/_xlfn.STDEV.P(Table15[0P00002C7V.F])</f>
        <v>9.5808056838702554E-2</v>
      </c>
      <c r="D38" s="85">
        <f>('Asset Prices'!D21-'Asset Prices'!D$6)/_xlfn.STDEV.P(Table15[FIDSX])</f>
        <v>1.794050366770837</v>
      </c>
      <c r="E38" s="85">
        <f>('Asset Prices'!E21-'Asset Prices'!E$6)/_xlfn.STDEV.P(Table15[FSCHX])</f>
        <v>1.578031657557003</v>
      </c>
      <c r="F38" s="85">
        <f>('Asset Prices'!F21-'Asset Prices'!F$6)/_xlfn.STDEV.P(Table15[FSELX])</f>
        <v>-1.2063730694655845</v>
      </c>
      <c r="G38" s="85">
        <f>('Asset Prices'!G21-'Asset Prices'!G$6)/_xlfn.STDEV.P(Table15[FSPHX])</f>
        <v>-1.3254300434690438</v>
      </c>
      <c r="H38" s="85">
        <f>('Asset Prices'!H21-'Asset Prices'!H$6)/_xlfn.STDEV.P(Table15[GERUX])</f>
        <v>-1.9463298525400876</v>
      </c>
      <c r="I38" s="85">
        <f>('Asset Prices'!I21-'Asset Prices'!I$6)/_xlfn.STDEV.P(Table15[AGG])</f>
        <v>-0.98720256944781637</v>
      </c>
      <c r="J38" s="85">
        <f>('Asset Prices'!J21-'Asset Prices'!J$6)/_xlfn.STDEV.P(Table15[BOND])</f>
        <v>-1.0302666310065236</v>
      </c>
      <c r="K38" s="85">
        <f>('Asset Prices'!K21-'Asset Prices'!K$6)/_xlfn.STDEV.P(Table15[HYG])</f>
        <v>-0.56171711267699431</v>
      </c>
      <c r="L38" s="85">
        <f>('Asset Prices'!L21-'Asset Prices'!L$6)/_xlfn.STDEV.P(Table15[NWXIX])</f>
        <v>0.51025430442051734</v>
      </c>
      <c r="M38" s="85">
        <f>('Asset Prices'!M21-'Asset Prices'!M$6)/_xlfn.STDEV.P(Table15[0P00000TYK.F])</f>
        <v>2.8526761993737004</v>
      </c>
      <c r="N38" s="85">
        <f>('Asset Prices'!N21-'Asset Prices'!N$6)/_xlfn.STDEV.P(Table15[PDBC])</f>
        <v>2.8040296196004388</v>
      </c>
      <c r="O38" s="85">
        <f>('Asset Prices'!O21-'Asset Prices'!O$6)/_xlfn.STDEV.P(Table15[PCRAX])</f>
        <v>2.8354458491887247</v>
      </c>
      <c r="P38" s="85">
        <f>('Asset Prices'!P21-'Asset Prices'!P$6)/_xlfn.STDEV.P(Table15[ETH-EUR])</f>
        <v>1.3082322306443583</v>
      </c>
      <c r="R38" s="88">
        <v>44482</v>
      </c>
      <c r="S38" s="85">
        <f>('Asset Prices'!S21-'Asset Prices'!S$6)/_xlfn.STDEV.P(Table26[MSCI])</f>
        <v>-1.9118513401616704</v>
      </c>
      <c r="T38" s="85">
        <f>('Asset Prices'!T21-'Asset Prices'!T$6)/_xlfn.STDEV.P(Table26[MIGAX])</f>
        <v>-2.3119718837466094</v>
      </c>
    </row>
    <row r="39" spans="2:20" x14ac:dyDescent="0.75">
      <c r="B39" s="87">
        <v>44483</v>
      </c>
      <c r="C39" s="85">
        <f>('Asset Prices'!C22-'Asset Prices'!C$6)/_xlfn.STDEV.P(Table15[0P00002C7V.F])</f>
        <v>0.3011030800326166</v>
      </c>
      <c r="D39" s="85">
        <f>('Asset Prices'!D22-'Asset Prices'!D$6)/_xlfn.STDEV.P(Table15[FIDSX])</f>
        <v>2.367263895601003</v>
      </c>
      <c r="E39" s="85">
        <f>('Asset Prices'!E22-'Asset Prices'!E$6)/_xlfn.STDEV.P(Table15[FSCHX])</f>
        <v>2.2216690192268755</v>
      </c>
      <c r="F39" s="85">
        <f>('Asset Prices'!F22-'Asset Prices'!F$6)/_xlfn.STDEV.P(Table15[FSELX])</f>
        <v>-0.50970003216457094</v>
      </c>
      <c r="G39" s="85">
        <f>('Asset Prices'!G22-'Asset Prices'!G$6)/_xlfn.STDEV.P(Table15[FSPHX])</f>
        <v>-0.50206658854050901</v>
      </c>
      <c r="H39" s="85">
        <f>('Asset Prices'!H22-'Asset Prices'!H$6)/_xlfn.STDEV.P(Table15[GERUX])</f>
        <v>-1.0687843833979795</v>
      </c>
      <c r="I39" s="85">
        <f>('Asset Prices'!I22-'Asset Prices'!I$6)/_xlfn.STDEV.P(Table15[AGG])</f>
        <v>-0.3869752579209817</v>
      </c>
      <c r="J39" s="85">
        <f>('Asset Prices'!J22-'Asset Prices'!J$6)/_xlfn.STDEV.P(Table15[BOND])</f>
        <v>-0.41869684656980716</v>
      </c>
      <c r="K39" s="85">
        <f>('Asset Prices'!K22-'Asset Prices'!K$6)/_xlfn.STDEV.P(Table15[HYG])</f>
        <v>1.27979742210654</v>
      </c>
      <c r="L39" s="85">
        <f>('Asset Prices'!L22-'Asset Prices'!L$6)/_xlfn.STDEV.P(Table15[NWXIX])</f>
        <v>0.98194937179451025</v>
      </c>
      <c r="M39" s="85">
        <f>('Asset Prices'!M22-'Asset Prices'!M$6)/_xlfn.STDEV.P(Table15[0P00000TYK.F])</f>
        <v>3.2896115191800268</v>
      </c>
      <c r="N39" s="85">
        <f>('Asset Prices'!N22-'Asset Prices'!N$6)/_xlfn.STDEV.P(Table15[PDBC])</f>
        <v>3.1785072824444347</v>
      </c>
      <c r="O39" s="85">
        <f>('Asset Prices'!O22-'Asset Prices'!O$6)/_xlfn.STDEV.P(Table15[PCRAX])</f>
        <v>3.3739164712669902</v>
      </c>
      <c r="P39" s="85">
        <f>('Asset Prices'!P22-'Asset Prices'!P$6)/_xlfn.STDEV.P(Table15[ETH-EUR])</f>
        <v>1.4516750288241633</v>
      </c>
      <c r="R39" s="87">
        <v>44483</v>
      </c>
      <c r="S39" s="85">
        <f>('Asset Prices'!S22-'Asset Prices'!S$6)/_xlfn.STDEV.P(Table26[MSCI])</f>
        <v>-1.238997220280565</v>
      </c>
      <c r="T39" s="85">
        <f>('Asset Prices'!T22-'Asset Prices'!T$6)/_xlfn.STDEV.P(Table26[MIGAX])</f>
        <v>-1.6409413409189524</v>
      </c>
    </row>
    <row r="40" spans="2:20" x14ac:dyDescent="0.75">
      <c r="B40" s="88">
        <v>44484</v>
      </c>
      <c r="C40" s="85">
        <f>('Asset Prices'!C23-'Asset Prices'!C$6)/_xlfn.STDEV.P(Table15[0P00002C7V.F])</f>
        <v>1.4598911899957223</v>
      </c>
      <c r="D40" s="85">
        <f>('Asset Prices'!D23-'Asset Prices'!D$6)/_xlfn.STDEV.P(Table15[FIDSX])</f>
        <v>2.7069679039875241</v>
      </c>
      <c r="E40" s="85">
        <f>('Asset Prices'!E23-'Asset Prices'!E$6)/_xlfn.STDEV.P(Table15[FSCHX])</f>
        <v>2.3497035714233871</v>
      </c>
      <c r="F40" s="85">
        <f>('Asset Prices'!F23-'Asset Prices'!F$6)/_xlfn.STDEV.P(Table15[FSELX])</f>
        <v>-0.39225774723267143</v>
      </c>
      <c r="G40" s="85">
        <f>('Asset Prices'!G23-'Asset Prices'!G$6)/_xlfn.STDEV.P(Table15[FSPHX])</f>
        <v>-0.39630184875744795</v>
      </c>
      <c r="H40" s="85">
        <f>('Asset Prices'!H23-'Asset Prices'!H$6)/_xlfn.STDEV.P(Table15[GERUX])</f>
        <v>-0.44364222638043882</v>
      </c>
      <c r="I40" s="85">
        <f>('Asset Prices'!I23-'Asset Prices'!I$6)/_xlfn.STDEV.P(Table15[AGG])</f>
        <v>-0.94770779375532588</v>
      </c>
      <c r="J40" s="85">
        <f>('Asset Prices'!J23-'Asset Prices'!J$6)/_xlfn.STDEV.P(Table15[BOND])</f>
        <v>-0.77775059624962428</v>
      </c>
      <c r="K40" s="85">
        <f>('Asset Prices'!K23-'Asset Prices'!K$6)/_xlfn.STDEV.P(Table15[HYG])</f>
        <v>0.7779579582457733</v>
      </c>
      <c r="L40" s="85">
        <f>('Asset Prices'!L23-'Asset Prices'!L$6)/_xlfn.STDEV.P(Table15[NWXIX])</f>
        <v>1.5399839049981738</v>
      </c>
      <c r="M40" s="85">
        <f>('Asset Prices'!M23-'Asset Prices'!M$6)/_xlfn.STDEV.P(Table15[0P00000TYK.F])</f>
        <v>3.444553416738144</v>
      </c>
      <c r="N40" s="85">
        <f>('Asset Prices'!N23-'Asset Prices'!N$6)/_xlfn.STDEV.P(Table15[PDBC])</f>
        <v>3.4570812664406354</v>
      </c>
      <c r="O40" s="85">
        <f>('Asset Prices'!O23-'Asset Prices'!O$6)/_xlfn.STDEV.P(Table15[PCRAX])</f>
        <v>3.4377077786831118</v>
      </c>
      <c r="P40" s="85">
        <f>('Asset Prices'!P23-'Asset Prices'!P$6)/_xlfn.STDEV.P(Table15[ETH-EUR])</f>
        <v>1.3888155916854665</v>
      </c>
      <c r="R40" s="88">
        <v>44484</v>
      </c>
      <c r="S40" s="85">
        <f>('Asset Prices'!S23-'Asset Prices'!S$6)/_xlfn.STDEV.P(Table26[MSCI])</f>
        <v>-1.0827014345735431</v>
      </c>
      <c r="T40" s="85">
        <f>('Asset Prices'!T23-'Asset Prices'!T$6)/_xlfn.STDEV.P(Table26[MIGAX])</f>
        <v>-1.9850670552532712</v>
      </c>
    </row>
    <row r="41" spans="2:20" x14ac:dyDescent="0.75">
      <c r="B41" s="87">
        <v>44487</v>
      </c>
      <c r="C41" s="85">
        <f>('Asset Prices'!C24-'Asset Prices'!C$6)/_xlfn.STDEV.P(Table15[0P00002C7V.F])</f>
        <v>1.8978529779725997</v>
      </c>
      <c r="D41" s="85">
        <f>('Asset Prices'!D24-'Asset Prices'!D$6)/_xlfn.STDEV.P(Table15[FIDSX])</f>
        <v>2.6897406098787586</v>
      </c>
      <c r="E41" s="85">
        <f>('Asset Prices'!E24-'Asset Prices'!E$6)/_xlfn.STDEV.P(Table15[FSCHX])</f>
        <v>2.3793540365917027</v>
      </c>
      <c r="F41" s="85">
        <f>('Asset Prices'!F24-'Asset Prices'!F$6)/_xlfn.STDEV.P(Table15[FSELX])</f>
        <v>-0.1671119075732701</v>
      </c>
      <c r="G41" s="85">
        <f>('Asset Prices'!G24-'Asset Prices'!G$6)/_xlfn.STDEV.P(Table15[FSPHX])</f>
        <v>-0.89048574355553278</v>
      </c>
      <c r="H41" s="85">
        <f>('Asset Prices'!H24-'Asset Prices'!H$6)/_xlfn.STDEV.P(Table15[GERUX])</f>
        <v>-0.29400149755163008</v>
      </c>
      <c r="I41" s="85">
        <f>('Asset Prices'!I24-'Asset Prices'!I$6)/_xlfn.STDEV.P(Table15[AGG])</f>
        <v>-1.5491115502155959</v>
      </c>
      <c r="J41" s="85">
        <f>('Asset Prices'!J24-'Asset Prices'!J$6)/_xlfn.STDEV.P(Table15[BOND])</f>
        <v>-1.4793685526132518</v>
      </c>
      <c r="K41" s="85">
        <f>('Asset Prices'!K24-'Asset Prices'!K$6)/_xlfn.STDEV.P(Table15[HYG])</f>
        <v>8.2909554945039751E-2</v>
      </c>
      <c r="L41" s="85">
        <f>('Asset Prices'!L24-'Asset Prices'!L$6)/_xlfn.STDEV.P(Table15[NWXIX])</f>
        <v>0.72678008106002179</v>
      </c>
      <c r="M41" s="85">
        <f>('Asset Prices'!M24-'Asset Prices'!M$6)/_xlfn.STDEV.P(Table15[0P00000TYK.F])</f>
        <v>3.4115274097204913</v>
      </c>
      <c r="N41" s="85">
        <f>('Asset Prices'!N24-'Asset Prices'!N$6)/_xlfn.STDEV.P(Table15[PDBC])</f>
        <v>3.1592143976118696</v>
      </c>
      <c r="O41" s="85">
        <f>('Asset Prices'!O24-'Asset Prices'!O$6)/_xlfn.STDEV.P(Table15[PCRAX])</f>
        <v>2.8494195699458786</v>
      </c>
      <c r="P41" s="85">
        <f>('Asset Prices'!P24-'Asset Prices'!P$6)/_xlfn.STDEV.P(Table15[ETH-EUR])</f>
        <v>1.4589904525723745</v>
      </c>
      <c r="R41" s="87">
        <v>44487</v>
      </c>
      <c r="S41" s="85">
        <f>('Asset Prices'!S24-'Asset Prices'!S$6)/_xlfn.STDEV.P(Table26[MSCI])</f>
        <v>-0.96662557076384104</v>
      </c>
      <c r="T41" s="85">
        <f>('Asset Prices'!T24-'Asset Prices'!T$6)/_xlfn.STDEV.P(Table26[MIGAX])</f>
        <v>-2.4138055363194071</v>
      </c>
    </row>
    <row r="42" spans="2:20" x14ac:dyDescent="0.75">
      <c r="B42" s="88">
        <v>44488</v>
      </c>
      <c r="C42" s="85">
        <f>('Asset Prices'!C25-'Asset Prices'!C$6)/_xlfn.STDEV.P(Table15[0P00002C7V.F])</f>
        <v>1.6013164957228752</v>
      </c>
      <c r="D42" s="85">
        <f>('Asset Prices'!D25-'Asset Prices'!D$6)/_xlfn.STDEV.P(Table15[FIDSX])</f>
        <v>2.9200922493108865</v>
      </c>
      <c r="E42" s="85">
        <f>('Asset Prices'!E25-'Asset Prices'!E$6)/_xlfn.STDEV.P(Table15[FSCHX])</f>
        <v>2.4206042812183481</v>
      </c>
      <c r="F42" s="85">
        <f>('Asset Prices'!F25-'Asset Prices'!F$6)/_xlfn.STDEV.P(Table15[FSELX])</f>
        <v>4.2359048509218247E-2</v>
      </c>
      <c r="G42" s="85">
        <f>('Asset Prices'!G25-'Asset Prices'!G$6)/_xlfn.STDEV.P(Table15[FSPHX])</f>
        <v>-0.47112867291182048</v>
      </c>
      <c r="H42" s="85">
        <f>('Asset Prices'!H25-'Asset Prices'!H$6)/_xlfn.STDEV.P(Table15[GERUX])</f>
        <v>0.51738402286178109</v>
      </c>
      <c r="I42" s="85">
        <f>('Asset Prices'!I25-'Asset Prices'!I$6)/_xlfn.STDEV.P(Table15[AGG])</f>
        <v>-2.5638027199782982</v>
      </c>
      <c r="J42" s="85">
        <f>('Asset Prices'!J25-'Asset Prices'!J$6)/_xlfn.STDEV.P(Table15[BOND])</f>
        <v>-2.4166266804448608</v>
      </c>
      <c r="K42" s="85">
        <f>('Asset Prices'!K25-'Asset Prices'!K$6)/_xlfn.STDEV.P(Table15[HYG])</f>
        <v>-0.17009068620074921</v>
      </c>
      <c r="L42" s="85">
        <f>('Asset Prices'!L25-'Asset Prices'!L$6)/_xlfn.STDEV.P(Table15[NWXIX])</f>
        <v>0.29556474214629641</v>
      </c>
      <c r="M42" s="85">
        <f>('Asset Prices'!M25-'Asset Prices'!M$6)/_xlfn.STDEV.P(Table15[0P00000TYK.F])</f>
        <v>3.4623503287845558</v>
      </c>
      <c r="N42" s="85">
        <f>('Asset Prices'!N25-'Asset Prices'!N$6)/_xlfn.STDEV.P(Table15[PDBC])</f>
        <v>3.1665759910894828</v>
      </c>
      <c r="O42" s="85">
        <f>('Asset Prices'!O25-'Asset Prices'!O$6)/_xlfn.STDEV.P(Table15[PCRAX])</f>
        <v>2.9772150521509491</v>
      </c>
      <c r="P42" s="85">
        <f>('Asset Prices'!P25-'Asset Prices'!P$6)/_xlfn.STDEV.P(Table15[ETH-EUR])</f>
        <v>1.9867209490956694</v>
      </c>
      <c r="R42" s="88">
        <v>44488</v>
      </c>
      <c r="S42" s="85">
        <f>('Asset Prices'!S25-'Asset Prices'!S$6)/_xlfn.STDEV.P(Table26[MSCI])</f>
        <v>-0.50463826258315569</v>
      </c>
      <c r="T42" s="85">
        <f>('Asset Prices'!T25-'Asset Prices'!T$6)/_xlfn.STDEV.P(Table26[MIGAX])</f>
        <v>-3.6171968963817345</v>
      </c>
    </row>
    <row r="43" spans="2:20" x14ac:dyDescent="0.75">
      <c r="B43" s="87">
        <v>44489</v>
      </c>
      <c r="C43" s="85">
        <f>('Asset Prices'!C26-'Asset Prices'!C$6)/_xlfn.STDEV.P(Table15[0P00002C7V.F])</f>
        <v>1.9662892932218121</v>
      </c>
      <c r="D43" s="85">
        <f>('Asset Prices'!D26-'Asset Prices'!D$6)/_xlfn.STDEV.P(Table15[FIDSX])</f>
        <v>3.3161557797331978</v>
      </c>
      <c r="E43" s="85">
        <f>('Asset Prices'!E26-'Asset Prices'!E$6)/_xlfn.STDEV.P(Table15[FSCHX])</f>
        <v>2.6118050717534196</v>
      </c>
      <c r="F43" s="85">
        <f>('Asset Prices'!F26-'Asset Prices'!F$6)/_xlfn.STDEV.P(Table15[FSELX])</f>
        <v>-7.4264708699388032E-2</v>
      </c>
      <c r="G43" s="85">
        <f>('Asset Prices'!G26-'Asset Prices'!G$6)/_xlfn.STDEV.P(Table15[FSPHX])</f>
        <v>6.8947526036285635E-3</v>
      </c>
      <c r="H43" s="85">
        <f>('Asset Prices'!H26-'Asset Prices'!H$6)/_xlfn.STDEV.P(Table15[GERUX])</f>
        <v>0.12521938781034092</v>
      </c>
      <c r="I43" s="85">
        <f>('Asset Prices'!I26-'Asset Prices'!I$6)/_xlfn.STDEV.P(Table15[AGG])</f>
        <v>-3.1736614470193056</v>
      </c>
      <c r="J43" s="85">
        <f>('Asset Prices'!J26-'Asset Prices'!J$6)/_xlfn.STDEV.P(Table15[BOND])</f>
        <v>-2.9670250110930585</v>
      </c>
      <c r="K43" s="85">
        <f>('Asset Prices'!K26-'Asset Prices'!K$6)/_xlfn.STDEV.P(Table15[HYG])</f>
        <v>-0.64545041937675163</v>
      </c>
      <c r="L43" s="85">
        <f>('Asset Prices'!L26-'Asset Prices'!L$6)/_xlfn.STDEV.P(Table15[NWXIX])</f>
        <v>-0.25152497345814667</v>
      </c>
      <c r="M43" s="85">
        <f>('Asset Prices'!M26-'Asset Prices'!M$6)/_xlfn.STDEV.P(Table15[0P00000TYK.F])</f>
        <v>3.5842662193247796</v>
      </c>
      <c r="N43" s="85">
        <f>('Asset Prices'!N26-'Asset Prices'!N$6)/_xlfn.STDEV.P(Table15[PDBC])</f>
        <v>3.451618956147021</v>
      </c>
      <c r="O43" s="85">
        <f>('Asset Prices'!O26-'Asset Prices'!O$6)/_xlfn.STDEV.P(Table15[PCRAX])</f>
        <v>3.4680176080039877</v>
      </c>
      <c r="P43" s="85">
        <f>('Asset Prices'!P26-'Asset Prices'!P$6)/_xlfn.STDEV.P(Table15[ETH-EUR])</f>
        <v>1.80831269939563</v>
      </c>
      <c r="R43" s="87">
        <v>44489</v>
      </c>
      <c r="S43" s="85">
        <f>('Asset Prices'!S26-'Asset Prices'!S$6)/_xlfn.STDEV.P(Table26[MSCI])</f>
        <v>-0.90572265247996697</v>
      </c>
      <c r="T43" s="85">
        <f>('Asset Prices'!T26-'Asset Prices'!T$6)/_xlfn.STDEV.P(Table26[MIGAX])</f>
        <v>-4.3968198031673023</v>
      </c>
    </row>
    <row r="44" spans="2:20" x14ac:dyDescent="0.75">
      <c r="B44" s="89">
        <v>44490</v>
      </c>
      <c r="C44" s="85">
        <f>('Asset Prices'!C27-'Asset Prices'!C$6)/_xlfn.STDEV.P(Table15[0P00002C7V.F])</f>
        <v>1.7929256481227314</v>
      </c>
      <c r="D44" s="85">
        <f>('Asset Prices'!D27-'Asset Prices'!D$6)/_xlfn.STDEV.P(Table15[FIDSX])</f>
        <v>3.2794807369510632</v>
      </c>
      <c r="E44" s="85">
        <f>('Asset Prices'!E27-'Asset Prices'!E$6)/_xlfn.STDEV.P(Table15[FSCHX])</f>
        <v>2.6212695324447273</v>
      </c>
      <c r="F44" s="85">
        <f>('Asset Prices'!F27-'Asset Prices'!F$6)/_xlfn.STDEV.P(Table15[FSELX])</f>
        <v>0.30168130910252905</v>
      </c>
      <c r="G44" s="85">
        <f>('Asset Prices'!G27-'Asset Prices'!G$6)/_xlfn.STDEV.P(Table15[FSPHX])</f>
        <v>0.5031392203748235</v>
      </c>
      <c r="H44" s="85">
        <f>('Asset Prices'!H27-'Asset Prices'!H$6)/_xlfn.STDEV.P(Table15[GERUX])</f>
        <v>-0.57838695449058541</v>
      </c>
      <c r="I44" s="85">
        <f>('Asset Prices'!I27-'Asset Prices'!I$6)/_xlfn.STDEV.P(Table15[AGG])</f>
        <v>-3.0729566943989157</v>
      </c>
      <c r="J44" s="85">
        <f>('Asset Prices'!J27-'Asset Prices'!J$6)/_xlfn.STDEV.P(Table15[BOND])</f>
        <v>-2.5508697901204371</v>
      </c>
      <c r="K44" s="85">
        <f>('Asset Prices'!K27-'Asset Prices'!K$6)/_xlfn.STDEV.P(Table15[HYG])</f>
        <v>-0.63813925718100217</v>
      </c>
      <c r="L44" s="85">
        <f>('Asset Prices'!L27-'Asset Prices'!L$6)/_xlfn.STDEV.P(Table15[NWXIX])</f>
        <v>0.53670349941370121</v>
      </c>
      <c r="M44" s="85">
        <f>('Asset Prices'!M27-'Asset Prices'!M$6)/_xlfn.STDEV.P(Table15[0P00000TYK.F])</f>
        <v>3.1625877047461461</v>
      </c>
      <c r="N44" s="85">
        <f>('Asset Prices'!N27-'Asset Prices'!N$6)/_xlfn.STDEV.P(Table15[PDBC])</f>
        <v>3.0244782122002216</v>
      </c>
      <c r="O44" s="85">
        <f>('Asset Prices'!O27-'Asset Prices'!O$6)/_xlfn.STDEV.P(Table15[PCRAX])</f>
        <v>2.8095063942476579</v>
      </c>
      <c r="P44" s="85">
        <f>('Asset Prices'!P27-'Asset Prices'!P$6)/_xlfn.STDEV.P(Table15[ETH-EUR])</f>
        <v>1.6318147169049395</v>
      </c>
      <c r="R44" s="89">
        <v>44490</v>
      </c>
      <c r="S44" s="85">
        <f>('Asset Prices'!S27-'Asset Prices'!S$6)/_xlfn.STDEV.P(Table26[MSCI])</f>
        <v>-0.2397826484311972</v>
      </c>
      <c r="T44" s="85">
        <f>('Asset Prices'!T27-'Asset Prices'!T$6)/_xlfn.STDEV.P(Table26[MIGAX])</f>
        <v>-4.3489206971876957</v>
      </c>
    </row>
    <row r="45" spans="2:20" x14ac:dyDescent="0.75">
      <c r="B45" s="87">
        <v>44491</v>
      </c>
      <c r="C45" s="85">
        <f>('Asset Prices'!C28-'Asset Prices'!C$6)/_xlfn.STDEV.P(Table15[0P00002C7V.F])</f>
        <v>2.0940287281548939</v>
      </c>
      <c r="D45" s="85">
        <f>('Asset Prices'!D28-'Asset Prices'!D$6)/_xlfn.STDEV.P(Table15[FIDSX])</f>
        <v>3.6181938973991219</v>
      </c>
      <c r="E45" s="85">
        <f>('Asset Prices'!E28-'Asset Prices'!E$6)/_xlfn.STDEV.P(Table15[FSCHX])</f>
        <v>2.8036453629656553</v>
      </c>
      <c r="F45" s="85">
        <f>('Asset Prices'!F28-'Asset Prices'!F$6)/_xlfn.STDEV.P(Table15[FSELX])</f>
        <v>6.7482365478831283E-2</v>
      </c>
      <c r="G45" s="85">
        <f>('Asset Prices'!G28-'Asset Prices'!G$6)/_xlfn.STDEV.P(Table15[FSPHX])</f>
        <v>0.60859623941420082</v>
      </c>
      <c r="H45" s="85">
        <f>('Asset Prices'!H28-'Asset Prices'!H$6)/_xlfn.STDEV.P(Table15[GERUX])</f>
        <v>-1.0236215342344936</v>
      </c>
      <c r="I45" s="85">
        <f>('Asset Prices'!I28-'Asset Prices'!I$6)/_xlfn.STDEV.P(Table15[AGG])</f>
        <v>-2.6336498990784825</v>
      </c>
      <c r="J45" s="85">
        <f>('Asset Prices'!J28-'Asset Prices'!J$6)/_xlfn.STDEV.P(Table15[BOND])</f>
        <v>-2.5508697901204371</v>
      </c>
      <c r="K45" s="85">
        <f>('Asset Prices'!K28-'Asset Prices'!K$6)/_xlfn.STDEV.P(Table15[HYG])</f>
        <v>-1.338690801366698</v>
      </c>
      <c r="L45" s="85">
        <f>('Asset Prices'!L28-'Asset Prices'!L$6)/_xlfn.STDEV.P(Table15[NWXIX])</f>
        <v>-1.9866681592095314E-2</v>
      </c>
      <c r="M45" s="85">
        <f>('Asset Prices'!M28-'Asset Prices'!M$6)/_xlfn.STDEV.P(Table15[0P00000TYK.F])</f>
        <v>3.2032409597836526</v>
      </c>
      <c r="N45" s="85">
        <f>('Asset Prices'!N28-'Asset Prices'!N$6)/_xlfn.STDEV.P(Table15[PDBC])</f>
        <v>3.1268113912346291</v>
      </c>
      <c r="O45" s="85">
        <f>('Asset Prices'!O28-'Asset Prices'!O$6)/_xlfn.STDEV.P(Table15[PCRAX])</f>
        <v>3.0003295833295556</v>
      </c>
      <c r="P45" s="85">
        <f>('Asset Prices'!P28-'Asset Prices'!P$6)/_xlfn.STDEV.P(Table15[ETH-EUR])</f>
        <v>2.0244251310096431</v>
      </c>
      <c r="R45" s="87">
        <v>44491</v>
      </c>
      <c r="S45" s="85">
        <f>('Asset Prices'!S28-'Asset Prices'!S$6)/_xlfn.STDEV.P(Table26[MSCI])</f>
        <v>0.33542352604967057</v>
      </c>
      <c r="T45" s="85">
        <f>('Asset Prices'!T28-'Asset Prices'!T$6)/_xlfn.STDEV.P(Table26[MIGAX])</f>
        <v>-3.6626880856307027</v>
      </c>
    </row>
    <row r="46" spans="2:20" x14ac:dyDescent="0.75">
      <c r="B46" s="88">
        <v>44494</v>
      </c>
      <c r="C46" s="85">
        <f>('Asset Prices'!C29-'Asset Prices'!C$6)/_xlfn.STDEV.P(Table15[0P00002C7V.F])</f>
        <v>1.9525964611502054</v>
      </c>
      <c r="D46" s="85">
        <f>('Asset Prices'!D29-'Asset Prices'!D$6)/_xlfn.STDEV.P(Table15[FIDSX])</f>
        <v>3.6616050389099053</v>
      </c>
      <c r="E46" s="85">
        <f>('Asset Prices'!E29-'Asset Prices'!E$6)/_xlfn.STDEV.P(Table15[FSCHX])</f>
        <v>3.0791512724156469</v>
      </c>
      <c r="F46" s="85">
        <f>('Asset Prices'!F29-'Asset Prices'!F$6)/_xlfn.STDEV.P(Table15[FSELX])</f>
        <v>0.34134418417656276</v>
      </c>
      <c r="G46" s="85">
        <f>('Asset Prices'!G29-'Asset Prices'!G$6)/_xlfn.STDEV.P(Table15[FSPHX])</f>
        <v>0.54295482021653185</v>
      </c>
      <c r="H46" s="85">
        <f>('Asset Prices'!H29-'Asset Prices'!H$6)/_xlfn.STDEV.P(Table15[GERUX])</f>
        <v>8.2608324714473214E-2</v>
      </c>
      <c r="I46" s="85">
        <f>('Asset Prices'!I29-'Asset Prices'!I$6)/_xlfn.STDEV.P(Table15[AGG])</f>
        <v>-2.1463228732291002</v>
      </c>
      <c r="J46" s="85">
        <f>('Asset Prices'!J29-'Asset Prices'!J$6)/_xlfn.STDEV.P(Table15[BOND])</f>
        <v>-2.1156982594264484</v>
      </c>
      <c r="K46" s="85">
        <f>('Asset Prices'!K29-'Asset Prices'!K$6)/_xlfn.STDEV.P(Table15[HYG])</f>
        <v>-0.49758320386562893</v>
      </c>
      <c r="L46" s="85">
        <f>('Asset Prices'!L29-'Asset Prices'!L$6)/_xlfn.STDEV.P(Table15[NWXIX])</f>
        <v>0.30460535176048864</v>
      </c>
      <c r="M46" s="85">
        <f>('Asset Prices'!M29-'Asset Prices'!M$6)/_xlfn.STDEV.P(Table15[0P00000TYK.F])</f>
        <v>3.5588674603269883</v>
      </c>
      <c r="N46" s="85">
        <f>('Asset Prices'!N29-'Asset Prices'!N$6)/_xlfn.STDEV.P(Table15[PDBC])</f>
        <v>3.3263125171282342</v>
      </c>
      <c r="O46" s="85">
        <f>('Asset Prices'!O29-'Asset Prices'!O$6)/_xlfn.STDEV.P(Table15[PCRAX])</f>
        <v>3.9395254285069665</v>
      </c>
      <c r="P46" s="85">
        <f>('Asset Prices'!P29-'Asset Prices'!P$6)/_xlfn.STDEV.P(Table15[ETH-EUR])</f>
        <v>1.9771331849542759</v>
      </c>
      <c r="R46" s="88">
        <v>44494</v>
      </c>
      <c r="S46" s="85">
        <f>('Asset Prices'!S29-'Asset Prices'!S$6)/_xlfn.STDEV.P(Table26[MSCI])</f>
        <v>0.5037862847537119</v>
      </c>
      <c r="T46" s="85">
        <f>('Asset Prices'!T29-'Asset Prices'!T$6)/_xlfn.STDEV.P(Table26[MIGAX])</f>
        <v>-3.2312885818870773</v>
      </c>
    </row>
    <row r="47" spans="2:20" x14ac:dyDescent="0.75">
      <c r="B47" s="87">
        <v>44495</v>
      </c>
      <c r="C47" s="85">
        <f>('Asset Prices'!C30-'Asset Prices'!C$6)/_xlfn.STDEV.P(Table15[0P00002C7V.F])</f>
        <v>2.7555380079030889</v>
      </c>
      <c r="D47" s="85">
        <f>('Asset Prices'!D30-'Asset Prices'!D$6)/_xlfn.STDEV.P(Table15[FIDSX])</f>
        <v>3.5740107844269988</v>
      </c>
      <c r="E47" s="85">
        <f>('Asset Prices'!E30-'Asset Prices'!E$6)/_xlfn.STDEV.P(Table15[FSCHX])</f>
        <v>3.1720271086197815</v>
      </c>
      <c r="F47" s="85">
        <f>('Asset Prices'!F30-'Asset Prices'!F$6)/_xlfn.STDEV.P(Table15[FSELX])</f>
        <v>0.62724279263071792</v>
      </c>
      <c r="G47" s="85">
        <f>('Asset Prices'!G30-'Asset Prices'!G$6)/_xlfn.STDEV.P(Table15[FSPHX])</f>
        <v>0.75397787151182294</v>
      </c>
      <c r="H47" s="85">
        <f>('Asset Prices'!H30-'Asset Prices'!H$6)/_xlfn.STDEV.P(Table15[GERUX])</f>
        <v>-5.9681565613477164E-2</v>
      </c>
      <c r="I47" s="85">
        <f>('Asset Prices'!I30-'Asset Prices'!I$6)/_xlfn.STDEV.P(Table15[AGG])</f>
        <v>-1.4609663992026527</v>
      </c>
      <c r="J47" s="85">
        <f>('Asset Prices'!J30-'Asset Prices'!J$6)/_xlfn.STDEV.P(Table15[BOND])</f>
        <v>-1.7623462557521294</v>
      </c>
      <c r="K47" s="85">
        <f>('Asset Prices'!K30-'Asset Prices'!K$6)/_xlfn.STDEV.P(Table15[HYG])</f>
        <v>-9.3315958125927259E-2</v>
      </c>
      <c r="L47" s="85">
        <f>('Asset Prices'!L30-'Asset Prices'!L$6)/_xlfn.STDEV.P(Table15[NWXIX])</f>
        <v>0.62587957870605226</v>
      </c>
      <c r="M47" s="85">
        <f>('Asset Prices'!M30-'Asset Prices'!M$6)/_xlfn.STDEV.P(Table15[0P00000TYK.F])</f>
        <v>3.6604671146945993</v>
      </c>
      <c r="N47" s="85">
        <f>('Asset Prices'!N30-'Asset Prices'!N$6)/_xlfn.STDEV.P(Table15[PDBC])</f>
        <v>3.423233008290254</v>
      </c>
      <c r="O47" s="85">
        <f>('Asset Prices'!O30-'Asset Prices'!O$6)/_xlfn.STDEV.P(Table15[PCRAX])</f>
        <v>3.9877402285222079</v>
      </c>
      <c r="P47" s="85">
        <f>('Asset Prices'!P30-'Asset Prices'!P$6)/_xlfn.STDEV.P(Table15[ETH-EUR])</f>
        <v>1.5841982296420691</v>
      </c>
      <c r="R47" s="87">
        <v>44495</v>
      </c>
      <c r="S47" s="85">
        <f>('Asset Prices'!S30-'Asset Prices'!S$6)/_xlfn.STDEV.P(Table26[MSCI])</f>
        <v>0.13245615989166834</v>
      </c>
      <c r="T47" s="85">
        <f>('Asset Prices'!T30-'Asset Prices'!T$6)/_xlfn.STDEV.P(Table26[MIGAX])</f>
        <v>-2.4581065025955278</v>
      </c>
    </row>
    <row r="48" spans="2:20" x14ac:dyDescent="0.75">
      <c r="B48" s="88">
        <v>44496</v>
      </c>
      <c r="C48" s="85">
        <f>('Asset Prices'!C31-'Asset Prices'!C$6)/_xlfn.STDEV.P(Table15[0P00002C7V.F])</f>
        <v>2.7783501129863155</v>
      </c>
      <c r="D48" s="85">
        <f>('Asset Prices'!D31-'Asset Prices'!D$6)/_xlfn.STDEV.P(Table15[FIDSX])</f>
        <v>2.7846635283402468</v>
      </c>
      <c r="E48" s="85">
        <f>('Asset Prices'!E31-'Asset Prices'!E$6)/_xlfn.STDEV.P(Table15[FSCHX])</f>
        <v>2.5818241377580788</v>
      </c>
      <c r="F48" s="85">
        <f>('Asset Prices'!F31-'Asset Prices'!F$6)/_xlfn.STDEV.P(Table15[FSELX])</f>
        <v>0.40035358589028097</v>
      </c>
      <c r="G48" s="85">
        <f>('Asset Prices'!G31-'Asset Prices'!G$6)/_xlfn.STDEV.P(Table15[FSPHX])</f>
        <v>0.32387062203942907</v>
      </c>
      <c r="H48" s="85">
        <f>('Asset Prices'!H31-'Asset Prices'!H$6)/_xlfn.STDEV.P(Table15[GERUX])</f>
        <v>-1.2373278438883353</v>
      </c>
      <c r="I48" s="85">
        <f>('Asset Prices'!I31-'Asset Prices'!I$6)/_xlfn.STDEV.P(Table15[AGG])</f>
        <v>-0.73768829898553867</v>
      </c>
      <c r="J48" s="85">
        <f>('Asset Prices'!J31-'Asset Prices'!J$6)/_xlfn.STDEV.P(Table15[BOND])</f>
        <v>-1.2995751066221293</v>
      </c>
      <c r="K48" s="85">
        <f>('Asset Prices'!K31-'Asset Prices'!K$6)/_xlfn.STDEV.P(Table15[HYG])</f>
        <v>-0.37458510252116917</v>
      </c>
      <c r="L48" s="85">
        <f>('Asset Prices'!L31-'Asset Prices'!L$6)/_xlfn.STDEV.P(Table15[NWXIX])</f>
        <v>0.85977643303473772</v>
      </c>
      <c r="M48" s="85">
        <f>('Asset Prices'!M31-'Asset Prices'!M$6)/_xlfn.STDEV.P(Table15[0P00000TYK.F])</f>
        <v>3.1905288797506381</v>
      </c>
      <c r="N48" s="85">
        <f>('Asset Prices'!N31-'Asset Prices'!N$6)/_xlfn.STDEV.P(Table15[PDBC])</f>
        <v>2.831825777740868</v>
      </c>
      <c r="O48" s="85">
        <f>('Asset Prices'!O31-'Asset Prices'!O$6)/_xlfn.STDEV.P(Table15[PCRAX])</f>
        <v>3.6622608815823336</v>
      </c>
      <c r="P48" s="85">
        <f>('Asset Prices'!P31-'Asset Prices'!P$6)/_xlfn.STDEV.P(Table15[ETH-EUR])</f>
        <v>2.2202956846591246</v>
      </c>
      <c r="R48" s="88">
        <v>44496</v>
      </c>
      <c r="S48" s="85">
        <f>('Asset Prices'!S31-'Asset Prices'!S$6)/_xlfn.STDEV.P(Table26[MSCI])</f>
        <v>-0.15096520173810821</v>
      </c>
      <c r="T48" s="85">
        <f>('Asset Prices'!T31-'Asset Prices'!T$6)/_xlfn.STDEV.P(Table26[MIGAX])</f>
        <v>-1.1187635402090932</v>
      </c>
    </row>
    <row r="49" spans="2:20" x14ac:dyDescent="0.75">
      <c r="B49" s="87">
        <v>44497</v>
      </c>
      <c r="C49" s="85">
        <f>('Asset Prices'!C32-'Asset Prices'!C$6)/_xlfn.STDEV.P(Table15[0P00002C7V.F])</f>
        <v>1.9389105903556938</v>
      </c>
      <c r="D49" s="85">
        <f>('Asset Prices'!D32-'Asset Prices'!D$6)/_xlfn.STDEV.P(Table15[FIDSX])</f>
        <v>2.9153036061465363</v>
      </c>
      <c r="E49" s="85">
        <f>('Asset Prices'!E32-'Asset Prices'!E$6)/_xlfn.STDEV.P(Table15[FSCHX])</f>
        <v>2.6598013318034646</v>
      </c>
      <c r="F49" s="85">
        <f>('Asset Prices'!F32-'Asset Prices'!F$6)/_xlfn.STDEV.P(Table15[FSELX])</f>
        <v>0.84715249496412737</v>
      </c>
      <c r="G49" s="85">
        <f>('Asset Prices'!G32-'Asset Prices'!G$6)/_xlfn.STDEV.P(Table15[FSPHX])</f>
        <v>0.63211085529946576</v>
      </c>
      <c r="H49" s="85">
        <f>('Asset Prices'!H32-'Asset Prices'!H$6)/_xlfn.STDEV.P(Table15[GERUX])</f>
        <v>-2.0886015559543973</v>
      </c>
      <c r="I49" s="85">
        <f>('Asset Prices'!I32-'Asset Prices'!I$6)/_xlfn.STDEV.P(Table15[AGG])</f>
        <v>-2.5575534718929887</v>
      </c>
      <c r="J49" s="85">
        <f>('Asset Prices'!J32-'Asset Prices'!J$6)/_xlfn.STDEV.P(Table15[BOND])</f>
        <v>-2.767343870315436</v>
      </c>
      <c r="K49" s="85">
        <f>('Asset Prices'!K32-'Asset Prices'!K$6)/_xlfn.STDEV.P(Table15[HYG])</f>
        <v>-1.7212647613422056</v>
      </c>
      <c r="L49" s="85">
        <f>('Asset Prices'!L32-'Asset Prices'!L$6)/_xlfn.STDEV.P(Table15[NWXIX])</f>
        <v>-1.1211797888269013</v>
      </c>
      <c r="M49" s="85">
        <f>('Asset Prices'!M32-'Asset Prices'!M$6)/_xlfn.STDEV.P(Table15[0P00000TYK.F])</f>
        <v>3.0787595613564687</v>
      </c>
      <c r="N49" s="85">
        <f>('Asset Prices'!N32-'Asset Prices'!N$6)/_xlfn.STDEV.P(Table15[PDBC])</f>
        <v>2.7159911221493109</v>
      </c>
      <c r="O49" s="85">
        <f>('Asset Prices'!O32-'Asset Prices'!O$6)/_xlfn.STDEV.P(Table15[PCRAX])</f>
        <v>2.9245196459516287</v>
      </c>
      <c r="P49" s="85">
        <f>('Asset Prices'!P32-'Asset Prices'!P$6)/_xlfn.STDEV.P(Table15[ETH-EUR])</f>
        <v>2.5564602140587001</v>
      </c>
      <c r="R49" s="87">
        <v>44497</v>
      </c>
      <c r="S49" s="85">
        <f>('Asset Prices'!S32-'Asset Prices'!S$6)/_xlfn.STDEV.P(Table26[MSCI])</f>
        <v>0.47044185615450357</v>
      </c>
      <c r="T49" s="85">
        <f>('Asset Prices'!T32-'Asset Prices'!T$6)/_xlfn.STDEV.P(Table26[MIGAX])</f>
        <v>-3.2292517944215153</v>
      </c>
    </row>
    <row r="50" spans="2:20" x14ac:dyDescent="0.75">
      <c r="B50" s="88">
        <v>44498</v>
      </c>
      <c r="C50" s="85">
        <f>('Asset Prices'!C33-'Asset Prices'!C$6)/_xlfn.STDEV.P(Table15[0P00002C7V.F])</f>
        <v>2.0940287281548939</v>
      </c>
      <c r="D50" s="85">
        <f>('Asset Prices'!D33-'Asset Prices'!D$6)/_xlfn.STDEV.P(Table15[FIDSX])</f>
        <v>2.7079031343573448</v>
      </c>
      <c r="E50" s="85">
        <f>('Asset Prices'!E33-'Asset Prices'!E$6)/_xlfn.STDEV.P(Table15[FSCHX])</f>
        <v>2.5146290030937424</v>
      </c>
      <c r="F50" s="85">
        <f>('Asset Prices'!F33-'Asset Prices'!F$6)/_xlfn.STDEV.P(Table15[FSELX])</f>
        <v>1.1034894118050325</v>
      </c>
      <c r="G50" s="85">
        <f>('Asset Prices'!G33-'Asset Prices'!G$6)/_xlfn.STDEV.P(Table15[FSPHX])</f>
        <v>0.84196800840022623</v>
      </c>
      <c r="H50" s="85">
        <f>('Asset Prices'!H33-'Asset Prices'!H$6)/_xlfn.STDEV.P(Table15[GERUX])</f>
        <v>-3.0632257774445888</v>
      </c>
      <c r="I50" s="85">
        <f>('Asset Prices'!I33-'Asset Prices'!I$6)/_xlfn.STDEV.P(Table15[AGG])</f>
        <v>-2.6171594901520505</v>
      </c>
      <c r="J50" s="85">
        <f>('Asset Prices'!J33-'Asset Prices'!J$6)/_xlfn.STDEV.P(Table15[BOND])</f>
        <v>-2.7871492008297261</v>
      </c>
      <c r="K50" s="85">
        <f>('Asset Prices'!K33-'Asset Prices'!K$6)/_xlfn.STDEV.P(Table15[HYG])</f>
        <v>-2.4847052979483739</v>
      </c>
      <c r="L50" s="85">
        <f>('Asset Prices'!L33-'Asset Prices'!L$6)/_xlfn.STDEV.P(Table15[NWXIX])</f>
        <v>-1.3980637974678114</v>
      </c>
      <c r="M50" s="85">
        <f>('Asset Prices'!M33-'Asset Prices'!M$6)/_xlfn.STDEV.P(Table15[0P00000TYK.F])</f>
        <v>3.0432142302123744</v>
      </c>
      <c r="N50" s="85">
        <f>('Asset Prices'!N33-'Asset Prices'!N$6)/_xlfn.STDEV.P(Table15[PDBC])</f>
        <v>2.5268892256020075</v>
      </c>
      <c r="O50" s="85">
        <f>('Asset Prices'!O33-'Asset Prices'!O$6)/_xlfn.STDEV.P(Table15[PCRAX])</f>
        <v>2.54477965259245</v>
      </c>
      <c r="P50" s="85">
        <f>('Asset Prices'!P33-'Asset Prices'!P$6)/_xlfn.STDEV.P(Table15[ETH-EUR])</f>
        <v>2.3822340200203511</v>
      </c>
      <c r="R50" s="88">
        <v>44498</v>
      </c>
      <c r="S50" s="85">
        <f>('Asset Prices'!S33-'Asset Prices'!S$6)/_xlfn.STDEV.P(Table26[MSCI])</f>
        <v>0.9021797038957915</v>
      </c>
      <c r="T50" s="85">
        <f>('Asset Prices'!T33-'Asset Prices'!T$6)/_xlfn.STDEV.P(Table26[MIGAX])</f>
        <v>-3.0585451755104334</v>
      </c>
    </row>
    <row r="51" spans="2:20" x14ac:dyDescent="0.75">
      <c r="B51" s="87">
        <v>44501</v>
      </c>
      <c r="C51" s="85">
        <f>('Asset Prices'!C34-'Asset Prices'!C$6)/_xlfn.STDEV.P(Table15[0P00002C7V.F])</f>
        <v>2.9288946917255414</v>
      </c>
      <c r="D51" s="85">
        <f>('Asset Prices'!D34-'Asset Prices'!D$6)/_xlfn.STDEV.P(Table15[FIDSX])</f>
        <v>3.5233120197948735</v>
      </c>
      <c r="E51" s="85">
        <f>('Asset Prices'!E34-'Asset Prices'!E$6)/_xlfn.STDEV.P(Table15[FSCHX])</f>
        <v>3.1066789793503102</v>
      </c>
      <c r="F51" s="85">
        <f>('Asset Prices'!F34-'Asset Prices'!F$6)/_xlfn.STDEV.P(Table15[FSELX])</f>
        <v>1.9390428625666047</v>
      </c>
      <c r="G51" s="85">
        <f>('Asset Prices'!G34-'Asset Prices'!G$6)/_xlfn.STDEV.P(Table15[FSPHX])</f>
        <v>1.5536910249346494</v>
      </c>
      <c r="H51" s="85">
        <f>('Asset Prices'!H34-'Asset Prices'!H$6)/_xlfn.STDEV.P(Table15[GERUX])</f>
        <v>-1.4632125517860839</v>
      </c>
      <c r="I51" s="85">
        <f>('Asset Prices'!I34-'Asset Prices'!I$6)/_xlfn.STDEV.P(Table15[AGG])</f>
        <v>-0.25644001983684922</v>
      </c>
      <c r="J51" s="85">
        <f>('Asset Prices'!J34-'Asset Prices'!J$6)/_xlfn.STDEV.P(Table15[BOND])</f>
        <v>-0.43558014334509498</v>
      </c>
      <c r="K51" s="85">
        <f>('Asset Prices'!K34-'Asset Prices'!K$6)/_xlfn.STDEV.P(Table15[HYG])</f>
        <v>0.37115670364994874</v>
      </c>
      <c r="L51" s="85">
        <f>('Asset Prices'!L34-'Asset Prices'!L$6)/_xlfn.STDEV.P(Table15[NWXIX])</f>
        <v>1.901700982207738</v>
      </c>
      <c r="M51" s="85">
        <f>('Asset Prices'!M34-'Asset Prices'!M$6)/_xlfn.STDEV.P(Table15[0P00000TYK.F])</f>
        <v>3.0432142302123744</v>
      </c>
      <c r="N51" s="85">
        <f>('Asset Prices'!N34-'Asset Prices'!N$6)/_xlfn.STDEV.P(Table15[PDBC])</f>
        <v>3.0716055952506518</v>
      </c>
      <c r="O51" s="85">
        <f>('Asset Prices'!O34-'Asset Prices'!O$6)/_xlfn.STDEV.P(Table15[PCRAX])</f>
        <v>3.049450043287655</v>
      </c>
      <c r="P51" s="85">
        <f>('Asset Prices'!P34-'Asset Prices'!P$6)/_xlfn.STDEV.P(Table15[ETH-EUR])</f>
        <v>2.3521824977011487</v>
      </c>
      <c r="R51" s="87">
        <v>44501</v>
      </c>
      <c r="S51" s="85">
        <f>('Asset Prices'!S34-'Asset Prices'!S$6)/_xlfn.STDEV.P(Table26[MSCI])</f>
        <v>0.87716866021995876</v>
      </c>
      <c r="T51" s="85">
        <f>('Asset Prices'!T34-'Asset Prices'!T$6)/_xlfn.STDEV.P(Table26[MIGAX])</f>
        <v>-1.1409595548852067</v>
      </c>
    </row>
    <row r="52" spans="2:20" x14ac:dyDescent="0.75">
      <c r="B52" s="88">
        <v>44502</v>
      </c>
      <c r="C52" s="85">
        <f>('Asset Prices'!C35-'Asset Prices'!C$6)/_xlfn.STDEV.P(Table15[0P00002C7V.F])</f>
        <v>3.3075533600185363</v>
      </c>
      <c r="D52" s="85">
        <f>('Asset Prices'!D35-'Asset Prices'!D$6)/_xlfn.STDEV.P(Table15[FIDSX])</f>
        <v>3.2302593335147725</v>
      </c>
      <c r="E52" s="85">
        <f>('Asset Prices'!E35-'Asset Prices'!E$6)/_xlfn.STDEV.P(Table15[FSCHX])</f>
        <v>3.3692757454896167</v>
      </c>
      <c r="F52" s="85">
        <f>('Asset Prices'!F35-'Asset Prices'!F$6)/_xlfn.STDEV.P(Table15[FSELX])</f>
        <v>2.2322799729092773</v>
      </c>
      <c r="G52" s="85">
        <f>('Asset Prices'!G35-'Asset Prices'!G$6)/_xlfn.STDEV.P(Table15[FSPHX])</f>
        <v>1.5413752814143773</v>
      </c>
      <c r="H52" s="85">
        <f>('Asset Prices'!H35-'Asset Prices'!H$6)/_xlfn.STDEV.P(Table15[GERUX])</f>
        <v>-2.8387762770613647</v>
      </c>
      <c r="I52" s="85">
        <f>('Asset Prices'!I35-'Asset Prices'!I$6)/_xlfn.STDEV.P(Table15[AGG])</f>
        <v>-0.6464888439171983</v>
      </c>
      <c r="J52" s="85">
        <f>('Asset Prices'!J35-'Asset Prices'!J$6)/_xlfn.STDEV.P(Table15[BOND])</f>
        <v>-0.94998377003460033</v>
      </c>
      <c r="K52" s="85">
        <f>('Asset Prices'!K35-'Asset Prices'!K$6)/_xlfn.STDEV.P(Table15[HYG])</f>
        <v>-2.1399531919562317E-3</v>
      </c>
      <c r="L52" s="85">
        <f>('Asset Prices'!L35-'Asset Prices'!L$6)/_xlfn.STDEV.P(Table15[NWXIX])</f>
        <v>0.87263804259522548</v>
      </c>
      <c r="M52" s="85">
        <f>('Asset Prices'!M35-'Asset Prices'!M$6)/_xlfn.STDEV.P(Table15[0P00000TYK.F])</f>
        <v>2.9644478269558436</v>
      </c>
      <c r="N52" s="85">
        <f>('Asset Prices'!N35-'Asset Prices'!N$6)/_xlfn.STDEV.P(Table15[PDBC])</f>
        <v>3.0384542062995088</v>
      </c>
      <c r="O52" s="85">
        <f>('Asset Prices'!O35-'Asset Prices'!O$6)/_xlfn.STDEV.P(Table15[PCRAX])</f>
        <v>3.1541866416925801</v>
      </c>
      <c r="P52" s="85">
        <f>('Asset Prices'!P35-'Asset Prices'!P$6)/_xlfn.STDEV.P(Table15[ETH-EUR])</f>
        <v>2.8750316295323368</v>
      </c>
      <c r="R52" s="88">
        <v>44502</v>
      </c>
      <c r="S52" s="85">
        <f>('Asset Prices'!S35-'Asset Prices'!S$6)/_xlfn.STDEV.P(Table26[MSCI])</f>
        <v>0.63951476635576754</v>
      </c>
      <c r="T52" s="85">
        <f>('Asset Prices'!T35-'Asset Prices'!T$6)/_xlfn.STDEV.P(Table26[MIGAX])</f>
        <v>-1.7961423049517173</v>
      </c>
    </row>
    <row r="53" spans="2:20" ht="15.5" thickBot="1" x14ac:dyDescent="0.9">
      <c r="B53" s="90">
        <v>44503</v>
      </c>
      <c r="C53" s="85">
        <f>('Asset Prices'!C36-'Asset Prices'!C$6)/_xlfn.STDEV.P(Table15[0P00002C7V.F])</f>
        <v>3.3075533600185363</v>
      </c>
      <c r="D53" s="85">
        <f>('Asset Prices'!D36-'Asset Prices'!D$6)/_xlfn.STDEV.P(Table15[FIDSX])</f>
        <v>3.5816544846421019</v>
      </c>
      <c r="E53" s="85">
        <f>('Asset Prices'!E36-'Asset Prices'!E$6)/_xlfn.STDEV.P(Table15[FSCHX])</f>
        <v>3.9394512327055358</v>
      </c>
      <c r="F53" s="85">
        <f>('Asset Prices'!F36-'Asset Prices'!F$6)/_xlfn.STDEV.P(Table15[FSELX])</f>
        <v>2.5356815644378261</v>
      </c>
      <c r="G53" s="85">
        <f>('Asset Prices'!G36-'Asset Prices'!G$6)/_xlfn.STDEV.P(Table15[FSPHX])</f>
        <v>2.1378649701592312</v>
      </c>
      <c r="H53" s="85">
        <f>('Asset Prices'!H36-'Asset Prices'!H$6)/_xlfn.STDEV.P(Table15[GERUX])</f>
        <v>-2.030052881708833</v>
      </c>
      <c r="I53" s="85">
        <f>('Asset Prices'!I36-'Asset Prices'!I$6)/_xlfn.STDEV.P(Table15[AGG])</f>
        <v>-0.70856617542688527</v>
      </c>
      <c r="J53" s="85">
        <f>('Asset Prices'!J36-'Asset Prices'!J$6)/_xlfn.STDEV.P(Table15[BOND])</f>
        <v>-0.90805931131375028</v>
      </c>
      <c r="K53" s="85">
        <f>('Asset Prices'!K36-'Asset Prices'!K$6)/_xlfn.STDEV.P(Table15[HYG])</f>
        <v>1.0754176485853111</v>
      </c>
      <c r="L53" s="85">
        <f>('Asset Prices'!L36-'Asset Prices'!L$6)/_xlfn.STDEV.P(Table15[NWXIX])</f>
        <v>1.3550154884999177</v>
      </c>
      <c r="M53" s="85">
        <f>('Asset Prices'!M36-'Asset Prices'!M$6)/_xlfn.STDEV.P(Table15[0P00000TYK.F])</f>
        <v>2.9644478269558436</v>
      </c>
      <c r="N53" s="85">
        <f>('Asset Prices'!N36-'Asset Prices'!N$6)/_xlfn.STDEV.P(Table15[PDBC])</f>
        <v>2.3321475498544917</v>
      </c>
      <c r="O53" s="85">
        <f>('Asset Prices'!O36-'Asset Prices'!O$6)/_xlfn.STDEV.P(Table15[PCRAX])</f>
        <v>2.8419077274871425</v>
      </c>
      <c r="P53" s="85">
        <f>('Asset Prices'!P36-'Asset Prices'!P$6)/_xlfn.STDEV.P(Table15[ETH-EUR])</f>
        <v>2.8910086607107979</v>
      </c>
      <c r="R53" s="90">
        <v>44503</v>
      </c>
      <c r="S53" s="85">
        <f>('Asset Prices'!S36-'Asset Prices'!S$6)/_xlfn.STDEV.P(Table26[MSCI])</f>
        <v>0.29587383647044385</v>
      </c>
      <c r="T53" s="85">
        <f>('Asset Prices'!T36-'Asset Prices'!T$6)/_xlfn.STDEV.P(Table26[MIGAX])</f>
        <v>-1.9248515727575453</v>
      </c>
    </row>
    <row r="58" spans="2:20" x14ac:dyDescent="0.75">
      <c r="C58" t="e" cm="1">
        <f t="array" ref="C58">mm</f>
        <v>#NAME?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8F6A-9467-4D10-923B-AEA841E0D68D}">
  <dimension ref="B1:L17"/>
  <sheetViews>
    <sheetView workbookViewId="0">
      <selection activeCell="B2" sqref="B2"/>
    </sheetView>
  </sheetViews>
  <sheetFormatPr defaultRowHeight="14.75" x14ac:dyDescent="0.75"/>
  <cols>
    <col min="2" max="2" width="57.1796875" bestFit="1" customWidth="1"/>
    <col min="3" max="3" width="13.08984375" bestFit="1" customWidth="1"/>
    <col min="4" max="4" width="10.54296875" bestFit="1" customWidth="1"/>
    <col min="5" max="5" width="9.54296875" bestFit="1" customWidth="1"/>
    <col min="6" max="6" width="10.54296875" bestFit="1" customWidth="1"/>
    <col min="8" max="8" width="57.1796875" bestFit="1" customWidth="1"/>
    <col min="9" max="9" width="13.08984375" bestFit="1" customWidth="1"/>
    <col min="10" max="10" width="10.54296875" bestFit="1" customWidth="1"/>
    <col min="11" max="11" width="9.54296875" bestFit="1" customWidth="1"/>
    <col min="12" max="12" width="10.54296875" bestFit="1" customWidth="1"/>
  </cols>
  <sheetData>
    <row r="1" spans="2:12" ht="15.5" thickBot="1" x14ac:dyDescent="0.9"/>
    <row r="2" spans="2:12" x14ac:dyDescent="0.75">
      <c r="B2" s="25" t="s">
        <v>39</v>
      </c>
      <c r="C2" s="26"/>
      <c r="D2" s="26"/>
      <c r="E2" s="26"/>
      <c r="F2" s="27"/>
      <c r="H2" s="25" t="s">
        <v>40</v>
      </c>
      <c r="I2" s="26"/>
      <c r="J2" s="26"/>
      <c r="K2" s="26"/>
      <c r="L2" s="27"/>
    </row>
    <row r="3" spans="2:12" x14ac:dyDescent="0.75">
      <c r="B3" s="32" t="s">
        <v>9</v>
      </c>
      <c r="C3" s="32" t="s">
        <v>10</v>
      </c>
      <c r="D3" s="33" t="s">
        <v>49</v>
      </c>
      <c r="E3" s="33" t="s">
        <v>50</v>
      </c>
      <c r="F3" s="33" t="s">
        <v>51</v>
      </c>
      <c r="H3" s="32" t="s">
        <v>9</v>
      </c>
      <c r="I3" s="32" t="s">
        <v>10</v>
      </c>
      <c r="J3" s="33" t="s">
        <v>66</v>
      </c>
      <c r="K3" s="33" t="s">
        <v>50</v>
      </c>
      <c r="L3" s="33" t="s">
        <v>51</v>
      </c>
    </row>
    <row r="4" spans="2:12" x14ac:dyDescent="0.75">
      <c r="B4" s="9" t="s">
        <v>11</v>
      </c>
      <c r="C4" s="9" t="s">
        <v>12</v>
      </c>
      <c r="D4" s="17">
        <v>10</v>
      </c>
      <c r="E4" s="17">
        <v>650</v>
      </c>
      <c r="F4" s="17">
        <v>1160</v>
      </c>
      <c r="H4" s="9" t="s">
        <v>11</v>
      </c>
      <c r="I4" s="9" t="s">
        <v>12</v>
      </c>
      <c r="J4" s="14">
        <v>3.1281847458175798E-4</v>
      </c>
      <c r="K4" s="14">
        <v>2.1035811948516777E-2</v>
      </c>
      <c r="L4" s="14">
        <v>3.832389393757786E-2</v>
      </c>
    </row>
    <row r="5" spans="2:12" x14ac:dyDescent="0.75">
      <c r="B5" s="8" t="s">
        <v>13</v>
      </c>
      <c r="C5" s="8" t="s">
        <v>14</v>
      </c>
      <c r="D5" s="18">
        <v>121425</v>
      </c>
      <c r="E5" s="18">
        <v>108661</v>
      </c>
      <c r="F5" s="18">
        <v>62911</v>
      </c>
      <c r="H5" s="8" t="s">
        <v>13</v>
      </c>
      <c r="I5" s="8" t="s">
        <v>14</v>
      </c>
      <c r="J5" s="13">
        <v>0.26697478704031502</v>
      </c>
      <c r="K5" s="13">
        <v>0.24731629694422569</v>
      </c>
      <c r="L5" s="13">
        <v>0.14868362197548377</v>
      </c>
    </row>
    <row r="6" spans="2:12" x14ac:dyDescent="0.75">
      <c r="B6" s="12" t="s">
        <v>15</v>
      </c>
      <c r="C6" s="12" t="s">
        <v>16</v>
      </c>
      <c r="D6" s="17">
        <v>124</v>
      </c>
      <c r="E6" s="17">
        <v>7054</v>
      </c>
      <c r="F6" s="17">
        <v>8168</v>
      </c>
      <c r="H6" s="12" t="s">
        <v>15</v>
      </c>
      <c r="I6" s="12" t="s">
        <v>16</v>
      </c>
      <c r="J6" s="14">
        <v>3.4635815649386502E-4</v>
      </c>
      <c r="K6" s="14">
        <v>2.0214090463230569E-2</v>
      </c>
      <c r="L6" s="14">
        <v>2.4284190261377996E-2</v>
      </c>
    </row>
    <row r="7" spans="2:12" x14ac:dyDescent="0.75">
      <c r="B7" s="8" t="s">
        <v>17</v>
      </c>
      <c r="C7" s="8" t="s">
        <v>18</v>
      </c>
      <c r="D7" s="18">
        <v>533</v>
      </c>
      <c r="E7" s="18">
        <v>6470</v>
      </c>
      <c r="F7" s="18">
        <v>28916</v>
      </c>
      <c r="H7" s="8" t="s">
        <v>17</v>
      </c>
      <c r="I7" s="8" t="s">
        <v>18</v>
      </c>
      <c r="J7" s="13">
        <v>1.8355040557545899E-3</v>
      </c>
      <c r="K7" s="13">
        <v>2.1127119537852925E-2</v>
      </c>
      <c r="L7" s="13">
        <v>9.7109589180054703E-2</v>
      </c>
    </row>
    <row r="8" spans="2:12" x14ac:dyDescent="0.75">
      <c r="B8" s="12" t="s">
        <v>19</v>
      </c>
      <c r="C8" s="12" t="s">
        <v>20</v>
      </c>
      <c r="D8" s="17">
        <v>34</v>
      </c>
      <c r="E8" s="17">
        <v>3634</v>
      </c>
      <c r="F8" s="17">
        <v>3641</v>
      </c>
      <c r="H8" s="12" t="s">
        <v>19</v>
      </c>
      <c r="I8" s="12" t="s">
        <v>20</v>
      </c>
      <c r="J8" s="14">
        <v>1.99659723294382E-4</v>
      </c>
      <c r="K8" s="14">
        <v>2.0168087182350452E-2</v>
      </c>
      <c r="L8" s="14">
        <v>2.0710848372884842E-2</v>
      </c>
    </row>
    <row r="9" spans="2:12" x14ac:dyDescent="0.75">
      <c r="B9" s="10" t="s">
        <v>21</v>
      </c>
      <c r="C9" s="10" t="s">
        <v>22</v>
      </c>
      <c r="D9" s="19">
        <v>174</v>
      </c>
      <c r="E9" s="19">
        <v>10064</v>
      </c>
      <c r="F9" s="19">
        <v>10258</v>
      </c>
      <c r="H9" s="10" t="s">
        <v>21</v>
      </c>
      <c r="I9" s="10" t="s">
        <v>22</v>
      </c>
      <c r="J9" s="15">
        <v>3.6208091351246601E-4</v>
      </c>
      <c r="K9" s="15">
        <v>2.0184345710189438E-2</v>
      </c>
      <c r="L9" s="15">
        <v>2.0910422890077152E-2</v>
      </c>
    </row>
    <row r="10" spans="2:12" x14ac:dyDescent="0.75">
      <c r="B10" s="9" t="s">
        <v>23</v>
      </c>
      <c r="C10" s="9" t="s">
        <v>24</v>
      </c>
      <c r="D10" s="17">
        <v>51</v>
      </c>
      <c r="E10" s="17">
        <v>1081</v>
      </c>
      <c r="F10" s="17">
        <v>1191</v>
      </c>
      <c r="H10" s="9" t="s">
        <v>23</v>
      </c>
      <c r="I10" s="9" t="s">
        <v>24</v>
      </c>
      <c r="J10" s="14">
        <v>1.0204733971556901E-3</v>
      </c>
      <c r="K10" s="14">
        <v>2.0768996450853748E-2</v>
      </c>
      <c r="L10" s="14">
        <v>2.2708613301277943E-2</v>
      </c>
    </row>
    <row r="11" spans="2:12" x14ac:dyDescent="0.75">
      <c r="B11" s="8" t="s">
        <v>25</v>
      </c>
      <c r="C11" s="8" t="s">
        <v>26</v>
      </c>
      <c r="D11" s="18">
        <v>74</v>
      </c>
      <c r="E11" s="18">
        <v>1146</v>
      </c>
      <c r="F11" s="18">
        <v>1295</v>
      </c>
      <c r="H11" s="8" t="s">
        <v>25</v>
      </c>
      <c r="I11" s="8" t="s">
        <v>26</v>
      </c>
      <c r="J11" s="13">
        <v>1.4129958582584201E-3</v>
      </c>
      <c r="K11" s="13">
        <v>2.1197789128631961E-2</v>
      </c>
      <c r="L11" s="13">
        <v>2.3765398737806833E-2</v>
      </c>
    </row>
    <row r="12" spans="2:12" x14ac:dyDescent="0.75">
      <c r="B12" s="12" t="s">
        <v>27</v>
      </c>
      <c r="C12" s="12" t="s">
        <v>28</v>
      </c>
      <c r="D12" s="17">
        <v>21708</v>
      </c>
      <c r="E12" s="20">
        <v>1958</v>
      </c>
      <c r="F12" s="17">
        <v>3841</v>
      </c>
      <c r="H12" s="12" t="s">
        <v>27</v>
      </c>
      <c r="I12" s="12" t="s">
        <v>28</v>
      </c>
      <c r="J12" s="14">
        <v>0.32634922609219502</v>
      </c>
      <c r="K12" s="14">
        <v>2.8620122351957232E-2</v>
      </c>
      <c r="L12" s="14">
        <v>5.5997516580384335E-2</v>
      </c>
    </row>
    <row r="13" spans="2:12" x14ac:dyDescent="0.75">
      <c r="B13" s="10" t="s">
        <v>29</v>
      </c>
      <c r="C13" s="10" t="s">
        <v>30</v>
      </c>
      <c r="D13" s="19">
        <v>100327</v>
      </c>
      <c r="E13" s="19">
        <v>197488</v>
      </c>
      <c r="F13" s="19">
        <v>178517</v>
      </c>
      <c r="H13" s="10" t="s">
        <v>29</v>
      </c>
      <c r="I13" s="10" t="s">
        <v>30</v>
      </c>
      <c r="J13" s="15">
        <v>0.17122580221727399</v>
      </c>
      <c r="K13" s="15">
        <v>0.32940463811431409</v>
      </c>
      <c r="L13" s="15">
        <v>0.29751727843730363</v>
      </c>
    </row>
    <row r="14" spans="2:12" x14ac:dyDescent="0.75">
      <c r="B14" s="12" t="s">
        <v>31</v>
      </c>
      <c r="C14" s="12" t="s">
        <v>32</v>
      </c>
      <c r="D14" s="17">
        <v>389</v>
      </c>
      <c r="E14" s="17">
        <v>7932</v>
      </c>
      <c r="F14" s="17">
        <v>16830</v>
      </c>
      <c r="H14" s="12" t="s">
        <v>31</v>
      </c>
      <c r="I14" s="12" t="s">
        <v>32</v>
      </c>
      <c r="J14" s="14">
        <v>9.63840113205481E-4</v>
      </c>
      <c r="K14" s="14">
        <v>2.04591524031115E-2</v>
      </c>
      <c r="L14" s="14">
        <v>4.533603931144263E-2</v>
      </c>
    </row>
    <row r="15" spans="2:12" x14ac:dyDescent="0.75">
      <c r="B15" s="8" t="s">
        <v>33</v>
      </c>
      <c r="C15" s="8" t="s">
        <v>34</v>
      </c>
      <c r="D15" s="18">
        <v>27887</v>
      </c>
      <c r="E15" s="18">
        <v>21098</v>
      </c>
      <c r="F15" s="18">
        <v>13404</v>
      </c>
      <c r="H15" s="8" t="s">
        <v>33</v>
      </c>
      <c r="I15" s="8" t="s">
        <v>34</v>
      </c>
      <c r="J15" s="13">
        <v>9.7187491749444702E-2</v>
      </c>
      <c r="K15" s="13">
        <v>7.7398699139307428E-2</v>
      </c>
      <c r="L15" s="13">
        <v>4.9930775787905037E-2</v>
      </c>
    </row>
    <row r="16" spans="2:12" x14ac:dyDescent="0.75">
      <c r="B16" s="12" t="s">
        <v>35</v>
      </c>
      <c r="C16" s="12" t="s">
        <v>36</v>
      </c>
      <c r="D16" s="21">
        <v>1853</v>
      </c>
      <c r="E16" s="21">
        <v>21061</v>
      </c>
      <c r="F16" s="21">
        <v>23163</v>
      </c>
      <c r="H16" s="12" t="s">
        <v>35</v>
      </c>
      <c r="I16" s="12" t="s">
        <v>36</v>
      </c>
      <c r="J16" s="16">
        <v>1.8799051958532499E-3</v>
      </c>
      <c r="K16" s="16">
        <v>2.218126263212096E-2</v>
      </c>
      <c r="L16" s="16">
        <v>2.4752839967357571E-2</v>
      </c>
    </row>
    <row r="17" spans="2:12" x14ac:dyDescent="0.75">
      <c r="B17" s="34" t="s">
        <v>37</v>
      </c>
      <c r="C17" s="34" t="s">
        <v>38</v>
      </c>
      <c r="D17" s="18">
        <v>57</v>
      </c>
      <c r="E17" s="18">
        <v>50</v>
      </c>
      <c r="F17" s="18">
        <v>44</v>
      </c>
      <c r="H17" s="34" t="s">
        <v>37</v>
      </c>
      <c r="I17" s="34" t="s">
        <v>38</v>
      </c>
      <c r="J17" s="13">
        <v>3.0073362227726101E-2</v>
      </c>
      <c r="K17" s="13">
        <v>2.990687741300645E-2</v>
      </c>
      <c r="L17" s="13">
        <v>3.0288001594356666E-2</v>
      </c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277B-0796-4B9C-ADD3-869AD123ABD5}">
  <dimension ref="B2:S43"/>
  <sheetViews>
    <sheetView topLeftCell="B1" zoomScaleNormal="100" workbookViewId="0">
      <selection activeCell="J6" sqref="J6"/>
    </sheetView>
  </sheetViews>
  <sheetFormatPr defaultRowHeight="14.75" x14ac:dyDescent="0.75"/>
  <cols>
    <col min="2" max="2" width="13.1796875" customWidth="1"/>
    <col min="3" max="3" width="15" bestFit="1" customWidth="1"/>
    <col min="4" max="4" width="16.08984375" bestFit="1" customWidth="1"/>
    <col min="5" max="5" width="15.1796875" bestFit="1" customWidth="1"/>
    <col min="6" max="6" width="22.08984375" bestFit="1" customWidth="1"/>
    <col min="7" max="7" width="11" bestFit="1" customWidth="1"/>
    <col min="9" max="9" width="19.6328125" bestFit="1" customWidth="1"/>
    <col min="10" max="10" width="14.7265625" bestFit="1" customWidth="1"/>
    <col min="11" max="11" width="21.6328125" bestFit="1" customWidth="1"/>
    <col min="12" max="12" width="20.36328125" bestFit="1" customWidth="1"/>
    <col min="14" max="14" width="11.36328125" customWidth="1"/>
    <col min="15" max="15" width="20.81640625" bestFit="1" customWidth="1"/>
    <col min="16" max="16" width="14.81640625" bestFit="1" customWidth="1"/>
    <col min="17" max="17" width="17.81640625" bestFit="1" customWidth="1"/>
    <col min="19" max="19" width="11.81640625" bestFit="1" customWidth="1"/>
  </cols>
  <sheetData>
    <row r="2" spans="2:19" ht="18.5" x14ac:dyDescent="0.9">
      <c r="B2" s="22" t="s">
        <v>69</v>
      </c>
    </row>
    <row r="3" spans="2:19" ht="15.5" thickBot="1" x14ac:dyDescent="0.9"/>
    <row r="4" spans="2:19" x14ac:dyDescent="0.75">
      <c r="B4" s="25" t="s">
        <v>53</v>
      </c>
      <c r="C4" s="26"/>
      <c r="D4" s="26"/>
      <c r="E4" s="26"/>
      <c r="F4" s="26"/>
      <c r="G4" s="27"/>
      <c r="I4" s="54" t="s">
        <v>54</v>
      </c>
      <c r="J4" s="26"/>
      <c r="K4" s="26"/>
      <c r="L4" s="27"/>
      <c r="N4" s="25" t="s">
        <v>55</v>
      </c>
      <c r="O4" s="26"/>
      <c r="P4" s="26"/>
      <c r="Q4" s="27"/>
    </row>
    <row r="5" spans="2:19" x14ac:dyDescent="0.75">
      <c r="B5" s="32" t="s">
        <v>2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I5" s="44" t="s">
        <v>10</v>
      </c>
      <c r="J5" s="32" t="s">
        <v>76</v>
      </c>
      <c r="K5" s="32" t="s">
        <v>77</v>
      </c>
      <c r="L5" s="32" t="s">
        <v>78</v>
      </c>
      <c r="N5" s="44" t="s">
        <v>2</v>
      </c>
      <c r="O5" s="32" t="s">
        <v>4</v>
      </c>
      <c r="P5" s="32" t="s">
        <v>62</v>
      </c>
      <c r="Q5" s="32" t="s">
        <v>63</v>
      </c>
    </row>
    <row r="6" spans="2:19" x14ac:dyDescent="0.75">
      <c r="B6" s="50">
        <f>'Asset Prices'!$B7</f>
        <v>44462</v>
      </c>
      <c r="C6" s="47" cm="1">
        <f t="array" ref="C6">(MMULT('Asset Prices'!$C7:$P7,Table8[24-set]) + 'Value History'!$F$7) / (MMULT('Asset Prices'!$C6:$P6,Table8[24-set]) + 'Value History'!$F$7) - 1</f>
        <v>2.0591479390628109E-3</v>
      </c>
      <c r="D6" s="47" cm="1">
        <f t="array" ref="D6">MMULT('Asset Prices'!$C7:$H7,'Rebalancing History'!$D$4:$D$9) / MMULT(Table15[[#This Row],[0P00002C7V.F]:[GERUX]],'Rebalancing History'!$D$4:$D$9) - 1</f>
        <v>1.9401827225945301E-2</v>
      </c>
      <c r="E6" s="13" cm="1">
        <f t="array" ref="E6">MMULT('Asset Prices'!$I7:$L7,'Rebalancing History'!$D$10:$D$13)/MMULT('Asset Prices'!$I6:$L6,'Rebalancing History'!$D$10:$D$13) - 1</f>
        <v>-4.0995660860633221E-3</v>
      </c>
      <c r="F6" s="13" cm="1">
        <f t="array" ref="F6">MMULT('Asset Prices'!$M7:$O7,'Rebalancing History'!$D$14:$D$16) / MMULT('Asset Prices'!$M6:$O6,'Rebalancing History'!$D$14:$D$16) - 1</f>
        <v>9.6627746406106052E-3</v>
      </c>
      <c r="G6" s="13">
        <f>'Asset Returns'!$P7</f>
        <v>-6.9392769778541252E-2</v>
      </c>
      <c r="I6" s="55" t="s">
        <v>45</v>
      </c>
      <c r="J6" s="13">
        <v>0.3</v>
      </c>
      <c r="K6" s="13">
        <v>0.45</v>
      </c>
      <c r="L6" s="13">
        <v>0.45</v>
      </c>
      <c r="N6" s="28">
        <f>Table13[[#This Row],[Date]]</f>
        <v>44462</v>
      </c>
      <c r="O6" s="13">
        <f>Table13[[#This Row],[Entire Fund]]</f>
        <v>2.0591479390628109E-3</v>
      </c>
      <c r="P6" s="13" cm="1">
        <f t="array" ref="P6">MMULT('Asset Returns'!$S7:$T7,Table16[1st interval])</f>
        <v>-4.8005774435342808E-3</v>
      </c>
      <c r="Q6" s="13">
        <f>$O6-$P6</f>
        <v>6.8597253825970917E-3</v>
      </c>
      <c r="S6" s="61"/>
    </row>
    <row r="7" spans="2:19" x14ac:dyDescent="0.75">
      <c r="B7" s="50">
        <f>'Asset Prices'!$B8</f>
        <v>44463</v>
      </c>
      <c r="C7" s="47" cm="1">
        <f t="array" ref="C7">(MMULT('Asset Prices'!$C8:$P8,Table8[24-set]) + 'Value History'!$F$7) / (MMULT('Asset Prices'!$C7:$P7,Table8[24-set]) + 'Value History'!$F$7) - 1</f>
        <v>7.0274779917056662E-4</v>
      </c>
      <c r="D7" s="47" cm="1">
        <f t="array" ref="D7">MMULT('Asset Prices'!$C8:$H8,'Rebalancing History'!$D$4:$D$9) / MMULT(Table15[[#This Row],[0P00002C7V.F]:[GERUX]],'Rebalancing History'!$D$4:$D$9) - 1</f>
        <v>2.9734014887472515E-3</v>
      </c>
      <c r="E7" s="13" cm="1">
        <f t="array" ref="E7">MMULT('Asset Prices'!$I8:$L8,'Rebalancing History'!$D$10:$D$13)/MMULT('Asset Prices'!$I7:$L7,'Rebalancing History'!$D$10:$D$13) - 1</f>
        <v>-1.3175764457724615E-3</v>
      </c>
      <c r="F7" s="13" cm="1">
        <f t="array" ref="F7">MMULT('Asset Prices'!$M8:$O8,'Rebalancing History'!$D$14:$D$16) / MMULT('Asset Prices'!$M7:$O7,'Rebalancing History'!$D$14:$D$16) - 1</f>
        <v>5.8548205164610234E-3</v>
      </c>
      <c r="G7" s="13">
        <f>'Asset Returns'!$P8</f>
        <v>-2.0433660148282407E-3</v>
      </c>
      <c r="I7" s="55" t="s">
        <v>46</v>
      </c>
      <c r="J7" s="13">
        <v>0.7</v>
      </c>
      <c r="K7" s="13">
        <v>0.55000000000000004</v>
      </c>
      <c r="L7" s="13">
        <v>0.55000000000000004</v>
      </c>
      <c r="N7" s="28">
        <f>Table13[[#This Row],[Date]]</f>
        <v>44463</v>
      </c>
      <c r="O7" s="13">
        <f>Table13[[#This Row],[Entire Fund]]</f>
        <v>7.0274779917056662E-4</v>
      </c>
      <c r="P7" s="13" cm="1">
        <f t="array" ref="P7">MMULT('Asset Returns'!$S8:$T8,Table16[1st interval])</f>
        <v>2.5078316724715388E-3</v>
      </c>
      <c r="Q7" s="13">
        <f t="shared" ref="Q7:Q35" si="0">$O7-$P7</f>
        <v>-1.8050838733009722E-3</v>
      </c>
    </row>
    <row r="8" spans="2:19" x14ac:dyDescent="0.75">
      <c r="B8" s="50">
        <f>'Asset Prices'!$B9</f>
        <v>44466</v>
      </c>
      <c r="C8" s="47" cm="1">
        <f t="array" ref="C8">(MMULT('Asset Prices'!$C9:$P9,Table8[24-set]) + 'Value History'!$F$7) / (MMULT('Asset Prices'!$C8:$P8,Table8[24-set]) + 'Value History'!$F$7) - 1</f>
        <v>7.9045010231317825E-3</v>
      </c>
      <c r="D8" s="47" cm="1">
        <f t="array" ref="D8">MMULT('Asset Prices'!$C9:$H9,'Rebalancing History'!$D$4:$D$9) / MMULT(Table15[[#This Row],[0P00002C7V.F]:[GERUX]],'Rebalancing History'!$D$4:$D$9) - 1</f>
        <v>2.0213539506289235E-2</v>
      </c>
      <c r="E8" s="13" cm="1">
        <f t="array" ref="E8">MMULT('Asset Prices'!$I9:$L9,'Rebalancing History'!$D$10:$D$13)/MMULT('Asset Prices'!$I8:$L8,'Rebalancing History'!$D$10:$D$13) - 1</f>
        <v>3.1157807839159446E-3</v>
      </c>
      <c r="F8" s="13" cm="1">
        <f t="array" ref="F8">MMULT('Asset Prices'!$M9:$O9,'Rebalancing History'!$D$14:$D$16) / MMULT('Asset Prices'!$M8:$O8,'Rebalancing History'!$D$14:$D$16) - 1</f>
        <v>1.779926701195933E-2</v>
      </c>
      <c r="G8" s="13">
        <f>'Asset Returns'!$P9</f>
        <v>-3.7638045795283182E-2</v>
      </c>
      <c r="N8" s="28">
        <f>Table13[[#This Row],[Date]]</f>
        <v>44466</v>
      </c>
      <c r="O8" s="13">
        <f>Table13[[#This Row],[Entire Fund]]</f>
        <v>7.9045010231317825E-3</v>
      </c>
      <c r="P8" s="13" cm="1">
        <f t="array" ref="P8">MMULT('Asset Returns'!$S9:$T9,Table16[1st interval])</f>
        <v>-7.1514704638868005E-3</v>
      </c>
      <c r="Q8" s="13">
        <f t="shared" si="0"/>
        <v>1.5055971487018583E-2</v>
      </c>
    </row>
    <row r="9" spans="2:19" ht="15.5" thickBot="1" x14ac:dyDescent="0.9">
      <c r="B9" s="50">
        <f>'Asset Prices'!$B10</f>
        <v>44467</v>
      </c>
      <c r="C9" s="47" cm="1">
        <f t="array" ref="C9">(MMULT('Asset Prices'!$C10:$P10,Table8[24-set]) + 'Value History'!$F$7) / (MMULT('Asset Prices'!$C9:$P9,Table8[24-set]) + 'Value History'!$F$7) - 1</f>
        <v>-5.8928277283091246E-3</v>
      </c>
      <c r="D9" s="47" cm="1">
        <f t="array" ref="D9">MMULT('Asset Prices'!$C10:$H10,'Rebalancing History'!$D$4:$D$9) / MMULT(Table15[[#This Row],[0P00002C7V.F]:[GERUX]],'Rebalancing History'!$D$4:$D$9) - 1</f>
        <v>-1.4891418899090514E-2</v>
      </c>
      <c r="E9" s="13" cm="1">
        <f t="array" ref="E9">MMULT('Asset Prices'!$I10:$L10,'Rebalancing History'!$D$10:$D$13)/MMULT('Asset Prices'!$I9:$L9,'Rebalancing History'!$D$10:$D$13) - 1</f>
        <v>-3.1278611397886902E-3</v>
      </c>
      <c r="F9" s="13" cm="1">
        <f t="array" ref="F9">MMULT('Asset Prices'!$M10:$O10,'Rebalancing History'!$D$14:$D$16) / MMULT('Asset Prices'!$M9:$O9,'Rebalancing History'!$D$14:$D$16) - 1</f>
        <v>-7.8402700673182446E-3</v>
      </c>
      <c r="G9" s="13">
        <f>'Asset Returns'!$P10</f>
        <v>2.3805366647463133E-2</v>
      </c>
      <c r="N9" s="28">
        <f>Table13[[#This Row],[Date]]</f>
        <v>44467</v>
      </c>
      <c r="O9" s="13">
        <f>Table13[[#This Row],[Entire Fund]]</f>
        <v>-5.8928277283091246E-3</v>
      </c>
      <c r="P9" s="13" cm="1">
        <f t="array" ref="P9">MMULT('Asset Returns'!$S10:$T10,Table16[1st interval])</f>
        <v>-2.3145285042798214E-2</v>
      </c>
      <c r="Q9" s="13">
        <f t="shared" si="0"/>
        <v>1.725245731448909E-2</v>
      </c>
    </row>
    <row r="10" spans="2:19" x14ac:dyDescent="0.75">
      <c r="B10" s="50">
        <f>'Asset Prices'!$B11</f>
        <v>44468</v>
      </c>
      <c r="C10" s="47" cm="1">
        <f t="array" ref="C10">(MMULT('Asset Prices'!$C11:$P11,Table8[24-set]) + 'Value History'!$F$7) / (MMULT('Asset Prices'!$C10:$P10,Table8[24-set]) + 'Value History'!$F$7) - 1</f>
        <v>9.4232152429469807E-3</v>
      </c>
      <c r="D10" s="47" cm="1">
        <f t="array" ref="D10">MMULT('Asset Prices'!$C11:$H11,'Rebalancing History'!$D$4:$D$9) / MMULT(Table15[[#This Row],[0P00002C7V.F]:[GERUX]],'Rebalancing History'!$D$4:$D$9) - 1</f>
        <v>9.4330788206762328E-3</v>
      </c>
      <c r="E10" s="13" cm="1">
        <f t="array" ref="E10">MMULT('Asset Prices'!$I11:$L11,'Rebalancing History'!$D$10:$D$13)/MMULT('Asset Prices'!$I10:$L10,'Rebalancing History'!$D$10:$D$13) - 1</f>
        <v>8.8576690176849215E-3</v>
      </c>
      <c r="F10" s="13" cm="1">
        <f t="array" ref="F10">MMULT('Asset Prices'!$M11:$O11,'Rebalancing History'!$D$14:$D$16) / MMULT('Asset Prices'!$M10:$O10,'Rebalancing History'!$D$14:$D$16) - 1</f>
        <v>8.4135325588705623E-3</v>
      </c>
      <c r="G10" s="13">
        <f>'Asset Returns'!$P11</f>
        <v>5.450870042088507E-2</v>
      </c>
      <c r="I10" s="25" t="s">
        <v>56</v>
      </c>
      <c r="J10" s="26"/>
      <c r="K10" s="26"/>
      <c r="L10" s="27"/>
      <c r="N10" s="28">
        <f>Table13[[#This Row],[Date]]</f>
        <v>44468</v>
      </c>
      <c r="O10" s="13">
        <f>Table13[[#This Row],[Entire Fund]]</f>
        <v>9.4232152429469807E-3</v>
      </c>
      <c r="P10" s="13" cm="1">
        <f t="array" ref="P10">MMULT('Asset Returns'!$S11:$T11,Table16[1st interval])</f>
        <v>1.4367771374274451E-2</v>
      </c>
      <c r="Q10" s="13">
        <f t="shared" si="0"/>
        <v>-4.9445561313274707E-3</v>
      </c>
    </row>
    <row r="11" spans="2:19" x14ac:dyDescent="0.75">
      <c r="B11" s="50">
        <f>'Asset Prices'!$B12</f>
        <v>44469</v>
      </c>
      <c r="C11" s="47" cm="1">
        <f t="array" ref="C11">(MMULT('Asset Prices'!$C12:$P12,Table8[24-set]) + 'Value History'!$F$7) / (MMULT('Asset Prices'!$C11:$P11,Table8[24-set]) + 'Value History'!$F$7) - 1</f>
        <v>1.6234918393338571E-3</v>
      </c>
      <c r="D11" s="47" cm="1">
        <f t="array" ref="D11">MMULT('Asset Prices'!$C12:$H12,'Rebalancing History'!$D$4:$D$9) / MMULT(Table15[[#This Row],[0P00002C7V.F]:[GERUX]],'Rebalancing History'!$D$4:$D$9) - 1</f>
        <v>-1.0375578353785109E-2</v>
      </c>
      <c r="E11" s="13" cm="1">
        <f t="array" ref="E11">MMULT('Asset Prices'!$I12:$L12,'Rebalancing History'!$D$10:$D$13)/MMULT('Asset Prices'!$I11:$L11,'Rebalancing History'!$D$10:$D$13) - 1</f>
        <v>1.596739252586632E-3</v>
      </c>
      <c r="F11" s="13" cm="1">
        <f t="array" ref="F11">MMULT('Asset Prices'!$M12:$O12,'Rebalancing History'!$D$14:$D$16) / MMULT('Asset Prices'!$M11:$O11,'Rebalancing History'!$D$14:$D$16) - 1</f>
        <v>7.6452012112444567E-3</v>
      </c>
      <c r="G11" s="13">
        <f>'Asset Returns'!$P12</f>
        <v>9.9983300282200815E-2</v>
      </c>
      <c r="I11" s="44" t="s">
        <v>71</v>
      </c>
      <c r="J11" s="32" t="s">
        <v>79</v>
      </c>
      <c r="K11" s="32" t="s">
        <v>64</v>
      </c>
      <c r="L11" s="32" t="s">
        <v>65</v>
      </c>
      <c r="N11" s="28">
        <f>Table13[[#This Row],[Date]]</f>
        <v>44469</v>
      </c>
      <c r="O11" s="13">
        <f>Table13[[#This Row],[Entire Fund]]</f>
        <v>1.6234918393338571E-3</v>
      </c>
      <c r="P11" s="13" cm="1">
        <f t="array" ref="P11">MMULT('Asset Returns'!$S12:$T12,Table16[1st interval])</f>
        <v>-4.3769963403865735E-4</v>
      </c>
      <c r="Q11" s="13">
        <f t="shared" si="0"/>
        <v>2.0611914733725143E-3</v>
      </c>
    </row>
    <row r="12" spans="2:19" x14ac:dyDescent="0.75">
      <c r="B12" s="50">
        <f>'Asset Prices'!$B13</f>
        <v>44470</v>
      </c>
      <c r="C12" s="47" cm="1">
        <f t="array" ref="C12">(MMULT('Asset Prices'!$C13:$P13,Table8[24-set]) + 'Value History'!$F$7) / (MMULT('Asset Prices'!$C12:$P12,Table8[24-set]) + 'Value History'!$F$7) - 1</f>
        <v>8.4296792668139275E-3</v>
      </c>
      <c r="D12" s="47" cm="1">
        <f t="array" ref="D12">MMULT('Asset Prices'!$C13:$H13,'Rebalancing History'!$D$4:$D$9) / MMULT(Table15[[#This Row],[0P00002C7V.F]:[GERUX]],'Rebalancing History'!$D$4:$D$9) - 1</f>
        <v>1.9661344641851652E-2</v>
      </c>
      <c r="E12" s="13" cm="1">
        <f t="array" ref="E12">MMULT('Asset Prices'!$I13:$L13,'Rebalancing History'!$D$10:$D$13)/MMULT('Asset Prices'!$I12:$L12,'Rebalancing History'!$D$10:$D$13) - 1</f>
        <v>1.2296061495420396E-3</v>
      </c>
      <c r="F12" s="13" cm="1">
        <f t="array" ref="F12">MMULT('Asset Prices'!$M13:$O13,'Rebalancing History'!$D$14:$D$16) / MMULT('Asset Prices'!$M12:$O12,'Rebalancing History'!$D$14:$D$16) - 1</f>
        <v>1.5375302697377746E-2</v>
      </c>
      <c r="G12" s="13">
        <f>'Asset Returns'!$P13</f>
        <v>2.5450639920239881E-2</v>
      </c>
      <c r="I12" s="56" t="s">
        <v>76</v>
      </c>
      <c r="J12" s="13">
        <f>AVERAGE($Q$6:$Q$16)</f>
        <v>4.6324879369443218E-3</v>
      </c>
      <c r="K12" s="13">
        <f>_xlfn.STDEV.P($Q$6:$Q$16)</f>
        <v>7.0978716648955886E-3</v>
      </c>
      <c r="L12" s="13">
        <f>$J12/$K12</f>
        <v>0.6526587342872826</v>
      </c>
      <c r="N12" s="28">
        <f>Table13[[#This Row],[Date]]</f>
        <v>44470</v>
      </c>
      <c r="O12" s="13">
        <f>Table13[[#This Row],[Entire Fund]]</f>
        <v>8.4296792668139275E-3</v>
      </c>
      <c r="P12" s="13" cm="1">
        <f t="array" ref="P12">MMULT('Asset Returns'!$S13:$T13,Table16[1st interval])</f>
        <v>3.8623830504432629E-3</v>
      </c>
      <c r="Q12" s="13">
        <f t="shared" si="0"/>
        <v>4.5672962163706646E-3</v>
      </c>
    </row>
    <row r="13" spans="2:19" x14ac:dyDescent="0.75">
      <c r="B13" s="50">
        <f>'Asset Prices'!$B14</f>
        <v>44473</v>
      </c>
      <c r="C13" s="47" cm="1">
        <f t="array" ref="C13">(MMULT('Asset Prices'!$C14:$P14,Table8[24-set]) + 'Value History'!$F$7) / (MMULT('Asset Prices'!$C13:$P13,Table8[24-set]) + 'Value History'!$F$7) - 1</f>
        <v>-3.3241438410949176E-3</v>
      </c>
      <c r="D13" s="47" cm="1">
        <f t="array" ref="D13">MMULT('Asset Prices'!$C14:$H14,'Rebalancing History'!$D$4:$D$9) / MMULT(Table15[[#This Row],[0P00002C7V.F]:[GERUX]],'Rebalancing History'!$D$4:$D$9) - 1</f>
        <v>-9.1674849608928133E-3</v>
      </c>
      <c r="E13" s="13" cm="1">
        <f t="array" ref="E13">MMULT('Asset Prices'!$I14:$L14,'Rebalancing History'!$D$10:$D$13)/MMULT('Asset Prices'!$I13:$L13,'Rebalancing History'!$D$10:$D$13) - 1</f>
        <v>-6.0874130260495374E-3</v>
      </c>
      <c r="F13" s="13" cm="1">
        <f t="array" ref="F13">MMULT('Asset Prices'!$M14:$O14,'Rebalancing History'!$D$14:$D$16) / MMULT('Asset Prices'!$M13:$O13,'Rebalancing History'!$D$14:$D$16) - 1</f>
        <v>9.6654825480064765E-3</v>
      </c>
      <c r="G13" s="13">
        <f>'Asset Returns'!$P14</f>
        <v>3.7221795023084647E-2</v>
      </c>
      <c r="I13" s="56" t="s">
        <v>77</v>
      </c>
      <c r="J13" s="13">
        <f>AVERAGE($Q$17:$Q$26)</f>
        <v>1.7074207390674784E-4</v>
      </c>
      <c r="K13" s="13">
        <f>_xlfn.STDEV.P($Q$17:$Q$26)</f>
        <v>6.2451516394636739E-3</v>
      </c>
      <c r="L13" s="13">
        <f t="shared" ref="L13:L15" si="1">$J13/$K13</f>
        <v>2.7339940447212416E-2</v>
      </c>
      <c r="N13" s="28">
        <f>Table13[[#This Row],[Date]]</f>
        <v>44473</v>
      </c>
      <c r="O13" s="13">
        <f>Table13[[#This Row],[Entire Fund]]</f>
        <v>-3.3241438410949176E-3</v>
      </c>
      <c r="P13" s="13" cm="1">
        <f t="array" ref="P13">MMULT('Asset Returns'!$S14:$T14,Table16[1st interval])</f>
        <v>-1.5987140217445562E-2</v>
      </c>
      <c r="Q13" s="13">
        <f t="shared" si="0"/>
        <v>1.2662996376350644E-2</v>
      </c>
    </row>
    <row r="14" spans="2:19" x14ac:dyDescent="0.75">
      <c r="B14" s="50">
        <f>'Asset Prices'!$B15</f>
        <v>44474</v>
      </c>
      <c r="C14" s="47" cm="1">
        <f t="array" ref="C14">(MMULT('Asset Prices'!$C15:$P15,Table8[24-set]) + 'Value History'!$F$7) / (MMULT('Asset Prices'!$C14:$P14,Table8[24-set]) + 'Value History'!$F$7) - 1</f>
        <v>7.3648236271837142E-3</v>
      </c>
      <c r="D14" s="47" cm="1">
        <f t="array" ref="D14">MMULT('Asset Prices'!$C15:$H15,'Rebalancing History'!$D$4:$D$9) / MMULT(Table15[[#This Row],[0P00002C7V.F]:[GERUX]],'Rebalancing History'!$D$4:$D$9) - 1</f>
        <v>1.476071683178759E-2</v>
      </c>
      <c r="E14" s="13" cm="1">
        <f t="array" ref="E14">MMULT('Asset Prices'!$I15:$L15,'Rebalancing History'!$D$10:$D$13)/MMULT('Asset Prices'!$I14:$L14,'Rebalancing History'!$D$10:$D$13) - 1</f>
        <v>1.6163507302799918E-3</v>
      </c>
      <c r="F14" s="13" cm="1">
        <f t="array" ref="F14">MMULT('Asset Prices'!$M15:$O15,'Rebalancing History'!$D$14:$D$16) / MMULT('Asset Prices'!$M14:$O14,'Rebalancing History'!$D$14:$D$16) - 1</f>
        <v>1.672686869044826E-2</v>
      </c>
      <c r="G14" s="13">
        <f>'Asset Returns'!$P15</f>
        <v>2.1223080915158343E-2</v>
      </c>
      <c r="I14" s="56" t="s">
        <v>78</v>
      </c>
      <c r="J14" s="13">
        <f>AVERAGE($Q$27:$Q$35)</f>
        <v>3.1771230848056786E-4</v>
      </c>
      <c r="K14" s="13">
        <f>_xlfn.STDEV.P($Q$27:$Q$35)</f>
        <v>6.6293943491318201E-3</v>
      </c>
      <c r="L14" s="13">
        <f t="shared" si="1"/>
        <v>4.7924786450843006E-2</v>
      </c>
      <c r="N14" s="28">
        <f>Table13[[#This Row],[Date]]</f>
        <v>44474</v>
      </c>
      <c r="O14" s="13">
        <f>Table13[[#This Row],[Entire Fund]]</f>
        <v>7.3648236271837142E-3</v>
      </c>
      <c r="P14" s="13" cm="1">
        <f t="array" ref="P14">MMULT('Asset Returns'!$S15:$T15,Table16[1st interval])</f>
        <v>7.3538318211613714E-3</v>
      </c>
      <c r="Q14" s="13">
        <f t="shared" si="0"/>
        <v>1.0991806022342746E-5</v>
      </c>
    </row>
    <row r="15" spans="2:19" x14ac:dyDescent="0.75">
      <c r="B15" s="50">
        <f>'Asset Prices'!$B16</f>
        <v>44475</v>
      </c>
      <c r="C15" s="47" cm="1">
        <f t="array" ref="C15">(MMULT('Asset Prices'!$C16:$P16,Table8[24-set]) + 'Value History'!$F$7) / (MMULT('Asset Prices'!$C15:$P15,Table8[24-set]) + 'Value History'!$F$7) - 1</f>
        <v>4.1136126112872873E-4</v>
      </c>
      <c r="D15" s="47" cm="1">
        <f t="array" ref="D15">MMULT('Asset Prices'!$C16:$H16,'Rebalancing History'!$D$4:$D$9) / MMULT(Table15[[#This Row],[0P00002C7V.F]:[GERUX]],'Rebalancing History'!$D$4:$D$9) - 1</f>
        <v>3.5446801014944462E-3</v>
      </c>
      <c r="E15" s="13" cm="1">
        <f t="array" ref="E15">MMULT('Asset Prices'!$I16:$L16,'Rebalancing History'!$D$10:$D$13)/MMULT('Asset Prices'!$I15:$L15,'Rebalancing History'!$D$10:$D$13) - 1</f>
        <v>2.104909587732573E-3</v>
      </c>
      <c r="F15" s="13" cm="1">
        <f t="array" ref="F15">MMULT('Asset Prices'!$M16:$O16,'Rebalancing History'!$D$14:$D$16) / MMULT('Asset Prices'!$M15:$O15,'Rebalancing History'!$D$14:$D$16) - 1</f>
        <v>-1.5616318040255983E-2</v>
      </c>
      <c r="G15" s="13">
        <f>'Asset Returns'!$P16</f>
        <v>1.6881207542889243E-3</v>
      </c>
      <c r="I15" s="56" t="s">
        <v>75</v>
      </c>
      <c r="J15" s="13">
        <f>AVERAGE($Q$6:$Q$35)</f>
        <v>1.8508066273926714E-3</v>
      </c>
      <c r="K15" s="13">
        <f>_xlfn.STDEV.P($Q$6:$Q$35)</f>
        <v>7.0100676448286228E-3</v>
      </c>
      <c r="L15" s="13">
        <f t="shared" si="1"/>
        <v>0.26402122221431412</v>
      </c>
      <c r="N15" s="28">
        <f>Table13[[#This Row],[Date]]</f>
        <v>44475</v>
      </c>
      <c r="O15" s="13">
        <f>Table13[[#This Row],[Entire Fund]]</f>
        <v>4.1136126112872873E-4</v>
      </c>
      <c r="P15" s="13" cm="1">
        <f t="array" ref="P15">MMULT('Asset Returns'!$S16:$T16,Table16[1st interval])</f>
        <v>2.4352405464271531E-3</v>
      </c>
      <c r="Q15" s="13">
        <f t="shared" si="0"/>
        <v>-2.0238792852984243E-3</v>
      </c>
    </row>
    <row r="16" spans="2:19" x14ac:dyDescent="0.75">
      <c r="B16" s="46">
        <f>'Asset Prices'!$B17</f>
        <v>44476</v>
      </c>
      <c r="C16" s="48" cm="1">
        <f t="array" ref="C16">(MMULT('Asset Prices'!$C17:$P17,Table8[24-set]) + 'Value History'!$F$7) / (MMULT('Asset Prices'!$C16:$P16,Table8[24-set]) + 'Value History'!$F$7) - 1</f>
        <v>2.9963531116716791E-3</v>
      </c>
      <c r="D16" s="48" cm="1">
        <f t="array" ref="D16">MMULT('Asset Prices'!$C17:$H17,'Rebalancing History'!$D$4:$D$9) / MMULT(Table15[[#This Row],[0P00002C7V.F]:[GERUX]],'Rebalancing History'!$D$4:$D$9) - 1</f>
        <v>7.1127138879516494E-3</v>
      </c>
      <c r="E16" s="15" cm="1">
        <f t="array" ref="E16">MMULT('Asset Prices'!$I17:$L17,'Rebalancing History'!$D$10:$D$13)/MMULT('Asset Prices'!$I16:$L16,'Rebalancing History'!$D$10:$D$13) - 1</f>
        <v>3.1179265288505675E-5</v>
      </c>
      <c r="F16" s="15" cm="1">
        <f t="array" ref="F16">MMULT('Asset Prices'!$M17:$O17,'Rebalancing History'!$D$14:$D$16) / MMULT('Asset Prices'!$M16:$O16,'Rebalancing History'!$D$14:$D$16) - 1</f>
        <v>1.1980000648210476E-2</v>
      </c>
      <c r="G16" s="15">
        <f>'Asset Returns'!$P17</f>
        <v>-7.5642345240712894E-3</v>
      </c>
      <c r="N16" s="29">
        <f>Table13[[#This Row],[Date]]</f>
        <v>44476</v>
      </c>
      <c r="O16" s="15">
        <f>Table13[[#This Row],[Entire Fund]]</f>
        <v>2.9963531116716791E-3</v>
      </c>
      <c r="P16" s="15" cm="1">
        <f t="array" ref="P16">MMULT('Asset Returns'!$S17:$T17,Table16[1st interval])</f>
        <v>1.736096571578194E-3</v>
      </c>
      <c r="Q16" s="15">
        <f t="shared" si="0"/>
        <v>1.2602565400934851E-3</v>
      </c>
    </row>
    <row r="17" spans="2:17" x14ac:dyDescent="0.75">
      <c r="B17" s="50">
        <f>'Asset Prices'!$B18</f>
        <v>44477</v>
      </c>
      <c r="C17" s="45" cm="1">
        <f t="array" ref="C17">(MMULT('Asset Prices'!$C18:$P18,Table8[9-ott]) + 'Value History'!$F$9)/(MMULT('Asset Prices'!$C17:$P17,Table8[9-ott])  + 'Value History'!$F$9)- 1</f>
        <v>1.541145637488972E-3</v>
      </c>
      <c r="D17" s="45" cm="1">
        <f t="array" ref="D17">MMULT('Asset Prices'!$C18:$H18,'Rebalancing History'!$E$4:$E$9)/MMULT('Asset Prices'!$C17:$H17,'Rebalancing History'!$E$4:$E$9) - 1</f>
        <v>3.1801855610442686E-3</v>
      </c>
      <c r="E17" s="45" cm="1">
        <f t="array" ref="E17">MMULT('Asset Prices'!$I18:$L18,'Rebalancing History'!$E$10:$E$13)/MMULT('Asset Prices'!$I17:$L17,'Rebalancing History'!$E$10:$E$13) - 1</f>
        <v>-4.7080185490233628E-4</v>
      </c>
      <c r="F17" s="45" cm="1">
        <f t="array" ref="F17">MMULT('Asset Prices'!$M18:$O18,'Rebalancing History'!$E$14:$E$16)/MMULT('Asset Prices'!$M17:$O17,'Rebalancing History'!$E$14:$E$16) - 1</f>
        <v>4.2471314431071772E-3</v>
      </c>
      <c r="G17" s="13">
        <f>'Asset Returns'!$P18</f>
        <v>3.2474004113500765E-3</v>
      </c>
      <c r="N17" s="28">
        <f>Table13[[#This Row],[Date]]</f>
        <v>44477</v>
      </c>
      <c r="O17" s="13">
        <f>Table13[[#This Row],[Entire Fund]]</f>
        <v>1.541145637488972E-3</v>
      </c>
      <c r="P17" s="13" cm="1">
        <f t="array" ref="P17">MMULT('Asset Returns'!$S18:$T18,Table16[2nd interval])</f>
        <v>-8.3273496876725313E-3</v>
      </c>
      <c r="Q17" s="13">
        <f t="shared" si="0"/>
        <v>9.8684953251615033E-3</v>
      </c>
    </row>
    <row r="18" spans="2:17" x14ac:dyDescent="0.75">
      <c r="B18" s="50">
        <f>'Asset Prices'!$B19</f>
        <v>44480</v>
      </c>
      <c r="C18" s="45" cm="1">
        <f t="array" ref="C18">(MMULT('Asset Prices'!$C19:$P19,Table8[9-ott]) + 'Value History'!$F$9)/(MMULT('Asset Prices'!$C18:$P18,Table8[9-ott])  + 'Value History'!$F$9)- 1</f>
        <v>-1.9051976794979275E-3</v>
      </c>
      <c r="D18" s="45" cm="1">
        <f t="array" ref="D18">MMULT('Asset Prices'!$C19:$H19,'Rebalancing History'!$E$4:$E$9)/MMULT('Asset Prices'!$C18:$H18,'Rebalancing History'!$E$4:$E$9) - 1</f>
        <v>-6.4130220597455878E-3</v>
      </c>
      <c r="E18" s="45" cm="1">
        <f t="array" ref="E18">MMULT('Asset Prices'!$I19:$L19,'Rebalancing History'!$E$10:$E$13)/MMULT('Asset Prices'!$I18:$L18,'Rebalancing History'!$E$10:$E$13) - 1</f>
        <v>1.1098671931142334E-4</v>
      </c>
      <c r="F18" s="45" cm="1">
        <f t="array" ref="F18">MMULT('Asset Prices'!$M19:$O19,'Rebalancing History'!$E$14:$E$16)/MMULT('Asset Prices'!$M18:$O18,'Rebalancing History'!$E$14:$E$16) - 1</f>
        <v>7.5311640763202625E-3</v>
      </c>
      <c r="G18" s="13">
        <f>'Asset Returns'!$P19</f>
        <v>-1.9896984236063342E-2</v>
      </c>
      <c r="N18" s="28">
        <f>Table13[[#This Row],[Date]]</f>
        <v>44480</v>
      </c>
      <c r="O18" s="13">
        <f>Table13[[#This Row],[Entire Fund]]</f>
        <v>-1.9051976794979275E-3</v>
      </c>
      <c r="P18" s="13" cm="1">
        <f t="array" ref="P18">MMULT('Asset Returns'!$S19:$T19,Table16[2nd interval])</f>
        <v>-2.5187612796497838E-3</v>
      </c>
      <c r="Q18" s="13">
        <f t="shared" si="0"/>
        <v>6.1356360015185629E-4</v>
      </c>
    </row>
    <row r="19" spans="2:17" x14ac:dyDescent="0.75">
      <c r="B19" s="50">
        <f>'Asset Prices'!$B20</f>
        <v>44481</v>
      </c>
      <c r="C19" s="45" cm="1">
        <f t="array" ref="C19">(MMULT('Asset Prices'!$C20:$P20,Table8[9-ott]) + 'Value History'!$F$9)/(MMULT('Asset Prices'!$C19:$P19,Table8[9-ott])  + 'Value History'!$F$9)- 1</f>
        <v>1.4989366768325407E-3</v>
      </c>
      <c r="D19" s="45" cm="1">
        <f t="array" ref="D19">MMULT('Asset Prices'!$C20:$H20,'Rebalancing History'!$E$4:$E$9)/MMULT('Asset Prices'!$C19:$H19,'Rebalancing History'!$E$4:$E$9) - 1</f>
        <v>4.1551956531837853E-4</v>
      </c>
      <c r="E19" s="45" cm="1">
        <f t="array" ref="E19">MMULT('Asset Prices'!$I20:$L20,'Rebalancing History'!$E$10:$E$13)/MMULT('Asset Prices'!$I19:$L19,'Rebalancing History'!$E$10:$E$13) - 1</f>
        <v>1.3693057726000823E-3</v>
      </c>
      <c r="F19" s="45" cm="1">
        <f t="array" ref="F19">MMULT('Asset Prices'!$M20:$O20,'Rebalancing History'!$E$14:$E$16)/MMULT('Asset Prices'!$M19:$O19,'Rebalancing History'!$E$14:$E$16) - 1</f>
        <v>1.1389066368505674E-4</v>
      </c>
      <c r="G19" s="13">
        <f>'Asset Returns'!$P20</f>
        <v>2.6643268341508319E-2</v>
      </c>
      <c r="N19" s="28">
        <f>Table13[[#This Row],[Date]]</f>
        <v>44481</v>
      </c>
      <c r="O19" s="13">
        <f>Table13[[#This Row],[Entire Fund]]</f>
        <v>1.4989366768325407E-3</v>
      </c>
      <c r="P19" s="13" cm="1">
        <f t="array" ref="P19">MMULT('Asset Returns'!$S20:$T20,Table16[2nd interval])</f>
        <v>2.3759410879345693E-3</v>
      </c>
      <c r="Q19" s="13">
        <f t="shared" si="0"/>
        <v>-8.7700441110202853E-4</v>
      </c>
    </row>
    <row r="20" spans="2:17" x14ac:dyDescent="0.75">
      <c r="B20" s="50">
        <f>'Asset Prices'!$B21</f>
        <v>44482</v>
      </c>
      <c r="C20" s="45" cm="1">
        <f t="array" ref="C20">(MMULT('Asset Prices'!$C21:$P21,Table8[9-ott]) + 'Value History'!$F$9)/(MMULT('Asset Prices'!$C20:$P20,Table8[9-ott])  + 'Value History'!$F$9)- 1</f>
        <v>-2.8317496718753832E-3</v>
      </c>
      <c r="D20" s="45" cm="1">
        <f t="array" ref="D20">MMULT('Asset Prices'!$C21:$H21,'Rebalancing History'!$E$4:$E$9)/MMULT('Asset Prices'!$C20:$H20,'Rebalancing History'!$E$4:$E$9) - 1</f>
        <v>-7.4990933769411017E-3</v>
      </c>
      <c r="E20" s="45" cm="1">
        <f t="array" ref="E20">MMULT('Asset Prices'!$I21:$L21,'Rebalancing History'!$E$10:$E$13)/MMULT('Asset Prices'!$I20:$L20,'Rebalancing History'!$E$10:$E$13) - 1</f>
        <v>-4.4343412230337664E-3</v>
      </c>
      <c r="F20" s="45" cm="1">
        <f t="array" ref="F20">MMULT('Asset Prices'!$M21:$O21,'Rebalancing History'!$E$14:$E$16)/MMULT('Asset Prices'!$M20:$O20,'Rebalancing History'!$E$14:$E$16) - 1</f>
        <v>4.2073740164028095E-4</v>
      </c>
      <c r="G20" s="13">
        <f>'Asset Returns'!$P21</f>
        <v>5.0436683656876369E-2</v>
      </c>
      <c r="N20" s="28">
        <f>Table13[[#This Row],[Date]]</f>
        <v>44482</v>
      </c>
      <c r="O20" s="13">
        <f>Table13[[#This Row],[Entire Fund]]</f>
        <v>-2.8317496718753832E-3</v>
      </c>
      <c r="P20" s="13" cm="1">
        <f t="array" ref="P20">MMULT('Asset Returns'!$S21:$T21,Table16[2nd interval])</f>
        <v>-1.2375875873248067E-3</v>
      </c>
      <c r="Q20" s="13">
        <f t="shared" si="0"/>
        <v>-1.5941620845505765E-3</v>
      </c>
    </row>
    <row r="21" spans="2:17" x14ac:dyDescent="0.75">
      <c r="B21" s="50">
        <f>'Asset Prices'!$B22</f>
        <v>44483</v>
      </c>
      <c r="C21" s="45" cm="1">
        <f t="array" ref="C21">(MMULT('Asset Prices'!$C22:$P22,Table8[9-ott]) + 'Value History'!$F$9)/(MMULT('Asset Prices'!$C21:$P21,Table8[9-ott])  + 'Value History'!$F$9)- 1</f>
        <v>8.66583605337512E-3</v>
      </c>
      <c r="D21" s="45" cm="1">
        <f t="array" ref="D21">MMULT('Asset Prices'!$C22:$H22,'Rebalancing History'!$E$4:$E$9)/MMULT('Asset Prices'!$C21:$H21,'Rebalancing History'!$E$4:$E$9) - 1</f>
        <v>1.6318082235498466E-2</v>
      </c>
      <c r="E21" s="45" cm="1">
        <f t="array" ref="E21">MMULT('Asset Prices'!$I22:$L22,'Rebalancing History'!$E$10:$E$13)/MMULT('Asset Prices'!$I21:$L21,'Rebalancing History'!$E$10:$E$13) - 1</f>
        <v>2.1387407280586412E-3</v>
      </c>
      <c r="F21" s="45" cm="1">
        <f t="array" ref="F21">MMULT('Asset Prices'!$M22:$O22,'Rebalancing History'!$E$14:$E$16)/MMULT('Asset Prices'!$M21:$O21,'Rebalancing History'!$E$14:$E$16) - 1</f>
        <v>1.2165659755219771E-2</v>
      </c>
      <c r="G21" s="13">
        <f>'Asset Returns'!$P22</f>
        <v>1.9424260459445675E-2</v>
      </c>
      <c r="N21" s="28">
        <f>Table13[[#This Row],[Date]]</f>
        <v>44483</v>
      </c>
      <c r="O21" s="13">
        <f>Table13[[#This Row],[Entire Fund]]</f>
        <v>8.66583605337512E-3</v>
      </c>
      <c r="P21" s="13" cm="1">
        <f t="array" ref="P21">MMULT('Asset Returns'!$S22:$T22,Table16[2nd interval])</f>
        <v>1.2772604384017229E-2</v>
      </c>
      <c r="Q21" s="13">
        <f t="shared" si="0"/>
        <v>-4.1067683306421094E-3</v>
      </c>
    </row>
    <row r="22" spans="2:17" x14ac:dyDescent="0.75">
      <c r="B22" s="50">
        <f>'Asset Prices'!$B23</f>
        <v>44484</v>
      </c>
      <c r="C22" s="45" cm="1">
        <f t="array" ref="C22">(MMULT('Asset Prices'!$C23:$P23,Table8[9-ott]) + 'Value History'!$F$9)/(MMULT('Asset Prices'!$C22:$P22,Table8[9-ott])  + 'Value History'!$F$9)- 1</f>
        <v>4.1034485419373379E-3</v>
      </c>
      <c r="D22" s="45" cm="1">
        <f t="array" ref="D22">MMULT('Asset Prices'!$C23:$H23,'Rebalancing History'!$E$4:$E$9)/MMULT('Asset Prices'!$C22:$H22,'Rebalancing History'!$E$4:$E$9) - 1</f>
        <v>8.6474608258726438E-3</v>
      </c>
      <c r="E22" s="45" cm="1">
        <f t="array" ref="E22">MMULT('Asset Prices'!$I23:$L23,'Rebalancing History'!$E$10:$E$13)/MMULT('Asset Prices'!$I22:$L22,'Rebalancing History'!$E$10:$E$13) - 1</f>
        <v>1.3208332852139293E-3</v>
      </c>
      <c r="F22" s="45" cm="1">
        <f t="array" ref="F22">MMULT('Asset Prices'!$M23:$O23,'Rebalancing History'!$E$14:$E$16)/MMULT('Asset Prices'!$M22:$O22,'Rebalancing History'!$E$14:$E$16) - 1</f>
        <v>6.5474071198288186E-3</v>
      </c>
      <c r="G22" s="13">
        <f>'Asset Returns'!$P23</f>
        <v>-8.3498998676265757E-3</v>
      </c>
      <c r="N22" s="28">
        <f>Table13[[#This Row],[Date]]</f>
        <v>44484</v>
      </c>
      <c r="O22" s="13">
        <f>Table13[[#This Row],[Entire Fund]]</f>
        <v>4.1034485419373379E-3</v>
      </c>
      <c r="P22" s="13" cm="1">
        <f t="array" ref="P22">MMULT('Asset Returns'!$S23:$T23,Table16[2nd interval])</f>
        <v>1.6712471084006475E-3</v>
      </c>
      <c r="Q22" s="13">
        <f t="shared" si="0"/>
        <v>2.4322014335366902E-3</v>
      </c>
    </row>
    <row r="23" spans="2:17" x14ac:dyDescent="0.75">
      <c r="B23" s="50">
        <f>'Asset Prices'!$B24</f>
        <v>44487</v>
      </c>
      <c r="C23" s="45" cm="1">
        <f t="array" ref="C23">(MMULT('Asset Prices'!$C24:$P24,Table8[9-ott]) + 'Value History'!$F$9)/(MMULT('Asset Prices'!$C23:$P23,Table8[9-ott])  + 'Value History'!$F$9)- 1</f>
        <v>-1.8781906247649083E-3</v>
      </c>
      <c r="D23" s="45" cm="1">
        <f t="array" ref="D23">MMULT('Asset Prices'!$C24:$H24,'Rebalancing History'!$E$4:$E$9)/MMULT('Asset Prices'!$C23:$H23,'Rebalancing History'!$E$4:$E$9) - 1</f>
        <v>8.106450040679114E-5</v>
      </c>
      <c r="E23" s="45" cm="1">
        <f t="array" ref="E23">MMULT('Asset Prices'!$I24:$L24,'Rebalancing History'!$E$10:$E$13)/MMULT('Asset Prices'!$I23:$L23,'Rebalancing History'!$E$10:$E$13) - 1</f>
        <v>-2.8856235738390357E-3</v>
      </c>
      <c r="F23" s="45" cm="1">
        <f t="array" ref="F23">MMULT('Asset Prices'!$M24:$O24,'Rebalancing History'!$E$14:$E$16)/MMULT('Asset Prices'!$M23:$O23,'Rebalancing History'!$E$14:$E$16) - 1</f>
        <v>-8.5969993650115706E-3</v>
      </c>
      <c r="G23" s="13">
        <f>'Asset Returns'!$P24</f>
        <v>9.4001304345543435E-3</v>
      </c>
      <c r="N23" s="28">
        <f>Table13[[#This Row],[Date]]</f>
        <v>44487</v>
      </c>
      <c r="O23" s="13">
        <f>Table13[[#This Row],[Entire Fund]]</f>
        <v>-1.8781906247649083E-3</v>
      </c>
      <c r="P23" s="13" cm="1">
        <f t="array" ref="P23">MMULT('Asset Returns'!$S24:$T24,Table16[2nd interval])</f>
        <v>8.0234524743851834E-4</v>
      </c>
      <c r="Q23" s="13">
        <f t="shared" si="0"/>
        <v>-2.6805358722034266E-3</v>
      </c>
    </row>
    <row r="24" spans="2:17" x14ac:dyDescent="0.75">
      <c r="B24" s="50">
        <f>'Asset Prices'!$B25</f>
        <v>44488</v>
      </c>
      <c r="C24" s="45" cm="1">
        <f t="array" ref="C24">(MMULT('Asset Prices'!$C25:$P25,Table8[9-ott]) + 'Value History'!$F$9)/(MMULT('Asset Prices'!$C24:$P24,Table8[9-ott])  + 'Value History'!$F$9)- 1</f>
        <v>3.7464816366437059E-3</v>
      </c>
      <c r="D24" s="45" cm="1">
        <f t="array" ref="D24">MMULT('Asset Prices'!$C25:$H25,'Rebalancing History'!$E$4:$E$9)/MMULT('Asset Prices'!$C24:$H24,'Rebalancing History'!$E$4:$E$9) - 1</f>
        <v>5.8811260224704842E-3</v>
      </c>
      <c r="E24" s="45" cm="1">
        <f t="array" ref="E24">MMULT('Asset Prices'!$I25:$L25,'Rebalancing History'!$E$10:$E$13)/MMULT('Asset Prices'!$I24:$L24,'Rebalancing History'!$E$10:$E$13) - 1</f>
        <v>-1.8000329635065038E-3</v>
      </c>
      <c r="F24" s="45" cm="1">
        <f t="array" ref="F24">MMULT('Asset Prices'!$M25:$O25,'Rebalancing History'!$E$14:$E$16)/MMULT('Asset Prices'!$M24:$O24,'Rebalancing History'!$E$14:$E$16) - 1</f>
        <v>9.8376331193072986E-4</v>
      </c>
      <c r="G24" s="13">
        <f>'Asset Returns'!$P25</f>
        <v>7.0032745906139171E-2</v>
      </c>
      <c r="N24" s="28">
        <f>Table13[[#This Row],[Date]]</f>
        <v>44488</v>
      </c>
      <c r="O24" s="13">
        <f>Table13[[#This Row],[Entire Fund]]</f>
        <v>3.7464816366437059E-3</v>
      </c>
      <c r="P24" s="13" cm="1">
        <f t="array" ref="P24">MMULT('Asset Returns'!$S25:$T25,Table16[2nd interval])</f>
        <v>4.3987754101911074E-3</v>
      </c>
      <c r="Q24" s="13">
        <f t="shared" si="0"/>
        <v>-6.5229377354740145E-4</v>
      </c>
    </row>
    <row r="25" spans="2:17" x14ac:dyDescent="0.75">
      <c r="B25" s="50">
        <f>'Asset Prices'!$B26</f>
        <v>44489</v>
      </c>
      <c r="C25" s="45" cm="1">
        <f t="array" ref="C25">(MMULT('Asset Prices'!$C26:$P26,Table8[9-ott]) + 'Value History'!$F$9)/(MMULT('Asset Prices'!$C25:$P25,Table8[9-ott])  + 'Value History'!$F$9)- 1</f>
        <v>2.4717739393165239E-3</v>
      </c>
      <c r="D25" s="45" cm="1">
        <f t="array" ref="D25">MMULT('Asset Prices'!$C26:$H26,'Rebalancing History'!$E$4:$E$9)/MMULT('Asset Prices'!$C25:$H25,'Rebalancing History'!$E$4:$E$9) - 1</f>
        <v>8.4585333636530979E-3</v>
      </c>
      <c r="E25" s="45" cm="1">
        <f t="array" ref="E25">MMULT('Asset Prices'!$I26:$L26,'Rebalancing History'!$E$10:$E$13)/MMULT('Asset Prices'!$I25:$L25,'Rebalancing History'!$E$10:$E$13) - 1</f>
        <v>-2.0178577878351422E-3</v>
      </c>
      <c r="F25" s="45" cm="1">
        <f t="array" ref="F25">MMULT('Asset Prices'!$M26:$O26,'Rebalancing History'!$E$14:$E$16)/MMULT('Asset Prices'!$M25:$O25,'Rebalancing History'!$E$14:$E$16) - 1</f>
        <v>8.432816954205169E-3</v>
      </c>
      <c r="G25" s="13">
        <f>'Asset Returns'!$P26</f>
        <v>-2.2126199659315726E-2</v>
      </c>
      <c r="N25" s="28">
        <f>Table13[[#This Row],[Date]]</f>
        <v>44489</v>
      </c>
      <c r="O25" s="13">
        <f>Table13[[#This Row],[Entire Fund]]</f>
        <v>2.4717739393165239E-3</v>
      </c>
      <c r="P25" s="13" cm="1">
        <f t="array" ref="P25">MMULT('Asset Returns'!$S26:$T26,Table16[2nd interval])</f>
        <v>-8.2381098137032874E-3</v>
      </c>
      <c r="Q25" s="13">
        <f t="shared" si="0"/>
        <v>1.0709883753019811E-2</v>
      </c>
    </row>
    <row r="26" spans="2:17" x14ac:dyDescent="0.75">
      <c r="B26" s="46">
        <f>'Asset Prices'!$B27</f>
        <v>44490</v>
      </c>
      <c r="C26" s="49" cm="1">
        <f t="array" ref="C26">(MMULT('Asset Prices'!$C27:$P27,Table8[9-ott]) + 'Value History'!$F$9)/(MMULT('Asset Prices'!$C26:$P26,Table8[9-ott])  + 'Value History'!$F$9)- 1</f>
        <v>-1.2785866687617942E-3</v>
      </c>
      <c r="D26" s="49" cm="1">
        <f t="array" ref="D26">MMULT('Asset Prices'!$C27:$H27,'Rebalancing History'!$E$4:$E$9)/MMULT('Asset Prices'!$C26:$H26,'Rebalancing History'!$E$4:$E$9) - 1</f>
        <v>4.0332440598600527E-4</v>
      </c>
      <c r="E26" s="49" cm="1">
        <f t="array" ref="E26">MMULT('Asset Prices'!$I27:$L27,'Rebalancing History'!$E$10:$E$13)/MMULT('Asset Prices'!$I26:$L26,'Rebalancing History'!$E$10:$E$13) - 1</f>
        <v>2.4783452447059151E-3</v>
      </c>
      <c r="F26" s="49" cm="1">
        <f t="array" ref="F26">MMULT('Asset Prices'!$M27:$O27,'Rebalancing History'!$E$14:$E$16)/MMULT('Asset Prices'!$M26:$O26,'Rebalancing History'!$E$14:$E$16) - 1</f>
        <v>-1.3414412980696122E-2</v>
      </c>
      <c r="G26" s="15">
        <f>'Asset Returns'!$P27</f>
        <v>-2.2384573777349259E-2</v>
      </c>
      <c r="N26" s="29">
        <f>Table13[[#This Row],[Date]]</f>
        <v>44490</v>
      </c>
      <c r="O26" s="15">
        <f>Table13[[#This Row],[Entire Fund]]</f>
        <v>-1.2785866687617942E-3</v>
      </c>
      <c r="P26" s="15" cm="1">
        <f t="array" ref="P26">MMULT('Asset Returns'!$S27:$T27,Table16[2nd interval])</f>
        <v>1.0727372231995047E-2</v>
      </c>
      <c r="Q26" s="15">
        <f t="shared" si="0"/>
        <v>-1.2005958900756841E-2</v>
      </c>
    </row>
    <row r="27" spans="2:17" x14ac:dyDescent="0.75">
      <c r="B27" s="50">
        <f>'Asset Prices'!$B28</f>
        <v>44491</v>
      </c>
      <c r="C27" s="13" cm="1">
        <f t="array" ref="C27">(MMULT('Asset Prices'!$C28:$P28,Table8[22-ott]) + 'Value History'!$F$11)/(MMULT('Asset Prices'!$C27:$P27,Table8[22-ott]) + 'Value History'!$F$11) - 1</f>
        <v>1.759730081876576E-3</v>
      </c>
      <c r="D27" s="13" cm="1">
        <f t="array" ref="D27">MMULT('Asset Prices'!$C28:$H28,'Rebalancing History'!$F$4:$F$9)/MMULT('Asset Prices'!$C27:$H27,'Rebalancing History'!$F$4:$F$9) - 1</f>
        <v>1.853713928086087E-3</v>
      </c>
      <c r="E27" s="13" cm="1">
        <f t="array" ref="E27">MMULT('Asset Prices'!$I28:$L28,'Rebalancing History'!$F$10:$F$13)/MMULT('Asset Prices'!$I27:$L27,'Rebalancing History'!$F$10:$F$13) - 1</f>
        <v>-1.7232761029823962E-3</v>
      </c>
      <c r="F27" s="13" cm="1">
        <f t="array" ref="F27">MMULT('Asset Prices'!$M28:$O28,'Rebalancing History'!$F$14:$F$16)/MMULT('Asset Prices'!$M27:$O27,'Rebalancing History'!$F$14:$F$16) - 1</f>
        <v>2.7440139146479581E-3</v>
      </c>
      <c r="G27" s="13">
        <f>'Asset Returns'!$P28</f>
        <v>5.0933421739645768E-2</v>
      </c>
      <c r="N27" s="28">
        <f>Table13[[#This Row],[Date]]</f>
        <v>44491</v>
      </c>
      <c r="O27" s="13">
        <f>Table13[[#This Row],[Entire Fund]]</f>
        <v>1.759730081876576E-3</v>
      </c>
      <c r="P27" s="13" cm="1">
        <f t="array" ref="P27">MMULT('Asset Returns'!$S28:$T28,Table16[3rd interval])</f>
        <v>1.0663579902023858E-2</v>
      </c>
      <c r="Q27" s="13">
        <f t="shared" si="0"/>
        <v>-8.9038498201472818E-3</v>
      </c>
    </row>
    <row r="28" spans="2:17" x14ac:dyDescent="0.75">
      <c r="B28" s="50">
        <f>'Asset Prices'!$B29</f>
        <v>44494</v>
      </c>
      <c r="C28" s="13" cm="1">
        <f t="array" ref="C28">(MMULT('Asset Prices'!$C29:$P29,Table8[22-ott]) + 'Value History'!$F$11)/(MMULT('Asset Prices'!$C28:$P28,Table8[22-ott]) + 'Value History'!$F$11) - 1</f>
        <v>3.3754205139162607E-3</v>
      </c>
      <c r="D28" s="13" cm="1">
        <f t="array" ref="D28">MMULT('Asset Prices'!$C29:$H29,'Rebalancing History'!$F$4:$F$9)/MMULT('Asset Prices'!$C28:$H28,'Rebalancing History'!$F$4:$F$9) - 1</f>
        <v>4.6345530478604235E-3</v>
      </c>
      <c r="E28" s="13" cm="1">
        <f t="array" ref="E28">MMULT('Asset Prices'!$I29:$L29,'Rebalancing History'!$F$10:$F$13)/MMULT('Asset Prices'!$I28:$L28,'Rebalancing History'!$F$10:$F$13) - 1</f>
        <v>1.5193409585456674E-3</v>
      </c>
      <c r="F28" s="13" cm="1">
        <f t="array" ref="F28">MMULT('Asset Prices'!$M29:$O29,'Rebalancing History'!$F$14:$F$16)/MMULT('Asset Prices'!$M28:$O28,'Rebalancing History'!$F$14:$F$16) - 1</f>
        <v>1.133141287005679E-2</v>
      </c>
      <c r="G28" s="13">
        <f>'Asset Returns'!$P29</f>
        <v>-5.8378511845647019E-3</v>
      </c>
      <c r="N28" s="28">
        <f>Table13[[#This Row],[Date]]</f>
        <v>44494</v>
      </c>
      <c r="O28" s="13">
        <f>Table13[[#This Row],[Entire Fund]]</f>
        <v>3.3754205139162607E-3</v>
      </c>
      <c r="P28" s="13" cm="1">
        <f t="array" ref="P28">MMULT('Asset Returns'!$S29:$T29,Table16[3rd interval])</f>
        <v>3.6419504097329083E-3</v>
      </c>
      <c r="Q28" s="13">
        <f t="shared" si="0"/>
        <v>-2.6652989581664758E-4</v>
      </c>
    </row>
    <row r="29" spans="2:17" x14ac:dyDescent="0.75">
      <c r="B29" s="50">
        <f>'Asset Prices'!$B30</f>
        <v>44495</v>
      </c>
      <c r="C29" s="13" cm="1">
        <f t="array" ref="C29">(MMULT('Asset Prices'!$C30:$P30,Table8[22-ott]) + 'Value History'!$F$11)/(MMULT('Asset Prices'!$C29:$P29,Table8[22-ott]) + 'Value History'!$F$11) - 1</f>
        <v>7.1108657575913448E-4</v>
      </c>
      <c r="D29" s="13" cm="1">
        <f t="array" ref="D29">MMULT('Asset Prices'!$C30:$H30,'Rebalancing History'!$F$4:$F$9)/MMULT('Asset Prices'!$C29:$H29,'Rebalancing History'!$F$4:$F$9) - 1</f>
        <v>3.8696869755439067E-3</v>
      </c>
      <c r="E29" s="13" cm="1">
        <f t="array" ref="E29">MMULT('Asset Prices'!$I30:$L30,'Rebalancing History'!$F$10:$F$13)/MMULT('Asset Prices'!$I29:$L29,'Rebalancing History'!$F$10:$F$13) - 1</f>
        <v>1.3254530721615865E-3</v>
      </c>
      <c r="F29" s="13" cm="1">
        <f t="array" ref="F29">MMULT('Asset Prices'!$M30:$O30,'Rebalancing History'!$F$14:$F$16)/MMULT('Asset Prices'!$M29:$O29,'Rebalancing History'!$F$14:$F$16) - 1</f>
        <v>2.6003544590353922E-3</v>
      </c>
      <c r="G29" s="13">
        <f>'Asset Returns'!$P30</f>
        <v>-4.8789826709644823E-2</v>
      </c>
      <c r="N29" s="28">
        <f>Table13[[#This Row],[Date]]</f>
        <v>44495</v>
      </c>
      <c r="O29" s="13">
        <f>Table13[[#This Row],[Entire Fund]]</f>
        <v>7.1108657575913448E-4</v>
      </c>
      <c r="P29" s="13" cm="1">
        <f t="array" ref="P29">MMULT('Asset Returns'!$S30:$T30,Table16[3rd interval])</f>
        <v>-3.7146117879478806E-3</v>
      </c>
      <c r="Q29" s="13">
        <f t="shared" si="0"/>
        <v>4.4256983637070146E-3</v>
      </c>
    </row>
    <row r="30" spans="2:17" x14ac:dyDescent="0.75">
      <c r="B30" s="50">
        <f>'Asset Prices'!$B31</f>
        <v>44496</v>
      </c>
      <c r="C30" s="13" cm="1">
        <f t="array" ref="C30">(MMULT('Asset Prices'!$C31:$P31,Table8[22-ott]) + 'Value History'!$F$11)/(MMULT('Asset Prices'!$C30:$P30,Table8[22-ott]) + 'Value History'!$F$11) - 1</f>
        <v>-3.9376364252795559E-3</v>
      </c>
      <c r="D30" s="13" cm="1">
        <f t="array" ref="D30">MMULT('Asset Prices'!$C31:$H31,'Rebalancing History'!$F$4:$F$9)/MMULT('Asset Prices'!$C30:$H30,'Rebalancing History'!$F$4:$F$9) - 1</f>
        <v>-1.4080915920274051E-2</v>
      </c>
      <c r="E30" s="13" cm="1">
        <f t="array" ref="E30">MMULT('Asset Prices'!$I31:$L31,'Rebalancing History'!$F$10:$F$13)/MMULT('Asset Prices'!$I30:$L30,'Rebalancing History'!$F$10:$F$13) - 1</f>
        <v>7.9898960979396527E-4</v>
      </c>
      <c r="F30" s="13" cm="1">
        <f t="array" ref="F30">MMULT('Asset Prices'!$M31:$O31,'Rebalancing History'!$F$14:$F$16)/MMULT('Asset Prices'!$M30:$O30,'Rebalancing History'!$F$14:$F$16) - 1</f>
        <v>-1.4315086731013227E-2</v>
      </c>
      <c r="G30" s="13">
        <f>'Asset Returns'!$P31</f>
        <v>8.3033966017195704E-2</v>
      </c>
      <c r="N30" s="28">
        <f>Table13[[#This Row],[Date]]</f>
        <v>44496</v>
      </c>
      <c r="O30" s="13">
        <f>Table13[[#This Row],[Entire Fund]]</f>
        <v>-3.9376364252795559E-3</v>
      </c>
      <c r="P30" s="13" cm="1">
        <f t="array" ref="P30">MMULT('Asset Returns'!$S31:$T31,Table16[3rd interval])</f>
        <v>-1.0415557190673551E-3</v>
      </c>
      <c r="Q30" s="13">
        <f t="shared" si="0"/>
        <v>-2.8960807062122008E-3</v>
      </c>
    </row>
    <row r="31" spans="2:17" x14ac:dyDescent="0.75">
      <c r="B31" s="50">
        <f>'Asset Prices'!$B32</f>
        <v>44497</v>
      </c>
      <c r="C31" s="13" cm="1">
        <f t="array" ref="C31">(MMULT('Asset Prices'!$C32:$P32,Table8[22-ott]) + 'Value History'!$F$11)/(MMULT('Asset Prices'!$C31:$P31,Table8[22-ott]) + 'Value History'!$F$11) - 1</f>
        <v>-2.3337584652338705E-4</v>
      </c>
      <c r="D31" s="13" cm="1">
        <f t="array" ref="D31">MMULT('Asset Prices'!$C32:$H32,'Rebalancing History'!$F$4:$F$9)/MMULT('Asset Prices'!$C31:$H31,'Rebalancing History'!$F$4:$F$9) - 1</f>
        <v>5.7190729719001077E-3</v>
      </c>
      <c r="E31" s="13" cm="1">
        <f t="array" ref="E31">MMULT('Asset Prices'!$I32:$L32,'Rebalancing History'!$F$10:$F$13)/MMULT('Asset Prices'!$I31:$L31,'Rebalancing History'!$F$10:$F$13) - 1</f>
        <v>-6.8128298839537083E-3</v>
      </c>
      <c r="F31" s="13" cm="1">
        <f t="array" ref="F31">MMULT('Asset Prices'!$M32:$O32,'Rebalancing History'!$F$14:$F$16)/MMULT('Asset Prices'!$M31:$O31,'Rebalancing History'!$F$14:$F$16) - 1</f>
        <v>-6.4927302471656789E-3</v>
      </c>
      <c r="G31" s="13">
        <f>'Asset Returns'!$P32</f>
        <v>4.0517434014039289E-2</v>
      </c>
      <c r="N31" s="28">
        <f>Table13[[#This Row],[Date]]</f>
        <v>44497</v>
      </c>
      <c r="O31" s="13">
        <f>Table13[[#This Row],[Entire Fund]]</f>
        <v>-2.3337584652338705E-4</v>
      </c>
      <c r="P31" s="13" cm="1">
        <f t="array" ref="P31">MMULT('Asset Returns'!$S32:$T32,Table16[3rd interval])</f>
        <v>4.4515422685519491E-3</v>
      </c>
      <c r="Q31" s="13">
        <f t="shared" si="0"/>
        <v>-4.6849181150753361E-3</v>
      </c>
    </row>
    <row r="32" spans="2:17" x14ac:dyDescent="0.75">
      <c r="B32" s="50">
        <f>'Asset Prices'!$B33</f>
        <v>44498</v>
      </c>
      <c r="C32" s="13" cm="1">
        <f t="array" ref="C32">(MMULT('Asset Prices'!$C33:$P33,Table8[22-ott]) + 'Value History'!$F$11)/(MMULT('Asset Prices'!$C32:$P32,Table8[22-ott]) + 'Value History'!$F$11) - 1</f>
        <v>-1.5659112962906896E-3</v>
      </c>
      <c r="D32" s="13" cm="1">
        <f t="array" ref="D32">MMULT('Asset Prices'!$C33:$H33,'Rebalancing History'!$F$4:$F$9)/MMULT('Asset Prices'!$C32:$H32,'Rebalancing History'!$F$4:$F$9) - 1</f>
        <v>2.8003484625949149E-4</v>
      </c>
      <c r="E32" s="13" cm="1">
        <f t="array" ref="E32">MMULT('Asset Prices'!$I33:$L33,'Rebalancing History'!$F$10:$F$13)/MMULT('Asset Prices'!$I32:$L32,'Rebalancing History'!$F$10:$F$13) - 1</f>
        <v>-1.1372282159730629E-3</v>
      </c>
      <c r="F32" s="13" cm="1">
        <f t="array" ref="F32">MMULT('Asset Prices'!$M33:$O33,'Rebalancing History'!$F$14:$F$16)/MMULT('Asset Prices'!$M32:$O32,'Rebalancing History'!$F$14:$F$16) - 1</f>
        <v>-4.7821071522586855E-3</v>
      </c>
      <c r="G32" s="13">
        <f>'Asset Returns'!$P33</f>
        <v>-2.0181532198349172E-2</v>
      </c>
      <c r="N32" s="28">
        <f>Table13[[#This Row],[Date]]</f>
        <v>44498</v>
      </c>
      <c r="O32" s="13">
        <f>Table13[[#This Row],[Entire Fund]]</f>
        <v>-1.5659112962906896E-3</v>
      </c>
      <c r="P32" s="13" cm="1">
        <f t="array" ref="P32">MMULT('Asset Returns'!$S33:$T33,Table16[3rd interval])</f>
        <v>6.9814947638416674E-3</v>
      </c>
      <c r="Q32" s="13">
        <f t="shared" si="0"/>
        <v>-8.5474060601323579E-3</v>
      </c>
    </row>
    <row r="33" spans="2:19" x14ac:dyDescent="0.75">
      <c r="B33" s="50">
        <f>'Asset Prices'!$B34</f>
        <v>44501</v>
      </c>
      <c r="C33" s="13" cm="1">
        <f t="array" ref="C33">(MMULT('Asset Prices'!$C34:$P34,Table8[22-ott]) + 'Value History'!$F$11)/(MMULT('Asset Prices'!$C33:$P33,Table8[22-ott]) + 'Value History'!$F$11) - 1</f>
        <v>1.3725026535985618E-2</v>
      </c>
      <c r="D33" s="13" cm="1">
        <f t="array" ref="D33">MMULT('Asset Prices'!$C34:$H34,'Rebalancing History'!$F$4:$F$9)/MMULT('Asset Prices'!$C33:$H33,'Rebalancing History'!$F$4:$F$9) - 1</f>
        <v>2.3476567469387533E-2</v>
      </c>
      <c r="E33" s="13" cm="1">
        <f t="array" ref="E33">MMULT('Asset Prices'!$I34:$L34,'Rebalancing History'!$F$10:$F$13)/MMULT('Asset Prices'!$I33:$L33,'Rebalancing History'!$F$10:$F$13) - 1</f>
        <v>1.1541754224348999E-2</v>
      </c>
      <c r="F33" s="13" cm="1">
        <f t="array" ref="F33">MMULT('Asset Prices'!$M34:$O34,'Rebalancing History'!$F$14:$F$16)/MMULT('Asset Prices'!$M33:$O33,'Rebalancing History'!$F$14:$F$16) - 1</f>
        <v>9.6445907969482381E-3</v>
      </c>
      <c r="G33" s="13">
        <f>'Asset Returns'!$P34</f>
        <v>-3.5527245874668045E-3</v>
      </c>
      <c r="N33" s="28">
        <f>Table13[[#This Row],[Date]]</f>
        <v>44501</v>
      </c>
      <c r="O33" s="13">
        <f>Table13[[#This Row],[Entire Fund]]</f>
        <v>1.3725026535985618E-2</v>
      </c>
      <c r="P33" s="13" cm="1">
        <f t="array" ref="P33">MMULT('Asset Returns'!$S34:$T34,Table16[3rd interval])</f>
        <v>4.3818439140767386E-3</v>
      </c>
      <c r="Q33" s="13">
        <f t="shared" si="0"/>
        <v>9.3431826219088805E-3</v>
      </c>
    </row>
    <row r="34" spans="2:19" x14ac:dyDescent="0.75">
      <c r="B34" s="50">
        <f>'Asset Prices'!$B35</f>
        <v>44502</v>
      </c>
      <c r="C34" s="13" cm="1">
        <f t="array" ref="C34">(MMULT('Asset Prices'!$C35:$P35,Table8[22-ott]) + 'Value History'!$F$11)/(MMULT('Asset Prices'!$C34:$P34,Table8[22-ott]) + 'Value History'!$F$11) - 1</f>
        <v>7.387235017226601E-4</v>
      </c>
      <c r="D34" s="13" cm="1">
        <f t="array" ref="D34">MMULT('Asset Prices'!$C35:$H35,'Rebalancing History'!$F$4:$F$9)/MMULT('Asset Prices'!$C34:$H34,'Rebalancing History'!$F$4:$F$9) - 1</f>
        <v>3.9210259706057293E-4</v>
      </c>
      <c r="E34" s="13" cm="1">
        <f t="array" ref="E34">MMULT('Asset Prices'!$I35:$L35,'Rebalancing History'!$F$10:$F$13)/MMULT('Asset Prices'!$I34:$L34,'Rebalancing History'!$F$10:$F$13) - 1</f>
        <v>-3.1656842572811428E-3</v>
      </c>
      <c r="F34" s="13" cm="1">
        <f t="array" ref="F34">MMULT('Asset Prices'!$M35:$O35,'Rebalancing History'!$F$14:$F$16)/MMULT('Asset Prices'!$M34:$O34,'Rebalancing History'!$F$14:$F$16) - 1</f>
        <v>-7.8158838469777336E-4</v>
      </c>
      <c r="G34" s="13">
        <f>'Asset Returns'!$P35</f>
        <v>6.2032192576583434E-2</v>
      </c>
      <c r="N34" s="28">
        <f>Table13[[#This Row],[Date]]</f>
        <v>44502</v>
      </c>
      <c r="O34" s="13">
        <f>Table13[[#This Row],[Entire Fund]]</f>
        <v>7.387235017226601E-4</v>
      </c>
      <c r="P34" s="13" cm="1">
        <f t="array" ref="P34">MMULT('Asset Returns'!$S35:$T35,Table16[3rd interval])</f>
        <v>-5.1720388817854185E-3</v>
      </c>
      <c r="Q34" s="13">
        <f t="shared" si="0"/>
        <v>5.9107623835080786E-3</v>
      </c>
    </row>
    <row r="35" spans="2:19" x14ac:dyDescent="0.75">
      <c r="B35" s="50">
        <f>'Asset Prices'!$B36</f>
        <v>44503</v>
      </c>
      <c r="C35" s="13" cm="1">
        <f t="array" ref="C35">(MMULT('Asset Prices'!$C36:$P36,Table8[22-ott]) + 'Value History'!$F$11)/(MMULT('Asset Prices'!$C35:$P35,Table8[22-ott]) + 'Value History'!$F$11) - 1</f>
        <v>2.9710999335348376E-3</v>
      </c>
      <c r="D35" s="13" cm="1">
        <f t="array" ref="D35">MMULT('Asset Prices'!$C36:$H36,'Rebalancing History'!$F$4:$F$9)/MMULT('Asset Prices'!$C35:$H35,'Rebalancing History'!$F$4:$F$9) - 1</f>
        <v>9.8279166932413453E-3</v>
      </c>
      <c r="E35" s="13" cm="1">
        <f t="array" ref="E35">MMULT('Asset Prices'!$I36:$L36,'Rebalancing History'!$F$10:$F$13)/MMULT('Asset Prices'!$I35:$L35,'Rebalancing History'!$F$10:$F$13) - 1</f>
        <v>1.8066449994047495E-3</v>
      </c>
      <c r="F35" s="13" cm="1">
        <f t="array" ref="F35">MMULT('Asset Prices'!$M36:$O36,'Rebalancing History'!$F$14:$F$16)/MMULT('Asset Prices'!$M35:$O35,'Rebalancing History'!$F$14:$F$16) - 1</f>
        <v>-1.0652728314697768E-2</v>
      </c>
      <c r="G35" s="13">
        <f>'Asset Returns'!$P36</f>
        <v>1.7848393903503457E-3</v>
      </c>
      <c r="N35" s="28">
        <f>Table13[[#This Row],[Date]]</f>
        <v>44503</v>
      </c>
      <c r="O35" s="13">
        <f>Table13[[#This Row],[Entire Fund]]</f>
        <v>2.9710999335348376E-3</v>
      </c>
      <c r="P35" s="13" cm="1">
        <f t="array" ref="P35">MMULT('Asset Returns'!$S36:$T36,Table16[3rd interval])</f>
        <v>-5.5074520710501227E-3</v>
      </c>
      <c r="Q35" s="13">
        <f t="shared" si="0"/>
        <v>8.4785520045849612E-3</v>
      </c>
    </row>
    <row r="36" spans="2:19" x14ac:dyDescent="0.75">
      <c r="B36" s="50"/>
      <c r="C36" s="13"/>
      <c r="D36" s="13"/>
      <c r="E36" s="13"/>
      <c r="F36" s="13"/>
      <c r="G36" s="13"/>
    </row>
    <row r="37" spans="2:19" ht="15.5" thickBot="1" x14ac:dyDescent="0.9">
      <c r="B37" s="11"/>
    </row>
    <row r="38" spans="2:19" ht="15.5" thickBot="1" x14ac:dyDescent="0.9">
      <c r="B38" s="25" t="s">
        <v>70</v>
      </c>
      <c r="C38" s="26"/>
      <c r="D38" s="26"/>
      <c r="E38" s="26"/>
      <c r="F38" s="26"/>
      <c r="G38" s="27"/>
      <c r="N38" s="67" t="s">
        <v>70</v>
      </c>
      <c r="O38" s="68"/>
      <c r="P38" s="68"/>
      <c r="Q38" s="69"/>
      <c r="R38" s="8"/>
      <c r="S38" s="8"/>
    </row>
    <row r="39" spans="2:19" x14ac:dyDescent="0.75">
      <c r="B39" s="44" t="s">
        <v>71</v>
      </c>
      <c r="C39" s="32" t="s">
        <v>57</v>
      </c>
      <c r="D39" s="32" t="s">
        <v>58</v>
      </c>
      <c r="E39" s="32" t="s">
        <v>59</v>
      </c>
      <c r="F39" s="32" t="s">
        <v>60</v>
      </c>
      <c r="G39" s="32" t="s">
        <v>61</v>
      </c>
      <c r="N39" s="44" t="s">
        <v>71</v>
      </c>
      <c r="O39" s="32" t="s">
        <v>87</v>
      </c>
      <c r="P39" s="32" t="s">
        <v>88</v>
      </c>
      <c r="Q39" s="32" t="s">
        <v>89</v>
      </c>
    </row>
    <row r="40" spans="2:19" x14ac:dyDescent="0.75">
      <c r="B40" s="52" t="s">
        <v>72</v>
      </c>
      <c r="C40" s="51" cm="1">
        <f t="array" ref="C40">(MMULT('Asset Prices'!$C17:$P17,Table8[24-set]) + 'Value History'!$F$7) / (MMULT('Asset Prices'!$C6:$P6,Table8[24-set]) + 'Value History'!$F$7) - 1</f>
        <v>3.2031942199516106E-2</v>
      </c>
      <c r="D40" s="13" cm="1">
        <f t="array" ref="D40">MMULT('Asset Prices'!$C17:$H17,'Rebalancing History'!$D$4:$D$9) / MMULT('Asset Prices'!$C6:$H6,'Rebalancing History'!$D$4:$D$9) - 1</f>
        <v>6.363492363240475E-2</v>
      </c>
      <c r="E40" s="13" cm="1">
        <f t="array" ref="E40">MMULT('Asset Prices'!$I17:$L17,'Rebalancing History'!$D$10:$D$13)/MMULT('Asset Prices'!$I6:$L6,'Rebalancing History'!$D$10:$D$13) - 1</f>
        <v>3.8450009837880383E-3</v>
      </c>
      <c r="F40" s="13" cm="1">
        <f t="array" ref="F40">MMULT('Asset Prices'!$M17:$O17,'Rebalancing History'!$D$14:$D$16) / MMULT('Asset Prices'!$M6:$O6,'Rebalancing History'!$D$14:$D$16) - 1</f>
        <v>8.2047741845862943E-2</v>
      </c>
      <c r="G40" s="13">
        <f>'Asset Prices'!P17/'Asset Prices'!P6 - 1</f>
        <v>0.14607264011019061</v>
      </c>
      <c r="N40" s="52" t="s">
        <v>72</v>
      </c>
      <c r="O40" s="51" cm="1">
        <f t="array" ref="O40">PRODUCT(1+P6:P16)-1</f>
        <v>-1.9646236803353645E-2</v>
      </c>
      <c r="P40" s="13">
        <f>'Asset Prices'!S17/'Asset Prices'!S6 - 1</f>
        <v>-4.6369060477407742E-2</v>
      </c>
      <c r="Q40" s="13">
        <f>'Asset Prices'!T17/'Asset Prices'!T6 - 1</f>
        <v>-9.1773211566115176E-3</v>
      </c>
    </row>
    <row r="41" spans="2:19" x14ac:dyDescent="0.75">
      <c r="B41" s="52" t="s">
        <v>73</v>
      </c>
      <c r="C41" s="13" cm="1">
        <f t="array" ref="C41">(MMULT('Asset Prices'!$C27:$P27,Table8[9-ott]) + 'Value History'!$F$9)/(MMULT('Asset Prices'!$C17:$P17,Table8[9-ott])  + 'Value History'!$F$9)- 1</f>
        <v>1.4166802873891937E-2</v>
      </c>
      <c r="D41" s="13" cm="1">
        <f t="array" ref="D41">MMULT('Asset Prices'!$C27:$H27,'Rebalancing History'!$E$4:$E$9)/MMULT('Asset Prices'!$C17:$H17,'Rebalancing History'!$E$4:$E$9) - 1</f>
        <v>2.9627791356267918E-2</v>
      </c>
      <c r="E41" s="13" cm="1">
        <f t="array" ref="E41">MMULT('Asset Prices'!$I27:$L27,'Rebalancing History'!$E$10:$E$13)/MMULT('Asset Prices'!$I17:$L17,'Rebalancing History'!$E$10:$E$13) - 1</f>
        <v>-4.2065412642903199E-3</v>
      </c>
      <c r="F41" s="13" cm="1">
        <f t="array" ref="F41">MMULT('Asset Prices'!$M27:$O27,'Rebalancing History'!$E$14:$E$16)/MMULT('Asset Prices'!$M17:$O17,'Rebalancing History'!$E$14:$E$16) - 1</f>
        <v>1.8300752904652828E-2</v>
      </c>
      <c r="G41" s="13">
        <f>'Asset Prices'!P27/'Asset Prices'!P17 - 1</f>
        <v>0.10686312326941616</v>
      </c>
      <c r="N41" s="52" t="s">
        <v>73</v>
      </c>
      <c r="O41" s="13" cm="1">
        <f t="array" ref="O41">PRODUCT(1 + P17:P26) - 1</f>
        <v>1.2276093718879721E-2</v>
      </c>
      <c r="P41" s="13">
        <f>'Asset Prices'!S27/'Asset Prices'!S17 - 1</f>
        <v>3.9999638094276424E-2</v>
      </c>
      <c r="Q41" s="13">
        <f>'Asset Prices'!T27/'Asset Prices'!T17 - 1</f>
        <v>-1.0262476144602184E-2</v>
      </c>
    </row>
    <row r="42" spans="2:19" x14ac:dyDescent="0.75">
      <c r="B42" s="52" t="s">
        <v>74</v>
      </c>
      <c r="C42" s="13" cm="1">
        <f t="array" ref="C42">(MMULT('Asset Prices'!$C36:$P36,Table8[22-ott]) + 'Value History'!$F$11)/(MMULT('Asset Prices'!$C27:$P27,Table8[22-ott]) + 'Value History'!$F$11) - 1</f>
        <v>1.7582422648033225E-2</v>
      </c>
      <c r="D42" s="13" cm="1">
        <f t="array" ref="D42">MMULT('Asset Prices'!$C36:$H36,'Rebalancing History'!$F$4:$F$9)/MMULT('Asset Prices'!$C27:$H27,'Rebalancing History'!$F$4:$F$9) - 1</f>
        <v>3.6155305761740308E-2</v>
      </c>
      <c r="E42" s="13" cm="1">
        <f t="array" ref="E42">MMULT('Asset Prices'!$I36:$L36,'Rebalancing History'!$F$10:$F$13)/MMULT('Asset Prices'!$I27:$L27,'Rebalancing History'!$F$10:$F$13) - 1</f>
        <v>4.0608413815019784E-3</v>
      </c>
      <c r="F42" s="13" cm="1">
        <f t="array" ref="F42">MMULT('Asset Prices'!$M36:$O36,'Rebalancing History'!$F$14:$F$16)/MMULT('Asset Prices'!$M27:$O27,'Rebalancing History'!$F$14:$F$16) - 1</f>
        <v>-1.0954038015150713E-2</v>
      </c>
      <c r="G42" s="13">
        <f>'Asset Prices'!P36/'Asset Prices'!P27 - 1</f>
        <v>0.16335546355315911</v>
      </c>
      <c r="N42" s="52" t="s">
        <v>74</v>
      </c>
      <c r="O42" s="13" cm="1">
        <f t="array" ref="O42">PRODUCT(1 + P27:P35) - 1</f>
        <v>1.464811811516209E-2</v>
      </c>
      <c r="P42" s="13">
        <f>'Asset Prices'!S36/'Asset Prices'!S27 - 1</f>
        <v>1.8524524445580726E-2</v>
      </c>
      <c r="Q42" s="13">
        <f>'Asset Prices'!T36/'Asset Prices'!T27 - 1</f>
        <v>1.0995882326026996E-2</v>
      </c>
    </row>
    <row r="43" spans="2:19" x14ac:dyDescent="0.75">
      <c r="B43" s="53" t="s">
        <v>75</v>
      </c>
      <c r="C43" s="13" cm="1">
        <f t="array" ref="C43">(MMULT('Asset Prices'!$C36:$P36,Table8[22-ott]) + 'Value History'!$F$11)/(MMULT('Asset Prices'!$C6:$P6,Table8[22-ott]) + 'Value History'!$F$11) - 1</f>
        <v>5.3219172790853086E-2</v>
      </c>
      <c r="D43" s="13" cm="1">
        <f t="array" ref="D43">MMULT('Asset Prices'!$C36:$H36,'Rebalancing History'!$F$4:$F$9)/MMULT('Asset Prices'!$C6:$H6,'Rebalancing History'!$F$4:$F$9) - 1</f>
        <v>9.0541990629018576E-2</v>
      </c>
      <c r="E43" s="13" cm="1">
        <f t="array" ref="E43">MMULT('Asset Prices'!$I36:$L36,'Rebalancing History'!$F$10:$F$13)/MMULT('Asset Prices'!$I6:$L6,'Rebalancing History'!$F$10:$F$13) - 1</f>
        <v>3.7340430174643835E-3</v>
      </c>
      <c r="F43" s="13" cm="1">
        <f t="array" ref="F43">MMULT('Asset Prices'!$M36:$O36,'Rebalancing History'!$F$14:$F$16)/MMULT('Asset Prices'!$M6:$O6,'Rebalancing History'!$F$14:$F$16) - 1</f>
        <v>8.5490156702432207E-2</v>
      </c>
      <c r="G43" s="13">
        <f>'Asset Prices'!P36/'Asset Prices'!P6 - 1</f>
        <v>0.47576938696560456</v>
      </c>
      <c r="N43" s="53" t="s">
        <v>75</v>
      </c>
      <c r="O43" s="13" cm="1">
        <f t="array" ref="O43">PRODUCT(1+Table17[Benchmark]) - 1</f>
        <v>6.9253044409129938E-3</v>
      </c>
      <c r="P43" s="13">
        <f>'Asset Prices'!S36/'Asset Prices'!S6 - 1</f>
        <v>1.0148007623032029E-2</v>
      </c>
      <c r="Q43" s="13">
        <f>'Asset Prices'!T36/'Asset Prices'!T6 - 1</f>
        <v>-8.562455044688555E-3</v>
      </c>
    </row>
  </sheetData>
  <phoneticPr fontId="5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0B12-D3F3-445E-AC4A-F5BF4B0E2208}">
  <dimension ref="B2:AD16"/>
  <sheetViews>
    <sheetView workbookViewId="0">
      <selection activeCell="AF10" sqref="AF10"/>
    </sheetView>
  </sheetViews>
  <sheetFormatPr defaultRowHeight="14.75" x14ac:dyDescent="0.75"/>
  <cols>
    <col min="2" max="2" width="10.453125" bestFit="1" customWidth="1"/>
    <col min="3" max="3" width="10.453125" customWidth="1"/>
    <col min="6" max="6" width="10.453125" bestFit="1" customWidth="1"/>
    <col min="10" max="11" width="11.6328125" customWidth="1"/>
    <col min="14" max="14" width="10.453125" bestFit="1" customWidth="1"/>
    <col min="18" max="18" width="10.36328125" customWidth="1"/>
    <col min="21" max="21" width="10.453125" bestFit="1" customWidth="1"/>
    <col min="25" max="25" width="12.81640625" customWidth="1"/>
  </cols>
  <sheetData>
    <row r="2" spans="2:30" ht="18.5" x14ac:dyDescent="0.9">
      <c r="B2" s="22" t="s">
        <v>90</v>
      </c>
      <c r="C2" s="22"/>
    </row>
    <row r="3" spans="2:30" ht="15.5" thickBot="1" x14ac:dyDescent="0.9"/>
    <row r="4" spans="2:30" x14ac:dyDescent="0.75">
      <c r="B4" s="72" t="s">
        <v>91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R4" t="s">
        <v>96</v>
      </c>
      <c r="Y4" t="s">
        <v>98</v>
      </c>
    </row>
    <row r="5" spans="2:30" ht="15.5" thickBot="1" x14ac:dyDescent="0.9">
      <c r="B5" s="7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4"/>
      <c r="R5" t="s">
        <v>71</v>
      </c>
      <c r="S5" t="s">
        <v>88</v>
      </c>
      <c r="T5" t="s">
        <v>89</v>
      </c>
      <c r="U5" t="s">
        <v>93</v>
      </c>
      <c r="V5" t="s">
        <v>61</v>
      </c>
      <c r="W5" t="s">
        <v>5</v>
      </c>
      <c r="Y5" t="s">
        <v>71</v>
      </c>
      <c r="Z5" t="s">
        <v>88</v>
      </c>
      <c r="AA5" t="s">
        <v>89</v>
      </c>
      <c r="AB5" t="s">
        <v>93</v>
      </c>
      <c r="AC5" t="s">
        <v>61</v>
      </c>
      <c r="AD5" t="s">
        <v>5</v>
      </c>
    </row>
    <row r="6" spans="2:30" x14ac:dyDescent="0.75">
      <c r="B6" s="72" t="s">
        <v>92</v>
      </c>
      <c r="C6" s="26"/>
      <c r="D6" s="26"/>
      <c r="E6" s="26"/>
      <c r="F6" s="26"/>
      <c r="G6" s="26"/>
      <c r="H6" s="27"/>
      <c r="I6" s="8"/>
      <c r="J6" s="72" t="s">
        <v>94</v>
      </c>
      <c r="K6" s="26"/>
      <c r="L6" s="26"/>
      <c r="M6" s="26"/>
      <c r="N6" s="26"/>
      <c r="O6" s="26"/>
      <c r="P6" s="27"/>
      <c r="R6" t="s">
        <v>76</v>
      </c>
      <c r="S6" s="61">
        <f>(D8-L8)*L14</f>
        <v>1.391071814322231E-3</v>
      </c>
      <c r="T6" s="61">
        <f>(E8-M8)*M14</f>
        <v>1.8354642313223031E-3</v>
      </c>
      <c r="U6" s="61">
        <f>(F8-N8)*N14</f>
        <v>0</v>
      </c>
      <c r="V6" s="61">
        <f>(G8-O8)*O14</f>
        <v>0</v>
      </c>
      <c r="W6" s="61">
        <f>(H8-P8)*P14</f>
        <v>0</v>
      </c>
      <c r="Y6" t="s">
        <v>76</v>
      </c>
      <c r="Z6" s="61">
        <f>(D8-L8)*(D14-L14)</f>
        <v>-3.3001195232943716E-3</v>
      </c>
      <c r="AA6" s="61">
        <f t="shared" ref="AA6:AD6" si="0">(E8-M8)*(E14-M14)</f>
        <v>-2.6044644280799104E-3</v>
      </c>
      <c r="AB6" s="61">
        <f t="shared" si="0"/>
        <v>8.2047741845862939E-3</v>
      </c>
      <c r="AC6" s="61">
        <f t="shared" si="0"/>
        <v>4.3821792033057185E-3</v>
      </c>
      <c r="AD6" s="61">
        <f t="shared" si="0"/>
        <v>0</v>
      </c>
    </row>
    <row r="7" spans="2:30" x14ac:dyDescent="0.75">
      <c r="B7" s="73" t="s">
        <v>2</v>
      </c>
      <c r="C7" s="8" t="s">
        <v>99</v>
      </c>
      <c r="D7" s="8" t="s">
        <v>88</v>
      </c>
      <c r="E7" s="8" t="s">
        <v>89</v>
      </c>
      <c r="F7" s="8" t="s">
        <v>93</v>
      </c>
      <c r="G7" s="8" t="s">
        <v>61</v>
      </c>
      <c r="H7" s="74" t="s">
        <v>5</v>
      </c>
      <c r="I7" s="8"/>
      <c r="J7" s="73" t="s">
        <v>2</v>
      </c>
      <c r="K7" s="81" t="s">
        <v>99</v>
      </c>
      <c r="L7" s="8" t="s">
        <v>88</v>
      </c>
      <c r="M7" s="8" t="s">
        <v>89</v>
      </c>
      <c r="N7" s="8" t="s">
        <v>93</v>
      </c>
      <c r="O7" s="8" t="s">
        <v>61</v>
      </c>
      <c r="P7" s="82" t="s">
        <v>5</v>
      </c>
      <c r="R7" t="s">
        <v>77</v>
      </c>
      <c r="S7" s="61">
        <f t="shared" ref="S7:S8" si="1">(D9-L9)*L15</f>
        <v>-3.9999638094276434E-3</v>
      </c>
      <c r="T7" s="61">
        <f t="shared" ref="T7:T8" si="2">(E9-M9)*M15</f>
        <v>1.5393714216903277E-3</v>
      </c>
      <c r="U7" s="61">
        <f t="shared" ref="U7:U8" si="3">(F9-N9)*N15</f>
        <v>0</v>
      </c>
      <c r="V7" s="61">
        <f t="shared" ref="V7:V8" si="4">(G9-O9)*O15</f>
        <v>0</v>
      </c>
      <c r="W7" s="61">
        <f t="shared" ref="W7:W8" si="5">(H9-P9)*P15</f>
        <v>0</v>
      </c>
      <c r="Y7" t="s">
        <v>77</v>
      </c>
      <c r="Z7" s="61">
        <f>(D9-L9)*(D15-L15)</f>
        <v>1.0371846738008509E-3</v>
      </c>
      <c r="AA7" s="61">
        <f t="shared" ref="AA7:AA8" si="6">(E9-M9)*(E15-M15)</f>
        <v>-9.0839023204677971E-4</v>
      </c>
      <c r="AB7" s="61">
        <f t="shared" ref="AB7:AB8" si="7">(F9-N9)*(F15-N15)</f>
        <v>2.1960903485583392E-3</v>
      </c>
      <c r="AC7" s="61">
        <f t="shared" ref="AC7:AC8" si="8">(G9-O9)*(G15-O15)</f>
        <v>3.2058936980824846E-3</v>
      </c>
      <c r="AD7" s="61">
        <f t="shared" ref="AD7:AD8" si="9">(H9-P9)*(H15-P15)</f>
        <v>0</v>
      </c>
    </row>
    <row r="8" spans="2:30" x14ac:dyDescent="0.75">
      <c r="B8" s="76">
        <v>44476</v>
      </c>
      <c r="C8" s="13">
        <f>SUM(D8:H8)</f>
        <v>1</v>
      </c>
      <c r="D8" s="13">
        <v>0.27</v>
      </c>
      <c r="E8" s="13">
        <v>0.5</v>
      </c>
      <c r="F8" s="13">
        <v>0.1</v>
      </c>
      <c r="G8" s="13">
        <v>0.03</v>
      </c>
      <c r="H8" s="77">
        <v>0.1</v>
      </c>
      <c r="I8" s="8"/>
      <c r="J8" s="76">
        <v>44476</v>
      </c>
      <c r="K8" s="13">
        <f>SUM(L8:P8)</f>
        <v>1</v>
      </c>
      <c r="L8" s="13">
        <v>0.3</v>
      </c>
      <c r="M8" s="13">
        <v>0.7</v>
      </c>
      <c r="N8" s="13">
        <v>0</v>
      </c>
      <c r="O8" s="13">
        <v>0</v>
      </c>
      <c r="P8" s="83">
        <v>0</v>
      </c>
      <c r="R8" t="s">
        <v>78</v>
      </c>
      <c r="S8" s="61">
        <f t="shared" si="1"/>
        <v>-1.8524524445580732E-3</v>
      </c>
      <c r="T8" s="61">
        <f t="shared" si="2"/>
        <v>-1.6493823489040496E-3</v>
      </c>
      <c r="U8" s="61">
        <f t="shared" si="3"/>
        <v>0</v>
      </c>
      <c r="V8" s="61">
        <f t="shared" si="4"/>
        <v>0</v>
      </c>
      <c r="W8" s="61">
        <f t="shared" si="5"/>
        <v>0</v>
      </c>
      <c r="Y8" t="s">
        <v>78</v>
      </c>
      <c r="Z8" s="61">
        <f t="shared" ref="Z8" si="10">(D10-L10)*(D16-L16)</f>
        <v>-1.763078131615959E-3</v>
      </c>
      <c r="AA8" s="61">
        <f t="shared" si="6"/>
        <v>1.0402561416787528E-3</v>
      </c>
      <c r="AB8" s="61">
        <f t="shared" si="7"/>
        <v>-1.3144845618180856E-3</v>
      </c>
      <c r="AC8" s="61">
        <f t="shared" si="8"/>
        <v>4.9006639065947728E-3</v>
      </c>
      <c r="AD8" s="61">
        <f t="shared" si="9"/>
        <v>0</v>
      </c>
    </row>
    <row r="9" spans="2:30" x14ac:dyDescent="0.75">
      <c r="B9" s="76">
        <v>44491</v>
      </c>
      <c r="C9" s="13">
        <f t="shared" ref="C9:C10" si="11">SUM(D9:H9)</f>
        <v>1</v>
      </c>
      <c r="D9" s="13">
        <v>0.35</v>
      </c>
      <c r="E9" s="13">
        <v>0.4</v>
      </c>
      <c r="F9" s="13">
        <v>0.12</v>
      </c>
      <c r="G9" s="13">
        <v>0.03</v>
      </c>
      <c r="H9" s="77">
        <v>0.1</v>
      </c>
      <c r="I9" s="8"/>
      <c r="J9" s="76">
        <v>44491</v>
      </c>
      <c r="K9" s="13">
        <f t="shared" ref="K9:K10" si="12">SUM(L9:P9)</f>
        <v>1</v>
      </c>
      <c r="L9" s="13">
        <v>0.45</v>
      </c>
      <c r="M9" s="13">
        <v>0.55000000000000004</v>
      </c>
      <c r="N9" s="13">
        <v>0</v>
      </c>
      <c r="O9" s="13">
        <v>0</v>
      </c>
      <c r="P9" s="83">
        <v>0</v>
      </c>
      <c r="R9" t="s">
        <v>75</v>
      </c>
      <c r="S9" s="61">
        <f>S6*(1+L$15)*(1+L$16) + S7*(1+D$14)*(1+L$16) + S8*(1 + D$14)*(1 + D$15)</f>
        <v>-4.8885096695746033E-3</v>
      </c>
      <c r="T9" s="61">
        <f t="shared" ref="T9:W9" si="13">T6*(1+M$15)*(1+M$16) + T7*(1+E$14)*(1+M$16) + T8*(1 + E$14)*(1 + E$15)</f>
        <v>1.7501260325190429E-3</v>
      </c>
      <c r="U9" s="61">
        <f t="shared" si="13"/>
        <v>0</v>
      </c>
      <c r="V9" s="61">
        <f t="shared" si="13"/>
        <v>0</v>
      </c>
      <c r="W9" s="61">
        <f t="shared" si="13"/>
        <v>0</v>
      </c>
      <c r="Y9" t="s">
        <v>75</v>
      </c>
      <c r="Z9" s="61">
        <f>Z6*(1+L15)*(1+L16) + Z7*(1+D14)*(1+L16) + Z8*(1+D14)*(1+D15)</f>
        <v>-4.3029113497909865E-3</v>
      </c>
      <c r="AA9" s="61">
        <f t="shared" ref="AA9:AD9" si="14">AA6*(1+M15)*(1+M16) + AA7*(1+E14)*(1+M16) + AA8*(1+E14)*(1+E15)</f>
        <v>-2.4881273872102072E-3</v>
      </c>
      <c r="AB9" s="61">
        <f t="shared" si="14"/>
        <v>9.1326839329960927E-3</v>
      </c>
      <c r="AC9" s="61">
        <f>AC6*(1+O15)*(1+O16) + AC7*(1+G14)*(1+O16) + AC8*(1+G14)*(1+G15)</f>
        <v>1.4273081608968145E-2</v>
      </c>
      <c r="AD9" s="61">
        <f t="shared" si="14"/>
        <v>0</v>
      </c>
    </row>
    <row r="10" spans="2:30" ht="15.5" thickBot="1" x14ac:dyDescent="0.9">
      <c r="B10" s="78">
        <v>44505</v>
      </c>
      <c r="C10" s="79">
        <f t="shared" si="11"/>
        <v>1</v>
      </c>
      <c r="D10" s="79">
        <v>0.35</v>
      </c>
      <c r="E10" s="79">
        <v>0.4</v>
      </c>
      <c r="F10" s="79">
        <v>0.12</v>
      </c>
      <c r="G10" s="79">
        <v>0.03</v>
      </c>
      <c r="H10" s="80">
        <v>0.1</v>
      </c>
      <c r="I10" s="8"/>
      <c r="J10" s="78">
        <v>44505</v>
      </c>
      <c r="K10" s="79">
        <f t="shared" si="12"/>
        <v>1</v>
      </c>
      <c r="L10" s="79">
        <v>0.45</v>
      </c>
      <c r="M10" s="79">
        <v>0.55000000000000004</v>
      </c>
      <c r="N10" s="79">
        <v>0</v>
      </c>
      <c r="O10" s="79">
        <v>0</v>
      </c>
      <c r="P10" s="84">
        <v>0</v>
      </c>
    </row>
    <row r="11" spans="2:30" ht="15.5" thickBot="1" x14ac:dyDescent="0.9">
      <c r="B11" s="7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4"/>
      <c r="R11" t="s">
        <v>97</v>
      </c>
    </row>
    <row r="12" spans="2:30" x14ac:dyDescent="0.75">
      <c r="B12" s="72" t="s">
        <v>95</v>
      </c>
      <c r="C12" s="26"/>
      <c r="D12" s="26"/>
      <c r="E12" s="26"/>
      <c r="F12" s="26"/>
      <c r="G12" s="26"/>
      <c r="H12" s="27"/>
      <c r="I12" s="8"/>
      <c r="J12" s="72" t="s">
        <v>44</v>
      </c>
      <c r="K12" s="26"/>
      <c r="L12" s="26"/>
      <c r="M12" s="26"/>
      <c r="N12" s="26"/>
      <c r="O12" s="26"/>
      <c r="P12" s="27"/>
      <c r="R12" t="s">
        <v>71</v>
      </c>
      <c r="S12" t="s">
        <v>88</v>
      </c>
      <c r="T12" t="s">
        <v>89</v>
      </c>
      <c r="U12" t="s">
        <v>93</v>
      </c>
      <c r="V12" t="s">
        <v>61</v>
      </c>
      <c r="W12" t="s">
        <v>5</v>
      </c>
    </row>
    <row r="13" spans="2:30" x14ac:dyDescent="0.75">
      <c r="B13" s="73" t="s">
        <v>2</v>
      </c>
      <c r="C13" s="8" t="s">
        <v>99</v>
      </c>
      <c r="D13" s="8" t="s">
        <v>88</v>
      </c>
      <c r="E13" s="8" t="s">
        <v>89</v>
      </c>
      <c r="F13" s="8" t="s">
        <v>93</v>
      </c>
      <c r="G13" s="8" t="s">
        <v>61</v>
      </c>
      <c r="H13" s="74" t="s">
        <v>5</v>
      </c>
      <c r="I13" s="8"/>
      <c r="J13" s="73" t="s">
        <v>2</v>
      </c>
      <c r="K13" s="81" t="s">
        <v>99</v>
      </c>
      <c r="L13" s="8" t="s">
        <v>88</v>
      </c>
      <c r="M13" s="8" t="s">
        <v>89</v>
      </c>
      <c r="N13" s="8" t="s">
        <v>93</v>
      </c>
      <c r="O13" s="8" t="s">
        <v>61</v>
      </c>
      <c r="P13" s="82" t="s">
        <v>5</v>
      </c>
      <c r="R13" t="s">
        <v>76</v>
      </c>
      <c r="S13" s="61">
        <f>(D14-L14)*L8</f>
        <v>3.3001195232943745E-2</v>
      </c>
      <c r="T13" s="61">
        <f t="shared" ref="T13:W13" si="15">(E14-M14)*M8</f>
        <v>9.1156254982796888E-3</v>
      </c>
      <c r="U13" s="61">
        <f t="shared" si="15"/>
        <v>0</v>
      </c>
      <c r="V13" s="61">
        <f t="shared" si="15"/>
        <v>0</v>
      </c>
      <c r="W13" s="61">
        <f t="shared" si="15"/>
        <v>0</v>
      </c>
    </row>
    <row r="14" spans="2:30" x14ac:dyDescent="0.75">
      <c r="B14" s="76">
        <v>44476</v>
      </c>
      <c r="C14" s="13">
        <f>'Fund Performance'!C40</f>
        <v>3.2031942199516106E-2</v>
      </c>
      <c r="D14" s="13">
        <f>'Fund Performance'!D40</f>
        <v>6.363492363240475E-2</v>
      </c>
      <c r="E14" s="13">
        <f>'Fund Performance'!E40</f>
        <v>3.8450009837880383E-3</v>
      </c>
      <c r="F14" s="13">
        <f>'Fund Performance'!F40</f>
        <v>8.2047741845862943E-2</v>
      </c>
      <c r="G14" s="13">
        <f>'Fund Performance'!G40</f>
        <v>0.14607264011019061</v>
      </c>
      <c r="H14" s="77">
        <v>0</v>
      </c>
      <c r="I14" s="8"/>
      <c r="J14" s="76">
        <v>44476</v>
      </c>
      <c r="K14" s="13">
        <f>'Fund Performance'!$O40</f>
        <v>-1.9646236803353645E-2</v>
      </c>
      <c r="L14" s="13">
        <f>'Fund Performance'!$P40</f>
        <v>-4.6369060477407742E-2</v>
      </c>
      <c r="M14" s="13">
        <f>'Fund Performance'!$Q40</f>
        <v>-9.1773211566115176E-3</v>
      </c>
      <c r="N14" s="13">
        <v>0</v>
      </c>
      <c r="O14" s="13">
        <v>0</v>
      </c>
      <c r="P14" s="83">
        <v>0</v>
      </c>
      <c r="R14" t="s">
        <v>77</v>
      </c>
      <c r="S14" s="61">
        <f t="shared" ref="S14" si="16">(D15-L15)*L9</f>
        <v>-4.6673310321038277E-3</v>
      </c>
      <c r="T14" s="61">
        <f t="shared" ref="T14:T15" si="17">(E15-M15)*M9</f>
        <v>3.3307641841715256E-3</v>
      </c>
      <c r="U14" s="61">
        <f t="shared" ref="U14:U15" si="18">(F15-N15)*N9</f>
        <v>0</v>
      </c>
      <c r="V14" s="61">
        <f t="shared" ref="V14:V15" si="19">(G15-O15)*O9</f>
        <v>0</v>
      </c>
      <c r="W14" s="61">
        <f t="shared" ref="W14:W15" si="20">(H15-P15)*P9</f>
        <v>0</v>
      </c>
    </row>
    <row r="15" spans="2:30" x14ac:dyDescent="0.75">
      <c r="B15" s="76">
        <v>44491</v>
      </c>
      <c r="C15" s="13">
        <f>'Fund Performance'!C41</f>
        <v>1.4166802873891937E-2</v>
      </c>
      <c r="D15" s="13">
        <f>'Fund Performance'!D41</f>
        <v>2.9627791356267918E-2</v>
      </c>
      <c r="E15" s="13">
        <f>'Fund Performance'!E41</f>
        <v>-4.2065412642903199E-3</v>
      </c>
      <c r="F15" s="13">
        <f>'Fund Performance'!F41</f>
        <v>1.8300752904652828E-2</v>
      </c>
      <c r="G15" s="13">
        <f>'Fund Performance'!G41</f>
        <v>0.10686312326941616</v>
      </c>
      <c r="H15" s="77">
        <v>0</v>
      </c>
      <c r="I15" s="8"/>
      <c r="J15" s="76">
        <v>44491</v>
      </c>
      <c r="K15" s="13">
        <f>'Fund Performance'!$O41</f>
        <v>1.2276093718879721E-2</v>
      </c>
      <c r="L15" s="13">
        <f>'Fund Performance'!$P41</f>
        <v>3.9999638094276424E-2</v>
      </c>
      <c r="M15" s="13">
        <f>'Fund Performance'!$Q41</f>
        <v>-1.0262476144602184E-2</v>
      </c>
      <c r="N15" s="13">
        <v>0</v>
      </c>
      <c r="O15" s="13">
        <v>0</v>
      </c>
      <c r="P15" s="83">
        <v>0</v>
      </c>
      <c r="R15" t="s">
        <v>78</v>
      </c>
      <c r="S15" s="61">
        <f>(D16-L16)*L10</f>
        <v>7.9338515922718119E-3</v>
      </c>
      <c r="T15" s="61">
        <f t="shared" si="17"/>
        <v>-3.8142725194887598E-3</v>
      </c>
      <c r="U15" s="61">
        <f t="shared" si="18"/>
        <v>0</v>
      </c>
      <c r="V15" s="61">
        <f t="shared" si="19"/>
        <v>0</v>
      </c>
      <c r="W15" s="61">
        <f t="shared" si="20"/>
        <v>0</v>
      </c>
    </row>
    <row r="16" spans="2:30" ht="15.5" thickBot="1" x14ac:dyDescent="0.9">
      <c r="B16" s="78">
        <v>44505</v>
      </c>
      <c r="C16" s="79">
        <f>'Fund Performance'!C42</f>
        <v>1.7582422648033225E-2</v>
      </c>
      <c r="D16" s="79">
        <f>'Fund Performance'!D42</f>
        <v>3.6155305761740308E-2</v>
      </c>
      <c r="E16" s="79">
        <f>'Fund Performance'!E42</f>
        <v>4.0608413815019784E-3</v>
      </c>
      <c r="F16" s="79">
        <f>'Fund Performance'!F42</f>
        <v>-1.0954038015150713E-2</v>
      </c>
      <c r="G16" s="79">
        <f>'Fund Performance'!G42</f>
        <v>0.16335546355315911</v>
      </c>
      <c r="H16" s="80">
        <v>0</v>
      </c>
      <c r="I16" s="75"/>
      <c r="J16" s="78">
        <v>44505</v>
      </c>
      <c r="K16" s="79">
        <f>'Fund Performance'!$O42</f>
        <v>1.464811811516209E-2</v>
      </c>
      <c r="L16" s="79">
        <f>'Fund Performance'!$P42</f>
        <v>1.8524524445580726E-2</v>
      </c>
      <c r="M16" s="79">
        <f>'Fund Performance'!$Q42</f>
        <v>1.0995882326026996E-2</v>
      </c>
      <c r="N16" s="79">
        <v>0</v>
      </c>
      <c r="O16" s="79">
        <v>0</v>
      </c>
      <c r="P16" s="84">
        <v>0</v>
      </c>
      <c r="R16" t="s">
        <v>75</v>
      </c>
      <c r="S16" s="61">
        <f>S13*(1+L$15)*(1+L$16) + S14*(1+D$14)*(1+L$16) + S15*(1 + D$14)*(1 + D$15)</f>
        <v>3.8589459644948594E-2</v>
      </c>
      <c r="T16" s="61">
        <f>T13*(1+M$15)*(1+M$16) + T14*(1+E$14)*(1+M$16) + T15*(1 + E$14)*(1 + E$15)</f>
        <v>8.6887869768283773E-3</v>
      </c>
      <c r="U16" s="61">
        <f t="shared" ref="U16:W16" si="21">U13*(1+N$15)*(1+N$16) + U14*(1+F$14)*(1+N$16) + U15*(1 + F$14)*(1 + F$15)</f>
        <v>0</v>
      </c>
      <c r="V16" s="61">
        <f t="shared" si="21"/>
        <v>0</v>
      </c>
      <c r="W16" s="61">
        <f t="shared" si="21"/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D4EC-C63F-4DEA-BE03-FF3EE9A6E9C0}">
  <dimension ref="B2:K37"/>
  <sheetViews>
    <sheetView workbookViewId="0">
      <selection activeCell="H6" sqref="H6"/>
    </sheetView>
  </sheetViews>
  <sheetFormatPr defaultRowHeight="14.75" x14ac:dyDescent="0.75"/>
  <cols>
    <col min="2" max="2" width="12.36328125" customWidth="1"/>
    <col min="3" max="3" width="12.81640625" bestFit="1" customWidth="1"/>
    <col min="4" max="4" width="13.08984375" bestFit="1" customWidth="1"/>
    <col min="6" max="6" width="11.7265625" customWidth="1"/>
    <col min="7" max="7" width="13.08984375" bestFit="1" customWidth="1"/>
    <col min="8" max="8" width="27.453125" bestFit="1" customWidth="1"/>
    <col min="9" max="9" width="27" bestFit="1" customWidth="1"/>
    <col min="11" max="11" width="10.26953125" bestFit="1" customWidth="1"/>
  </cols>
  <sheetData>
    <row r="2" spans="2:11" ht="18.5" x14ac:dyDescent="0.9">
      <c r="B2" s="22" t="s">
        <v>80</v>
      </c>
    </row>
    <row r="3" spans="2:11" ht="15.5" thickBot="1" x14ac:dyDescent="0.9"/>
    <row r="4" spans="2:11" ht="15.5" thickBot="1" x14ac:dyDescent="0.9">
      <c r="B4" s="25" t="s">
        <v>84</v>
      </c>
      <c r="C4" s="26"/>
      <c r="D4" s="27"/>
      <c r="F4" s="67" t="s">
        <v>83</v>
      </c>
      <c r="G4" s="68"/>
      <c r="H4" s="68"/>
      <c r="I4" s="69"/>
    </row>
    <row r="5" spans="2:11" x14ac:dyDescent="0.75">
      <c r="B5" s="44" t="s">
        <v>2</v>
      </c>
      <c r="C5" s="32" t="s">
        <v>81</v>
      </c>
      <c r="D5" s="32" t="s">
        <v>82</v>
      </c>
      <c r="F5" s="65" t="s">
        <v>71</v>
      </c>
      <c r="G5" s="65" t="s">
        <v>82</v>
      </c>
      <c r="H5" s="66" t="s">
        <v>85</v>
      </c>
      <c r="I5" s="66" t="s">
        <v>86</v>
      </c>
      <c r="J5" s="64"/>
    </row>
    <row r="6" spans="2:11" x14ac:dyDescent="0.75">
      <c r="B6" s="28">
        <f>'Euro Prices'!$A2</f>
        <v>44461</v>
      </c>
      <c r="C6" s="62">
        <f>'Euro Prices'!$P2</f>
        <v>0.85559999942779497</v>
      </c>
      <c r="D6" s="8"/>
      <c r="F6" s="3" t="s">
        <v>72</v>
      </c>
      <c r="G6" s="61">
        <f>C17/C6 - 1</f>
        <v>1.1068239794585599E-2</v>
      </c>
      <c r="H6" s="70">
        <f>SUM('Rebalancing History'!J5:J13,'Rebalancing History'!J15:J16) * 'Value History'!$G$7 / Table3[[#This Row],[USD-EUR]]</f>
        <v>5050144.299734314</v>
      </c>
      <c r="I6" s="71">
        <f>Table147[[#This Row],[Value of USD Assets (USD)]]*(Table147[[#This Row],[Variation]])*$C$17</f>
        <v>48354.131930219504</v>
      </c>
    </row>
    <row r="7" spans="2:11" x14ac:dyDescent="0.75">
      <c r="B7" s="28">
        <f>'Euro Prices'!$A3</f>
        <v>44462</v>
      </c>
      <c r="C7" s="62">
        <f>'Euro Prices'!$P3</f>
        <v>0.85176998376846302</v>
      </c>
      <c r="D7" s="13">
        <f>$C7/$C6 - 1</f>
        <v>-4.4764091419978724E-3</v>
      </c>
      <c r="F7" s="3" t="s">
        <v>73</v>
      </c>
      <c r="G7" s="61">
        <f>C27/C17 - 1</f>
        <v>-5.6411748923383964E-3</v>
      </c>
      <c r="H7" s="70">
        <f>SUM('Rebalancing History'!K5:K13,'Rebalancing History'!K15:K16) * 'Value History'!$G$9 /'Change Impact'!$C$17</f>
        <v>4890163.9638540214</v>
      </c>
      <c r="I7" s="71">
        <f>Table147[[#This Row],[Value of USD Assets (USD)]]*(Table147[[#This Row],[Variation]])*$C$27</f>
        <v>-23729.433030774373</v>
      </c>
    </row>
    <row r="8" spans="2:11" x14ac:dyDescent="0.75">
      <c r="B8" s="28">
        <f>'Euro Prices'!$A4</f>
        <v>44463</v>
      </c>
      <c r="C8" s="62">
        <f>'Euro Prices'!$P4</f>
        <v>0.85176998376846302</v>
      </c>
      <c r="D8" s="13">
        <f t="shared" ref="D8:D36" si="0">$C8/$C7 - 1</f>
        <v>0</v>
      </c>
      <c r="F8" s="3" t="s">
        <v>74</v>
      </c>
      <c r="G8" s="61">
        <f>C36/C27-1</f>
        <v>3.9642886270421229E-3</v>
      </c>
      <c r="H8" s="70">
        <f>SUM('Rebalancing History'!L5:L13,'Rebalancing History'!L15:L16) * 'Value History'!G10 / 'Change Impact'!C27</f>
        <v>4753230.7347905552</v>
      </c>
      <c r="I8" s="71">
        <f>Table147[[#This Row],[Value of USD Assets (USD)]]*(Table147[[#This Row],[Variation]])*$C$36</f>
        <v>16272.96928499732</v>
      </c>
      <c r="K8" s="60"/>
    </row>
    <row r="9" spans="2:11" x14ac:dyDescent="0.75">
      <c r="B9" s="28">
        <f>'Euro Prices'!$A5</f>
        <v>44466</v>
      </c>
      <c r="C9" s="62">
        <f>'Euro Prices'!$P5</f>
        <v>0.85493499040603604</v>
      </c>
      <c r="D9" s="13">
        <f t="shared" si="0"/>
        <v>3.7157996852275055E-3</v>
      </c>
      <c r="F9" s="3" t="s">
        <v>75</v>
      </c>
      <c r="G9" s="61">
        <f>C36/C6 - 1</f>
        <v>9.3501825827644325E-3</v>
      </c>
      <c r="H9" s="70">
        <f>$H$6</f>
        <v>5050144.299734314</v>
      </c>
      <c r="I9" s="71">
        <f>Table147[[#This Row],[Value of USD Assets (USD)]]*(Table147[[#This Row],[Variation]])*$C$36</f>
        <v>40778.995208875633</v>
      </c>
      <c r="J9" t="str">
        <f>IF(ABS((Table147[[#This Row],[Value Gained / Lost (EUR)]]-SUM(I6:I8))/Table147[[#This Row],[Value Gained / Lost (EUR)]]) &lt; 0.01, "Check OK","Relative error greater than 1%")</f>
        <v>Check OK</v>
      </c>
    </row>
    <row r="10" spans="2:11" x14ac:dyDescent="0.75">
      <c r="B10" s="28">
        <f>'Euro Prices'!$A6</f>
        <v>44467</v>
      </c>
      <c r="C10" s="62">
        <f>'Euro Prices'!$P6</f>
        <v>0.85570001602172796</v>
      </c>
      <c r="D10" s="13">
        <f t="shared" si="0"/>
        <v>8.9483484039942773E-4</v>
      </c>
      <c r="F10" s="11"/>
    </row>
    <row r="11" spans="2:11" x14ac:dyDescent="0.75">
      <c r="B11" s="28">
        <f>'Euro Prices'!$A7</f>
        <v>44468</v>
      </c>
      <c r="C11" s="62">
        <f>'Euro Prices'!$P7</f>
        <v>0.86194998025894098</v>
      </c>
      <c r="D11" s="13">
        <f t="shared" si="0"/>
        <v>7.3039197384499044E-3</v>
      </c>
      <c r="F11" s="11"/>
    </row>
    <row r="12" spans="2:11" x14ac:dyDescent="0.75">
      <c r="B12" s="28">
        <f>'Euro Prices'!$A8</f>
        <v>44469</v>
      </c>
      <c r="C12" s="62">
        <f>'Euro Prices'!$P8</f>
        <v>0.86396998167037897</v>
      </c>
      <c r="D12" s="13">
        <f t="shared" si="0"/>
        <v>2.3435250973973254E-3</v>
      </c>
      <c r="F12" s="11"/>
    </row>
    <row r="13" spans="2:11" x14ac:dyDescent="0.75">
      <c r="B13" s="28">
        <f>'Euro Prices'!$A9</f>
        <v>44470</v>
      </c>
      <c r="C13" s="62">
        <f>'Euro Prices'!$P9</f>
        <v>0.86396998167037897</v>
      </c>
      <c r="D13" s="13">
        <f t="shared" si="0"/>
        <v>0</v>
      </c>
      <c r="F13" s="11"/>
    </row>
    <row r="14" spans="2:11" x14ac:dyDescent="0.75">
      <c r="B14" s="28">
        <f>'Euro Prices'!$A10</f>
        <v>44473</v>
      </c>
      <c r="C14" s="62">
        <f>'Euro Prices'!$P10</f>
        <v>0.86070001125335605</v>
      </c>
      <c r="D14" s="13">
        <f t="shared" si="0"/>
        <v>-3.7848194803028479E-3</v>
      </c>
      <c r="F14" s="11"/>
    </row>
    <row r="15" spans="2:11" x14ac:dyDescent="0.75">
      <c r="B15" s="28">
        <f>'Euro Prices'!$A11</f>
        <v>44474</v>
      </c>
      <c r="C15" s="62">
        <f>'Euro Prices'!$P11</f>
        <v>0.86236000061035101</v>
      </c>
      <c r="D15" s="13">
        <f t="shared" si="0"/>
        <v>1.9286503256548126E-3</v>
      </c>
      <c r="F15" s="11"/>
    </row>
    <row r="16" spans="2:11" x14ac:dyDescent="0.75">
      <c r="B16" s="28">
        <f>'Euro Prices'!$A12</f>
        <v>44475</v>
      </c>
      <c r="C16" s="62">
        <f>'Euro Prices'!$P12</f>
        <v>0.86540001630783003</v>
      </c>
      <c r="D16" s="13">
        <f t="shared" si="0"/>
        <v>3.5252280895767818E-3</v>
      </c>
      <c r="F16" s="11"/>
    </row>
    <row r="17" spans="2:6" x14ac:dyDescent="0.75">
      <c r="B17" s="29">
        <f>'Euro Prices'!$A13</f>
        <v>44476</v>
      </c>
      <c r="C17" s="63">
        <f>'Euro Prices'!$P13</f>
        <v>0.86506998538970903</v>
      </c>
      <c r="D17" s="15">
        <f t="shared" si="0"/>
        <v>-3.8136227397944644E-4</v>
      </c>
      <c r="F17" s="11"/>
    </row>
    <row r="18" spans="2:6" x14ac:dyDescent="0.75">
      <c r="B18" s="28">
        <f>'Euro Prices'!$A14</f>
        <v>44477</v>
      </c>
      <c r="C18" s="62">
        <f>'Euro Prices'!$P14</f>
        <v>0.86506998538970903</v>
      </c>
      <c r="D18" s="13">
        <f t="shared" si="0"/>
        <v>0</v>
      </c>
      <c r="F18" s="11"/>
    </row>
    <row r="19" spans="2:6" x14ac:dyDescent="0.75">
      <c r="B19" s="28">
        <f>'Euro Prices'!$A15</f>
        <v>44480</v>
      </c>
      <c r="C19" s="62">
        <f>'Euro Prices'!$P15</f>
        <v>0.86552000045776301</v>
      </c>
      <c r="D19" s="13">
        <f t="shared" si="0"/>
        <v>5.2020654473561301E-4</v>
      </c>
      <c r="F19" s="11"/>
    </row>
    <row r="20" spans="2:6" x14ac:dyDescent="0.75">
      <c r="B20" s="28">
        <f>'Euro Prices'!$A16</f>
        <v>44481</v>
      </c>
      <c r="C20" s="62">
        <f>'Euro Prices'!$P16</f>
        <v>0.86699998378753595</v>
      </c>
      <c r="D20" s="13">
        <f t="shared" si="0"/>
        <v>1.7099354480429874E-3</v>
      </c>
      <c r="F20" s="11"/>
    </row>
    <row r="21" spans="2:6" x14ac:dyDescent="0.75">
      <c r="B21" s="28">
        <f>'Euro Prices'!$A17</f>
        <v>44482</v>
      </c>
      <c r="C21" s="62">
        <f>'Euro Prices'!$P17</f>
        <v>0.86210000514984098</v>
      </c>
      <c r="D21" s="13">
        <f t="shared" si="0"/>
        <v>-5.6516479000254805E-3</v>
      </c>
      <c r="F21" s="11"/>
    </row>
    <row r="22" spans="2:6" x14ac:dyDescent="0.75">
      <c r="B22" s="28">
        <f>'Euro Prices'!$A18</f>
        <v>44483</v>
      </c>
      <c r="C22" s="62">
        <f>'Euro Prices'!$P18</f>
        <v>0.86269998550414995</v>
      </c>
      <c r="D22" s="13">
        <f t="shared" si="0"/>
        <v>6.9595215256335052E-4</v>
      </c>
      <c r="F22" s="11"/>
    </row>
    <row r="23" spans="2:6" x14ac:dyDescent="0.75">
      <c r="B23" s="28">
        <f>'Euro Prices'!$A19</f>
        <v>44484</v>
      </c>
      <c r="C23" s="62">
        <f>'Euro Prices'!$P19</f>
        <v>0.86269998550414995</v>
      </c>
      <c r="D23" s="13">
        <f t="shared" si="0"/>
        <v>0</v>
      </c>
      <c r="F23" s="11"/>
    </row>
    <row r="24" spans="2:6" x14ac:dyDescent="0.75">
      <c r="B24" s="28">
        <f>'Euro Prices'!$A20</f>
        <v>44487</v>
      </c>
      <c r="C24" s="62">
        <f>'Euro Prices'!$P20</f>
        <v>0.86103999614715498</v>
      </c>
      <c r="D24" s="13">
        <f t="shared" si="0"/>
        <v>-1.9241791873044756E-3</v>
      </c>
      <c r="F24" s="11"/>
    </row>
    <row r="25" spans="2:6" x14ac:dyDescent="0.75">
      <c r="B25" s="28">
        <f>'Euro Prices'!$A21</f>
        <v>44488</v>
      </c>
      <c r="C25" s="62">
        <f>'Euro Prices'!$P21</f>
        <v>0.85970002412795998</v>
      </c>
      <c r="D25" s="13">
        <f t="shared" si="0"/>
        <v>-1.5562250594524096E-3</v>
      </c>
      <c r="F25" s="11"/>
    </row>
    <row r="26" spans="2:6" x14ac:dyDescent="0.75">
      <c r="B26" s="28">
        <f>'Euro Prices'!$A22</f>
        <v>44489</v>
      </c>
      <c r="C26" s="62">
        <f>'Euro Prices'!$P22</f>
        <v>0.85799998044967596</v>
      </c>
      <c r="D26" s="13">
        <f t="shared" si="0"/>
        <v>-1.977484739526969E-3</v>
      </c>
      <c r="F26" s="11"/>
    </row>
    <row r="27" spans="2:6" x14ac:dyDescent="0.75">
      <c r="B27" s="29">
        <f>'Euro Prices'!$A23</f>
        <v>44490</v>
      </c>
      <c r="C27" s="63">
        <f>'Euro Prices'!$P23</f>
        <v>0.86018997430801303</v>
      </c>
      <c r="D27" s="15">
        <f t="shared" si="0"/>
        <v>2.552440452491922E-3</v>
      </c>
      <c r="F27" s="11"/>
    </row>
    <row r="28" spans="2:6" x14ac:dyDescent="0.75">
      <c r="B28" s="28">
        <f>'Euro Prices'!$A24</f>
        <v>44491</v>
      </c>
      <c r="C28" s="62">
        <f>'Euro Prices'!$P24</f>
        <v>0.86018997430801303</v>
      </c>
      <c r="D28" s="13">
        <f t="shared" si="0"/>
        <v>0</v>
      </c>
      <c r="F28" s="11"/>
    </row>
    <row r="29" spans="2:6" x14ac:dyDescent="0.75">
      <c r="B29" s="28">
        <f>'Euro Prices'!$A25</f>
        <v>44494</v>
      </c>
      <c r="C29" s="62">
        <f>'Euro Prices'!$P25</f>
        <v>0.86119997501373202</v>
      </c>
      <c r="D29" s="13">
        <f t="shared" si="0"/>
        <v>1.1741600528785145E-3</v>
      </c>
      <c r="F29" s="11"/>
    </row>
    <row r="30" spans="2:6" x14ac:dyDescent="0.75">
      <c r="B30" s="28">
        <f>'Euro Prices'!$A26</f>
        <v>44495</v>
      </c>
      <c r="C30" s="62">
        <f>'Euro Prices'!$P26</f>
        <v>0.86220002174377397</v>
      </c>
      <c r="D30" s="13">
        <f t="shared" si="0"/>
        <v>1.161224755058754E-3</v>
      </c>
      <c r="F30" s="11"/>
    </row>
    <row r="31" spans="2:6" x14ac:dyDescent="0.75">
      <c r="B31" s="28">
        <f>'Euro Prices'!$A27</f>
        <v>44496</v>
      </c>
      <c r="C31" s="62">
        <f>'Euro Prices'!$P27</f>
        <v>0.86206001043319702</v>
      </c>
      <c r="D31" s="13">
        <f t="shared" si="0"/>
        <v>-1.6238843313154394E-4</v>
      </c>
      <c r="F31" s="11"/>
    </row>
    <row r="32" spans="2:6" x14ac:dyDescent="0.75">
      <c r="B32" s="28">
        <f>'Euro Prices'!$A28</f>
        <v>44497</v>
      </c>
      <c r="C32" s="62">
        <f>'Euro Prices'!$P28</f>
        <v>0.85589998960494995</v>
      </c>
      <c r="D32" s="13">
        <f t="shared" si="0"/>
        <v>-7.1456983895489268E-3</v>
      </c>
      <c r="F32" s="11"/>
    </row>
    <row r="33" spans="2:6" x14ac:dyDescent="0.75">
      <c r="B33" s="28">
        <f>'Euro Prices'!$A29</f>
        <v>44498</v>
      </c>
      <c r="C33" s="62">
        <f>'Euro Prices'!$P29</f>
        <v>0.85589998960494995</v>
      </c>
      <c r="D33" s="13">
        <f t="shared" si="0"/>
        <v>0</v>
      </c>
      <c r="F33" s="11"/>
    </row>
    <row r="34" spans="2:6" x14ac:dyDescent="0.75">
      <c r="B34" s="28">
        <f>'Euro Prices'!$A30</f>
        <v>44501</v>
      </c>
      <c r="C34" s="62">
        <f>'Euro Prices'!$P30</f>
        <v>0.86529999971389704</v>
      </c>
      <c r="D34" s="13">
        <f t="shared" si="0"/>
        <v>1.0982603368514754E-2</v>
      </c>
      <c r="F34" s="11"/>
    </row>
    <row r="35" spans="2:6" x14ac:dyDescent="0.75">
      <c r="B35" s="28">
        <f>'Euro Prices'!$A31</f>
        <v>44502</v>
      </c>
      <c r="C35" s="62">
        <f>'Euro Prices'!$P31</f>
        <v>0.86210000514984098</v>
      </c>
      <c r="D35" s="13">
        <f t="shared" si="0"/>
        <v>-3.6981330927009504E-3</v>
      </c>
      <c r="F35" s="11"/>
    </row>
    <row r="36" spans="2:6" x14ac:dyDescent="0.75">
      <c r="B36" s="28">
        <f>'Euro Prices'!$A32</f>
        <v>44503</v>
      </c>
      <c r="C36" s="62">
        <f>'Euro Prices'!$P32</f>
        <v>0.86360001564025801</v>
      </c>
      <c r="D36" s="13">
        <f t="shared" si="0"/>
        <v>1.7399495203069826E-3</v>
      </c>
      <c r="F36" s="11"/>
    </row>
    <row r="37" spans="2:6" x14ac:dyDescent="0.75">
      <c r="B37" s="11"/>
    </row>
  </sheetData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0C64-13F9-43D8-AF89-B90E9C7DA5EE}">
  <dimension ref="B2:D35"/>
  <sheetViews>
    <sheetView workbookViewId="0">
      <selection activeCell="D18" sqref="D18"/>
    </sheetView>
  </sheetViews>
  <sheetFormatPr defaultRowHeight="14.75" x14ac:dyDescent="0.75"/>
  <cols>
    <col min="2" max="2" width="10.26953125" customWidth="1"/>
    <col min="3" max="3" width="14.1796875" bestFit="1" customWidth="1"/>
    <col min="4" max="4" width="17.81640625" bestFit="1" customWidth="1"/>
  </cols>
  <sheetData>
    <row r="2" spans="2:4" ht="18.5" x14ac:dyDescent="0.9">
      <c r="B2" s="22" t="s">
        <v>100</v>
      </c>
    </row>
    <row r="4" spans="2:4" x14ac:dyDescent="0.75">
      <c r="B4" t="s">
        <v>101</v>
      </c>
    </row>
    <row r="5" spans="2:4" x14ac:dyDescent="0.75">
      <c r="B5" s="3" t="s">
        <v>2</v>
      </c>
      <c r="C5" s="3" t="s">
        <v>102</v>
      </c>
      <c r="D5" t="s">
        <v>103</v>
      </c>
    </row>
    <row r="6" spans="2:4" x14ac:dyDescent="0.75">
      <c r="B6" s="11" cm="1">
        <f t="array" ref="B6:B35">'Asset Prices'!$B$7:$B$36</f>
        <v>44462</v>
      </c>
      <c r="C6" cm="1">
        <f t="array" ref="C6">MMULT('Asset Prices'!$C7:$P7,Table8[24-set])/MMULT('Asset Prices'!$C6:$P6,Table8[24-set]) - 1</f>
        <v>2.2734648132578528E-3</v>
      </c>
      <c r="D6">
        <f>$C6</f>
        <v>2.2734648132578528E-3</v>
      </c>
    </row>
    <row r="7" spans="2:4" x14ac:dyDescent="0.75">
      <c r="B7" s="11">
        <v>44463</v>
      </c>
      <c r="C7" cm="1">
        <f t="array" ref="C7">MMULT('Asset Prices'!$C8:$P8,Table8[24-set])/MMULT('Asset Prices'!$C7:$P7,Table8[24-set]) - 1</f>
        <v>7.7572413921345174E-4</v>
      </c>
      <c r="D7">
        <f t="shared" ref="D7:D16" si="0">$C7</f>
        <v>7.7572413921345174E-4</v>
      </c>
    </row>
    <row r="8" spans="2:4" x14ac:dyDescent="0.75">
      <c r="B8" s="11">
        <v>44466</v>
      </c>
      <c r="C8" cm="1">
        <f t="array" ref="C8">MMULT('Asset Prices'!$C9:$P9,Table8[24-set])/MMULT('Asset Prices'!$C8:$P8,Table8[24-set]) - 1</f>
        <v>8.7247020001224307E-3</v>
      </c>
      <c r="D8">
        <f t="shared" si="0"/>
        <v>8.7247020001224307E-3</v>
      </c>
    </row>
    <row r="9" spans="2:4" x14ac:dyDescent="0.75">
      <c r="B9" s="11">
        <v>44467</v>
      </c>
      <c r="C9" cm="1">
        <f t="array" ref="C9">MMULT('Asset Prices'!$C10:$P10,Table8[24-set])/MMULT('Asset Prices'!$C9:$P9,Table8[24-set]) - 1</f>
        <v>-6.499001179108066E-3</v>
      </c>
      <c r="D9">
        <f t="shared" si="0"/>
        <v>-6.499001179108066E-3</v>
      </c>
    </row>
    <row r="10" spans="2:4" x14ac:dyDescent="0.75">
      <c r="B10" s="11">
        <v>44468</v>
      </c>
      <c r="C10" cm="1">
        <f t="array" ref="C10">MMULT('Asset Prices'!$C11:$P11,Table8[24-set])/MMULT('Asset Prices'!$C10:$P10,Table8[24-set]) - 1</f>
        <v>1.0398887529736056E-2</v>
      </c>
      <c r="D10">
        <f t="shared" si="0"/>
        <v>1.0398887529736056E-2</v>
      </c>
    </row>
    <row r="11" spans="2:4" x14ac:dyDescent="0.75">
      <c r="B11" s="11">
        <v>44469</v>
      </c>
      <c r="C11" cm="1">
        <f t="array" ref="C11">MMULT('Asset Prices'!$C12:$P12,Table8[24-set])/MMULT('Asset Prices'!$C11:$P11,Table8[24-set]) - 1</f>
        <v>1.7898568946066451E-3</v>
      </c>
      <c r="D11">
        <f t="shared" si="0"/>
        <v>1.7898568946066451E-3</v>
      </c>
    </row>
    <row r="12" spans="2:4" x14ac:dyDescent="0.75">
      <c r="B12" s="11">
        <v>44470</v>
      </c>
      <c r="C12" cm="1">
        <f t="array" ref="C12">MMULT('Asset Prices'!$C13:$P13,Table8[24-set])/MMULT('Asset Prices'!$C12:$P12,Table8[24-set]) - 1</f>
        <v>9.291955507055194E-3</v>
      </c>
      <c r="D12">
        <f t="shared" si="0"/>
        <v>9.291955507055194E-3</v>
      </c>
    </row>
    <row r="13" spans="2:4" x14ac:dyDescent="0.75">
      <c r="B13" s="11">
        <v>44473</v>
      </c>
      <c r="C13" cm="1">
        <f t="array" ref="C13">MMULT('Asset Prices'!$C14:$P14,Table8[24-set])/MMULT('Asset Prices'!$C13:$P13,Table8[24-set]) - 1</f>
        <v>-3.6610417884607172E-3</v>
      </c>
      <c r="D13">
        <f t="shared" si="0"/>
        <v>-3.6610417884607172E-3</v>
      </c>
    </row>
    <row r="14" spans="2:4" x14ac:dyDescent="0.75">
      <c r="B14" s="11">
        <v>44474</v>
      </c>
      <c r="C14" cm="1">
        <f t="array" ref="C14">MMULT('Asset Prices'!$C15:$P15,Table8[24-set])/MMULT('Asset Prices'!$C14:$P14,Table8[24-set]) - 1</f>
        <v>8.1139822721587596E-3</v>
      </c>
      <c r="D14">
        <f t="shared" si="0"/>
        <v>8.1139822721587596E-3</v>
      </c>
    </row>
    <row r="15" spans="2:4" x14ac:dyDescent="0.75">
      <c r="B15" s="11">
        <v>44475</v>
      </c>
      <c r="C15" cm="1">
        <f t="array" ref="C15">MMULT('Asset Prices'!$C16:$P16,Table8[24-set])/MMULT('Asset Prices'!$C15:$P15,Table8[24-set]) - 1</f>
        <v>4.5286862928106686E-4</v>
      </c>
      <c r="D15">
        <f t="shared" si="0"/>
        <v>4.5286862928106686E-4</v>
      </c>
    </row>
    <row r="16" spans="2:4" x14ac:dyDescent="0.75">
      <c r="B16" s="11">
        <v>44476</v>
      </c>
      <c r="C16" cm="1">
        <f t="array" ref="C16">MMULT('Asset Prices'!$C17:$P17,Table8[24-set])/MMULT('Asset Prices'!$C16:$P16,Table8[24-set]) - 1</f>
        <v>3.2985556896973911E-3</v>
      </c>
      <c r="D16">
        <f t="shared" si="0"/>
        <v>3.2985556896973911E-3</v>
      </c>
    </row>
    <row r="17" spans="2:3" x14ac:dyDescent="0.75">
      <c r="B17" s="11">
        <v>44477</v>
      </c>
      <c r="C17" cm="1">
        <f t="array" ref="C17">MMULT('Asset Prices'!$C18:$P18,Table8[24-set])/MMULT('Asset Prices'!$C17:$P17,Table8[24-set]) - 1</f>
        <v>1.0834463439188813E-3</v>
      </c>
    </row>
    <row r="18" spans="2:3" x14ac:dyDescent="0.75">
      <c r="B18" s="11">
        <v>44480</v>
      </c>
      <c r="C18" cm="1">
        <f t="array" ref="C18">MMULT('Asset Prices'!$C19:$P19,Table8[24-set])/MMULT('Asset Prices'!$C18:$P18,Table8[24-set]) - 1</f>
        <v>-2.8431574742826538E-3</v>
      </c>
    </row>
    <row r="19" spans="2:3" x14ac:dyDescent="0.75">
      <c r="B19" s="11">
        <v>44481</v>
      </c>
      <c r="C19" cm="1">
        <f t="array" ref="C19">MMULT('Asset Prices'!$C20:$P20,Table8[24-set])/MMULT('Asset Prices'!$C19:$P19,Table8[24-set]) - 1</f>
        <v>2.7691312758284514E-3</v>
      </c>
    </row>
    <row r="20" spans="2:3" x14ac:dyDescent="0.75">
      <c r="B20" s="11">
        <v>44482</v>
      </c>
      <c r="C20" cm="1">
        <f t="array" ref="C20">MMULT('Asset Prices'!$C21:$P21,Table8[24-set])/MMULT('Asset Prices'!$C20:$P20,Table8[24-set]) - 1</f>
        <v>-2.951235731118107E-3</v>
      </c>
    </row>
    <row r="21" spans="2:3" x14ac:dyDescent="0.75">
      <c r="B21" s="11">
        <v>44483</v>
      </c>
      <c r="C21" cm="1">
        <f t="array" ref="C21">MMULT('Asset Prices'!$C22:$P22,Table8[24-set])/MMULT('Asset Prices'!$C21:$P21,Table8[24-set]) - 1</f>
        <v>9.6918074412521982E-3</v>
      </c>
    </row>
    <row r="22" spans="2:3" x14ac:dyDescent="0.75">
      <c r="B22" s="11">
        <v>44484</v>
      </c>
      <c r="C22" cm="1">
        <f t="array" ref="C22">MMULT('Asset Prices'!$C23:$P23,Table8[24-set])/MMULT('Asset Prices'!$C22:$P22,Table8[24-set]) - 1</f>
        <v>3.3320874495754715E-3</v>
      </c>
    </row>
    <row r="23" spans="2:3" x14ac:dyDescent="0.75">
      <c r="B23" s="11">
        <v>44487</v>
      </c>
      <c r="C23" cm="1">
        <f t="array" ref="C23">MMULT('Asset Prices'!$C24:$P24,Table8[24-set])/MMULT('Asset Prices'!$C23:$P23,Table8[24-set]) - 1</f>
        <v>-2.187974279889815E-3</v>
      </c>
    </row>
    <row r="24" spans="2:3" x14ac:dyDescent="0.75">
      <c r="B24" s="11">
        <v>44488</v>
      </c>
      <c r="C24" cm="1">
        <f t="array" ref="C24">MMULT('Asset Prices'!$C25:$P25,Table8[24-set])/MMULT('Asset Prices'!$C24:$P24,Table8[24-set]) - 1</f>
        <v>4.2553700240015591E-3</v>
      </c>
    </row>
    <row r="25" spans="2:3" x14ac:dyDescent="0.75">
      <c r="B25" s="11">
        <v>44489</v>
      </c>
      <c r="C25" cm="1">
        <f t="array" ref="C25">MMULT('Asset Prices'!$C26:$P26,Table8[24-set])/MMULT('Asset Prices'!$C25:$P25,Table8[24-set]) - 1</f>
        <v>2.4992069608911205E-3</v>
      </c>
    </row>
    <row r="26" spans="2:3" x14ac:dyDescent="0.75">
      <c r="B26" s="11">
        <v>44490</v>
      </c>
      <c r="C26" cm="1">
        <f t="array" ref="C26">MMULT('Asset Prices'!$C27:$P27,Table8[24-set])/MMULT('Asset Prices'!$C26:$P26,Table8[24-set]) - 1</f>
        <v>-2.2228081796054067E-3</v>
      </c>
    </row>
    <row r="27" spans="2:3" x14ac:dyDescent="0.75">
      <c r="B27" s="11">
        <v>44491</v>
      </c>
      <c r="C27" cm="1">
        <f t="array" ref="C27">MMULT('Asset Prices'!$C28:$P28,Table8[24-set])/MMULT('Asset Prices'!$C27:$P27,Table8[24-set]) - 1</f>
        <v>4.1313782419540868E-3</v>
      </c>
    </row>
    <row r="28" spans="2:3" x14ac:dyDescent="0.75">
      <c r="B28" s="11">
        <v>44494</v>
      </c>
      <c r="C28" cm="1">
        <f t="array" ref="C28">MMULT('Asset Prices'!$C29:$P29,Table8[24-set])/MMULT('Asset Prices'!$C28:$P28,Table8[24-set]) - 1</f>
        <v>2.1041065549707305E-3</v>
      </c>
    </row>
    <row r="29" spans="2:3" x14ac:dyDescent="0.75">
      <c r="B29" s="11">
        <v>44495</v>
      </c>
      <c r="C29" cm="1">
        <f t="array" ref="C29">MMULT('Asset Prices'!$C30:$P30,Table8[24-set])/MMULT('Asset Prices'!$C29:$P29,Table8[24-set]) - 1</f>
        <v>-1.7647644931909623E-3</v>
      </c>
    </row>
    <row r="30" spans="2:3" x14ac:dyDescent="0.75">
      <c r="B30" s="11">
        <v>44496</v>
      </c>
      <c r="C30" cm="1">
        <f t="array" ref="C30">MMULT('Asset Prices'!$C31:$P31,Table8[24-set])/MMULT('Asset Prices'!$C30:$P30,Table8[24-set]) - 1</f>
        <v>-5.573517716107701E-3</v>
      </c>
    </row>
    <row r="31" spans="2:3" x14ac:dyDescent="0.75">
      <c r="B31" s="11">
        <v>44497</v>
      </c>
      <c r="C31" cm="1">
        <f t="array" ref="C31">MMULT('Asset Prices'!$C32:$P32,Table8[24-set])/MMULT('Asset Prices'!$C31:$P31,Table8[24-set]) - 1</f>
        <v>-4.2010293609795468E-4</v>
      </c>
    </row>
    <row r="32" spans="2:3" x14ac:dyDescent="0.75">
      <c r="B32" s="11">
        <v>44498</v>
      </c>
      <c r="C32" cm="1">
        <f t="array" ref="C32">MMULT('Asset Prices'!$C33:$P33,Table8[24-set])/MMULT('Asset Prices'!$C32:$P32,Table8[24-set]) - 1</f>
        <v>-4.443651684882477E-3</v>
      </c>
    </row>
    <row r="33" spans="2:3" x14ac:dyDescent="0.75">
      <c r="B33" s="11">
        <v>44501</v>
      </c>
      <c r="C33" cm="1">
        <f t="array" ref="C33">MMULT('Asset Prices'!$C34:$P34,Table8[24-set])/MMULT('Asset Prices'!$C33:$P33,Table8[24-set]) - 1</f>
        <v>1.4428035248552407E-2</v>
      </c>
    </row>
    <row r="34" spans="2:3" x14ac:dyDescent="0.75">
      <c r="B34" s="11">
        <v>44502</v>
      </c>
      <c r="C34" cm="1">
        <f t="array" ref="C34">MMULT('Asset Prices'!$C35:$P35,Table8[24-set])/MMULT('Asset Prices'!$C34:$P34,Table8[24-set]) - 1</f>
        <v>-8.9893655494743818E-4</v>
      </c>
    </row>
    <row r="35" spans="2:3" x14ac:dyDescent="0.75">
      <c r="B35" s="11">
        <v>44503</v>
      </c>
      <c r="C35" cm="1">
        <f t="array" ref="C35">MMULT('Asset Prices'!$C36:$P36,Table8[24-set])/MMULT('Asset Prices'!$C35:$P35,Table8[24-set]) - 1</f>
        <v>2.2093659510873387E-3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BAC9-19DA-4459-8795-8FEFD9150222}">
  <dimension ref="B2:T74"/>
  <sheetViews>
    <sheetView tabSelected="1" topLeftCell="A39" zoomScale="60" zoomScaleNormal="60" workbookViewId="0">
      <selection activeCell="B39" sqref="B39:B69"/>
    </sheetView>
  </sheetViews>
  <sheetFormatPr defaultRowHeight="14.75" x14ac:dyDescent="0.75"/>
  <cols>
    <col min="2" max="2" width="15" customWidth="1"/>
    <col min="3" max="3" width="16" bestFit="1" customWidth="1"/>
    <col min="4" max="4" width="14.90625" bestFit="1" customWidth="1"/>
    <col min="5" max="5" width="9.26953125" bestFit="1" customWidth="1"/>
    <col min="6" max="6" width="8.81640625" bestFit="1" customWidth="1"/>
    <col min="7" max="7" width="9.26953125" bestFit="1" customWidth="1"/>
    <col min="8" max="8" width="9.7265625" bestFit="1" customWidth="1"/>
    <col min="9" max="9" width="8.08984375" bestFit="1" customWidth="1"/>
    <col min="10" max="10" width="9" bestFit="1" customWidth="1"/>
    <col min="11" max="11" width="7.36328125" bestFit="1" customWidth="1"/>
    <col min="12" max="12" width="9.90625" bestFit="1" customWidth="1"/>
    <col min="13" max="13" width="15.81640625" bestFit="1" customWidth="1"/>
    <col min="14" max="14" width="8.54296875" bestFit="1" customWidth="1"/>
    <col min="15" max="15" width="9.6328125" bestFit="1" customWidth="1"/>
    <col min="16" max="16" width="11.36328125" bestFit="1" customWidth="1"/>
    <col min="18" max="18" width="16.36328125" bestFit="1" customWidth="1"/>
    <col min="19" max="19" width="9.453125" bestFit="1" customWidth="1"/>
    <col min="20" max="20" width="9.90625" bestFit="1" customWidth="1"/>
  </cols>
  <sheetData>
    <row r="2" spans="2:20" ht="18.5" x14ac:dyDescent="0.9">
      <c r="B2" s="22" t="s">
        <v>52</v>
      </c>
      <c r="C2" s="22"/>
    </row>
    <row r="3" spans="2:20" ht="15.5" thickBot="1" x14ac:dyDescent="0.9"/>
    <row r="4" spans="2:20" x14ac:dyDescent="0.75">
      <c r="B4" s="25" t="s">
        <v>41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R4" s="25" t="s">
        <v>43</v>
      </c>
      <c r="S4" s="26"/>
      <c r="T4" s="27"/>
    </row>
    <row r="5" spans="2:20" x14ac:dyDescent="0.75">
      <c r="B5" s="30" t="s">
        <v>2</v>
      </c>
      <c r="C5" s="31" t="s">
        <v>12</v>
      </c>
      <c r="D5" s="31" t="s">
        <v>14</v>
      </c>
      <c r="E5" s="31" t="s">
        <v>16</v>
      </c>
      <c r="F5" s="31" t="s">
        <v>18</v>
      </c>
      <c r="G5" s="31" t="s">
        <v>20</v>
      </c>
      <c r="H5" s="31" t="s">
        <v>22</v>
      </c>
      <c r="I5" s="31" t="s">
        <v>24</v>
      </c>
      <c r="J5" s="31" t="s">
        <v>26</v>
      </c>
      <c r="K5" s="31" t="s">
        <v>28</v>
      </c>
      <c r="L5" s="31" t="s">
        <v>30</v>
      </c>
      <c r="M5" s="31" t="s">
        <v>32</v>
      </c>
      <c r="N5" s="31" t="s">
        <v>34</v>
      </c>
      <c r="O5" s="31" t="s">
        <v>36</v>
      </c>
      <c r="P5" s="31" t="s">
        <v>38</v>
      </c>
      <c r="R5" s="30" t="s">
        <v>2</v>
      </c>
      <c r="S5" s="31" t="s">
        <v>45</v>
      </c>
      <c r="T5" s="31" t="s">
        <v>46</v>
      </c>
    </row>
    <row r="6" spans="2:20" x14ac:dyDescent="0.75">
      <c r="B6" s="28">
        <v>44461</v>
      </c>
      <c r="C6" s="35">
        <f>VLOOKUP($B6,'Euro Prices'!$A$1:$R$448,3,FALSE)</f>
        <v>165.259994506835</v>
      </c>
      <c r="D6" s="35">
        <f>VLOOKUP($B6,'Euro Prices'!$A$1:$R$448,7,FALSE)</f>
        <v>11.011571894720001</v>
      </c>
      <c r="E6" s="35">
        <f>VLOOKUP($B6,'Euro Prices'!$A$1:$R$448,8,FALSE)</f>
        <v>13.997616512855467</v>
      </c>
      <c r="F6" s="35">
        <f>VLOOKUP($B6,'Euro Prices'!$A$1:$R$448,9,FALSE)</f>
        <v>17.257452053735683</v>
      </c>
      <c r="G6" s="35">
        <f>VLOOKUP($B6,'Euro Prices'!$A$1:$R$448,10,FALSE)</f>
        <v>29.133179327745381</v>
      </c>
      <c r="H6" s="35">
        <f>VLOOKUP($B6,'Euro Prices'!$A$1:$R$448,11,FALSE)</f>
        <v>10.429763634000773</v>
      </c>
      <c r="I6" s="35">
        <f>VLOOKUP($B6,'Euro Prices'!$A$1:$R$448,4,FALSE)</f>
        <v>99.091962265882245</v>
      </c>
      <c r="J6" s="35">
        <f>VLOOKUP($B6,'Euro Prices'!$A$1:$R$448,5,FALSE)</f>
        <v>95.18927948040654</v>
      </c>
      <c r="K6" s="35">
        <f>VLOOKUP($B6,'Euro Prices'!$A$1:$R$448,12,FALSE)</f>
        <v>74.804964601461464</v>
      </c>
      <c r="L6" s="35">
        <f>VLOOKUP($B6,'Euro Prices'!$A$1:$R$448,13,FALSE)</f>
        <v>8.5423007789703345</v>
      </c>
      <c r="M6" s="35">
        <f>VLOOKUP($B6,'Euro Prices'!$A$1:$R$448,2,FALSE)</f>
        <v>12.396089553833001</v>
      </c>
      <c r="N6" s="35">
        <f>VLOOKUP($B6,'Euro Prices'!$A$1:$R$448,15,FALSE)</f>
        <v>17.454239661941454</v>
      </c>
      <c r="O6" s="35">
        <f>VLOOKUP($B6,'Euro Prices'!$A$1:$R$448,14,FALSE)</f>
        <v>5.0822640455589188</v>
      </c>
      <c r="P6" s="35">
        <f>VLOOKUP($B6,'Euro Prices'!$A$1:$R$448,6,FALSE)</f>
        <v>2687.82153320312</v>
      </c>
      <c r="R6" s="28">
        <v>44461</v>
      </c>
      <c r="S6" s="37">
        <f>VLOOKUP($B6,'Euro Prices'!$A$1:$R$448,17,FALSE)</f>
        <v>551.99036051951339</v>
      </c>
      <c r="T6" s="37">
        <f>VLOOKUP($B6,'Euro Prices'!$A$1:$R$448,18,FALSE)</f>
        <v>11.27149551362578</v>
      </c>
    </row>
    <row r="7" spans="2:20" x14ac:dyDescent="0.75">
      <c r="B7" s="28">
        <v>44462</v>
      </c>
      <c r="C7" s="35">
        <f>VLOOKUP($B7,'Euro Prices'!$A$1:$R$448,3,FALSE)</f>
        <v>166.78999328613199</v>
      </c>
      <c r="D7" s="35">
        <f>VLOOKUP($B7,'Euro Prices'!$A$1:$R$448,7,FALSE)</f>
        <v>11.226328646007843</v>
      </c>
      <c r="E7" s="35">
        <f>VLOOKUP($B7,'Euro Prices'!$A$1:$R$448,8,FALSE)</f>
        <v>14.21604148398988</v>
      </c>
      <c r="F7" s="35">
        <f>VLOOKUP($B7,'Euro Prices'!$A$1:$R$448,9,FALSE)</f>
        <v>17.469802562045825</v>
      </c>
      <c r="G7" s="35">
        <f>VLOOKUP($B7,'Euro Prices'!$A$1:$R$448,10,FALSE)</f>
        <v>29.215709793409314</v>
      </c>
      <c r="H7" s="35">
        <f>VLOOKUP($B7,'Euro Prices'!$A$1:$R$448,11,FALSE)</f>
        <v>10.459735173229525</v>
      </c>
      <c r="I7" s="35">
        <f>VLOOKUP($B7,'Euro Prices'!$A$1:$R$448,4,FALSE)</f>
        <v>98.164398115774119</v>
      </c>
      <c r="J7" s="35">
        <f>VLOOKUP($B7,'Euro Prices'!$A$1:$R$448,5,FALSE)</f>
        <v>94.398465105492278</v>
      </c>
      <c r="K7" s="35">
        <f>VLOOKUP($B7,'Euro Prices'!$A$1:$R$448,12,FALSE)</f>
        <v>74.503957604587342</v>
      </c>
      <c r="L7" s="35">
        <f>VLOOKUP($B7,'Euro Prices'!$A$1:$R$448,13,FALSE)</f>
        <v>8.5066166642584413</v>
      </c>
      <c r="M7" s="35">
        <f>VLOOKUP($B7,'Euro Prices'!$A$1:$R$448,2,FALSE)</f>
        <v>12.598569869995099</v>
      </c>
      <c r="N7" s="35">
        <f>VLOOKUP($B7,'Euro Prices'!$A$1:$R$448,15,FALSE)</f>
        <v>17.623121419063732</v>
      </c>
      <c r="O7" s="35">
        <f>VLOOKUP($B7,'Euro Prices'!$A$1:$R$448,14,FALSE)</f>
        <v>5.1106199026107779</v>
      </c>
      <c r="P7" s="35">
        <f>VLOOKUP($B7,'Euro Prices'!$A$1:$R$448,6,FALSE)</f>
        <v>2501.30615234375</v>
      </c>
      <c r="R7" s="28">
        <v>44462</v>
      </c>
      <c r="S7" s="37">
        <f>VLOOKUP($B7,'Euro Prices'!$A$1:$R$448,17,FALSE)</f>
        <v>556.69984054800727</v>
      </c>
      <c r="T7" s="37">
        <f>VLOOKUP($B7,'Euro Prices'!$A$1:$R$448,18,FALSE)</f>
        <v>11.152981822397154</v>
      </c>
    </row>
    <row r="8" spans="2:20" x14ac:dyDescent="0.75">
      <c r="B8" s="28">
        <v>44463</v>
      </c>
      <c r="C8" s="35">
        <f>VLOOKUP($B8,'Euro Prices'!$A$1:$R$448,3,FALSE)</f>
        <v>168.55000305175699</v>
      </c>
      <c r="D8" s="35">
        <f>VLOOKUP($B8,'Euro Prices'!$A$1:$R$448,7,FALSE)</f>
        <v>11.260399412866198</v>
      </c>
      <c r="E8" s="35">
        <f>VLOOKUP($B8,'Euro Prices'!$A$1:$R$448,8,FALSE)</f>
        <v>14.233075648952259</v>
      </c>
      <c r="F8" s="35">
        <f>VLOOKUP($B8,'Euro Prices'!$A$1:$R$448,9,FALSE)</f>
        <v>17.418696817913951</v>
      </c>
      <c r="G8" s="35">
        <f>VLOOKUP($B8,'Euro Prices'!$A$1:$R$448,10,FALSE)</f>
        <v>28.985731507882448</v>
      </c>
      <c r="H8" s="35">
        <f>VLOOKUP($B8,'Euro Prices'!$A$1:$R$448,11,FALSE)</f>
        <v>10.331970000588781</v>
      </c>
      <c r="I8" s="35">
        <f>VLOOKUP($B8,'Euro Prices'!$A$1:$R$448,4,FALSE)</f>
        <v>97.994579594535651</v>
      </c>
      <c r="J8" s="35">
        <f>VLOOKUP($B8,'Euro Prices'!$A$1:$R$448,5,FALSE)</f>
        <v>94.127062200202886</v>
      </c>
      <c r="K8" s="35">
        <f>VLOOKUP($B8,'Euro Prices'!$A$1:$R$448,12,FALSE)</f>
        <v>74.393944679971767</v>
      </c>
      <c r="L8" s="35">
        <f>VLOOKUP($B8,'Euro Prices'!$A$1:$R$448,13,FALSE)</f>
        <v>8.4981012063995465</v>
      </c>
      <c r="M8" s="35">
        <f>VLOOKUP($B8,'Euro Prices'!$A$1:$R$448,2,FALSE)</f>
        <v>12.6814403533935</v>
      </c>
      <c r="N8" s="35">
        <f>VLOOKUP($B8,'Euro Prices'!$A$1:$R$448,15,FALSE)</f>
        <v>17.725332907327399</v>
      </c>
      <c r="O8" s="35">
        <f>VLOOKUP($B8,'Euro Prices'!$A$1:$R$448,14,FALSE)</f>
        <v>5.1532085642614298</v>
      </c>
      <c r="P8" s="35">
        <f>VLOOKUP($B8,'Euro Prices'!$A$1:$R$448,6,FALSE)</f>
        <v>2496.19506835937</v>
      </c>
      <c r="R8" s="28">
        <v>44463</v>
      </c>
      <c r="S8" s="37">
        <f>VLOOKUP($B8,'Euro Prices'!$A$1:$R$448,17,FALSE)</f>
        <v>563.33511000591488</v>
      </c>
      <c r="T8" s="37">
        <f>VLOOKUP($B8,'Euro Prices'!$A$1:$R$448,18,FALSE)</f>
        <v>11.135967965213695</v>
      </c>
    </row>
    <row r="9" spans="2:20" x14ac:dyDescent="0.75">
      <c r="B9" s="28">
        <v>44466</v>
      </c>
      <c r="C9" s="35">
        <f>VLOOKUP($B9,'Euro Prices'!$A$1:$R$448,3,FALSE)</f>
        <v>169.16000366210901</v>
      </c>
      <c r="D9" s="35">
        <f>VLOOKUP($B9,'Euro Prices'!$A$1:$R$448,7,FALSE)</f>
        <v>11.490325912312125</v>
      </c>
      <c r="E9" s="35">
        <f>VLOOKUP($B9,'Euro Prices'!$A$1:$R$448,8,FALSE)</f>
        <v>14.482599194062779</v>
      </c>
      <c r="F9" s="35">
        <f>VLOOKUP($B9,'Euro Prices'!$A$1:$R$448,9,FALSE)</f>
        <v>17.406476926477747</v>
      </c>
      <c r="G9" s="35">
        <f>VLOOKUP($B9,'Euro Prices'!$A$1:$R$448,10,FALSE)</f>
        <v>28.896802023460342</v>
      </c>
      <c r="H9" s="35">
        <f>VLOOKUP($B9,'Euro Prices'!$A$1:$R$448,11,FALSE)</f>
        <v>10.361811985881541</v>
      </c>
      <c r="I9" s="35">
        <f>VLOOKUP($B9,'Euro Prices'!$A$1:$R$448,4,FALSE)</f>
        <v>98.222345587215344</v>
      </c>
      <c r="J9" s="35">
        <f>VLOOKUP($B9,'Euro Prices'!$A$1:$R$448,5,FALSE)</f>
        <v>94.40019809920787</v>
      </c>
      <c r="K9" s="35">
        <f>VLOOKUP($B9,'Euro Prices'!$A$1:$R$448,12,FALSE)</f>
        <v>74.602424850802336</v>
      </c>
      <c r="L9" s="35">
        <f>VLOOKUP($B9,'Euro Prices'!$A$1:$R$448,13,FALSE)</f>
        <v>8.5296784481873171</v>
      </c>
      <c r="M9" s="35">
        <f>VLOOKUP($B9,'Euro Prices'!$A$1:$R$448,2,FALSE)</f>
        <v>12.9269304275512</v>
      </c>
      <c r="N9" s="35">
        <f>VLOOKUP($B9,'Euro Prices'!$A$1:$R$448,15,FALSE)</f>
        <v>18.039128623699156</v>
      </c>
      <c r="O9" s="35">
        <f>VLOOKUP($B9,'Euro Prices'!$A$1:$R$448,14,FALSE)</f>
        <v>5.2663994104484466</v>
      </c>
      <c r="P9" s="35">
        <f>VLOOKUP($B9,'Euro Prices'!$A$1:$R$448,6,FALSE)</f>
        <v>2402.2431640625</v>
      </c>
      <c r="R9" s="28">
        <v>44466</v>
      </c>
      <c r="S9" s="37">
        <f>VLOOKUP($B9,'Euro Prices'!$A$1:$R$448,17,FALSE)</f>
        <v>546.02987341079597</v>
      </c>
      <c r="T9" s="37">
        <f>VLOOKUP($B9,'Euro Prices'!$A$1:$R$448,18,FALSE)</f>
        <v>11.168808045174458</v>
      </c>
    </row>
    <row r="10" spans="2:20" x14ac:dyDescent="0.75">
      <c r="B10" s="28">
        <v>44467</v>
      </c>
      <c r="C10" s="35">
        <f>VLOOKUP($B10,'Euro Prices'!$A$1:$R$448,3,FALSE)</f>
        <v>168.52999877929599</v>
      </c>
      <c r="D10" s="35">
        <f>VLOOKUP($B10,'Euro Prices'!$A$1:$R$448,7,FALSE)</f>
        <v>11.320910820259055</v>
      </c>
      <c r="E10" s="35">
        <f>VLOOKUP($B10,'Euro Prices'!$A$1:$R$448,8,FALSE)</f>
        <v>14.30730368032064</v>
      </c>
      <c r="F10" s="35">
        <f>VLOOKUP($B10,'Euro Prices'!$A$1:$R$448,9,FALSE)</f>
        <v>16.72893466037744</v>
      </c>
      <c r="G10" s="35">
        <f>VLOOKUP($B10,'Euro Prices'!$A$1:$R$448,10,FALSE)</f>
        <v>28.229544964820871</v>
      </c>
      <c r="H10" s="35">
        <f>VLOOKUP($B10,'Euro Prices'!$A$1:$R$448,11,FALSE)</f>
        <v>10.217057832233415</v>
      </c>
      <c r="I10" s="35">
        <f>VLOOKUP($B10,'Euro Prices'!$A$1:$R$448,4,FALSE)</f>
        <v>97.900785593119394</v>
      </c>
      <c r="J10" s="35">
        <f>VLOOKUP($B10,'Euro Prices'!$A$1:$R$448,5,FALSE)</f>
        <v>94.109766593609919</v>
      </c>
      <c r="K10" s="35">
        <f>VLOOKUP($B10,'Euro Prices'!$A$1:$R$448,12,FALSE)</f>
        <v>74.329120068461592</v>
      </c>
      <c r="L10" s="35">
        <f>VLOOKUP($B10,'Euro Prices'!$A$1:$R$448,13,FALSE)</f>
        <v>8.5116484902473406</v>
      </c>
      <c r="M10" s="35">
        <f>VLOOKUP($B10,'Euro Prices'!$A$1:$R$448,2,FALSE)</f>
        <v>12.9248304367065</v>
      </c>
      <c r="N10" s="35">
        <f>VLOOKUP($B10,'Euro Prices'!$A$1:$R$448,15,FALSE)</f>
        <v>17.892687204444861</v>
      </c>
      <c r="O10" s="35">
        <f>VLOOKUP($B10,'Euro Prices'!$A$1:$R$448,14,FALSE)</f>
        <v>5.2796691641387872</v>
      </c>
      <c r="P10" s="35">
        <f>VLOOKUP($B10,'Euro Prices'!$A$1:$R$448,6,FALSE)</f>
        <v>2459.42944335937</v>
      </c>
      <c r="R10" s="28">
        <v>44467</v>
      </c>
      <c r="S10" s="37">
        <f>VLOOKUP($B10,'Euro Prices'!$A$1:$R$448,17,FALSE)</f>
        <v>511.53745913223145</v>
      </c>
      <c r="T10" s="37">
        <f>VLOOKUP($B10,'Euro Prices'!$A$1:$R$448,18,FALSE)</f>
        <v>11.101883814586417</v>
      </c>
    </row>
    <row r="11" spans="2:20" x14ac:dyDescent="0.75">
      <c r="B11" s="28">
        <v>44468</v>
      </c>
      <c r="C11" s="35">
        <f>VLOOKUP($B11,'Euro Prices'!$A$1:$R$448,3,FALSE)</f>
        <v>167.419998168945</v>
      </c>
      <c r="D11" s="35">
        <f>VLOOKUP($B11,'Euro Prices'!$A$1:$R$448,7,FALSE)</f>
        <v>11.429456935518221</v>
      </c>
      <c r="E11" s="35">
        <f>VLOOKUP($B11,'Euro Prices'!$A$1:$R$448,8,FALSE)</f>
        <v>14.385945630852662</v>
      </c>
      <c r="F11" s="35">
        <f>VLOOKUP($B11,'Euro Prices'!$A$1:$R$448,9,FALSE)</f>
        <v>16.566678028722684</v>
      </c>
      <c r="G11" s="35">
        <f>VLOOKUP($B11,'Euro Prices'!$A$1:$R$448,10,FALSE)</f>
        <v>28.444349348545053</v>
      </c>
      <c r="H11" s="35">
        <f>VLOOKUP($B11,'Euro Prices'!$A$1:$R$448,11,FALSE)</f>
        <v>10.274443830448101</v>
      </c>
      <c r="I11" s="35">
        <f>VLOOKUP($B11,'Euro Prices'!$A$1:$R$448,4,FALSE)</f>
        <v>98.684585636957507</v>
      </c>
      <c r="J11" s="35">
        <f>VLOOKUP($B11,'Euro Prices'!$A$1:$R$448,5,FALSE)</f>
        <v>94.934460074728904</v>
      </c>
      <c r="K11" s="35">
        <f>VLOOKUP($B11,'Euro Prices'!$A$1:$R$448,12,FALSE)</f>
        <v>75.009028215631986</v>
      </c>
      <c r="L11" s="35">
        <f>VLOOKUP($B11,'Euro Prices'!$A$1:$R$448,13,FALSE)</f>
        <v>8.5824332966710628</v>
      </c>
      <c r="M11" s="35">
        <f>VLOOKUP($B11,'Euro Prices'!$A$1:$R$448,2,FALSE)</f>
        <v>12.959449768066399</v>
      </c>
      <c r="N11" s="35">
        <f>VLOOKUP($B11,'Euro Prices'!$A$1:$R$448,15,FALSE)</f>
        <v>18.049233046953162</v>
      </c>
      <c r="O11" s="35">
        <f>VLOOKUP($B11,'Euro Prices'!$A$1:$R$448,14,FALSE)</f>
        <v>5.2492755113000795</v>
      </c>
      <c r="P11" s="35">
        <f>VLOOKUP($B11,'Euro Prices'!$A$1:$R$448,6,FALSE)</f>
        <v>2593.48974609375</v>
      </c>
      <c r="R11" s="28">
        <v>44468</v>
      </c>
      <c r="S11" s="37">
        <f>VLOOKUP($B11,'Euro Prices'!$A$1:$R$448,17,FALSE)</f>
        <v>526.39286346598544</v>
      </c>
      <c r="T11" s="37">
        <f>VLOOKUP($B11,'Euro Prices'!$A$1:$R$448,18,FALSE)</f>
        <v>11.19158009374676</v>
      </c>
    </row>
    <row r="12" spans="2:20" x14ac:dyDescent="0.75">
      <c r="B12" s="28">
        <v>44469</v>
      </c>
      <c r="C12" s="35">
        <f>VLOOKUP($B12,'Euro Prices'!$A$1:$R$448,3,FALSE)</f>
        <v>167.509994506835</v>
      </c>
      <c r="D12" s="35">
        <f>VLOOKUP($B12,'Euro Prices'!$A$1:$R$448,7,FALSE)</f>
        <v>11.309367191896539</v>
      </c>
      <c r="E12" s="35">
        <f>VLOOKUP($B12,'Euro Prices'!$A$1:$R$448,8,FALSE)</f>
        <v>14.19502706250697</v>
      </c>
      <c r="F12" s="35">
        <f>VLOOKUP($B12,'Euro Prices'!$A$1:$R$448,9,FALSE)</f>
        <v>16.631422147154794</v>
      </c>
      <c r="G12" s="35">
        <f>VLOOKUP($B12,'Euro Prices'!$A$1:$R$448,10,FALSE)</f>
        <v>28.441890214612577</v>
      </c>
      <c r="H12" s="35">
        <f>VLOOKUP($B12,'Euro Prices'!$A$1:$R$448,11,FALSE)</f>
        <v>10.358999882480752</v>
      </c>
      <c r="I12" s="35">
        <f>VLOOKUP($B12,'Euro Prices'!$A$1:$R$448,4,FALSE)</f>
        <v>98.898631673323379</v>
      </c>
      <c r="J12" s="35">
        <f>VLOOKUP($B12,'Euro Prices'!$A$1:$R$448,5,FALSE)</f>
        <v>95.105322796661881</v>
      </c>
      <c r="K12" s="35">
        <f>VLOOKUP($B12,'Euro Prices'!$A$1:$R$448,12,FALSE)</f>
        <v>75.098978359200714</v>
      </c>
      <c r="L12" s="35">
        <f>VLOOKUP($B12,'Euro Prices'!$A$1:$R$448,13,FALSE)</f>
        <v>8.6025464444985502</v>
      </c>
      <c r="M12" s="35">
        <f>VLOOKUP($B12,'Euro Prices'!$A$1:$R$448,2,FALSE)</f>
        <v>12.950010299682599</v>
      </c>
      <c r="N12" s="35">
        <f>VLOOKUP($B12,'Euro Prices'!$A$1:$R$448,15,FALSE)</f>
        <v>18.186567455004653</v>
      </c>
      <c r="O12" s="35">
        <f>VLOOKUP($B12,'Euro Prices'!$A$1:$R$448,14,FALSE)</f>
        <v>5.3220549552581691</v>
      </c>
      <c r="P12" s="35">
        <f>VLOOKUP($B12,'Euro Prices'!$A$1:$R$448,6,FALSE)</f>
        <v>2852.79541015625</v>
      </c>
      <c r="R12" s="28">
        <v>44469</v>
      </c>
      <c r="S12" s="37">
        <f>VLOOKUP($B12,'Euro Prices'!$A$1:$R$448,17,FALSE)</f>
        <v>525.58752185167646</v>
      </c>
      <c r="T12" s="37">
        <f>VLOOKUP($B12,'Euro Prices'!$A$1:$R$448,18,FALSE)</f>
        <v>11.191920283778114</v>
      </c>
    </row>
    <row r="13" spans="2:20" x14ac:dyDescent="0.75">
      <c r="B13" s="28">
        <v>44470</v>
      </c>
      <c r="C13" s="35">
        <f>VLOOKUP($B13,'Euro Prices'!$A$1:$R$448,3,FALSE)</f>
        <v>165.13000488281199</v>
      </c>
      <c r="D13" s="35">
        <f>VLOOKUP($B13,'Euro Prices'!$A$1:$R$448,7,FALSE)</f>
        <v>11.533999584877929</v>
      </c>
      <c r="E13" s="35">
        <f>VLOOKUP($B13,'Euro Prices'!$A$1:$R$448,8,FALSE)</f>
        <v>14.531974828033045</v>
      </c>
      <c r="F13" s="35">
        <f>VLOOKUP($B13,'Euro Prices'!$A$1:$R$448,9,FALSE)</f>
        <v>16.631422147154794</v>
      </c>
      <c r="G13" s="35">
        <f>VLOOKUP($B13,'Euro Prices'!$A$1:$R$448,10,FALSE)</f>
        <v>28.502371145450731</v>
      </c>
      <c r="H13" s="35">
        <f>VLOOKUP($B13,'Euro Prices'!$A$1:$R$448,11,FALSE)</f>
        <v>10.358999882480752</v>
      </c>
      <c r="I13" s="35">
        <f>VLOOKUP($B13,'Euro Prices'!$A$1:$R$448,4,FALSE)</f>
        <v>99.200545255708263</v>
      </c>
      <c r="J13" s="35">
        <f>VLOOKUP($B13,'Euro Prices'!$A$1:$R$448,5,FALSE)</f>
        <v>95.432950085243945</v>
      </c>
      <c r="K13" s="35">
        <f>VLOOKUP($B13,'Euro Prices'!$A$1:$R$448,12,FALSE)</f>
        <v>75.27898089413921</v>
      </c>
      <c r="L13" s="35">
        <f>VLOOKUP($B13,'Euro Prices'!$A$1:$R$448,13,FALSE)</f>
        <v>8.5939098427187304</v>
      </c>
      <c r="M13" s="35">
        <f>VLOOKUP($B13,'Euro Prices'!$A$1:$R$448,2,FALSE)</f>
        <v>13.0633096694946</v>
      </c>
      <c r="N13" s="35">
        <f>VLOOKUP($B13,'Euro Prices'!$A$1:$R$448,15,FALSE)</f>
        <v>18.471677483040239</v>
      </c>
      <c r="O13" s="35">
        <f>VLOOKUP($B13,'Euro Prices'!$A$1:$R$448,14,FALSE)</f>
        <v>5.3393343384126633</v>
      </c>
      <c r="P13" s="35">
        <f>VLOOKUP($B13,'Euro Prices'!$A$1:$R$448,6,FALSE)</f>
        <v>2925.40087890625</v>
      </c>
      <c r="R13" s="28">
        <v>44470</v>
      </c>
      <c r="S13" s="37">
        <f>VLOOKUP($B13,'Euro Prices'!$A$1:$R$448,17,FALSE)</f>
        <v>527.62647835260884</v>
      </c>
      <c r="T13" s="37">
        <f>VLOOKUP($B13,'Euro Prices'!$A$1:$R$448,18,FALSE)</f>
        <v>11.23506621510799</v>
      </c>
    </row>
    <row r="14" spans="2:20" x14ac:dyDescent="0.75">
      <c r="B14" s="28">
        <v>44473</v>
      </c>
      <c r="C14" s="35">
        <f>VLOOKUP($B14,'Euro Prices'!$A$1:$R$448,3,FALSE)</f>
        <v>166.58999633789</v>
      </c>
      <c r="D14" s="35">
        <f>VLOOKUP($B14,'Euro Prices'!$A$1:$R$448,7,FALSE)</f>
        <v>11.430095919612791</v>
      </c>
      <c r="E14" s="35">
        <f>VLOOKUP($B14,'Euro Prices'!$A$1:$R$448,8,FALSE)</f>
        <v>14.382296400049135</v>
      </c>
      <c r="F14" s="35">
        <f>VLOOKUP($B14,'Euro Prices'!$A$1:$R$448,9,FALSE)</f>
        <v>16.069269275766317</v>
      </c>
      <c r="G14" s="35">
        <f>VLOOKUP($B14,'Euro Prices'!$A$1:$R$448,10,FALSE)</f>
        <v>27.938321577289493</v>
      </c>
      <c r="H14" s="35">
        <f>VLOOKUP($B14,'Euro Prices'!$A$1:$R$448,11,FALSE)</f>
        <v>10.139045902732757</v>
      </c>
      <c r="I14" s="35">
        <f>VLOOKUP($B14,'Euro Prices'!$A$1:$R$448,4,FALSE)</f>
        <v>98.756343155218602</v>
      </c>
      <c r="J14" s="35">
        <f>VLOOKUP($B14,'Euro Prices'!$A$1:$R$448,5,FALSE)</f>
        <v>95.088931874510394</v>
      </c>
      <c r="K14" s="35">
        <f>VLOOKUP($B14,'Euro Prices'!$A$1:$R$448,12,FALSE)</f>
        <v>74.728089165978261</v>
      </c>
      <c r="L14" s="35">
        <f>VLOOKUP($B14,'Euro Prices'!$A$1:$R$448,13,FALSE)</f>
        <v>8.5613834453340427</v>
      </c>
      <c r="M14" s="35">
        <f>VLOOKUP($B14,'Euro Prices'!$A$1:$R$448,2,FALSE)</f>
        <v>13.1619300842285</v>
      </c>
      <c r="N14" s="35">
        <f>VLOOKUP($B14,'Euro Prices'!$A$1:$R$448,15,FALSE)</f>
        <v>18.651369309526384</v>
      </c>
      <c r="O14" s="35">
        <f>VLOOKUP($B14,'Euro Prices'!$A$1:$R$448,14,FALSE)</f>
        <v>5.3793750703334755</v>
      </c>
      <c r="P14" s="35">
        <f>VLOOKUP($B14,'Euro Prices'!$A$1:$R$448,6,FALSE)</f>
        <v>3034.28955078125</v>
      </c>
      <c r="R14" s="28">
        <v>44473</v>
      </c>
      <c r="S14" s="37">
        <f>VLOOKUP($B14,'Euro Prices'!$A$1:$R$448,17,FALSE)</f>
        <v>505.4891061025034</v>
      </c>
      <c r="T14" s="37">
        <f>VLOOKUP($B14,'Euro Prices'!$A$1:$R$448,18,FALSE)</f>
        <v>11.180492949182442</v>
      </c>
    </row>
    <row r="15" spans="2:20" x14ac:dyDescent="0.75">
      <c r="B15" s="28">
        <v>44474</v>
      </c>
      <c r="C15" s="35">
        <f>VLOOKUP($B15,'Euro Prices'!$A$1:$R$448,3,FALSE)</f>
        <v>165.08000183105401</v>
      </c>
      <c r="D15" s="35">
        <f>VLOOKUP($B15,'Euro Prices'!$A$1:$R$448,7,FALSE)</f>
        <v>11.598741843727073</v>
      </c>
      <c r="E15" s="35">
        <f>VLOOKUP($B15,'Euro Prices'!$A$1:$R$448,8,FALSE)</f>
        <v>14.642872415606655</v>
      </c>
      <c r="F15" s="35">
        <f>VLOOKUP($B15,'Euro Prices'!$A$1:$R$448,9,FALSE)</f>
        <v>16.410711403750593</v>
      </c>
      <c r="G15" s="35">
        <f>VLOOKUP($B15,'Euro Prices'!$A$1:$R$448,10,FALSE)</f>
        <v>28.095690398913483</v>
      </c>
      <c r="H15" s="35">
        <f>VLOOKUP($B15,'Euro Prices'!$A$1:$R$448,11,FALSE)</f>
        <v>10.262083678298881</v>
      </c>
      <c r="I15" s="35">
        <f>VLOOKUP($B15,'Euro Prices'!$A$1:$R$448,4,FALSE)</f>
        <v>98.714337163983032</v>
      </c>
      <c r="J15" s="35">
        <f>VLOOKUP($B15,'Euro Prices'!$A$1:$R$448,5,FALSE)</f>
        <v>94.996942634678945</v>
      </c>
      <c r="K15" s="35">
        <f>VLOOKUP($B15,'Euro Prices'!$A$1:$R$448,12,FALSE)</f>
        <v>74.837830177784667</v>
      </c>
      <c r="L15" s="35">
        <f>VLOOKUP($B15,'Euro Prices'!$A$1:$R$448,13,FALSE)</f>
        <v>8.577895360303943</v>
      </c>
      <c r="M15" s="35">
        <f>VLOOKUP($B15,'Euro Prices'!$A$1:$R$448,2,FALSE)</f>
        <v>13.272080421447701</v>
      </c>
      <c r="N15" s="35">
        <f>VLOOKUP($B15,'Euro Prices'!$A$1:$R$448,15,FALSE)</f>
        <v>18.963296216043023</v>
      </c>
      <c r="O15" s="35">
        <f>VLOOKUP($B15,'Euro Prices'!$A$1:$R$448,14,FALSE)</f>
        <v>5.493233105198664</v>
      </c>
      <c r="P15" s="35">
        <f>VLOOKUP($B15,'Euro Prices'!$A$1:$R$448,6,FALSE)</f>
        <v>3098.6865234375</v>
      </c>
      <c r="R15" s="28">
        <v>44474</v>
      </c>
      <c r="S15" s="37">
        <f>VLOOKUP($B15,'Euro Prices'!$A$1:$R$448,17,FALSE)</f>
        <v>519.24419935676201</v>
      </c>
      <c r="T15" s="37">
        <f>VLOOKUP($B15,'Euro Prices'!$A$1:$R$448,18,FALSE)</f>
        <v>11.167561843421897</v>
      </c>
    </row>
    <row r="16" spans="2:20" x14ac:dyDescent="0.75">
      <c r="B16" s="28">
        <v>44475</v>
      </c>
      <c r="C16" s="35">
        <f>VLOOKUP($B16,'Euro Prices'!$A$1:$R$448,3,FALSE)</f>
        <v>165.30999755859301</v>
      </c>
      <c r="D16" s="35">
        <f>VLOOKUP($B16,'Euro Prices'!$A$1:$R$448,7,FALSE)</f>
        <v>11.639630054278328</v>
      </c>
      <c r="E16" s="35">
        <f>VLOOKUP($B16,'Euro Prices'!$A$1:$R$448,8,FALSE)</f>
        <v>14.59064480314821</v>
      </c>
      <c r="F16" s="35">
        <f>VLOOKUP($B16,'Euro Prices'!$A$1:$R$448,9,FALSE)</f>
        <v>16.589718378645845</v>
      </c>
      <c r="G16" s="35">
        <f>VLOOKUP($B16,'Euro Prices'!$A$1:$R$448,10,FALSE)</f>
        <v>28.212039211139547</v>
      </c>
      <c r="H16" s="35">
        <f>VLOOKUP($B16,'Euro Prices'!$A$1:$R$448,11,FALSE)</f>
        <v>10.177104389854396</v>
      </c>
      <c r="I16" s="35">
        <f>VLOOKUP($B16,'Euro Prices'!$A$1:$R$448,4,FALSE)</f>
        <v>99.105527732744463</v>
      </c>
      <c r="J16" s="35">
        <f>VLOOKUP($B16,'Euro Prices'!$A$1:$R$448,5,FALSE)</f>
        <v>95.21093054784231</v>
      </c>
      <c r="K16" s="35">
        <f>VLOOKUP($B16,'Euro Prices'!$A$1:$R$448,12,FALSE)</f>
        <v>75.058523211603088</v>
      </c>
      <c r="L16" s="35">
        <f>VLOOKUP($B16,'Euro Prices'!$A$1:$R$448,13,FALSE)</f>
        <v>8.5821800563629598</v>
      </c>
      <c r="M16" s="35">
        <f>VLOOKUP($B16,'Euro Prices'!$A$1:$R$448,2,FALSE)</f>
        <v>13.175569534301699</v>
      </c>
      <c r="N16" s="35">
        <f>VLOOKUP($B16,'Euro Prices'!$A$1:$R$448,15,FALSE)</f>
        <v>18.666678087660753</v>
      </c>
      <c r="O16" s="35">
        <f>VLOOKUP($B16,'Euro Prices'!$A$1:$R$448,14,FALSE)</f>
        <v>5.3914421181039707</v>
      </c>
      <c r="P16" s="35">
        <f>VLOOKUP($B16,'Euro Prices'!$A$1:$R$448,6,FALSE)</f>
        <v>3103.91748046875</v>
      </c>
      <c r="R16" s="28">
        <v>44475</v>
      </c>
      <c r="S16" s="37">
        <f>VLOOKUP($B16,'Euro Prices'!$A$1:$R$448,17,FALSE)</f>
        <v>519.18808789651234</v>
      </c>
      <c r="T16" s="37">
        <f>VLOOKUP($B16,'Euro Prices'!$A$1:$R$448,18,FALSE)</f>
        <v>11.206930046124413</v>
      </c>
    </row>
    <row r="17" spans="2:20" x14ac:dyDescent="0.75">
      <c r="B17" s="29">
        <v>44476</v>
      </c>
      <c r="C17" s="36">
        <f>VLOOKUP($B17,'Euro Prices'!$A$1:$R$448,3,FALSE)</f>
        <v>166.669998168945</v>
      </c>
      <c r="D17" s="36">
        <f>VLOOKUP($B17,'Euro Prices'!$A$1:$R$448,7,FALSE)</f>
        <v>11.721698467029507</v>
      </c>
      <c r="E17" s="36">
        <f>VLOOKUP($B17,'Euro Prices'!$A$1:$R$448,8,FALSE)</f>
        <v>14.75809348875115</v>
      </c>
      <c r="F17" s="36">
        <f>VLOOKUP($B17,'Euro Prices'!$A$1:$R$448,9,FALSE)</f>
        <v>16.816960977973142</v>
      </c>
      <c r="G17" s="36">
        <f>VLOOKUP($B17,'Euro Prices'!$A$1:$R$448,10,FALSE)</f>
        <v>28.581913109271174</v>
      </c>
      <c r="H17" s="36">
        <f>VLOOKUP($B17,'Euro Prices'!$A$1:$R$448,11,FALSE)</f>
        <v>10.328935262555314</v>
      </c>
      <c r="I17" s="36">
        <f>VLOOKUP($B17,'Euro Prices'!$A$1:$R$448,4,FALSE)</f>
        <v>98.791346089371572</v>
      </c>
      <c r="J17" s="36">
        <f>VLOOKUP($B17,'Euro Prices'!$A$1:$R$448,5,FALSE)</f>
        <v>95.062394967352915</v>
      </c>
      <c r="K17" s="36">
        <f>VLOOKUP($B17,'Euro Prices'!$A$1:$R$448,12,FALSE)</f>
        <v>75.038518270551236</v>
      </c>
      <c r="L17" s="36">
        <f>VLOOKUP($B17,'Euro Prices'!$A$1:$R$448,13,FALSE)</f>
        <v>8.5875555595285906</v>
      </c>
      <c r="M17" s="36">
        <f>VLOOKUP($B17,'Euro Prices'!$A$1:$R$448,2,FALSE)</f>
        <v>13.2836198806762</v>
      </c>
      <c r="N17" s="36">
        <f>VLOOKUP($B17,'Euro Prices'!$A$1:$R$448,15,FALSE)</f>
        <v>18.89312861291037</v>
      </c>
      <c r="O17" s="36">
        <f>VLOOKUP($B17,'Euro Prices'!$A$1:$R$448,14,FALSE)</f>
        <v>5.4239887918935716</v>
      </c>
      <c r="P17" s="36">
        <f>VLOOKUP($B17,'Euro Prices'!$A$1:$R$448,6,FALSE)</f>
        <v>3080.43872070312</v>
      </c>
      <c r="R17" s="29">
        <v>44476</v>
      </c>
      <c r="S17" s="38">
        <f>VLOOKUP($B17,'Euro Prices'!$A$1:$R$448,17,FALSE)</f>
        <v>526.39508610963799</v>
      </c>
      <c r="T17" s="38">
        <f>VLOOKUP($B17,'Euro Prices'!$A$1:$R$448,18,FALSE)</f>
        <v>11.168053379381931</v>
      </c>
    </row>
    <row r="18" spans="2:20" x14ac:dyDescent="0.75">
      <c r="B18" s="28">
        <v>44477</v>
      </c>
      <c r="C18" s="35">
        <f>VLOOKUP($B18,'Euro Prices'!$A$1:$R$448,3,FALSE)</f>
        <v>167.36000061035099</v>
      </c>
      <c r="D18" s="35">
        <f>VLOOKUP($B18,'Euro Prices'!$A$1:$R$448,7,FALSE)</f>
        <v>11.790903999861122</v>
      </c>
      <c r="E18" s="35">
        <f>VLOOKUP($B18,'Euro Prices'!$A$1:$R$448,8,FALSE)</f>
        <v>14.740793343035831</v>
      </c>
      <c r="F18" s="35">
        <f>VLOOKUP($B18,'Euro Prices'!$A$1:$R$448,9,FALSE)</f>
        <v>16.64394632089914</v>
      </c>
      <c r="G18" s="35">
        <f>VLOOKUP($B18,'Euro Prices'!$A$1:$R$448,10,FALSE)</f>
        <v>28.452151291470681</v>
      </c>
      <c r="H18" s="35">
        <f>VLOOKUP($B18,'Euro Prices'!$A$1:$R$448,11,FALSE)</f>
        <v>10.27703152542913</v>
      </c>
      <c r="I18" s="35">
        <f>VLOOKUP($B18,'Euro Prices'!$A$1:$R$448,4,FALSE)</f>
        <v>98.575415190995074</v>
      </c>
      <c r="J18" s="35">
        <f>VLOOKUP($B18,'Euro Prices'!$A$1:$R$448,5,FALSE)</f>
        <v>94.803419128450443</v>
      </c>
      <c r="K18" s="35">
        <f>VLOOKUP($B18,'Euro Prices'!$A$1:$R$448,12,FALSE)</f>
        <v>74.814317622024603</v>
      </c>
      <c r="L18" s="35">
        <f>VLOOKUP($B18,'Euro Prices'!$A$1:$R$448,13,FALSE)</f>
        <v>8.5875555595285906</v>
      </c>
      <c r="M18" s="35">
        <f>VLOOKUP($B18,'Euro Prices'!$A$1:$R$448,2,FALSE)</f>
        <v>13.476659774780201</v>
      </c>
      <c r="N18" s="35">
        <f>VLOOKUP($B18,'Euro Prices'!$A$1:$R$448,15,FALSE)</f>
        <v>18.927730554331209</v>
      </c>
      <c r="O18" s="35">
        <f>VLOOKUP($B18,'Euro Prices'!$A$1:$R$448,14,FALSE)</f>
        <v>5.4412901751014626</v>
      </c>
      <c r="P18" s="35">
        <f>VLOOKUP($B18,'Euro Prices'!$A$1:$R$448,6,FALSE)</f>
        <v>3090.44213867187</v>
      </c>
      <c r="R18" s="28">
        <v>44477</v>
      </c>
      <c r="S18" s="37">
        <f>VLOOKUP($B18,'Euro Prices'!$A$1:$R$448,17,FALSE)</f>
        <v>519.14579540809723</v>
      </c>
      <c r="T18" s="37">
        <f>VLOOKUP($B18,'Euro Prices'!$A$1:$R$448,18,FALSE)</f>
        <v>11.124799715113408</v>
      </c>
    </row>
    <row r="19" spans="2:20" x14ac:dyDescent="0.75">
      <c r="B19" s="28">
        <v>44480</v>
      </c>
      <c r="C19" s="35">
        <f>VLOOKUP($B19,'Euro Prices'!$A$1:$R$448,3,FALSE)</f>
        <v>166.94999694824199</v>
      </c>
      <c r="D19" s="35">
        <f>VLOOKUP($B19,'Euro Prices'!$A$1:$R$448,7,FALSE)</f>
        <v>11.701830802392507</v>
      </c>
      <c r="E19" s="35">
        <f>VLOOKUP($B19,'Euro Prices'!$A$1:$R$448,8,FALSE)</f>
        <v>14.765770745571817</v>
      </c>
      <c r="F19" s="35">
        <f>VLOOKUP($B19,'Euro Prices'!$A$1:$R$448,9,FALSE)</f>
        <v>16.505466144593782</v>
      </c>
      <c r="G19" s="35">
        <f>VLOOKUP($B19,'Euro Prices'!$A$1:$R$448,10,FALSE)</f>
        <v>28.27653683014065</v>
      </c>
      <c r="H19" s="35">
        <f>VLOOKUP($B19,'Euro Prices'!$A$1:$R$448,11,FALSE)</f>
        <v>10.247756937487706</v>
      </c>
      <c r="I19" s="35">
        <f>VLOOKUP($B19,'Euro Prices'!$A$1:$R$448,4,FALSE)</f>
        <v>98.471145228471073</v>
      </c>
      <c r="J19" s="35">
        <f>VLOOKUP($B19,'Euro Prices'!$A$1:$R$448,5,FALSE)</f>
        <v>94.662717234513522</v>
      </c>
      <c r="K19" s="35">
        <f>VLOOKUP($B19,'Euro Prices'!$A$1:$R$448,12,FALSE)</f>
        <v>74.620288605139521</v>
      </c>
      <c r="L19" s="35">
        <f>VLOOKUP($B19,'Euro Prices'!$A$1:$R$448,13,FALSE)</f>
        <v>8.5920228621339358</v>
      </c>
      <c r="M19" s="35">
        <f>VLOOKUP($B19,'Euro Prices'!$A$1:$R$448,2,FALSE)</f>
        <v>13.5490398406982</v>
      </c>
      <c r="N19" s="35">
        <f>VLOOKUP($B19,'Euro Prices'!$A$1:$R$448,15,FALSE)</f>
        <v>19.102026145967073</v>
      </c>
      <c r="O19" s="35">
        <f>VLOOKUP($B19,'Euro Prices'!$A$1:$R$448,14,FALSE)</f>
        <v>5.4614311533630318</v>
      </c>
      <c r="P19" s="35">
        <f>VLOOKUP($B19,'Euro Prices'!$A$1:$R$448,6,FALSE)</f>
        <v>3028.95166015625</v>
      </c>
      <c r="R19" s="28">
        <v>44480</v>
      </c>
      <c r="S19" s="37">
        <f>VLOOKUP($B19,'Euro Prices'!$A$1:$R$448,17,FALSE)</f>
        <v>516.89721849115392</v>
      </c>
      <c r="T19" s="37">
        <f>VLOOKUP($B19,'Euro Prices'!$A$1:$R$448,18,FALSE)</f>
        <v>11.11327693794547</v>
      </c>
    </row>
    <row r="20" spans="2:20" x14ac:dyDescent="0.75">
      <c r="B20" s="28">
        <v>44481</v>
      </c>
      <c r="C20" s="35">
        <f>VLOOKUP($B20,'Euro Prices'!$A$1:$R$448,3,FALSE)</f>
        <v>165.66000366210901</v>
      </c>
      <c r="D20" s="35">
        <f>VLOOKUP($B20,'Euro Prices'!$A$1:$R$448,7,FALSE)</f>
        <v>11.72184017768852</v>
      </c>
      <c r="E20" s="35">
        <f>VLOOKUP($B20,'Euro Prices'!$A$1:$R$448,8,FALSE)</f>
        <v>14.808359656944219</v>
      </c>
      <c r="F20" s="35">
        <f>VLOOKUP($B20,'Euro Prices'!$A$1:$R$448,9,FALSE)</f>
        <v>16.377629164571726</v>
      </c>
      <c r="G20" s="35">
        <f>VLOOKUP($B20,'Euro Prices'!$A$1:$R$448,10,FALSE)</f>
        <v>28.402918013648993</v>
      </c>
      <c r="H20" s="35">
        <f>VLOOKUP($B20,'Euro Prices'!$A$1:$R$448,11,FALSE)</f>
        <v>10.19592000778194</v>
      </c>
      <c r="I20" s="35">
        <f>VLOOKUP($B20,'Euro Prices'!$A$1:$R$448,4,FALSE)</f>
        <v>99.003100687754269</v>
      </c>
      <c r="J20" s="35">
        <f>VLOOKUP($B20,'Euro Prices'!$A$1:$R$448,5,FALSE)</f>
        <v>95.127398031955707</v>
      </c>
      <c r="K20" s="35">
        <f>VLOOKUP($B20,'Euro Prices'!$A$1:$R$448,12,FALSE)</f>
        <v>74.886164470332801</v>
      </c>
      <c r="L20" s="35">
        <f>VLOOKUP($B20,'Euro Prices'!$A$1:$R$448,13,FALSE)</f>
        <v>8.5980469488247202</v>
      </c>
      <c r="M20" s="35">
        <f>VLOOKUP($B20,'Euro Prices'!$A$1:$R$448,2,FALSE)</f>
        <v>13.5847101211547</v>
      </c>
      <c r="N20" s="35">
        <f>VLOOKUP($B20,'Euro Prices'!$A$1:$R$448,15,FALSE)</f>
        <v>19.082669841604183</v>
      </c>
      <c r="O20" s="35">
        <f>VLOOKUP($B20,'Euro Prices'!$A$1:$R$448,14,FALSE)</f>
        <v>5.4707698480892137</v>
      </c>
      <c r="P20" s="35">
        <f>VLOOKUP($B20,'Euro Prices'!$A$1:$R$448,6,FALSE)</f>
        <v>3109.65283203125</v>
      </c>
      <c r="R20" s="28">
        <v>44481</v>
      </c>
      <c r="S20" s="37">
        <f>VLOOKUP($B20,'Euro Prices'!$A$1:$R$448,17,FALSE)</f>
        <v>516.08174034953083</v>
      </c>
      <c r="T20" s="37">
        <f>VLOOKUP($B20,'Euro Prices'!$A$1:$R$448,18,FALSE)</f>
        <v>11.175630088682114</v>
      </c>
    </row>
    <row r="21" spans="2:20" x14ac:dyDescent="0.75">
      <c r="B21" s="28">
        <v>44482</v>
      </c>
      <c r="C21" s="35">
        <f>VLOOKUP($B21,'Euro Prices'!$A$1:$R$448,3,FALSE)</f>
        <v>165.47000122070301</v>
      </c>
      <c r="D21" s="35">
        <f>VLOOKUP($B21,'Euro Prices'!$A$1:$R$448,7,FALSE)</f>
        <v>11.603866102203302</v>
      </c>
      <c r="E21" s="35">
        <f>VLOOKUP($B21,'Euro Prices'!$A$1:$R$448,8,FALSE)</f>
        <v>14.741910416927313</v>
      </c>
      <c r="F21" s="35">
        <f>VLOOKUP($B21,'Euro Prices'!$A$1:$R$448,9,FALSE)</f>
        <v>16.371278900476394</v>
      </c>
      <c r="G21" s="35">
        <f>VLOOKUP($B21,'Euro Prices'!$A$1:$R$448,10,FALSE)</f>
        <v>28.268259958139378</v>
      </c>
      <c r="H21" s="35">
        <f>VLOOKUP($B21,'Euro Prices'!$A$1:$R$448,11,FALSE)</f>
        <v>10.241748159839611</v>
      </c>
      <c r="I21" s="35">
        <f>VLOOKUP($B21,'Euro Prices'!$A$1:$R$448,4,FALSE)</f>
        <v>98.667362690381395</v>
      </c>
      <c r="J21" s="35">
        <f>VLOOKUP($B21,'Euro Prices'!$A$1:$R$448,5,FALSE)</f>
        <v>94.744627448900573</v>
      </c>
      <c r="K21" s="35">
        <f>VLOOKUP($B21,'Euro Prices'!$A$1:$R$448,12,FALSE)</f>
        <v>74.660582133156765</v>
      </c>
      <c r="L21" s="35">
        <f>VLOOKUP($B21,'Euro Prices'!$A$1:$R$448,13,FALSE)</f>
        <v>8.5580725457247073</v>
      </c>
      <c r="M21" s="35">
        <f>VLOOKUP($B21,'Euro Prices'!$A$1:$R$448,2,FALSE)</f>
        <v>13.5742197036743</v>
      </c>
      <c r="N21" s="35">
        <f>VLOOKUP($B21,'Euro Prices'!$A$1:$R$448,15,FALSE)</f>
        <v>19.104135982574444</v>
      </c>
      <c r="O21" s="35">
        <f>VLOOKUP($B21,'Euro Prices'!$A$1:$R$448,14,FALSE)</f>
        <v>5.4657141641960125</v>
      </c>
      <c r="P21" s="35">
        <f>VLOOKUP($B21,'Euro Prices'!$A$1:$R$448,6,FALSE)</f>
        <v>3266.49340820312</v>
      </c>
      <c r="R21" s="28">
        <v>44482</v>
      </c>
      <c r="S21" s="37">
        <f>VLOOKUP($B21,'Euro Prices'!$A$1:$R$448,17,FALSE)</f>
        <v>515.79442255746744</v>
      </c>
      <c r="T21" s="37">
        <f>VLOOKUP($B21,'Euro Prices'!$A$1:$R$448,18,FALSE)</f>
        <v>11.155573704887384</v>
      </c>
    </row>
    <row r="22" spans="2:20" x14ac:dyDescent="0.75">
      <c r="B22" s="28">
        <v>44483</v>
      </c>
      <c r="C22" s="35">
        <f>VLOOKUP($B22,'Euro Prices'!$A$1:$R$448,3,FALSE)</f>
        <v>165.919998168945</v>
      </c>
      <c r="D22" s="35">
        <f>VLOOKUP($B22,'Euro Prices'!$A$1:$R$448,7,FALSE)</f>
        <v>11.793108867660475</v>
      </c>
      <c r="E22" s="35">
        <f>VLOOKUP($B22,'Euro Prices'!$A$1:$R$448,8,FALSE)</f>
        <v>15.045488207923858</v>
      </c>
      <c r="F22" s="35">
        <f>VLOOKUP($B22,'Euro Prices'!$A$1:$R$448,9,FALSE)</f>
        <v>16.883038453041056</v>
      </c>
      <c r="G22" s="35">
        <f>VLOOKUP($B22,'Euro Prices'!$A$1:$R$448,10,FALSE)</f>
        <v>28.805551989433251</v>
      </c>
      <c r="H22" s="35">
        <f>VLOOKUP($B22,'Euro Prices'!$A$1:$R$448,11,FALSE)</f>
        <v>10.326519056850417</v>
      </c>
      <c r="I22" s="35">
        <f>VLOOKUP($B22,'Euro Prices'!$A$1:$R$448,4,FALSE)</f>
        <v>98.925522737331903</v>
      </c>
      <c r="J22" s="35">
        <f>VLOOKUP($B22,'Euro Prices'!$A$1:$R$448,5,FALSE)</f>
        <v>95.008574410661126</v>
      </c>
      <c r="K22" s="35">
        <f>VLOOKUP($B22,'Euro Prices'!$A$1:$R$448,12,FALSE)</f>
        <v>75.133920772750457</v>
      </c>
      <c r="L22" s="35">
        <f>VLOOKUP($B22,'Euro Prices'!$A$1:$R$448,13,FALSE)</f>
        <v>8.5726524611068218</v>
      </c>
      <c r="M22" s="35">
        <f>VLOOKUP($B22,'Euro Prices'!$A$1:$R$448,2,FALSE)</f>
        <v>13.754670143127401</v>
      </c>
      <c r="N22" s="35">
        <f>VLOOKUP($B22,'Euro Prices'!$A$1:$R$448,15,FALSE)</f>
        <v>19.324479346198967</v>
      </c>
      <c r="O22" s="35">
        <f>VLOOKUP($B22,'Euro Prices'!$A$1:$R$448,14,FALSE)</f>
        <v>5.5385339727554239</v>
      </c>
      <c r="P22" s="35">
        <f>VLOOKUP($B22,'Euro Prices'!$A$1:$R$448,6,FALSE)</f>
        <v>3329.94262695312</v>
      </c>
      <c r="R22" s="28">
        <v>44483</v>
      </c>
      <c r="S22" s="37">
        <f>VLOOKUP($B22,'Euro Prices'!$A$1:$R$448,17,FALSE)</f>
        <v>528.53316718112842</v>
      </c>
      <c r="T22" s="37">
        <f>VLOOKUP($B22,'Euro Prices'!$A$1:$R$448,18,FALSE)</f>
        <v>11.189219042354566</v>
      </c>
    </row>
    <row r="23" spans="2:20" x14ac:dyDescent="0.75">
      <c r="B23" s="28">
        <v>44484</v>
      </c>
      <c r="C23" s="35">
        <f>VLOOKUP($B23,'Euro Prices'!$A$1:$R$448,3,FALSE)</f>
        <v>168.46000671386699</v>
      </c>
      <c r="D23" s="35">
        <f>VLOOKUP($B23,'Euro Prices'!$A$1:$R$448,7,FALSE)</f>
        <v>11.905259964504177</v>
      </c>
      <c r="E23" s="35">
        <f>VLOOKUP($B23,'Euro Prices'!$A$1:$R$448,8,FALSE)</f>
        <v>15.105876943633991</v>
      </c>
      <c r="F23" s="35">
        <f>VLOOKUP($B23,'Euro Prices'!$A$1:$R$448,9,FALSE)</f>
        <v>16.969308780685374</v>
      </c>
      <c r="G23" s="35">
        <f>VLOOKUP($B23,'Euro Prices'!$A$1:$R$448,10,FALSE)</f>
        <v>28.874569567924443</v>
      </c>
      <c r="H23" s="35">
        <f>VLOOKUP($B23,'Euro Prices'!$A$1:$R$448,11,FALSE)</f>
        <v>10.38690779256055</v>
      </c>
      <c r="I23" s="35">
        <f>VLOOKUP($B23,'Euro Prices'!$A$1:$R$448,4,FALSE)</f>
        <v>98.68434954344734</v>
      </c>
      <c r="J23" s="35">
        <f>VLOOKUP($B23,'Euro Prices'!$A$1:$R$448,5,FALSE)</f>
        <v>94.853610662044915</v>
      </c>
      <c r="K23" s="35">
        <f>VLOOKUP($B23,'Euro Prices'!$A$1:$R$448,12,FALSE)</f>
        <v>75.004929116897898</v>
      </c>
      <c r="L23" s="35">
        <f>VLOOKUP($B23,'Euro Prices'!$A$1:$R$448,13,FALSE)</f>
        <v>8.5899010965858871</v>
      </c>
      <c r="M23" s="35">
        <f>VLOOKUP($B23,'Euro Prices'!$A$1:$R$448,2,FALSE)</f>
        <v>13.8186597824096</v>
      </c>
      <c r="N23" s="35">
        <f>VLOOKUP($B23,'Euro Prices'!$A$1:$R$448,15,FALSE)</f>
        <v>19.48839280417624</v>
      </c>
      <c r="O23" s="35">
        <f>VLOOKUP($B23,'Euro Prices'!$A$1:$R$448,14,FALSE)</f>
        <v>5.5471607586994143</v>
      </c>
      <c r="P23" s="35">
        <f>VLOOKUP($B23,'Euro Prices'!$A$1:$R$448,6,FALSE)</f>
        <v>3302.13793945312</v>
      </c>
      <c r="R23" s="28">
        <v>44484</v>
      </c>
      <c r="S23" s="37">
        <f>VLOOKUP($B23,'Euro Prices'!$A$1:$R$448,17,FALSE)</f>
        <v>531.49222181280402</v>
      </c>
      <c r="T23" s="37">
        <f>VLOOKUP($B23,'Euro Prices'!$A$1:$R$448,18,FALSE)</f>
        <v>11.171964647731746</v>
      </c>
    </row>
    <row r="24" spans="2:20" x14ac:dyDescent="0.75">
      <c r="B24" s="28">
        <v>44487</v>
      </c>
      <c r="C24" s="35">
        <f>VLOOKUP($B24,'Euro Prices'!$A$1:$R$448,3,FALSE)</f>
        <v>169.419998168945</v>
      </c>
      <c r="D24" s="35">
        <f>VLOOKUP($B24,'Euro Prices'!$A$1:$R$448,7,FALSE)</f>
        <v>11.899572483985111</v>
      </c>
      <c r="E24" s="35">
        <f>VLOOKUP($B24,'Euro Prices'!$A$1:$R$448,8,FALSE)</f>
        <v>15.119861872499003</v>
      </c>
      <c r="F24" s="35">
        <f>VLOOKUP($B24,'Euro Prices'!$A$1:$R$448,9,FALSE)</f>
        <v>17.13469559486763</v>
      </c>
      <c r="G24" s="35">
        <f>VLOOKUP($B24,'Euro Prices'!$A$1:$R$448,10,FALSE)</f>
        <v>28.552086140855376</v>
      </c>
      <c r="H24" s="35">
        <f>VLOOKUP($B24,'Euro Prices'!$A$1:$R$448,11,FALSE)</f>
        <v>10.401363087765446</v>
      </c>
      <c r="I24" s="35">
        <f>VLOOKUP($B24,'Euro Prices'!$A$1:$R$448,4,FALSE)</f>
        <v>98.425683503061649</v>
      </c>
      <c r="J24" s="35">
        <f>VLOOKUP($B24,'Euro Prices'!$A$1:$R$448,5,FALSE)</f>
        <v>94.550799874770007</v>
      </c>
      <c r="K24" s="35">
        <f>VLOOKUP($B24,'Euro Prices'!$A$1:$R$448,12,FALSE)</f>
        <v>74.826275481829626</v>
      </c>
      <c r="L24" s="35">
        <f>VLOOKUP($B24,'Euro Prices'!$A$1:$R$448,13,FALSE)</f>
        <v>8.5647652752438557</v>
      </c>
      <c r="M24" s="35">
        <f>VLOOKUP($B24,'Euro Prices'!$A$1:$R$448,2,FALSE)</f>
        <v>13.805020332336399</v>
      </c>
      <c r="N24" s="35">
        <f>VLOOKUP($B24,'Euro Prices'!$A$1:$R$448,15,FALSE)</f>
        <v>19.313127376349168</v>
      </c>
      <c r="O24" s="35">
        <f>VLOOKUP($B24,'Euro Prices'!$A$1:$R$448,14,FALSE)</f>
        <v>5.4676038934192546</v>
      </c>
      <c r="P24" s="35">
        <f>VLOOKUP($B24,'Euro Prices'!$A$1:$R$448,6,FALSE)</f>
        <v>3333.17846679687</v>
      </c>
      <c r="R24" s="28">
        <v>44487</v>
      </c>
      <c r="S24" s="37">
        <f>VLOOKUP($B24,'Euro Prices'!$A$1:$R$448,17,FALSE)</f>
        <v>533.68981671837423</v>
      </c>
      <c r="T24" s="37">
        <f>VLOOKUP($B24,'Euro Prices'!$A$1:$R$448,18,FALSE)</f>
        <v>11.150467785875279</v>
      </c>
    </row>
    <row r="25" spans="2:20" x14ac:dyDescent="0.75">
      <c r="B25" s="28">
        <v>44488</v>
      </c>
      <c r="C25" s="35">
        <f>VLOOKUP($B25,'Euro Prices'!$A$1:$R$448,3,FALSE)</f>
        <v>168.77000427246</v>
      </c>
      <c r="D25" s="35">
        <f>VLOOKUP($B25,'Euro Prices'!$A$1:$R$448,7,FALSE)</f>
        <v>11.975621598462039</v>
      </c>
      <c r="E25" s="35">
        <f>VLOOKUP($B25,'Euro Prices'!$A$1:$R$448,8,FALSE)</f>
        <v>15.139317949612574</v>
      </c>
      <c r="F25" s="35">
        <f>VLOOKUP($B25,'Euro Prices'!$A$1:$R$448,9,FALSE)</f>
        <v>17.288568009932472</v>
      </c>
      <c r="G25" s="35">
        <f>VLOOKUP($B25,'Euro Prices'!$A$1:$R$448,10,FALSE)</f>
        <v>28.825740759571925</v>
      </c>
      <c r="H25" s="35">
        <f>VLOOKUP($B25,'Euro Prices'!$A$1:$R$448,11,FALSE)</f>
        <v>10.479742933375345</v>
      </c>
      <c r="I25" s="35">
        <f>VLOOKUP($B25,'Euro Prices'!$A$1:$R$448,4,FALSE)</f>
        <v>97.989260976136208</v>
      </c>
      <c r="J25" s="35">
        <f>VLOOKUP($B25,'Euro Prices'!$A$1:$R$448,5,FALSE)</f>
        <v>94.146289316004598</v>
      </c>
      <c r="K25" s="35">
        <f>VLOOKUP($B25,'Euro Prices'!$A$1:$R$448,12,FALSE)</f>
        <v>74.761244884623451</v>
      </c>
      <c r="L25" s="35">
        <f>VLOOKUP($B25,'Euro Prices'!$A$1:$R$448,13,FALSE)</f>
        <v>8.5514365728941932</v>
      </c>
      <c r="M25" s="35">
        <f>VLOOKUP($B25,'Euro Prices'!$A$1:$R$448,2,FALSE)</f>
        <v>13.8260097503662</v>
      </c>
      <c r="N25" s="35">
        <f>VLOOKUP($B25,'Euro Prices'!$A$1:$R$448,15,FALSE)</f>
        <v>19.317458951846021</v>
      </c>
      <c r="O25" s="35">
        <f>VLOOKUP($B25,'Euro Prices'!$A$1:$R$448,14,FALSE)</f>
        <v>5.4848862523212381</v>
      </c>
      <c r="P25" s="35">
        <f>VLOOKUP($B25,'Euro Prices'!$A$1:$R$448,6,FALSE)</f>
        <v>3566.61010742187</v>
      </c>
      <c r="R25" s="28">
        <v>44488</v>
      </c>
      <c r="S25" s="37">
        <f>VLOOKUP($B25,'Euro Prices'!$A$1:$R$448,17,FALSE)</f>
        <v>542.43634611367054</v>
      </c>
      <c r="T25" s="37">
        <f>VLOOKUP($B25,'Euro Prices'!$A$1:$R$448,18,FALSE)</f>
        <v>11.090129983301088</v>
      </c>
    </row>
    <row r="26" spans="2:20" x14ac:dyDescent="0.75">
      <c r="B26" s="28">
        <v>44489</v>
      </c>
      <c r="C26" s="35">
        <f>VLOOKUP($B26,'Euro Prices'!$A$1:$R$448,3,FALSE)</f>
        <v>169.57000732421801</v>
      </c>
      <c r="D26" s="35">
        <f>VLOOKUP($B26,'Euro Prices'!$A$1:$R$448,7,FALSE)</f>
        <v>12.106379429573972</v>
      </c>
      <c r="E26" s="35">
        <f>VLOOKUP($B26,'Euro Prices'!$A$1:$R$448,8,FALSE)</f>
        <v>15.229499652981747</v>
      </c>
      <c r="F26" s="35">
        <f>VLOOKUP($B26,'Euro Prices'!$A$1:$R$448,9,FALSE)</f>
        <v>17.202898953413928</v>
      </c>
      <c r="G26" s="35">
        <f>VLOOKUP($B26,'Euro Prices'!$A$1:$R$448,10,FALSE)</f>
        <v>29.137678550548504</v>
      </c>
      <c r="H26" s="35">
        <f>VLOOKUP($B26,'Euro Prices'!$A$1:$R$448,11,FALSE)</f>
        <v>10.441859827532721</v>
      </c>
      <c r="I26" s="35">
        <f>VLOOKUP($B26,'Euro Prices'!$A$1:$R$448,4,FALSE)</f>
        <v>97.726958420783319</v>
      </c>
      <c r="J26" s="35">
        <f>VLOOKUP($B26,'Euro Prices'!$A$1:$R$448,5,FALSE)</f>
        <v>93.908743297823733</v>
      </c>
      <c r="K26" s="35">
        <f>VLOOKUP($B26,'Euro Prices'!$A$1:$R$448,12,FALSE)</f>
        <v>74.639059517541568</v>
      </c>
      <c r="L26" s="35">
        <f>VLOOKUP($B26,'Euro Prices'!$A$1:$R$448,13,FALSE)</f>
        <v>8.5345262375702635</v>
      </c>
      <c r="M26" s="35">
        <f>VLOOKUP($B26,'Euro Prices'!$A$1:$R$448,2,FALSE)</f>
        <v>13.876359939575099</v>
      </c>
      <c r="N26" s="35">
        <f>VLOOKUP($B26,'Euro Prices'!$A$1:$R$448,15,FALSE)</f>
        <v>19.48517877048965</v>
      </c>
      <c r="O26" s="35">
        <f>VLOOKUP($B26,'Euro Prices'!$A$1:$R$448,14,FALSE)</f>
        <v>5.5512596934938436</v>
      </c>
      <c r="P26" s="35">
        <f>VLOOKUP($B26,'Euro Prices'!$A$1:$R$448,6,FALSE)</f>
        <v>3487.69458007812</v>
      </c>
      <c r="R26" s="28">
        <v>44489</v>
      </c>
      <c r="S26" s="37">
        <f>VLOOKUP($B26,'Euro Prices'!$A$1:$R$448,17,FALSE)</f>
        <v>534.84285524475058</v>
      </c>
      <c r="T26" s="37">
        <f>VLOOKUP($B26,'Euro Prices'!$A$1:$R$448,18,FALSE)</f>
        <v>11.051039846382116</v>
      </c>
    </row>
    <row r="27" spans="2:20" x14ac:dyDescent="0.75">
      <c r="B27" s="29">
        <v>44490</v>
      </c>
      <c r="C27" s="36">
        <f>VLOOKUP($B27,'Euro Prices'!$A$1:$R$448,3,FALSE)</f>
        <v>169.19000244140599</v>
      </c>
      <c r="D27" s="36">
        <f>VLOOKUP($B27,'Euro Prices'!$A$1:$R$448,7,FALSE)</f>
        <v>12.094271399720741</v>
      </c>
      <c r="E27" s="36">
        <f>VLOOKUP($B27,'Euro Prices'!$A$1:$R$448,8,FALSE)</f>
        <v>15.23396365746742</v>
      </c>
      <c r="F27" s="36">
        <f>VLOOKUP($B27,'Euro Prices'!$A$1:$R$448,9,FALSE)</f>
        <v>17.479060015429663</v>
      </c>
      <c r="G27" s="36">
        <f>VLOOKUP($B27,'Euro Prices'!$A$1:$R$448,10,FALSE)</f>
        <v>29.461506620049445</v>
      </c>
      <c r="H27" s="36">
        <f>VLOOKUP($B27,'Euro Prices'!$A$1:$R$448,11,FALSE)</f>
        <v>10.373891451104715</v>
      </c>
      <c r="I27" s="36">
        <f>VLOOKUP($B27,'Euro Prices'!$A$1:$R$448,4,FALSE)</f>
        <v>97.77027191746258</v>
      </c>
      <c r="J27" s="36">
        <f>VLOOKUP($B27,'Euro Prices'!$A$1:$R$448,5,FALSE)</f>
        <v>94.088351429212508</v>
      </c>
      <c r="K27" s="36">
        <f>VLOOKUP($B27,'Euro Prices'!$A$1:$R$448,12,FALSE)</f>
        <v>74.64093876177354</v>
      </c>
      <c r="L27" s="36">
        <f>VLOOKUP($B27,'Euro Prices'!$A$1:$R$448,13,FALSE)</f>
        <v>8.5588900802965071</v>
      </c>
      <c r="M27" s="36">
        <f>VLOOKUP($B27,'Euro Prices'!$A$1:$R$448,2,FALSE)</f>
        <v>13.702210426330501</v>
      </c>
      <c r="N27" s="36">
        <f>VLOOKUP($B27,'Euro Prices'!$A$1:$R$448,15,FALSE)</f>
        <v>19.233848350545411</v>
      </c>
      <c r="O27" s="36">
        <f>VLOOKUP($B27,'Euro Prices'!$A$1:$R$448,14,FALSE)</f>
        <v>5.4622062548217674</v>
      </c>
      <c r="P27" s="36">
        <f>VLOOKUP($B27,'Euro Prices'!$A$1:$R$448,6,FALSE)</f>
        <v>3409.6240234375</v>
      </c>
      <c r="R27" s="29">
        <v>44490</v>
      </c>
      <c r="S27" s="38">
        <f>VLOOKUP($B27,'Euro Prices'!$A$1:$R$448,17,FALSE)</f>
        <v>547.45069904862896</v>
      </c>
      <c r="T27" s="38">
        <f>VLOOKUP($B27,'Euro Prices'!$A$1:$R$448,18,FALSE)</f>
        <v>11.053441497994379</v>
      </c>
    </row>
    <row r="28" spans="2:20" x14ac:dyDescent="0.75">
      <c r="B28" s="28">
        <v>44491</v>
      </c>
      <c r="C28" s="35">
        <f>VLOOKUP($B28,'Euro Prices'!$A$1:$R$448,3,FALSE)</f>
        <v>169.850006103515</v>
      </c>
      <c r="D28" s="35">
        <f>VLOOKUP($B28,'Euro Prices'!$A$1:$R$448,7,FALSE)</f>
        <v>12.206095374480627</v>
      </c>
      <c r="E28" s="35">
        <f>VLOOKUP($B28,'Euro Prices'!$A$1:$R$448,8,FALSE)</f>
        <v>15.319982983034635</v>
      </c>
      <c r="F28" s="35">
        <f>VLOOKUP($B28,'Euro Prices'!$A$1:$R$448,9,FALSE)</f>
        <v>17.307023004977378</v>
      </c>
      <c r="G28" s="35">
        <f>VLOOKUP($B28,'Euro Prices'!$A$1:$R$448,10,FALSE)</f>
        <v>29.530323393048899</v>
      </c>
      <c r="H28" s="35">
        <f>VLOOKUP($B28,'Euro Prices'!$A$1:$R$448,11,FALSE)</f>
        <v>10.330881788321067</v>
      </c>
      <c r="I28" s="35">
        <f>VLOOKUP($B28,'Euro Prices'!$A$1:$R$448,4,FALSE)</f>
        <v>97.959219439055872</v>
      </c>
      <c r="J28" s="35">
        <f>VLOOKUP($B28,'Euro Prices'!$A$1:$R$448,5,FALSE)</f>
        <v>94.088351429212508</v>
      </c>
      <c r="K28" s="35">
        <f>VLOOKUP($B28,'Euro Prices'!$A$1:$R$448,12,FALSE)</f>
        <v>74.460870612092009</v>
      </c>
      <c r="L28" s="35">
        <f>VLOOKUP($B28,'Euro Prices'!$A$1:$R$448,13,FALSE)</f>
        <v>8.541686707387715</v>
      </c>
      <c r="M28" s="35">
        <f>VLOOKUP($B28,'Euro Prices'!$A$1:$R$448,2,FALSE)</f>
        <v>13.718999862670801</v>
      </c>
      <c r="N28" s="35">
        <f>VLOOKUP($B28,'Euro Prices'!$A$1:$R$448,15,FALSE)</f>
        <v>19.294061386237811</v>
      </c>
      <c r="O28" s="35">
        <f>VLOOKUP($B28,'Euro Prices'!$A$1:$R$448,14,FALSE)</f>
        <v>5.4880121345260466</v>
      </c>
      <c r="P28" s="35">
        <f>VLOOKUP($B28,'Euro Prices'!$A$1:$R$448,6,FALSE)</f>
        <v>3583.28784179687</v>
      </c>
      <c r="R28" s="28">
        <v>44491</v>
      </c>
      <c r="S28" s="37">
        <f>VLOOKUP($B28,'Euro Prices'!$A$1:$R$448,17,FALSE)</f>
        <v>558.34073352439248</v>
      </c>
      <c r="T28" s="37">
        <f>VLOOKUP($B28,'Euro Prices'!$A$1:$R$448,18,FALSE)</f>
        <v>11.087849064153033</v>
      </c>
    </row>
    <row r="29" spans="2:20" x14ac:dyDescent="0.75">
      <c r="B29" s="28">
        <v>44494</v>
      </c>
      <c r="C29" s="35">
        <f>VLOOKUP($B29,'Euro Prices'!$A$1:$R$448,3,FALSE)</f>
        <v>169.53999328613199</v>
      </c>
      <c r="D29" s="35">
        <f>VLOOKUP($B29,'Euro Prices'!$A$1:$R$448,7,FALSE)</f>
        <v>12.220427284070967</v>
      </c>
      <c r="E29" s="35">
        <f>VLOOKUP($B29,'Euro Prices'!$A$1:$R$448,8,FALSE)</f>
        <v>15.449928011676743</v>
      </c>
      <c r="F29" s="35">
        <f>VLOOKUP($B29,'Euro Prices'!$A$1:$R$448,9,FALSE)</f>
        <v>17.508195426324782</v>
      </c>
      <c r="G29" s="35">
        <f>VLOOKUP($B29,'Euro Prices'!$A$1:$R$448,10,FALSE)</f>
        <v>29.487488589965746</v>
      </c>
      <c r="H29" s="35">
        <f>VLOOKUP($B29,'Euro Prices'!$A$1:$R$448,11,FALSE)</f>
        <v>10.437743598609845</v>
      </c>
      <c r="I29" s="35">
        <f>VLOOKUP($B29,'Euro Prices'!$A$1:$R$448,4,FALSE)</f>
        <v>98.168820644228461</v>
      </c>
      <c r="J29" s="35">
        <f>VLOOKUP($B29,'Euro Prices'!$A$1:$R$448,5,FALSE)</f>
        <v>94.276166795985674</v>
      </c>
      <c r="K29" s="35">
        <f>VLOOKUP($B29,'Euro Prices'!$A$1:$R$448,12,FALSE)</f>
        <v>74.67706696484025</v>
      </c>
      <c r="L29" s="35">
        <f>VLOOKUP($B29,'Euro Prices'!$A$1:$R$448,13,FALSE)</f>
        <v>8.5517160147037323</v>
      </c>
      <c r="M29" s="35">
        <f>VLOOKUP($B29,'Euro Prices'!$A$1:$R$448,2,FALSE)</f>
        <v>13.865870475769</v>
      </c>
      <c r="N29" s="35">
        <f>VLOOKUP($B29,'Euro Prices'!$A$1:$R$448,15,FALSE)</f>
        <v>19.411448225261609</v>
      </c>
      <c r="O29" s="35">
        <f>VLOOKUP($B29,'Euro Prices'!$A$1:$R$448,14,FALSE)</f>
        <v>5.6150238206634437</v>
      </c>
      <c r="P29" s="35">
        <f>VLOOKUP($B29,'Euro Prices'!$A$1:$R$448,6,FALSE)</f>
        <v>3562.369140625</v>
      </c>
      <c r="R29" s="28">
        <v>44494</v>
      </c>
      <c r="S29" s="37">
        <f>VLOOKUP($B29,'Euro Prices'!$A$1:$R$448,17,FALSE)</f>
        <v>561.52824493867172</v>
      </c>
      <c r="T29" s="37">
        <f>VLOOKUP($B29,'Euro Prices'!$A$1:$R$448,18,FALSE)</f>
        <v>11.109479349155361</v>
      </c>
    </row>
    <row r="30" spans="2:20" x14ac:dyDescent="0.75">
      <c r="B30" s="28">
        <v>44495</v>
      </c>
      <c r="C30" s="35">
        <f>VLOOKUP($B30,'Euro Prices'!$A$1:$R$448,3,FALSE)</f>
        <v>171.30000305175699</v>
      </c>
      <c r="D30" s="35">
        <f>VLOOKUP($B30,'Euro Prices'!$A$1:$R$448,7,FALSE)</f>
        <v>12.191508603469805</v>
      </c>
      <c r="E30" s="35">
        <f>VLOOKUP($B30,'Euro Prices'!$A$1:$R$448,8,FALSE)</f>
        <v>15.493733798709767</v>
      </c>
      <c r="F30" s="35">
        <f>VLOOKUP($B30,'Euro Prices'!$A$1:$R$448,9,FALSE)</f>
        <v>17.718209789028101</v>
      </c>
      <c r="G30" s="35">
        <f>VLOOKUP($B30,'Euro Prices'!$A$1:$R$448,10,FALSE)</f>
        <v>29.625193273361148</v>
      </c>
      <c r="H30" s="35">
        <f>VLOOKUP($B30,'Euro Prices'!$A$1:$R$448,11,FALSE)</f>
        <v>10.423998394443432</v>
      </c>
      <c r="I30" s="35">
        <f>VLOOKUP($B30,'Euro Prices'!$A$1:$R$448,4,FALSE)</f>
        <v>98.463595067375635</v>
      </c>
      <c r="J30" s="35">
        <f>VLOOKUP($B30,'Euro Prices'!$A$1:$R$448,5,FALSE)</f>
        <v>94.428669732159577</v>
      </c>
      <c r="K30" s="35">
        <f>VLOOKUP($B30,'Euro Prices'!$A$1:$R$448,12,FALSE)</f>
        <v>74.780978883272766</v>
      </c>
      <c r="L30" s="35">
        <f>VLOOKUP($B30,'Euro Prices'!$A$1:$R$448,13,FALSE)</f>
        <v>8.5616464790382398</v>
      </c>
      <c r="M30" s="35">
        <f>VLOOKUP($B30,'Euro Prices'!$A$1:$R$448,2,FALSE)</f>
        <v>13.9078302383422</v>
      </c>
      <c r="N30" s="35">
        <f>VLOOKUP($B30,'Euro Prices'!$A$1:$R$448,15,FALSE)</f>
        <v>19.468476425193728</v>
      </c>
      <c r="O30" s="35">
        <f>VLOOKUP($B30,'Euro Prices'!$A$1:$R$448,14,FALSE)</f>
        <v>5.6215441253242426</v>
      </c>
      <c r="P30" s="35">
        <f>VLOOKUP($B30,'Euro Prices'!$A$1:$R$448,6,FALSE)</f>
        <v>3388.56176757812</v>
      </c>
      <c r="R30" s="28">
        <v>44495</v>
      </c>
      <c r="S30" s="37">
        <f>VLOOKUP($B30,'Euro Prices'!$A$1:$R$448,17,FALSE)</f>
        <v>554.49807377389448</v>
      </c>
      <c r="T30" s="37">
        <f>VLOOKUP($B30,'Euro Prices'!$A$1:$R$448,18,FALSE)</f>
        <v>11.148246544269492</v>
      </c>
    </row>
    <row r="31" spans="2:20" x14ac:dyDescent="0.75">
      <c r="B31" s="28">
        <v>44496</v>
      </c>
      <c r="C31" s="35">
        <f>VLOOKUP($B31,'Euro Prices'!$A$1:$R$448,3,FALSE)</f>
        <v>171.350006103515</v>
      </c>
      <c r="D31" s="35">
        <f>VLOOKUP($B31,'Euro Prices'!$A$1:$R$448,7,FALSE)</f>
        <v>11.930910675935287</v>
      </c>
      <c r="E31" s="35">
        <f>VLOOKUP($B31,'Euro Prices'!$A$1:$R$448,8,FALSE)</f>
        <v>15.215358855296067</v>
      </c>
      <c r="F31" s="35">
        <f>VLOOKUP($B31,'Euro Prices'!$A$1:$R$448,9,FALSE)</f>
        <v>17.551542338579509</v>
      </c>
      <c r="G31" s="35">
        <f>VLOOKUP($B31,'Euro Prices'!$A$1:$R$448,10,FALSE)</f>
        <v>29.344523544385503</v>
      </c>
      <c r="H31" s="35">
        <f>VLOOKUP($B31,'Euro Prices'!$A$1:$R$448,11,FALSE)</f>
        <v>10.310237757665954</v>
      </c>
      <c r="I31" s="35">
        <f>VLOOKUP($B31,'Euro Prices'!$A$1:$R$448,4,FALSE)</f>
        <v>98.774679726011627</v>
      </c>
      <c r="J31" s="35">
        <f>VLOOKUP($B31,'Euro Prices'!$A$1:$R$448,5,FALSE)</f>
        <v>94.628396798328822</v>
      </c>
      <c r="K31" s="35">
        <f>VLOOKUP($B31,'Euro Prices'!$A$1:$R$448,12,FALSE)</f>
        <v>74.708682112515334</v>
      </c>
      <c r="L31" s="35">
        <f>VLOOKUP($B31,'Euro Prices'!$A$1:$R$448,13,FALSE)</f>
        <v>8.5688761419712023</v>
      </c>
      <c r="M31" s="35">
        <f>VLOOKUP($B31,'Euro Prices'!$A$1:$R$448,2,FALSE)</f>
        <v>13.713749885559</v>
      </c>
      <c r="N31" s="35">
        <f>VLOOKUP($B31,'Euro Prices'!$A$1:$R$448,15,FALSE)</f>
        <v>19.120491294488076</v>
      </c>
      <c r="O31" s="35">
        <f>VLOOKUP($B31,'Euro Prices'!$A$1:$R$448,14,FALSE)</f>
        <v>5.5775280866353967</v>
      </c>
      <c r="P31" s="35">
        <f>VLOOKUP($B31,'Euro Prices'!$A$1:$R$448,6,FALSE)</f>
        <v>3669.92749023437</v>
      </c>
      <c r="R31" s="28">
        <v>44496</v>
      </c>
      <c r="S31" s="37">
        <f>VLOOKUP($B31,'Euro Prices'!$A$1:$R$448,17,FALSE)</f>
        <v>549.1322266459465</v>
      </c>
      <c r="T31" s="37">
        <f>VLOOKUP($B31,'Euro Prices'!$A$1:$R$448,18,FALSE)</f>
        <v>11.215400933045741</v>
      </c>
    </row>
    <row r="32" spans="2:20" x14ac:dyDescent="0.75">
      <c r="B32" s="28">
        <v>44497</v>
      </c>
      <c r="C32" s="35">
        <f>VLOOKUP($B32,'Euro Prices'!$A$1:$R$448,3,FALSE)</f>
        <v>169.509994506835</v>
      </c>
      <c r="D32" s="35">
        <f>VLOOKUP($B32,'Euro Prices'!$A$1:$R$448,7,FALSE)</f>
        <v>11.974040658673234</v>
      </c>
      <c r="E32" s="35">
        <f>VLOOKUP($B32,'Euro Prices'!$A$1:$R$448,8,FALSE)</f>
        <v>15.252137553560244</v>
      </c>
      <c r="F32" s="35">
        <f>VLOOKUP($B32,'Euro Prices'!$A$1:$R$448,9,FALSE)</f>
        <v>17.879750260447477</v>
      </c>
      <c r="G32" s="35">
        <f>VLOOKUP($B32,'Euro Prices'!$A$1:$R$448,10,FALSE)</f>
        <v>29.545668032962734</v>
      </c>
      <c r="H32" s="35">
        <f>VLOOKUP($B32,'Euro Prices'!$A$1:$R$448,11,FALSE)</f>
        <v>10.228004712529152</v>
      </c>
      <c r="I32" s="35">
        <f>VLOOKUP($B32,'Euro Prices'!$A$1:$R$448,4,FALSE)</f>
        <v>97.991948801478586</v>
      </c>
      <c r="J32" s="35">
        <f>VLOOKUP($B32,'Euro Prices'!$A$1:$R$448,5,FALSE)</f>
        <v>93.994923537218128</v>
      </c>
      <c r="K32" s="35">
        <f>VLOOKUP($B32,'Euro Prices'!$A$1:$R$448,12,FALSE)</f>
        <v>74.362534685691045</v>
      </c>
      <c r="L32" s="35">
        <f>VLOOKUP($B32,'Euro Prices'!$A$1:$R$448,13,FALSE)</f>
        <v>8.507645537523274</v>
      </c>
      <c r="M32" s="35">
        <f>VLOOKUP($B32,'Euro Prices'!$A$1:$R$448,2,FALSE)</f>
        <v>13.6675901412963</v>
      </c>
      <c r="N32" s="35">
        <f>VLOOKUP($B32,'Euro Prices'!$A$1:$R$448,15,FALSE)</f>
        <v>19.052333964506115</v>
      </c>
      <c r="O32" s="35">
        <f>VLOOKUP($B32,'Euro Prices'!$A$1:$R$448,14,FALSE)</f>
        <v>5.4777600150966617</v>
      </c>
      <c r="P32" s="35">
        <f>VLOOKUP($B32,'Euro Prices'!$A$1:$R$448,6,FALSE)</f>
        <v>3818.62353515625</v>
      </c>
      <c r="R32" s="28">
        <v>44497</v>
      </c>
      <c r="S32" s="37">
        <f>VLOOKUP($B32,'Euro Prices'!$A$1:$R$448,17,FALSE)</f>
        <v>560.89695481500826</v>
      </c>
      <c r="T32" s="37">
        <f>VLOOKUP($B32,'Euro Prices'!$A$1:$R$448,18,FALSE)</f>
        <v>11.109581473272303</v>
      </c>
    </row>
    <row r="33" spans="2:20" x14ac:dyDescent="0.75">
      <c r="B33" s="28">
        <v>44498</v>
      </c>
      <c r="C33" s="35">
        <f>VLOOKUP($B33,'Euro Prices'!$A$1:$R$448,3,FALSE)</f>
        <v>169.850006103515</v>
      </c>
      <c r="D33" s="35">
        <f>VLOOKUP($B33,'Euro Prices'!$A$1:$R$448,7,FALSE)</f>
        <v>11.905568724804873</v>
      </c>
      <c r="E33" s="35">
        <f>VLOOKUP($B33,'Euro Prices'!$A$1:$R$448,8,FALSE)</f>
        <v>15.183665619691796</v>
      </c>
      <c r="F33" s="35">
        <f>VLOOKUP($B33,'Euro Prices'!$A$1:$R$448,9,FALSE)</f>
        <v>18.068049302960336</v>
      </c>
      <c r="G33" s="35">
        <f>VLOOKUP($B33,'Euro Prices'!$A$1:$R$448,10,FALSE)</f>
        <v>29.682611900699545</v>
      </c>
      <c r="H33" s="35">
        <f>VLOOKUP($B33,'Euro Prices'!$A$1:$R$448,11,FALSE)</f>
        <v>10.133856007522503</v>
      </c>
      <c r="I33" s="35">
        <f>VLOOKUP($B33,'Euro Prices'!$A$1:$R$448,4,FALSE)</f>
        <v>97.966312026582173</v>
      </c>
      <c r="J33" s="35">
        <f>VLOOKUP($B33,'Euro Prices'!$A$1:$R$448,5,FALSE)</f>
        <v>93.986375768919331</v>
      </c>
      <c r="K33" s="35">
        <f>VLOOKUP($B33,'Euro Prices'!$A$1:$R$448,12,FALSE)</f>
        <v>74.166301694757678</v>
      </c>
      <c r="L33" s="35">
        <f>VLOOKUP($B33,'Euro Prices'!$A$1:$R$448,13,FALSE)</f>
        <v>8.4990871579770992</v>
      </c>
      <c r="M33" s="35">
        <f>VLOOKUP($B33,'Euro Prices'!$A$1:$R$448,2,FALSE)</f>
        <v>13.652910232543899</v>
      </c>
      <c r="N33" s="35">
        <f>VLOOKUP($B33,'Euro Prices'!$A$1:$R$448,15,FALSE)</f>
        <v>18.941066051657685</v>
      </c>
      <c r="O33" s="35">
        <f>VLOOKUP($B33,'Euro Prices'!$A$1:$R$448,14,FALSE)</f>
        <v>5.4264060646953558</v>
      </c>
      <c r="P33" s="35">
        <f>VLOOKUP($B33,'Euro Prices'!$A$1:$R$448,6,FALSE)</f>
        <v>3741.55786132812</v>
      </c>
      <c r="R33" s="28">
        <v>44498</v>
      </c>
      <c r="S33" s="37">
        <f>VLOOKUP($B33,'Euro Prices'!$A$1:$R$448,17,FALSE)</f>
        <v>569.07078926773795</v>
      </c>
      <c r="T33" s="37">
        <f>VLOOKUP($B33,'Euro Prices'!$A$1:$R$448,18,FALSE)</f>
        <v>11.118140669068284</v>
      </c>
    </row>
    <row r="34" spans="2:20" x14ac:dyDescent="0.75">
      <c r="B34" s="28">
        <v>44501</v>
      </c>
      <c r="C34" s="35">
        <f>VLOOKUP($B34,'Euro Prices'!$A$1:$R$448,3,FALSE)</f>
        <v>171.67999267578099</v>
      </c>
      <c r="D34" s="35">
        <f>VLOOKUP($B34,'Euro Prices'!$A$1:$R$448,7,FALSE)</f>
        <v>12.174770731905911</v>
      </c>
      <c r="E34" s="35">
        <f>VLOOKUP($B34,'Euro Prices'!$A$1:$R$448,8,FALSE)</f>
        <v>15.462911721075999</v>
      </c>
      <c r="F34" s="35">
        <f>VLOOKUP($B34,'Euro Prices'!$A$1:$R$448,9,FALSE)</f>
        <v>18.681827125857257</v>
      </c>
      <c r="G34" s="35">
        <f>VLOOKUP($B34,'Euro Prices'!$A$1:$R$448,10,FALSE)</f>
        <v>30.147052122066395</v>
      </c>
      <c r="H34" s="35">
        <f>VLOOKUP($B34,'Euro Prices'!$A$1:$R$448,11,FALSE)</f>
        <v>10.288417293675369</v>
      </c>
      <c r="I34" s="35">
        <f>VLOOKUP($B34,'Euro Prices'!$A$1:$R$448,4,FALSE)</f>
        <v>98.981666439135097</v>
      </c>
      <c r="J34" s="35">
        <f>VLOOKUP($B34,'Euro Prices'!$A$1:$R$448,5,FALSE)</f>
        <v>95.00128776079427</v>
      </c>
      <c r="K34" s="35">
        <f>VLOOKUP($B34,'Euro Prices'!$A$1:$R$448,12,FALSE)</f>
        <v>74.900365862686044</v>
      </c>
      <c r="L34" s="35">
        <f>VLOOKUP($B34,'Euro Prices'!$A$1:$R$448,13,FALSE)</f>
        <v>8.6010816340618064</v>
      </c>
      <c r="M34" s="35">
        <f>VLOOKUP($B34,'Euro Prices'!$A$1:$R$448,2,FALSE)</f>
        <v>13.652910232543899</v>
      </c>
      <c r="N34" s="35">
        <f>VLOOKUP($B34,'Euro Prices'!$A$1:$R$448,15,FALSE)</f>
        <v>19.261578191682769</v>
      </c>
      <c r="O34" s="35">
        <f>VLOOKUP($B34,'Euro Prices'!$A$1:$R$448,14,FALSE)</f>
        <v>5.4946549156618003</v>
      </c>
      <c r="P34" s="35">
        <f>VLOOKUP($B34,'Euro Prices'!$A$1:$R$448,6,FALSE)</f>
        <v>3728.26513671875</v>
      </c>
      <c r="R34" s="28">
        <v>44501</v>
      </c>
      <c r="S34" s="37">
        <f>VLOOKUP($B34,'Euro Prices'!$A$1:$R$448,17,FALSE)</f>
        <v>568.59727013670556</v>
      </c>
      <c r="T34" s="37">
        <f>VLOOKUP($B34,'Euro Prices'!$A$1:$R$448,18,FALSE)</f>
        <v>11.214288029300619</v>
      </c>
    </row>
    <row r="35" spans="2:20" x14ac:dyDescent="0.75">
      <c r="B35" s="28">
        <v>44502</v>
      </c>
      <c r="C35" s="35">
        <f>VLOOKUP($B35,'Euro Prices'!$A$1:$R$448,3,FALSE)</f>
        <v>172.509994506835</v>
      </c>
      <c r="D35" s="35">
        <f>VLOOKUP($B35,'Euro Prices'!$A$1:$R$448,7,FALSE)</f>
        <v>12.078021269468273</v>
      </c>
      <c r="E35" s="35">
        <f>VLOOKUP($B35,'Euro Prices'!$A$1:$R$448,8,FALSE)</f>
        <v>15.586768027336069</v>
      </c>
      <c r="F35" s="35">
        <f>VLOOKUP($B35,'Euro Prices'!$A$1:$R$448,9,FALSE)</f>
        <v>18.897232178657486</v>
      </c>
      <c r="G35" s="35">
        <f>VLOOKUP($B35,'Euro Prices'!$A$1:$R$448,10,FALSE)</f>
        <v>30.139015390762264</v>
      </c>
      <c r="H35" s="35">
        <f>VLOOKUP($B35,'Euro Prices'!$A$1:$R$448,11,FALSE)</f>
        <v>10.155537830459512</v>
      </c>
      <c r="I35" s="35">
        <f>VLOOKUP($B35,'Euro Prices'!$A$1:$R$448,4,FALSE)</f>
        <v>98.813904958103137</v>
      </c>
      <c r="J35" s="35">
        <f>VLOOKUP($B35,'Euro Prices'!$A$1:$R$448,5,FALSE)</f>
        <v>94.779276670909638</v>
      </c>
      <c r="K35" s="35">
        <f>VLOOKUP($B35,'Euro Prices'!$A$1:$R$448,12,FALSE)</f>
        <v>74.804414552839233</v>
      </c>
      <c r="L35" s="35">
        <f>VLOOKUP($B35,'Euro Prices'!$A$1:$R$448,13,FALSE)</f>
        <v>8.5692736894378605</v>
      </c>
      <c r="M35" s="35">
        <f>VLOOKUP($B35,'Euro Prices'!$A$1:$R$448,2,FALSE)</f>
        <v>13.6203804016113</v>
      </c>
      <c r="N35" s="35">
        <f>VLOOKUP($B35,'Euro Prices'!$A$1:$R$448,15,FALSE)</f>
        <v>19.242071851852394</v>
      </c>
      <c r="O35" s="35">
        <f>VLOOKUP($B35,'Euro Prices'!$A$1:$R$448,14,FALSE)</f>
        <v>5.5088189178047102</v>
      </c>
      <c r="P35" s="35">
        <f>VLOOKUP($B35,'Euro Prices'!$A$1:$R$448,6,FALSE)</f>
        <v>3959.53759765625</v>
      </c>
      <c r="R35" s="28">
        <v>44502</v>
      </c>
      <c r="S35" s="37">
        <f>VLOOKUP($B35,'Euro Prices'!$A$1:$R$448,17,FALSE)</f>
        <v>564.09791110284914</v>
      </c>
      <c r="T35" s="37">
        <f>VLOOKUP($B35,'Euro Prices'!$A$1:$R$448,18,FALSE)</f>
        <v>11.181437296998967</v>
      </c>
    </row>
    <row r="36" spans="2:20" x14ac:dyDescent="0.75">
      <c r="B36" s="28">
        <v>44503</v>
      </c>
      <c r="C36" s="35">
        <f>VLOOKUP($B36,'Euro Prices'!$A$1:$R$448,3,FALSE)</f>
        <v>172.509994506835</v>
      </c>
      <c r="D36" s="35">
        <f>VLOOKUP($B36,'Euro Prices'!$A$1:$R$448,7,FALSE)</f>
        <v>12.194032122009194</v>
      </c>
      <c r="E36" s="35">
        <f>VLOOKUP($B36,'Euro Prices'!$A$1:$R$448,8,FALSE)</f>
        <v>15.855696814254701</v>
      </c>
      <c r="F36" s="35">
        <f>VLOOKUP($B36,'Euro Prices'!$A$1:$R$448,9,FALSE)</f>
        <v>19.120103819175661</v>
      </c>
      <c r="G36" s="35">
        <f>VLOOKUP($B36,'Euro Prices'!$A$1:$R$448,10,FALSE)</f>
        <v>30.528259235133994</v>
      </c>
      <c r="H36" s="35">
        <f>VLOOKUP($B36,'Euro Prices'!$A$1:$R$448,11,FALSE)</f>
        <v>10.233660514774297</v>
      </c>
      <c r="I36" s="35">
        <f>VLOOKUP($B36,'Euro Prices'!$A$1:$R$448,4,FALSE)</f>
        <v>98.787205261989115</v>
      </c>
      <c r="J36" s="35">
        <f>VLOOKUP($B36,'Euro Prices'!$A$1:$R$448,5,FALSE)</f>
        <v>94.797370817782863</v>
      </c>
      <c r="K36" s="35">
        <f>VLOOKUP($B36,'Euro Prices'!$A$1:$R$448,12,FALSE)</f>
        <v>75.081387468162461</v>
      </c>
      <c r="L36" s="35">
        <f>VLOOKUP($B36,'Euro Prices'!$A$1:$R$448,13,FALSE)</f>
        <v>8.5841837930831772</v>
      </c>
      <c r="M36" s="35">
        <f>VLOOKUP($B36,'Euro Prices'!$A$1:$R$448,2,FALSE)</f>
        <v>13.6203804016113</v>
      </c>
      <c r="N36" s="35">
        <f>VLOOKUP($B36,'Euro Prices'!$A$1:$R$448,15,FALSE)</f>
        <v>18.826479682083061</v>
      </c>
      <c r="O36" s="35">
        <f>VLOOKUP($B36,'Euro Prices'!$A$1:$R$448,14,FALSE)</f>
        <v>5.4665880331153769</v>
      </c>
      <c r="P36" s="35">
        <f>VLOOKUP($B36,'Euro Prices'!$A$1:$R$448,6,FALSE)</f>
        <v>3966.60473632812</v>
      </c>
      <c r="R36" s="28">
        <v>44503</v>
      </c>
      <c r="S36" s="37">
        <f>VLOOKUP($B36,'Euro Prices'!$A$1:$R$448,17,FALSE)</f>
        <v>557.59196290590558</v>
      </c>
      <c r="T36" s="37">
        <f>VLOOKUP($B36,'Euro Prices'!$A$1:$R$448,18,FALSE)</f>
        <v>11.17498384000395</v>
      </c>
    </row>
    <row r="37" spans="2:20" ht="15.5" thickBot="1" x14ac:dyDescent="0.9"/>
    <row r="38" spans="2:20" x14ac:dyDescent="0.75">
      <c r="B38" s="86" t="s">
        <v>2</v>
      </c>
      <c r="C38" t="s">
        <v>104</v>
      </c>
      <c r="D38" t="s">
        <v>62</v>
      </c>
    </row>
    <row r="39" spans="2:20" x14ac:dyDescent="0.75">
      <c r="B39" s="93">
        <v>44461</v>
      </c>
      <c r="C39" s="85" cm="1">
        <f t="array" ref="C39">MMULT(C6:P6,Table8[24-set])+'Value History'!F$7</f>
        <v>4967976.2767943861</v>
      </c>
      <c r="D39" s="23" cm="1">
        <f t="array" ref="D39">MMULT(S6:T6,Table16[1st interval])*(5000000/MMULT($S$6:$T$6,Table16[1st interval]))-'Value History'!E$7</f>
        <v>4973448.3036444709</v>
      </c>
    </row>
    <row r="40" spans="2:20" x14ac:dyDescent="0.75">
      <c r="B40" s="94">
        <v>44462</v>
      </c>
      <c r="C40" s="85" cm="1">
        <f t="array" ref="C40">MMULT(C7:P7,Table8[24-set])+'Value History'!F$7</f>
        <v>4978206.0749060605</v>
      </c>
      <c r="D40" s="23" cm="1">
        <f t="array" ref="D40">MMULT(S7:T7,Table16[1st interval])*(5000000/MMULT($S$6:$T$6,Table16[1st interval]))-'Value History'!E$7</f>
        <v>5011776.3408000208</v>
      </c>
    </row>
    <row r="41" spans="2:20" x14ac:dyDescent="0.75">
      <c r="B41" s="93">
        <v>44463</v>
      </c>
      <c r="C41" s="85" cm="1">
        <f t="array" ref="C41">MMULT(C8:P8,Table8[24-set])+'Value History'!F$7</f>
        <v>4981704.4982690187</v>
      </c>
      <c r="D41" s="23" cm="1">
        <f t="array" ref="D41">MMULT(S8:T8,Table16[1st interval])*(5000000/MMULT($S$6:$T$6,Table16[1st interval]))-'Value History'!E$7</f>
        <v>5068802.7857021894</v>
      </c>
    </row>
    <row r="42" spans="2:20" x14ac:dyDescent="0.75">
      <c r="B42" s="94">
        <v>44466</v>
      </c>
      <c r="C42" s="85" cm="1">
        <f t="array" ref="C42">MMULT(C9:P9,Table8[24-set])+'Value History'!F$7</f>
        <v>5021082.3865725268</v>
      </c>
      <c r="D42" s="23" cm="1">
        <f t="array" ref="D42">MMULT(S9:T9,Table16[1st interval])*(5000000/MMULT($S$6:$T$6,Table16[1st interval]))-'Value History'!E$7</f>
        <v>4919841.2409093035</v>
      </c>
    </row>
    <row r="43" spans="2:20" x14ac:dyDescent="0.75">
      <c r="B43" s="93">
        <v>44467</v>
      </c>
      <c r="C43" s="85" cm="1">
        <f t="array" ref="C43">MMULT(C10:P10,Table8[24-set])+'Value History'!F$7</f>
        <v>4991494.0130588077</v>
      </c>
      <c r="D43" s="23" cm="1">
        <f t="array" ref="D43">MMULT(S10:T10,Table16[1st interval])*(5000000/MMULT($S$6:$T$6,Table16[1st interval]))-'Value History'!E$7</f>
        <v>4620263.6945469007</v>
      </c>
    </row>
    <row r="44" spans="2:20" x14ac:dyDescent="0.75">
      <c r="B44" s="94">
        <v>44468</v>
      </c>
      <c r="C44" s="85" cm="1">
        <f t="array" ref="C44">MMULT(C11:P11,Table8[24-set])+'Value History'!F$7</f>
        <v>5038529.9355277419</v>
      </c>
      <c r="D44" s="23" cm="1">
        <f t="array" ref="D44">MMULT(S11:T11,Table16[1st interval])*(5000000/MMULT($S$6:$T$6,Table16[1st interval]))-'Value History'!E$7</f>
        <v>4750515.6632052567</v>
      </c>
    </row>
    <row r="45" spans="2:20" x14ac:dyDescent="0.75">
      <c r="B45" s="93">
        <v>44469</v>
      </c>
      <c r="C45" s="85" cm="1">
        <f t="array" ref="C45">MMULT(C12:P12,Table8[24-set])+'Value History'!F$7</f>
        <v>5046709.94776031</v>
      </c>
      <c r="D45" s="23" cm="1">
        <f t="array" ref="D45">MMULT(S12:T12,Table16[1st interval])*(5000000/MMULT($S$6:$T$6,Table16[1st interval]))-'Value History'!E$7</f>
        <v>4743559.4032086786</v>
      </c>
    </row>
    <row r="46" spans="2:20" x14ac:dyDescent="0.75">
      <c r="B46" s="94">
        <v>44470</v>
      </c>
      <c r="C46" s="85" cm="1">
        <f t="array" ref="C46">MMULT(C13:P13,Table8[24-set])+'Value History'!F$7</f>
        <v>5089252.0939725684</v>
      </c>
      <c r="D46" s="23" cm="1">
        <f t="array" ref="D46">MMULT(S13:T13,Table16[1st interval])*(5000000/MMULT($S$6:$T$6,Table16[1st interval]))-'Value History'!E$7</f>
        <v>4762059.0178387547</v>
      </c>
    </row>
    <row r="47" spans="2:20" x14ac:dyDescent="0.75">
      <c r="B47" s="93">
        <v>44473</v>
      </c>
      <c r="C47" s="85" cm="1">
        <f t="array" ref="C47">MMULT(C14:P14,Table8[24-set])+'Value History'!F$7</f>
        <v>5072334.6879686099</v>
      </c>
      <c r="D47" s="23" cm="1">
        <f t="array" ref="D47">MMULT(S14:T14,Table16[1st interval])*(5000000/MMULT($S$6:$T$6,Table16[1st interval]))-'Value History'!E$7</f>
        <v>4569554.4787970344</v>
      </c>
    </row>
    <row r="48" spans="2:20" x14ac:dyDescent="0.75">
      <c r="B48" s="94">
        <v>44474</v>
      </c>
      <c r="C48" s="85" cm="1">
        <f t="array" ref="C48">MMULT(C15:P15,Table8[24-set])+'Value History'!F$7</f>
        <v>5109691.5383235449</v>
      </c>
      <c r="D48" s="23" cm="1">
        <f t="array" ref="D48">MMULT(S15:T15,Table16[1st interval])*(5000000/MMULT($S$6:$T$6,Table16[1st interval]))-'Value History'!E$7</f>
        <v>4688222.5208742684</v>
      </c>
    </row>
    <row r="49" spans="2:4" x14ac:dyDescent="0.75">
      <c r="B49" s="93">
        <v>44475</v>
      </c>
      <c r="C49" s="85" cm="1">
        <f t="array" ref="C49">MMULT(C16:P16,Table8[24-set])+'Value History'!F$7</f>
        <v>5111793.4674787289</v>
      </c>
      <c r="D49" s="23" cm="1">
        <f t="array" ref="D49">MMULT(S16:T16,Table16[1st interval])*(5000000/MMULT($S$6:$T$6,Table16[1st interval]))-'Value History'!E$7</f>
        <v>4688531.6015037801</v>
      </c>
    </row>
    <row r="50" spans="2:4" x14ac:dyDescent="0.75">
      <c r="B50" s="95">
        <v>44476</v>
      </c>
      <c r="C50" s="85" cm="1">
        <f t="array" ref="C50">MMULT(C17:P17,Table8[24-set])+'Value History'!F$7</f>
        <v>5127110.2057412313</v>
      </c>
      <c r="D50" s="23" cm="1">
        <f t="array" ref="D50">MMULT(S17:T17,Table16[1st interval])*(5000000/MMULT($S$6:$T$6,Table16[1st interval]))-'Value History'!E$7</f>
        <v>4750060.2431207495</v>
      </c>
    </row>
    <row r="51" spans="2:4" x14ac:dyDescent="0.75">
      <c r="B51" s="93">
        <v>44477</v>
      </c>
      <c r="C51" s="85" cm="1">
        <f t="array" ref="C51">MMULT(C18:P18,Table8[9-ott])+'Value History'!F$9</f>
        <v>5127248.3741957713</v>
      </c>
      <c r="D51" s="23" cm="1">
        <f t="array" ref="D51">MMULT(S18:T18,Table16[2nd interval])*($D$50/MMULT(S$18:T$18,Table16[2nd interval]))-'Value History'!E$9</f>
        <v>4722974.3561086981</v>
      </c>
    </row>
    <row r="52" spans="2:4" x14ac:dyDescent="0.75">
      <c r="B52" s="94">
        <v>44480</v>
      </c>
      <c r="C52" s="85" cm="1">
        <f t="array" ref="C52">MMULT(C19:P19,Table8[9-ott])+'Value History'!F$9-'Value History'!E$9</f>
        <v>5090394.0654789926</v>
      </c>
      <c r="D52" s="23" cm="1">
        <f t="array" ref="D52">MMULT(S19:T19,Table16[2nd interval])*($D$50/MMULT(S$18:T$18,Table16[2nd interval]))-'Value History'!E$9</f>
        <v>4702799.942984418</v>
      </c>
    </row>
    <row r="53" spans="2:4" x14ac:dyDescent="0.75">
      <c r="B53" s="93">
        <v>44481</v>
      </c>
      <c r="C53" s="85" cm="1">
        <f t="array" ref="C53">MMULT(C20:P20,Table8[9-ott])+'Value History'!F$9-'Value History'!E$9</f>
        <v>5098064.8438727371</v>
      </c>
      <c r="D53" s="23" cm="1">
        <f t="array" ref="D53">MMULT(S20:T20,Table16[2nd interval])*($D$50/MMULT(S$18:T$18,Table16[2nd interval]))-'Value History'!E$9</f>
        <v>4696208.4485391807</v>
      </c>
    </row>
    <row r="54" spans="2:4" x14ac:dyDescent="0.75">
      <c r="B54" s="94">
        <v>44482</v>
      </c>
      <c r="C54" s="85" cm="1">
        <f t="array" ref="C54">MMULT(C21:P21,Table8[9-ott])+'Value History'!F$9-'Value History'!E$9</f>
        <v>5083551.6999722421</v>
      </c>
      <c r="D54" s="23" cm="1">
        <f t="array" ref="D54">MMULT(S21:T21,Table16[2nd interval])*($D$50/MMULT(S$18:T$18,Table16[2nd interval]))-'Value History'!E$9</f>
        <v>4693428.0884407097</v>
      </c>
    </row>
    <row r="55" spans="2:4" x14ac:dyDescent="0.75">
      <c r="B55" s="93">
        <v>44483</v>
      </c>
      <c r="C55" s="85" cm="1">
        <f t="array" ref="C55">MMULT(C22:P22,Table8[9-ott])+'Value History'!F$9-'Value History'!E$9</f>
        <v>5127839.6474292642</v>
      </c>
      <c r="D55" s="23" cm="1">
        <f t="array" ref="D55">MMULT(S22:T22,Table16[2nd interval])*($D$50/MMULT(S$18:T$18,Table16[2nd interval]))-'Value History'!E$9</f>
        <v>4807376.3948887642</v>
      </c>
    </row>
    <row r="56" spans="2:4" x14ac:dyDescent="0.75">
      <c r="B56" s="94">
        <v>44484</v>
      </c>
      <c r="C56" s="85" cm="1">
        <f t="array" ref="C56">MMULT(C23:P23,Table8[9-ott])+'Value History'!F$9-'Value History'!E$9</f>
        <v>5148992.6190973632</v>
      </c>
      <c r="D56" s="23" cm="1">
        <f t="array" ref="D56">MMULT(S23:T23,Table16[2nd interval])*($D$50/MMULT(S$18:T$18,Table16[2nd interval]))-'Value History'!E$9</f>
        <v>4833571.9921970116</v>
      </c>
    </row>
    <row r="57" spans="2:4" x14ac:dyDescent="0.75">
      <c r="B57" s="93">
        <v>44487</v>
      </c>
      <c r="C57" s="85" cm="1">
        <f t="array" ref="C57">MMULT(C24:P24,Table8[9-ott])+'Value History'!F$9-'Value History'!E$9</f>
        <v>5139270.9569741413</v>
      </c>
      <c r="D57" s="23" cm="1">
        <f t="array" ref="D57">MMULT(S24:T24,Table16[2nd interval])*($D$50/MMULT(S$18:T$18,Table16[2nd interval]))-'Value History'!E$9</f>
        <v>4852932.0021468308</v>
      </c>
    </row>
    <row r="58" spans="2:4" x14ac:dyDescent="0.75">
      <c r="B58" s="94">
        <v>44488</v>
      </c>
      <c r="C58" s="85" cm="1">
        <f t="array" ref="C58">MMULT(C25:P25,Table8[9-ott])+'Value History'!F$9-'Value History'!E$9</f>
        <v>5158626.6180184847</v>
      </c>
      <c r="D58" s="23" cm="1">
        <f t="array" ref="D58">MMULT(S25:T25,Table16[2nd interval])*($D$50/MMULT(S$18:T$18,Table16[2nd interval]))-'Value History'!E$9</f>
        <v>4930260.583103084</v>
      </c>
    </row>
    <row r="59" spans="2:4" x14ac:dyDescent="0.75">
      <c r="B59" s="93">
        <v>44489</v>
      </c>
      <c r="C59" s="85" cm="1">
        <f t="array" ref="C59">MMULT(C26:P26,Table8[9-ott])+'Value History'!F$9-'Value History'!E$9</f>
        <v>5171444.5270452071</v>
      </c>
      <c r="D59" s="23" cm="1">
        <f t="array" ref="D59">MMULT(S26:T26,Table16[2nd interval])*($D$50/MMULT(S$18:T$18,Table16[2nd interval]))-'Value History'!E$9</f>
        <v>4862129.2375957482</v>
      </c>
    </row>
    <row r="60" spans="2:4" x14ac:dyDescent="0.75">
      <c r="B60" s="95">
        <v>44490</v>
      </c>
      <c r="C60" s="85" cm="1">
        <f t="array" ref="C60">MMULT(C27:P27,Table8[9-ott])+'Value History'!F$9-'Value History'!E$9</f>
        <v>5164797.7553606406</v>
      </c>
      <c r="D60" s="23" cm="1">
        <f t="array" ref="D60">MMULT(S27:T27,Table16[2nd interval])*($D$50/MMULT(S$18:T$18,Table16[2nd interval]))-'Value History'!E$9</f>
        <v>4974569.9195854887</v>
      </c>
    </row>
    <row r="61" spans="2:4" x14ac:dyDescent="0.75">
      <c r="B61" s="93">
        <v>44491</v>
      </c>
      <c r="C61" s="85" cm="1">
        <f t="array" ref="C61">MMULT(C28:P28,Table8[22-ott])+'Value History'!F$11-'Value History'!E$11</f>
        <v>5187414.8926659822</v>
      </c>
      <c r="D61" s="23" cm="1">
        <f t="array" ref="D61">MMULT(S28:T28,Table16[2nd interval])*($D$50/MMULT(S$18:T$18,Table16[2nd interval]))-'Value History'!E$9</f>
        <v>5072042.9967015842</v>
      </c>
    </row>
    <row r="62" spans="2:4" x14ac:dyDescent="0.75">
      <c r="B62" s="94">
        <v>44494</v>
      </c>
      <c r="C62" s="85" cm="1">
        <f t="array" ref="C62">MMULT(C29:P29,Table8[22-ott])+'Value History'!F$11-'Value History'!E$11</f>
        <v>5204956.134647131</v>
      </c>
      <c r="D62" s="23" cm="1">
        <f t="array" ref="D62">MMULT(S29:T29,Table16[2nd interval])*($D$50/MMULT(S$18:T$18,Table16[2nd interval]))-'Value History'!E$9</f>
        <v>5100699.31910659</v>
      </c>
    </row>
    <row r="63" spans="2:4" x14ac:dyDescent="0.75">
      <c r="B63" s="93">
        <v>44495</v>
      </c>
      <c r="C63" s="85" cm="1">
        <f t="array" ref="C63">MMULT(C30:P30,Table8[22-ott])+'Value History'!F$11-'Value History'!E$11</f>
        <v>5208663.9525076831</v>
      </c>
      <c r="D63" s="23" cm="1">
        <f t="array" ref="D63">MMULT(S30:T30,Table16[2nd interval])*($D$50/MMULT(S$18:T$18,Table16[2nd interval]))-'Value History'!E$9</f>
        <v>5038439.1247241246</v>
      </c>
    </row>
    <row r="64" spans="2:4" x14ac:dyDescent="0.75">
      <c r="B64" s="94">
        <v>44496</v>
      </c>
      <c r="C64" s="85" cm="1">
        <f t="array" ref="C64">MMULT(C31:P31,Table8[22-ott])+'Value History'!F$11-'Value History'!E$11</f>
        <v>5188117.339682214</v>
      </c>
      <c r="D64" s="23" cm="1">
        <f t="array" ref="D64">MMULT(S31:T31,Table16[2nd interval])*($D$50/MMULT(S$18:T$18,Table16[2nd interval]))-'Value History'!E$9</f>
        <v>4991327.7889851294</v>
      </c>
    </row>
    <row r="65" spans="2:20" x14ac:dyDescent="0.75">
      <c r="B65" s="93">
        <v>44497</v>
      </c>
      <c r="C65" s="85" cm="1">
        <f t="array" ref="C65">MMULT(C32:P32,Table8[22-ott])+'Value History'!F$11-'Value History'!E$11</f>
        <v>5186904.378059716</v>
      </c>
      <c r="D65" s="23" cm="1">
        <f t="array" ref="D65">MMULT(S32:T32,Table16[2nd interval])*($D$50/MMULT(S$18:T$18,Table16[2nd interval]))-'Value History'!E$9</f>
        <v>5095071.700344977</v>
      </c>
    </row>
    <row r="66" spans="2:20" x14ac:dyDescent="0.75">
      <c r="B66" s="94">
        <v>44498</v>
      </c>
      <c r="C66" s="85" cm="1">
        <f t="array" ref="C66">MMULT(C33:P33,Table8[22-ott])+'Value History'!F$11-'Value History'!E$11</f>
        <v>5178767.5161560336</v>
      </c>
      <c r="D66" s="23" cm="1">
        <f t="array" ref="D66">MMULT(S33:T33,Table16[2nd interval])*($D$50/MMULT(S$18:T$18,Table16[2nd interval]))-'Value History'!E$9</f>
        <v>5168044.8115100702</v>
      </c>
    </row>
    <row r="67" spans="2:20" x14ac:dyDescent="0.75">
      <c r="B67" s="93">
        <v>44501</v>
      </c>
      <c r="C67" s="85" cm="1">
        <f t="array" ref="C67">MMULT(C34:P34,Table8[22-ott])+'Value History'!F$11-'Value History'!E$11</f>
        <v>5249974.4657190163</v>
      </c>
      <c r="D67" s="23" cm="1">
        <f t="array" ref="D67">MMULT(S34:T34,Table16[2nd interval])*($D$50/MMULT(S$18:T$18,Table16[2nd interval]))-'Value History'!E$9</f>
        <v>5164870.5807852848</v>
      </c>
    </row>
    <row r="68" spans="2:20" x14ac:dyDescent="0.75">
      <c r="B68" s="94">
        <v>44502</v>
      </c>
      <c r="C68" s="85" cm="1">
        <f t="array" ref="C68">MMULT(C35:P35,Table8[22-ott])+'Value History'!F$11-'Value History'!E$11</f>
        <v>5253859.6468679216</v>
      </c>
      <c r="D68" s="23" cm="1">
        <f t="array" ref="D68">MMULT(S35:T35,Table16[2nd interval])*($D$50/MMULT(S$18:T$18,Table16[2nd interval]))-'Value History'!E$9</f>
        <v>5124395.239333679</v>
      </c>
    </row>
    <row r="69" spans="2:20" ht="15.5" thickBot="1" x14ac:dyDescent="0.9">
      <c r="B69" s="96">
        <v>44503</v>
      </c>
      <c r="C69" s="85" cm="1">
        <f t="array" ref="C69">MMULT(C36:P36,Table8[22-ott])+'Value History'!F$11-'Value History'!E$11</f>
        <v>5269497.1468322091</v>
      </c>
      <c r="D69" s="23" cm="1">
        <f t="array" ref="D69">MMULT(S36:T36,Table16[2nd interval])*($D$50/MMULT(S$18:T$18,Table16[2nd interval]))-'Value History'!E$9</f>
        <v>5066316.3430446191</v>
      </c>
    </row>
    <row r="70" spans="2:20" x14ac:dyDescent="0.75"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S70" s="85"/>
      <c r="T70" s="85"/>
    </row>
    <row r="71" spans="2:20" x14ac:dyDescent="0.75"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S71" s="85"/>
      <c r="T71" s="85"/>
    </row>
    <row r="72" spans="2:20" x14ac:dyDescent="0.75"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</row>
    <row r="73" spans="2:20" x14ac:dyDescent="0.75"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</row>
    <row r="74" spans="2:20" x14ac:dyDescent="0.75"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</row>
  </sheetData>
  <pageMargins left="0.7" right="0.7" top="0.75" bottom="0.75" header="0.3" footer="0.3"/>
  <pageSetup orientation="portrait" horizontalDpi="90" verticalDpi="90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8219-29C5-4584-BE68-9E89CA8CECFA}">
  <dimension ref="B2:T36"/>
  <sheetViews>
    <sheetView zoomScale="80" zoomScaleNormal="80" workbookViewId="0">
      <selection activeCell="R12" sqref="R12"/>
    </sheetView>
  </sheetViews>
  <sheetFormatPr defaultRowHeight="14.75" x14ac:dyDescent="0.75"/>
  <cols>
    <col min="2" max="2" width="13" customWidth="1"/>
    <col min="3" max="3" width="16" bestFit="1" customWidth="1"/>
    <col min="4" max="4" width="8.7265625" bestFit="1" customWidth="1"/>
    <col min="5" max="5" width="9.26953125" bestFit="1" customWidth="1"/>
    <col min="6" max="6" width="8.81640625" bestFit="1" customWidth="1"/>
    <col min="7" max="7" width="9.26953125" bestFit="1" customWidth="1"/>
    <col min="8" max="8" width="9.7265625" bestFit="1" customWidth="1"/>
    <col min="9" max="9" width="7.6328125" bestFit="1" customWidth="1"/>
    <col min="10" max="10" width="9" bestFit="1" customWidth="1"/>
    <col min="11" max="11" width="7.36328125" bestFit="1" customWidth="1"/>
    <col min="12" max="12" width="9.90625" bestFit="1" customWidth="1"/>
    <col min="13" max="13" width="15.81640625" bestFit="1" customWidth="1"/>
    <col min="14" max="14" width="8.54296875" bestFit="1" customWidth="1"/>
    <col min="15" max="15" width="9.6328125" bestFit="1" customWidth="1"/>
    <col min="16" max="16" width="11.36328125" bestFit="1" customWidth="1"/>
    <col min="17" max="17" width="12.453125" customWidth="1"/>
    <col min="18" max="18" width="17.453125" bestFit="1" customWidth="1"/>
    <col min="19" max="19" width="11" bestFit="1" customWidth="1"/>
    <col min="20" max="20" width="13" bestFit="1" customWidth="1"/>
    <col min="21" max="21" width="11.81640625" customWidth="1"/>
    <col min="22" max="22" width="11" customWidth="1"/>
    <col min="23" max="23" width="9.26953125" customWidth="1"/>
    <col min="24" max="24" width="7.453125" bestFit="1" customWidth="1"/>
    <col min="35" max="35" width="17.26953125" bestFit="1" customWidth="1"/>
    <col min="36" max="36" width="9.54296875" bestFit="1" customWidth="1"/>
    <col min="39" max="39" width="17.81640625" customWidth="1"/>
  </cols>
  <sheetData>
    <row r="2" spans="2:20" ht="18.649999999999999" customHeight="1" x14ac:dyDescent="0.9">
      <c r="B2" s="22" t="s">
        <v>48</v>
      </c>
      <c r="C2" s="22"/>
    </row>
    <row r="3" spans="2:20" ht="15.5" thickBot="1" x14ac:dyDescent="0.9"/>
    <row r="4" spans="2:20" ht="15" customHeight="1" x14ac:dyDescent="0.75">
      <c r="B4" s="25" t="s">
        <v>42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R4" s="25" t="s">
        <v>44</v>
      </c>
      <c r="S4" s="26"/>
      <c r="T4" s="27"/>
    </row>
    <row r="5" spans="2:20" ht="15.65" customHeight="1" x14ac:dyDescent="0.75">
      <c r="B5" s="30" t="s">
        <v>2</v>
      </c>
      <c r="C5" s="31" t="s">
        <v>12</v>
      </c>
      <c r="D5" s="31" t="s">
        <v>14</v>
      </c>
      <c r="E5" s="31" t="s">
        <v>16</v>
      </c>
      <c r="F5" s="31" t="s">
        <v>18</v>
      </c>
      <c r="G5" s="31" t="s">
        <v>20</v>
      </c>
      <c r="H5" s="31" t="s">
        <v>22</v>
      </c>
      <c r="I5" s="31" t="s">
        <v>24</v>
      </c>
      <c r="J5" s="31" t="s">
        <v>26</v>
      </c>
      <c r="K5" s="31" t="s">
        <v>28</v>
      </c>
      <c r="L5" s="31" t="s">
        <v>30</v>
      </c>
      <c r="M5" s="31" t="s">
        <v>32</v>
      </c>
      <c r="N5" s="31" t="s">
        <v>34</v>
      </c>
      <c r="O5" s="31" t="s">
        <v>36</v>
      </c>
      <c r="P5" s="31" t="s">
        <v>38</v>
      </c>
      <c r="R5" s="30" t="s">
        <v>2</v>
      </c>
      <c r="S5" s="31" t="s">
        <v>45</v>
      </c>
      <c r="T5" s="31" t="s">
        <v>46</v>
      </c>
    </row>
    <row r="6" spans="2:20" x14ac:dyDescent="0.75">
      <c r="B6" s="28">
        <v>44461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R6" s="28">
        <v>44461</v>
      </c>
      <c r="S6" s="8"/>
      <c r="T6" s="8"/>
    </row>
    <row r="7" spans="2:20" x14ac:dyDescent="0.75">
      <c r="B7" s="28">
        <v>44462</v>
      </c>
      <c r="C7" s="13">
        <f>VLOOKUP($B7,'Euro Prices'!$A$1:$R$448,3,FALSE) / VLOOKUP($B6,'Euro Prices'!$A$1:$R$448,3,FALSE) - 1</f>
        <v>9.258131611723508E-3</v>
      </c>
      <c r="D7" s="13">
        <f>VLOOKUP($B7,'Euro Prices'!$A$1:$R$448,7,FALSE) / VLOOKUP($B6,'Euro Prices'!$A$1:$R$448,7,FALSE) - 1</f>
        <v>1.9502824241725003E-2</v>
      </c>
      <c r="E7" s="13">
        <f>VLOOKUP($B7,'Euro Prices'!$A$1:$R$448,8,FALSE) / VLOOKUP($B6,'Euro Prices'!$A$1:$R$448,8,FALSE) - 1</f>
        <v>1.5604440294089361E-2</v>
      </c>
      <c r="F7" s="13">
        <f>VLOOKUP($B7,'Euro Prices'!$A$1:$R$448,9,FALSE) / VLOOKUP($B6,'Euro Prices'!$A$1:$R$448,9,FALSE) - 1</f>
        <v>1.2304858657519846E-2</v>
      </c>
      <c r="G7" s="13">
        <f>VLOOKUP($B7,'Euro Prices'!$A$1:$R$448,10,FALSE) / VLOOKUP($B6,'Euro Prices'!$A$1:$R$448,10,FALSE) - 1</f>
        <v>2.8328684876948174E-3</v>
      </c>
      <c r="H7" s="13">
        <f>VLOOKUP($B7,'Euro Prices'!$A$1:$R$448,11,FALSE) / VLOOKUP($B6,'Euro Prices'!$A$1:$R$448,11,FALSE) - 1</f>
        <v>2.8736546944405639E-3</v>
      </c>
      <c r="I7" s="13">
        <f>VLOOKUP($B7,'Euro Prices'!$A$1:$R$448,4,FALSE) / VLOOKUP($B6,'Euro Prices'!$A$1:$R$448,4,FALSE) - 1</f>
        <v>-9.360639641177948E-3</v>
      </c>
      <c r="J7" s="13">
        <f>VLOOKUP($B7,'Euro Prices'!$A$1:$R$448,5,FALSE) / VLOOKUP($B6,'Euro Prices'!$A$1:$R$448,5,FALSE) - 1</f>
        <v>-8.3078092326251962E-3</v>
      </c>
      <c r="K7" s="13">
        <f>VLOOKUP($B7,'Euro Prices'!$A$1:$R$448,12,FALSE) / VLOOKUP($B6,'Euro Prices'!$A$1:$R$448,12,FALSE) - 1</f>
        <v>-4.0238906398498697E-3</v>
      </c>
      <c r="L7" s="13">
        <f>VLOOKUP($B7,'Euro Prices'!$A$1:$R$448,13,FALSE) / VLOOKUP($B6,'Euro Prices'!$A$1:$R$448,13,FALSE) - 1</f>
        <v>-4.1773423384647845E-3</v>
      </c>
      <c r="M7" s="13">
        <f>VLOOKUP($B7,'Euro Prices'!$A$1:$R$448,2,FALSE) / VLOOKUP($B6,'Euro Prices'!$A$1:$R$448,2,FALSE) - 1</f>
        <v>1.6334208887631707E-2</v>
      </c>
      <c r="N7" s="13">
        <f>VLOOKUP($B7,'Euro Prices'!$A$1:$R$448,15,FALSE) / VLOOKUP($B6,'Euro Prices'!$A$1:$R$448,15,FALSE) - 1</f>
        <v>9.6756868470484481E-3</v>
      </c>
      <c r="O7" s="13">
        <f>VLOOKUP($B7,'Euro Prices'!$A$1:$R$448,14,FALSE) / VLOOKUP($B6,'Euro Prices'!$A$1:$R$448,14,FALSE) - 1</f>
        <v>5.5793750182338009E-3</v>
      </c>
      <c r="P7" s="13">
        <f>VLOOKUP($B7,'Euro Prices'!$A$1:$R$448,6,FALSE) / VLOOKUP($B6,'Euro Prices'!$A$1:$R$448,6,FALSE) - 1</f>
        <v>-6.9392769778541252E-2</v>
      </c>
      <c r="R7" s="28">
        <v>44462</v>
      </c>
      <c r="S7" s="13">
        <f>VLOOKUP($B7,'Euro Prices'!$A$1:$R$448,17,FALSE) / VLOOKUP($B6,'Euro Prices'!$A$1:$R$448,17,FALSE) - 1</f>
        <v>8.5318157079075085E-3</v>
      </c>
      <c r="T7" s="13">
        <f>VLOOKUP($B7,'Euro Prices'!$A$1:$R$448,18,FALSE) / VLOOKUP($B6,'Euro Prices'!$A$1:$R$448,18,FALSE) - 1</f>
        <v>-1.0514460222723621E-2</v>
      </c>
    </row>
    <row r="8" spans="2:20" x14ac:dyDescent="0.75">
      <c r="B8" s="28">
        <v>44463</v>
      </c>
      <c r="C8" s="13">
        <f>VLOOKUP($B8,'Euro Prices'!$A$1:$R$448,3,FALSE) / VLOOKUP($B7,'Euro Prices'!$A$1:$R$448,3,FALSE) - 1</f>
        <v>1.0552250353566883E-2</v>
      </c>
      <c r="D8" s="13">
        <f>VLOOKUP($B8,'Euro Prices'!$A$1:$R$448,7,FALSE) / VLOOKUP($B7,'Euro Prices'!$A$1:$R$448,7,FALSE) - 1</f>
        <v>3.0348984011323576E-3</v>
      </c>
      <c r="E8" s="13">
        <f>VLOOKUP($B8,'Euro Prices'!$A$1:$R$448,8,FALSE) / VLOOKUP($B7,'Euro Prices'!$A$1:$R$448,8,FALSE) - 1</f>
        <v>1.1982354568649267E-3</v>
      </c>
      <c r="F8" s="13">
        <f>VLOOKUP($B8,'Euro Prices'!$A$1:$R$448,9,FALSE) / VLOOKUP($B7,'Euro Prices'!$A$1:$R$448,9,FALSE) - 1</f>
        <v>-2.9253761712741966E-3</v>
      </c>
      <c r="G8" s="13">
        <f>VLOOKUP($B8,'Euro Prices'!$A$1:$R$448,10,FALSE) / VLOOKUP($B7,'Euro Prices'!$A$1:$R$448,10,FALSE) - 1</f>
        <v>-7.8717336375906388E-3</v>
      </c>
      <c r="H8" s="13">
        <f>VLOOKUP($B8,'Euro Prices'!$A$1:$R$448,11,FALSE) / VLOOKUP($B7,'Euro Prices'!$A$1:$R$448,11,FALSE) - 1</f>
        <v>-1.2214952914653576E-2</v>
      </c>
      <c r="I8" s="13">
        <f>VLOOKUP($B8,'Euro Prices'!$A$1:$R$448,4,FALSE) / VLOOKUP($B7,'Euro Prices'!$A$1:$R$448,4,FALSE) - 1</f>
        <v>-1.7299400240623486E-3</v>
      </c>
      <c r="J8" s="13">
        <f>VLOOKUP($B8,'Euro Prices'!$A$1:$R$448,5,FALSE) / VLOOKUP($B7,'Euro Prices'!$A$1:$R$448,5,FALSE) - 1</f>
        <v>-2.8750775236238146E-3</v>
      </c>
      <c r="K8" s="13">
        <f>VLOOKUP($B8,'Euro Prices'!$A$1:$R$448,12,FALSE) / VLOOKUP($B7,'Euro Prices'!$A$1:$R$448,12,FALSE) - 1</f>
        <v>-1.4766051113612733E-3</v>
      </c>
      <c r="L8" s="13">
        <f>VLOOKUP($B8,'Euro Prices'!$A$1:$R$448,13,FALSE) / VLOOKUP($B7,'Euro Prices'!$A$1:$R$448,13,FALSE) - 1</f>
        <v>-1.001039331497533E-3</v>
      </c>
      <c r="M8" s="13">
        <f>VLOOKUP($B8,'Euro Prices'!$A$1:$R$448,2,FALSE) / VLOOKUP($B7,'Euro Prices'!$A$1:$R$448,2,FALSE) - 1</f>
        <v>6.5777690843915604E-3</v>
      </c>
      <c r="N8" s="13">
        <f>VLOOKUP($B8,'Euro Prices'!$A$1:$R$448,15,FALSE) / VLOOKUP($B7,'Euro Prices'!$A$1:$R$448,15,FALSE) - 1</f>
        <v>5.7998515605244272E-3</v>
      </c>
      <c r="O8" s="13">
        <f>VLOOKUP($B8,'Euro Prices'!$A$1:$R$448,14,FALSE) / VLOOKUP($B7,'Euro Prices'!$A$1:$R$448,14,FALSE) - 1</f>
        <v>8.3333651224766214E-3</v>
      </c>
      <c r="P8" s="13">
        <f>VLOOKUP($B8,'Euro Prices'!$A$1:$R$448,6,FALSE) / VLOOKUP($B7,'Euro Prices'!$A$1:$R$448,6,FALSE) - 1</f>
        <v>-2.0433660148282407E-3</v>
      </c>
      <c r="R8" s="28">
        <v>44463</v>
      </c>
      <c r="S8" s="13">
        <f>VLOOKUP($B8,'Euro Prices'!$A$1:$R$448,17,FALSE) / VLOOKUP($B7,'Euro Prices'!$A$1:$R$448,17,FALSE) - 1</f>
        <v>1.1918935438127498E-2</v>
      </c>
      <c r="T8" s="13">
        <f>VLOOKUP($B8,'Euro Prices'!$A$1:$R$448,18,FALSE) / VLOOKUP($B7,'Euro Prices'!$A$1:$R$448,18,FALSE) - 1</f>
        <v>-1.5254985128095866E-3</v>
      </c>
    </row>
    <row r="9" spans="2:20" x14ac:dyDescent="0.75">
      <c r="B9" s="28">
        <v>44466</v>
      </c>
      <c r="C9" s="13">
        <f>VLOOKUP($B9,'Euro Prices'!$A$1:$R$448,3,FALSE) / VLOOKUP($B8,'Euro Prices'!$A$1:$R$448,3,FALSE) - 1</f>
        <v>3.6191076790708099E-3</v>
      </c>
      <c r="D9" s="13">
        <f>VLOOKUP($B9,'Euro Prices'!$A$1:$R$448,7,FALSE) / VLOOKUP($B8,'Euro Prices'!$A$1:$R$448,7,FALSE) - 1</f>
        <v>2.0419035863258328E-2</v>
      </c>
      <c r="E9" s="13">
        <f>VLOOKUP($B9,'Euro Prices'!$A$1:$R$448,8,FALSE) / VLOOKUP($B8,'Euro Prices'!$A$1:$R$448,8,FALSE) - 1</f>
        <v>1.7531245618643831E-2</v>
      </c>
      <c r="F9" s="13">
        <f>VLOOKUP($B9,'Euro Prices'!$A$1:$R$448,9,FALSE) / VLOOKUP($B8,'Euro Prices'!$A$1:$R$448,9,FALSE) - 1</f>
        <v>-7.0153878696799232E-4</v>
      </c>
      <c r="G9" s="13">
        <f>VLOOKUP($B9,'Euro Prices'!$A$1:$R$448,10,FALSE) / VLOOKUP($B8,'Euro Prices'!$A$1:$R$448,10,FALSE) - 1</f>
        <v>-3.0680434750429697E-3</v>
      </c>
      <c r="H9" s="13">
        <f>VLOOKUP($B9,'Euro Prices'!$A$1:$R$448,11,FALSE) / VLOOKUP($B8,'Euro Prices'!$A$1:$R$448,11,FALSE) - 1</f>
        <v>2.8883151316796418E-3</v>
      </c>
      <c r="I9" s="13">
        <f>VLOOKUP($B9,'Euro Prices'!$A$1:$R$448,4,FALSE) / VLOOKUP($B8,'Euro Prices'!$A$1:$R$448,4,FALSE) - 1</f>
        <v>2.3242713384974412E-3</v>
      </c>
      <c r="J9" s="13">
        <f>VLOOKUP($B9,'Euro Prices'!$A$1:$R$448,5,FALSE) / VLOOKUP($B8,'Euro Prices'!$A$1:$R$448,5,FALSE) - 1</f>
        <v>2.901778644955888E-3</v>
      </c>
      <c r="K9" s="13">
        <f>VLOOKUP($B9,'Euro Prices'!$A$1:$R$448,12,FALSE) / VLOOKUP($B8,'Euro Prices'!$A$1:$R$448,12,FALSE) - 1</f>
        <v>2.8023809159121171E-3</v>
      </c>
      <c r="L9" s="13">
        <f>VLOOKUP($B9,'Euro Prices'!$A$1:$R$448,13,FALSE) / VLOOKUP($B8,'Euro Prices'!$A$1:$R$448,13,FALSE) - 1</f>
        <v>3.7157996852275055E-3</v>
      </c>
      <c r="M9" s="13">
        <f>VLOOKUP($B9,'Euro Prices'!$A$1:$R$448,2,FALSE) / VLOOKUP($B8,'Euro Prices'!$A$1:$R$448,2,FALSE) - 1</f>
        <v>1.9358216994018962E-2</v>
      </c>
      <c r="N9" s="13">
        <f>VLOOKUP($B9,'Euro Prices'!$A$1:$R$448,15,FALSE) / VLOOKUP($B8,'Euro Prices'!$A$1:$R$448,15,FALSE) - 1</f>
        <v>1.7703234010461921E-2</v>
      </c>
      <c r="O9" s="13">
        <f>VLOOKUP($B9,'Euro Prices'!$A$1:$R$448,14,FALSE) / VLOOKUP($B8,'Euro Prices'!$A$1:$R$448,14,FALSE) - 1</f>
        <v>2.1965120327560372E-2</v>
      </c>
      <c r="P9" s="13">
        <f>VLOOKUP($B9,'Euro Prices'!$A$1:$R$448,6,FALSE) / VLOOKUP($B8,'Euro Prices'!$A$1:$R$448,6,FALSE) - 1</f>
        <v>-3.7638045795283182E-2</v>
      </c>
      <c r="R9" s="28">
        <v>44466</v>
      </c>
      <c r="S9" s="13">
        <f>VLOOKUP($B9,'Euro Prices'!$A$1:$R$448,17,FALSE) / VLOOKUP($B8,'Euro Prices'!$A$1:$R$448,17,FALSE) - 1</f>
        <v>-3.0719258018441664E-2</v>
      </c>
      <c r="T9" s="13">
        <f>VLOOKUP($B9,'Euro Prices'!$A$1:$R$448,18,FALSE) / VLOOKUP($B8,'Euro Prices'!$A$1:$R$448,18,FALSE) - 1</f>
        <v>2.9490099166367134E-3</v>
      </c>
    </row>
    <row r="10" spans="2:20" x14ac:dyDescent="0.75">
      <c r="B10" s="28">
        <v>44467</v>
      </c>
      <c r="C10" s="13">
        <f>VLOOKUP($B10,'Euro Prices'!$A$1:$R$448,3,FALSE) / VLOOKUP($B9,'Euro Prices'!$A$1:$R$448,3,FALSE) - 1</f>
        <v>-3.7243134853048865E-3</v>
      </c>
      <c r="D10" s="13">
        <f>VLOOKUP($B10,'Euro Prices'!$A$1:$R$448,7,FALSE) / VLOOKUP($B9,'Euro Prices'!$A$1:$R$448,7,FALSE) - 1</f>
        <v>-1.4744150283112378E-2</v>
      </c>
      <c r="E10" s="13">
        <f>VLOOKUP($B10,'Euro Prices'!$A$1:$R$448,8,FALSE) / VLOOKUP($B9,'Euro Prices'!$A$1:$R$448,8,FALSE) - 1</f>
        <v>-1.2103871093387841E-2</v>
      </c>
      <c r="F10" s="13">
        <f>VLOOKUP($B10,'Euro Prices'!$A$1:$R$448,9,FALSE) / VLOOKUP($B9,'Euro Prices'!$A$1:$R$448,9,FALSE) - 1</f>
        <v>-3.8924721467884615E-2</v>
      </c>
      <c r="G10" s="13">
        <f>VLOOKUP($B10,'Euro Prices'!$A$1:$R$448,10,FALSE) / VLOOKUP($B9,'Euro Prices'!$A$1:$R$448,10,FALSE) - 1</f>
        <v>-2.3091034713728753E-2</v>
      </c>
      <c r="H10" s="13">
        <f>VLOOKUP($B10,'Euro Prices'!$A$1:$R$448,11,FALSE) / VLOOKUP($B9,'Euro Prices'!$A$1:$R$448,11,FALSE) - 1</f>
        <v>-1.3969965276860896E-2</v>
      </c>
      <c r="I10" s="13">
        <f>VLOOKUP($B10,'Euro Prices'!$A$1:$R$448,4,FALSE) / VLOOKUP($B9,'Euro Prices'!$A$1:$R$448,4,FALSE) - 1</f>
        <v>-3.2737967330501716E-3</v>
      </c>
      <c r="J10" s="13">
        <f>VLOOKUP($B10,'Euro Prices'!$A$1:$R$448,5,FALSE) / VLOOKUP($B9,'Euro Prices'!$A$1:$R$448,5,FALSE) - 1</f>
        <v>-3.0765984759134613E-3</v>
      </c>
      <c r="K10" s="13">
        <f>VLOOKUP($B10,'Euro Prices'!$A$1:$R$448,12,FALSE) / VLOOKUP($B9,'Euro Prices'!$A$1:$R$448,12,FALSE) - 1</f>
        <v>-3.6634838999848318E-3</v>
      </c>
      <c r="L10" s="13">
        <f>VLOOKUP($B10,'Euro Prices'!$A$1:$R$448,13,FALSE) / VLOOKUP($B9,'Euro Prices'!$A$1:$R$448,13,FALSE) - 1</f>
        <v>-2.1137910472824872E-3</v>
      </c>
      <c r="M10" s="13">
        <f>VLOOKUP($B10,'Euro Prices'!$A$1:$R$448,2,FALSE) / VLOOKUP($B9,'Euro Prices'!$A$1:$R$448,2,FALSE) - 1</f>
        <v>-1.6245085068489207E-4</v>
      </c>
      <c r="N10" s="13">
        <f>VLOOKUP($B10,'Euro Prices'!$A$1:$R$448,15,FALSE) / VLOOKUP($B9,'Euro Prices'!$A$1:$R$448,15,FALSE) - 1</f>
        <v>-8.1179874210722813E-3</v>
      </c>
      <c r="O10" s="13">
        <f>VLOOKUP($B10,'Euro Prices'!$A$1:$R$448,14,FALSE) / VLOOKUP($B9,'Euro Prices'!$A$1:$R$448,14,FALSE) - 1</f>
        <v>2.5197013473785557E-3</v>
      </c>
      <c r="P10" s="13">
        <f>VLOOKUP($B10,'Euro Prices'!$A$1:$R$448,6,FALSE) / VLOOKUP($B9,'Euro Prices'!$A$1:$R$448,6,FALSE) - 1</f>
        <v>2.3805366647463133E-2</v>
      </c>
      <c r="R10" s="28">
        <v>44467</v>
      </c>
      <c r="S10" s="13">
        <f>VLOOKUP($B10,'Euro Prices'!$A$1:$R$448,17,FALSE) / VLOOKUP($B9,'Euro Prices'!$A$1:$R$448,17,FALSE) - 1</f>
        <v>-6.3169463720192387E-2</v>
      </c>
      <c r="T10" s="13">
        <f>VLOOKUP($B10,'Euro Prices'!$A$1:$R$448,18,FALSE) / VLOOKUP($B9,'Euro Prices'!$A$1:$R$448,18,FALSE) - 1</f>
        <v>-5.9920656096292824E-3</v>
      </c>
    </row>
    <row r="11" spans="2:20" x14ac:dyDescent="0.75">
      <c r="B11" s="28">
        <v>44468</v>
      </c>
      <c r="C11" s="13">
        <f>VLOOKUP($B11,'Euro Prices'!$A$1:$R$448,3,FALSE) / VLOOKUP($B10,'Euro Prices'!$A$1:$R$448,3,FALSE) - 1</f>
        <v>-6.5863681148222719E-3</v>
      </c>
      <c r="D11" s="13">
        <f>VLOOKUP($B11,'Euro Prices'!$A$1:$R$448,7,FALSE) / VLOOKUP($B10,'Euro Prices'!$A$1:$R$448,7,FALSE) - 1</f>
        <v>9.5881079696273908E-3</v>
      </c>
      <c r="E11" s="13">
        <f>VLOOKUP($B11,'Euro Prices'!$A$1:$R$448,8,FALSE) / VLOOKUP($B10,'Euro Prices'!$A$1:$R$448,8,FALSE) - 1</f>
        <v>5.4966297136889164E-3</v>
      </c>
      <c r="F11" s="13">
        <f>VLOOKUP($B11,'Euro Prices'!$A$1:$R$448,9,FALSE) / VLOOKUP($B10,'Euro Prices'!$A$1:$R$448,9,FALSE) - 1</f>
        <v>-9.6991610612875423E-3</v>
      </c>
      <c r="G11" s="13">
        <f>VLOOKUP($B11,'Euro Prices'!$A$1:$R$448,10,FALSE) / VLOOKUP($B10,'Euro Prices'!$A$1:$R$448,10,FALSE) - 1</f>
        <v>7.6092046114051293E-3</v>
      </c>
      <c r="H11" s="13">
        <f>VLOOKUP($B11,'Euro Prices'!$A$1:$R$448,11,FALSE) / VLOOKUP($B10,'Euro Prices'!$A$1:$R$448,11,FALSE) - 1</f>
        <v>5.6166852685948232E-3</v>
      </c>
      <c r="I11" s="13">
        <f>VLOOKUP($B11,'Euro Prices'!$A$1:$R$448,4,FALSE) / VLOOKUP($B10,'Euro Prices'!$A$1:$R$448,4,FALSE) - 1</f>
        <v>8.0060649063187217E-3</v>
      </c>
      <c r="J11" s="13">
        <f>VLOOKUP($B11,'Euro Prices'!$A$1:$R$448,5,FALSE) / VLOOKUP($B10,'Euro Prices'!$A$1:$R$448,5,FALSE) - 1</f>
        <v>8.7631019709168978E-3</v>
      </c>
      <c r="K11" s="13">
        <f>VLOOKUP($B11,'Euro Prices'!$A$1:$R$448,12,FALSE) / VLOOKUP($B10,'Euro Prices'!$A$1:$R$448,12,FALSE) - 1</f>
        <v>9.1472648478032603E-3</v>
      </c>
      <c r="L11" s="13">
        <f>VLOOKUP($B11,'Euro Prices'!$A$1:$R$448,13,FALSE) / VLOOKUP($B10,'Euro Prices'!$A$1:$R$448,13,FALSE) - 1</f>
        <v>8.3162276384918243E-3</v>
      </c>
      <c r="M11" s="13">
        <f>VLOOKUP($B11,'Euro Prices'!$A$1:$R$448,2,FALSE) / VLOOKUP($B10,'Euro Prices'!$A$1:$R$448,2,FALSE) - 1</f>
        <v>2.6785133878104439E-3</v>
      </c>
      <c r="N11" s="13">
        <f>VLOOKUP($B11,'Euro Prices'!$A$1:$R$448,15,FALSE) / VLOOKUP($B10,'Euro Prices'!$A$1:$R$448,15,FALSE) - 1</f>
        <v>8.749152137942362E-3</v>
      </c>
      <c r="O11" s="13">
        <f>VLOOKUP($B11,'Euro Prices'!$A$1:$R$448,14,FALSE) / VLOOKUP($B10,'Euro Prices'!$A$1:$R$448,14,FALSE) - 1</f>
        <v>-5.756734350923165E-3</v>
      </c>
      <c r="P11" s="13">
        <f>VLOOKUP($B11,'Euro Prices'!$A$1:$R$448,6,FALSE) / VLOOKUP($B10,'Euro Prices'!$A$1:$R$448,6,FALSE) - 1</f>
        <v>5.450870042088507E-2</v>
      </c>
      <c r="R11" s="28">
        <v>44468</v>
      </c>
      <c r="S11" s="13">
        <f>VLOOKUP($B11,'Euro Prices'!$A$1:$R$448,17,FALSE) / VLOOKUP($B10,'Euro Prices'!$A$1:$R$448,17,FALSE) - 1</f>
        <v>2.9040696958839707E-2</v>
      </c>
      <c r="T11" s="13">
        <f>VLOOKUP($B11,'Euro Prices'!$A$1:$R$448,18,FALSE) / VLOOKUP($B10,'Euro Prices'!$A$1:$R$448,18,FALSE) - 1</f>
        <v>8.0793746951750567E-3</v>
      </c>
    </row>
    <row r="12" spans="2:20" x14ac:dyDescent="0.75">
      <c r="B12" s="28">
        <v>44469</v>
      </c>
      <c r="C12" s="13">
        <f>VLOOKUP($B12,'Euro Prices'!$A$1:$R$448,3,FALSE) / VLOOKUP($B11,'Euro Prices'!$A$1:$R$448,3,FALSE) - 1</f>
        <v>5.3754831486241272E-4</v>
      </c>
      <c r="D12" s="13">
        <f>VLOOKUP($B12,'Euro Prices'!$A$1:$R$448,7,FALSE) / VLOOKUP($B11,'Euro Prices'!$A$1:$R$448,7,FALSE) - 1</f>
        <v>-1.0507038462036711E-2</v>
      </c>
      <c r="E12" s="13">
        <f>VLOOKUP($B12,'Euro Prices'!$A$1:$R$448,8,FALSE) / VLOOKUP($B11,'Euro Prices'!$A$1:$R$448,8,FALSE) - 1</f>
        <v>-1.3271186562546222E-2</v>
      </c>
      <c r="F12" s="13">
        <f>VLOOKUP($B12,'Euro Prices'!$A$1:$R$448,9,FALSE) / VLOOKUP($B11,'Euro Prices'!$A$1:$R$448,9,FALSE) - 1</f>
        <v>3.9080929996864189E-3</v>
      </c>
      <c r="G12" s="13">
        <f>VLOOKUP($B12,'Euro Prices'!$A$1:$R$448,10,FALSE) / VLOOKUP($B11,'Euro Prices'!$A$1:$R$448,10,FALSE) - 1</f>
        <v>-8.6454216348674784E-5</v>
      </c>
      <c r="H12" s="13">
        <f>VLOOKUP($B12,'Euro Prices'!$A$1:$R$448,11,FALSE) / VLOOKUP($B11,'Euro Prices'!$A$1:$R$448,11,FALSE) - 1</f>
        <v>8.2297449310171356E-3</v>
      </c>
      <c r="I12" s="13">
        <f>VLOOKUP($B12,'Euro Prices'!$A$1:$R$448,4,FALSE) / VLOOKUP($B11,'Euro Prices'!$A$1:$R$448,4,FALSE) - 1</f>
        <v>2.1689915905742652E-3</v>
      </c>
      <c r="J12" s="13">
        <f>VLOOKUP($B12,'Euro Prices'!$A$1:$R$448,5,FALSE) / VLOOKUP($B11,'Euro Prices'!$A$1:$R$448,5,FALSE) - 1</f>
        <v>1.7997966365266294E-3</v>
      </c>
      <c r="K12" s="13">
        <f>VLOOKUP($B12,'Euro Prices'!$A$1:$R$448,12,FALSE) / VLOOKUP($B11,'Euro Prices'!$A$1:$R$448,12,FALSE) - 1</f>
        <v>1.1991908935300444E-3</v>
      </c>
      <c r="L12" s="13">
        <f>VLOOKUP($B12,'Euro Prices'!$A$1:$R$448,13,FALSE) / VLOOKUP($B11,'Euro Prices'!$A$1:$R$448,13,FALSE) - 1</f>
        <v>2.3435250973973254E-3</v>
      </c>
      <c r="M12" s="13">
        <f>VLOOKUP($B12,'Euro Prices'!$A$1:$R$448,2,FALSE) / VLOOKUP($B11,'Euro Prices'!$A$1:$R$448,2,FALSE) - 1</f>
        <v>-7.2838496639415773E-4</v>
      </c>
      <c r="N12" s="13">
        <f>VLOOKUP($B12,'Euro Prices'!$A$1:$R$448,15,FALSE) / VLOOKUP($B11,'Euro Prices'!$A$1:$R$448,15,FALSE) - 1</f>
        <v>7.6088777675056285E-3</v>
      </c>
      <c r="O12" s="13">
        <f>VLOOKUP($B12,'Euro Prices'!$A$1:$R$448,14,FALSE) / VLOOKUP($B11,'Euro Prices'!$A$1:$R$448,14,FALSE) - 1</f>
        <v>1.386466452397439E-2</v>
      </c>
      <c r="P12" s="13">
        <f>VLOOKUP($B12,'Euro Prices'!$A$1:$R$448,6,FALSE) / VLOOKUP($B11,'Euro Prices'!$A$1:$R$448,6,FALSE) - 1</f>
        <v>9.9983300282200815E-2</v>
      </c>
      <c r="R12" s="28">
        <v>44469</v>
      </c>
      <c r="S12" s="13">
        <f>VLOOKUP($B12,'Euro Prices'!$A$1:$R$448,17,FALSE) / VLOOKUP($B11,'Euro Prices'!$A$1:$R$448,17,FALSE) - 1</f>
        <v>-1.5299250240710105E-3</v>
      </c>
      <c r="T12" s="13">
        <f>VLOOKUP($B12,'Euro Prices'!$A$1:$R$448,18,FALSE) / VLOOKUP($B11,'Euro Prices'!$A$1:$R$448,18,FALSE) - 1</f>
        <v>3.0396961689493907E-5</v>
      </c>
    </row>
    <row r="13" spans="2:20" x14ac:dyDescent="0.75">
      <c r="B13" s="28">
        <v>44470</v>
      </c>
      <c r="C13" s="13">
        <f>VLOOKUP($B13,'Euro Prices'!$A$1:$R$448,3,FALSE) / VLOOKUP($B12,'Euro Prices'!$A$1:$R$448,3,FALSE) - 1</f>
        <v>-1.4208045502179911E-2</v>
      </c>
      <c r="D13" s="13">
        <f>VLOOKUP($B13,'Euro Prices'!$A$1:$R$448,7,FALSE) / VLOOKUP($B12,'Euro Prices'!$A$1:$R$448,7,FALSE) - 1</f>
        <v>1.9862507704440313E-2</v>
      </c>
      <c r="E13" s="13">
        <f>VLOOKUP($B13,'Euro Prices'!$A$1:$R$448,8,FALSE) / VLOOKUP($B12,'Euro Prices'!$A$1:$R$448,8,FALSE) - 1</f>
        <v>2.3737028752558453E-2</v>
      </c>
      <c r="F13" s="13">
        <f>VLOOKUP($B13,'Euro Prices'!$A$1:$R$448,9,FALSE) / VLOOKUP($B12,'Euro Prices'!$A$1:$R$448,9,FALSE) - 1</f>
        <v>0</v>
      </c>
      <c r="G13" s="13">
        <f>VLOOKUP($B13,'Euro Prices'!$A$1:$R$448,10,FALSE) / VLOOKUP($B12,'Euro Prices'!$A$1:$R$448,10,FALSE) - 1</f>
        <v>2.1264736760386871E-3</v>
      </c>
      <c r="H13" s="13">
        <f>VLOOKUP($B13,'Euro Prices'!$A$1:$R$448,11,FALSE) / VLOOKUP($B12,'Euro Prices'!$A$1:$R$448,11,FALSE) - 1</f>
        <v>0</v>
      </c>
      <c r="I13" s="13">
        <f>VLOOKUP($B13,'Euro Prices'!$A$1:$R$448,4,FALSE) / VLOOKUP($B12,'Euro Prices'!$A$1:$R$448,4,FALSE) - 1</f>
        <v>3.0527579328110122E-3</v>
      </c>
      <c r="J13" s="13">
        <f>VLOOKUP($B13,'Euro Prices'!$A$1:$R$448,5,FALSE) / VLOOKUP($B12,'Euro Prices'!$A$1:$R$448,5,FALSE) - 1</f>
        <v>3.4448890866238813E-3</v>
      </c>
      <c r="K13" s="13">
        <f>VLOOKUP($B13,'Euro Prices'!$A$1:$R$448,12,FALSE) / VLOOKUP($B12,'Euro Prices'!$A$1:$R$448,12,FALSE) - 1</f>
        <v>2.3968706215620195E-3</v>
      </c>
      <c r="L13" s="13">
        <f>VLOOKUP($B13,'Euro Prices'!$A$1:$R$448,13,FALSE) / VLOOKUP($B12,'Euro Prices'!$A$1:$R$448,13,FALSE) - 1</f>
        <v>-1.0039587505328296E-3</v>
      </c>
      <c r="M13" s="13">
        <f>VLOOKUP($B13,'Euro Prices'!$A$1:$R$448,2,FALSE) / VLOOKUP($B12,'Euro Prices'!$A$1:$R$448,2,FALSE) - 1</f>
        <v>8.7489791274357742E-3</v>
      </c>
      <c r="N13" s="13">
        <f>VLOOKUP($B13,'Euro Prices'!$A$1:$R$448,15,FALSE) / VLOOKUP($B12,'Euro Prices'!$A$1:$R$448,15,FALSE) - 1</f>
        <v>1.5676956563737354E-2</v>
      </c>
      <c r="O13" s="13">
        <f>VLOOKUP($B13,'Euro Prices'!$A$1:$R$448,14,FALSE) / VLOOKUP($B12,'Euro Prices'!$A$1:$R$448,14,FALSE) - 1</f>
        <v>3.2467502308337615E-3</v>
      </c>
      <c r="P13" s="13">
        <f>VLOOKUP($B13,'Euro Prices'!$A$1:$R$448,6,FALSE) / VLOOKUP($B12,'Euro Prices'!$A$1:$R$448,6,FALSE) - 1</f>
        <v>2.5450639920239881E-2</v>
      </c>
      <c r="R13" s="28">
        <v>44470</v>
      </c>
      <c r="S13" s="13">
        <f>VLOOKUP($B13,'Euro Prices'!$A$1:$R$448,17,FALSE) / VLOOKUP($B12,'Euro Prices'!$A$1:$R$448,17,FALSE) - 1</f>
        <v>3.8793852901015669E-3</v>
      </c>
      <c r="T13" s="13">
        <f>VLOOKUP($B13,'Euro Prices'!$A$1:$R$448,18,FALSE) / VLOOKUP($B12,'Euro Prices'!$A$1:$R$448,18,FALSE) - 1</f>
        <v>3.8550963763039903E-3</v>
      </c>
    </row>
    <row r="14" spans="2:20" x14ac:dyDescent="0.75">
      <c r="B14" s="28">
        <v>44473</v>
      </c>
      <c r="C14" s="13">
        <f>VLOOKUP($B14,'Euro Prices'!$A$1:$R$448,3,FALSE) / VLOOKUP($B13,'Euro Prices'!$A$1:$R$448,3,FALSE) - 1</f>
        <v>8.8414667952934067E-3</v>
      </c>
      <c r="D14" s="13">
        <f>VLOOKUP($B14,'Euro Prices'!$A$1:$R$448,7,FALSE) / VLOOKUP($B13,'Euro Prices'!$A$1:$R$448,7,FALSE) - 1</f>
        <v>-9.0084679213413565E-3</v>
      </c>
      <c r="E14" s="13">
        <f>VLOOKUP($B14,'Euro Prices'!$A$1:$R$448,8,FALSE) / VLOOKUP($B13,'Euro Prices'!$A$1:$R$448,8,FALSE) - 1</f>
        <v>-1.0299937190585418E-2</v>
      </c>
      <c r="F14" s="13">
        <f>VLOOKUP($B14,'Euro Prices'!$A$1:$R$448,9,FALSE) / VLOOKUP($B13,'Euro Prices'!$A$1:$R$448,9,FALSE) - 1</f>
        <v>-3.3800649542447436E-2</v>
      </c>
      <c r="G14" s="13">
        <f>VLOOKUP($B14,'Euro Prices'!$A$1:$R$448,10,FALSE) / VLOOKUP($B13,'Euro Prices'!$A$1:$R$448,10,FALSE) - 1</f>
        <v>-1.9789566463885744E-2</v>
      </c>
      <c r="H14" s="13">
        <f>VLOOKUP($B14,'Euro Prices'!$A$1:$R$448,11,FALSE) / VLOOKUP($B13,'Euro Prices'!$A$1:$R$448,11,FALSE) - 1</f>
        <v>-2.1233128896929854E-2</v>
      </c>
      <c r="I14" s="13">
        <f>VLOOKUP($B14,'Euro Prices'!$A$1:$R$448,4,FALSE) / VLOOKUP($B13,'Euro Prices'!$A$1:$R$448,4,FALSE) - 1</f>
        <v>-4.4778191424719171E-3</v>
      </c>
      <c r="J14" s="13">
        <f>VLOOKUP($B14,'Euro Prices'!$A$1:$R$448,5,FALSE) / VLOOKUP($B13,'Euro Prices'!$A$1:$R$448,5,FALSE) - 1</f>
        <v>-3.6048158463745095E-3</v>
      </c>
      <c r="K14" s="13">
        <f>VLOOKUP($B14,'Euro Prices'!$A$1:$R$448,12,FALSE) / VLOOKUP($B13,'Euro Prices'!$A$1:$R$448,12,FALSE) - 1</f>
        <v>-7.3180019391553275E-3</v>
      </c>
      <c r="L14" s="13">
        <f>VLOOKUP($B14,'Euro Prices'!$A$1:$R$448,13,FALSE) / VLOOKUP($B13,'Euro Prices'!$A$1:$R$448,13,FALSE) - 1</f>
        <v>-3.7848194803027368E-3</v>
      </c>
      <c r="M14" s="13">
        <f>VLOOKUP($B14,'Euro Prices'!$A$1:$R$448,2,FALSE) / VLOOKUP($B13,'Euro Prices'!$A$1:$R$448,2,FALSE) - 1</f>
        <v>7.5494202640082886E-3</v>
      </c>
      <c r="N14" s="13">
        <f>VLOOKUP($B14,'Euro Prices'!$A$1:$R$448,15,FALSE) / VLOOKUP($B13,'Euro Prices'!$A$1:$R$448,15,FALSE) - 1</f>
        <v>9.7279646989900659E-3</v>
      </c>
      <c r="O14" s="13">
        <f>VLOOKUP($B14,'Euro Prices'!$A$1:$R$448,14,FALSE) / VLOOKUP($B13,'Euro Prices'!$A$1:$R$448,14,FALSE) - 1</f>
        <v>7.4991992227848581E-3</v>
      </c>
      <c r="P14" s="13">
        <f>VLOOKUP($B14,'Euro Prices'!$A$1:$R$448,6,FALSE) / VLOOKUP($B13,'Euro Prices'!$A$1:$R$448,6,FALSE) - 1</f>
        <v>3.7221795023084647E-2</v>
      </c>
      <c r="R14" s="28">
        <v>44473</v>
      </c>
      <c r="S14" s="13">
        <f>VLOOKUP($B14,'Euro Prices'!$A$1:$R$448,17,FALSE) / VLOOKUP($B13,'Euro Prices'!$A$1:$R$448,17,FALSE) - 1</f>
        <v>-4.1956522574879584E-2</v>
      </c>
      <c r="T14" s="13">
        <f>VLOOKUP($B14,'Euro Prices'!$A$1:$R$448,18,FALSE) / VLOOKUP($B13,'Euro Prices'!$A$1:$R$448,18,FALSE) - 1</f>
        <v>-4.8574049214024084E-3</v>
      </c>
    </row>
    <row r="15" spans="2:20" x14ac:dyDescent="0.75">
      <c r="B15" s="28">
        <v>44474</v>
      </c>
      <c r="C15" s="13">
        <f>VLOOKUP($B15,'Euro Prices'!$A$1:$R$448,3,FALSE) / VLOOKUP($B14,'Euro Prices'!$A$1:$R$448,3,FALSE) - 1</f>
        <v>-9.0641367430809305E-3</v>
      </c>
      <c r="D15" s="13">
        <f>VLOOKUP($B15,'Euro Prices'!$A$1:$R$448,7,FALSE) / VLOOKUP($B14,'Euro Prices'!$A$1:$R$448,7,FALSE) - 1</f>
        <v>1.4754550206783845E-2</v>
      </c>
      <c r="E15" s="13">
        <f>VLOOKUP($B15,'Euro Prices'!$A$1:$R$448,8,FALSE) / VLOOKUP($B14,'Euro Prices'!$A$1:$R$448,8,FALSE) - 1</f>
        <v>1.8117830999271334E-2</v>
      </c>
      <c r="F15" s="13">
        <f>VLOOKUP($B15,'Euro Prices'!$A$1:$R$448,9,FALSE) / VLOOKUP($B14,'Euro Prices'!$A$1:$R$448,9,FALSE) - 1</f>
        <v>2.1248142782646529E-2</v>
      </c>
      <c r="G15" s="13">
        <f>VLOOKUP($B15,'Euro Prices'!$A$1:$R$448,10,FALSE) / VLOOKUP($B14,'Euro Prices'!$A$1:$R$448,10,FALSE) - 1</f>
        <v>5.6327228244059668E-3</v>
      </c>
      <c r="H15" s="13">
        <f>VLOOKUP($B15,'Euro Prices'!$A$1:$R$448,11,FALSE) / VLOOKUP($B14,'Euro Prices'!$A$1:$R$448,11,FALSE) - 1</f>
        <v>1.2135044731670597E-2</v>
      </c>
      <c r="I15" s="13">
        <f>VLOOKUP($B15,'Euro Prices'!$A$1:$R$448,4,FALSE) / VLOOKUP($B14,'Euro Prices'!$A$1:$R$448,4,FALSE) - 1</f>
        <v>-4.2534980431130354E-4</v>
      </c>
      <c r="J15" s="13">
        <f>VLOOKUP($B15,'Euro Prices'!$A$1:$R$448,5,FALSE) / VLOOKUP($B14,'Euro Prices'!$A$1:$R$448,5,FALSE) - 1</f>
        <v>-9.6740217834023756E-4</v>
      </c>
      <c r="K15" s="13">
        <f>VLOOKUP($B15,'Euro Prices'!$A$1:$R$448,12,FALSE) / VLOOKUP($B14,'Euro Prices'!$A$1:$R$448,12,FALSE) - 1</f>
        <v>1.4685376413501317E-3</v>
      </c>
      <c r="L15" s="13">
        <f>VLOOKUP($B15,'Euro Prices'!$A$1:$R$448,13,FALSE) / VLOOKUP($B14,'Euro Prices'!$A$1:$R$448,13,FALSE) - 1</f>
        <v>1.9286503256550347E-3</v>
      </c>
      <c r="M15" s="13">
        <f>VLOOKUP($B15,'Euro Prices'!$A$1:$R$448,2,FALSE) / VLOOKUP($B14,'Euro Prices'!$A$1:$R$448,2,FALSE) - 1</f>
        <v>8.3688590134050056E-3</v>
      </c>
      <c r="N15" s="13">
        <f>VLOOKUP($B15,'Euro Prices'!$A$1:$R$448,15,FALSE) / VLOOKUP($B14,'Euro Prices'!$A$1:$R$448,15,FALSE) - 1</f>
        <v>1.6724075393076854E-2</v>
      </c>
      <c r="O15" s="13">
        <f>VLOOKUP($B15,'Euro Prices'!$A$1:$R$448,14,FALSE) / VLOOKUP($B14,'Euro Prices'!$A$1:$R$448,14,FALSE) - 1</f>
        <v>2.1165662066045643E-2</v>
      </c>
      <c r="P15" s="13">
        <f>VLOOKUP($B15,'Euro Prices'!$A$1:$R$448,6,FALSE) / VLOOKUP($B14,'Euro Prices'!$A$1:$R$448,6,FALSE) - 1</f>
        <v>2.1223080915158343E-2</v>
      </c>
      <c r="R15" s="28">
        <v>44474</v>
      </c>
      <c r="S15" s="13">
        <f>VLOOKUP($B15,'Euro Prices'!$A$1:$R$448,17,FALSE) / VLOOKUP($B14,'Euro Prices'!$A$1:$R$448,17,FALSE) - 1</f>
        <v>2.721145339869957E-2</v>
      </c>
      <c r="T15" s="13">
        <f>VLOOKUP($B15,'Euro Prices'!$A$1:$R$448,18,FALSE) / VLOOKUP($B14,'Euro Prices'!$A$1:$R$448,18,FALSE) - 1</f>
        <v>-1.1565774263549988E-3</v>
      </c>
    </row>
    <row r="16" spans="2:20" ht="15" customHeight="1" x14ac:dyDescent="0.75">
      <c r="B16" s="28">
        <v>44475</v>
      </c>
      <c r="C16" s="13">
        <f>VLOOKUP($B16,'Euro Prices'!$A$1:$R$448,3,FALSE) / VLOOKUP($B15,'Euro Prices'!$A$1:$R$448,3,FALSE) - 1</f>
        <v>1.3932379754537649E-3</v>
      </c>
      <c r="D16" s="13">
        <f>VLOOKUP($B16,'Euro Prices'!$A$1:$R$448,7,FALSE) / VLOOKUP($B15,'Euro Prices'!$A$1:$R$448,7,FALSE) - 1</f>
        <v>3.5252280895767818E-3</v>
      </c>
      <c r="E16" s="13">
        <f>VLOOKUP($B16,'Euro Prices'!$A$1:$R$448,8,FALSE) / VLOOKUP($B15,'Euro Prices'!$A$1:$R$448,8,FALSE) - 1</f>
        <v>-3.5667600574583735E-3</v>
      </c>
      <c r="F16" s="13">
        <f>VLOOKUP($B16,'Euro Prices'!$A$1:$R$448,9,FALSE) / VLOOKUP($B15,'Euro Prices'!$A$1:$R$448,9,FALSE) - 1</f>
        <v>1.0907935097459687E-2</v>
      </c>
      <c r="G16" s="13">
        <f>VLOOKUP($B16,'Euro Prices'!$A$1:$R$448,10,FALSE) / VLOOKUP($B15,'Euro Prices'!$A$1:$R$448,10,FALSE) - 1</f>
        <v>4.1411622414007088E-3</v>
      </c>
      <c r="H16" s="13">
        <f>VLOOKUP($B16,'Euro Prices'!$A$1:$R$448,11,FALSE) / VLOOKUP($B15,'Euro Prices'!$A$1:$R$448,11,FALSE) - 1</f>
        <v>-8.2808999720193066E-3</v>
      </c>
      <c r="I16" s="13">
        <f>VLOOKUP($B16,'Euro Prices'!$A$1:$R$448,4,FALSE) / VLOOKUP($B15,'Euro Prices'!$A$1:$R$448,4,FALSE) - 1</f>
        <v>3.9628546369265827E-3</v>
      </c>
      <c r="J16" s="13">
        <f>VLOOKUP($B16,'Euro Prices'!$A$1:$R$448,5,FALSE) / VLOOKUP($B15,'Euro Prices'!$A$1:$R$448,5,FALSE) - 1</f>
        <v>2.2525768433019344E-3</v>
      </c>
      <c r="K16" s="13">
        <f>VLOOKUP($B16,'Euro Prices'!$A$1:$R$448,12,FALSE) / VLOOKUP($B15,'Euro Prices'!$A$1:$R$448,12,FALSE) - 1</f>
        <v>2.9489501939612417E-3</v>
      </c>
      <c r="L16" s="13">
        <f>VLOOKUP($B16,'Euro Prices'!$A$1:$R$448,13,FALSE) / VLOOKUP($B15,'Euro Prices'!$A$1:$R$448,13,FALSE) - 1</f>
        <v>4.9950435148060635E-4</v>
      </c>
      <c r="M16" s="13">
        <f>VLOOKUP($B16,'Euro Prices'!$A$1:$R$448,2,FALSE) / VLOOKUP($B15,'Euro Prices'!$A$1:$R$448,2,FALSE) - 1</f>
        <v>-7.2717225997244173E-3</v>
      </c>
      <c r="N16" s="13">
        <f>VLOOKUP($B16,'Euro Prices'!$A$1:$R$448,15,FALSE) / VLOOKUP($B15,'Euro Prices'!$A$1:$R$448,15,FALSE) - 1</f>
        <v>-1.5641696728405874E-2</v>
      </c>
      <c r="O16" s="13">
        <f>VLOOKUP($B16,'Euro Prices'!$A$1:$R$448,14,FALSE) / VLOOKUP($B15,'Euro Prices'!$A$1:$R$448,14,FALSE) - 1</f>
        <v>-1.8530250791352842E-2</v>
      </c>
      <c r="P16" s="13">
        <f>VLOOKUP($B16,'Euro Prices'!$A$1:$R$448,6,FALSE) / VLOOKUP($B15,'Euro Prices'!$A$1:$R$448,6,FALSE) - 1</f>
        <v>1.6881207542889243E-3</v>
      </c>
      <c r="R16" s="28">
        <v>44475</v>
      </c>
      <c r="S16" s="13">
        <f>VLOOKUP($B16,'Euro Prices'!$A$1:$R$448,17,FALSE) / VLOOKUP($B15,'Euro Prices'!$A$1:$R$448,17,FALSE) - 1</f>
        <v>-1.0806372092198036E-4</v>
      </c>
      <c r="T16" s="13">
        <f>VLOOKUP($B16,'Euro Prices'!$A$1:$R$448,18,FALSE) / VLOOKUP($B15,'Euro Prices'!$A$1:$R$448,18,FALSE) - 1</f>
        <v>3.5252280895767818E-3</v>
      </c>
    </row>
    <row r="17" spans="2:20" x14ac:dyDescent="0.75">
      <c r="B17" s="29">
        <v>44476</v>
      </c>
      <c r="C17" s="15">
        <f>VLOOKUP($B17,'Euro Prices'!$A$1:$R$448,3,FALSE) / VLOOKUP($B16,'Euro Prices'!$A$1:$R$448,3,FALSE) - 1</f>
        <v>8.2269713292442148E-3</v>
      </c>
      <c r="D17" s="15">
        <f>VLOOKUP($B17,'Euro Prices'!$A$1:$R$448,7,FALSE) / VLOOKUP($B16,'Euro Prices'!$A$1:$R$448,7,FALSE) - 1</f>
        <v>7.0507750133359526E-3</v>
      </c>
      <c r="E17" s="15">
        <f>VLOOKUP($B17,'Euro Prices'!$A$1:$R$448,8,FALSE) / VLOOKUP($B16,'Euro Prices'!$A$1:$R$448,8,FALSE) - 1</f>
        <v>1.1476441779105562E-2</v>
      </c>
      <c r="F17" s="15">
        <f>VLOOKUP($B17,'Euro Prices'!$A$1:$R$448,9,FALSE) / VLOOKUP($B16,'Euro Prices'!$A$1:$R$448,9,FALSE) - 1</f>
        <v>1.3697797282671287E-2</v>
      </c>
      <c r="G17" s="15">
        <f>VLOOKUP($B17,'Euro Prices'!$A$1:$R$448,10,FALSE) / VLOOKUP($B16,'Euro Prices'!$A$1:$R$448,10,FALSE) - 1</f>
        <v>1.3110498513187352E-2</v>
      </c>
      <c r="H17" s="15">
        <f>VLOOKUP($B17,'Euro Prices'!$A$1:$R$448,11,FALSE) / VLOOKUP($B16,'Euro Prices'!$A$1:$R$448,11,FALSE) - 1</f>
        <v>1.4918867576152461E-2</v>
      </c>
      <c r="I17" s="15">
        <f>VLOOKUP($B17,'Euro Prices'!$A$1:$R$448,4,FALSE) / VLOOKUP($B16,'Euro Prices'!$A$1:$R$448,4,FALSE) - 1</f>
        <v>-3.1701727497999155E-3</v>
      </c>
      <c r="J17" s="15">
        <f>VLOOKUP($B17,'Euro Prices'!$A$1:$R$448,5,FALSE) / VLOOKUP($B16,'Euro Prices'!$A$1:$R$448,5,FALSE) - 1</f>
        <v>-1.560068572323825E-3</v>
      </c>
      <c r="K17" s="15">
        <f>VLOOKUP($B17,'Euro Prices'!$A$1:$R$448,12,FALSE) / VLOOKUP($B16,'Euro Prices'!$A$1:$R$448,12,FALSE) - 1</f>
        <v>-2.6652457570275345E-4</v>
      </c>
      <c r="L17" s="15">
        <f>VLOOKUP($B17,'Euro Prices'!$A$1:$R$448,13,FALSE) / VLOOKUP($B16,'Euro Prices'!$A$1:$R$448,13,FALSE) - 1</f>
        <v>6.263563721953247E-4</v>
      </c>
      <c r="M17" s="15">
        <f>VLOOKUP($B17,'Euro Prices'!$A$1:$R$448,2,FALSE) / VLOOKUP($B16,'Euro Prices'!$A$1:$R$448,2,FALSE) - 1</f>
        <v>8.2008103022188639E-3</v>
      </c>
      <c r="N17" s="15">
        <f>VLOOKUP($B17,'Euro Prices'!$A$1:$R$448,15,FALSE) / VLOOKUP($B16,'Euro Prices'!$A$1:$R$448,15,FALSE) - 1</f>
        <v>1.2131270715988185E-2</v>
      </c>
      <c r="O17" s="15">
        <f>VLOOKUP($B17,'Euro Prices'!$A$1:$R$448,14,FALSE) / VLOOKUP($B16,'Euro Prices'!$A$1:$R$448,14,FALSE) - 1</f>
        <v>6.0367287780596079E-3</v>
      </c>
      <c r="P17" s="15">
        <f>VLOOKUP($B17,'Euro Prices'!$A$1:$R$448,6,FALSE) / VLOOKUP($B16,'Euro Prices'!$A$1:$R$448,6,FALSE) - 1</f>
        <v>-7.5642345240712894E-3</v>
      </c>
      <c r="R17" s="29">
        <v>44476</v>
      </c>
      <c r="S17" s="15">
        <f>VLOOKUP($B17,'Euro Prices'!$A$1:$R$448,17,FALSE) / VLOOKUP($B16,'Euro Prices'!$A$1:$R$448,17,FALSE) - 1</f>
        <v>1.3881285763555962E-2</v>
      </c>
      <c r="T17" s="15">
        <f>VLOOKUP($B17,'Euro Prices'!$A$1:$R$448,18,FALSE) / VLOOKUP($B16,'Euro Prices'!$A$1:$R$448,18,FALSE) - 1</f>
        <v>-3.4689845106979922E-3</v>
      </c>
    </row>
    <row r="18" spans="2:20" x14ac:dyDescent="0.75">
      <c r="B18" s="28">
        <v>44477</v>
      </c>
      <c r="C18" s="13">
        <f>VLOOKUP($B18,'Euro Prices'!$A$1:$R$448,3,FALSE) / VLOOKUP($B17,'Euro Prices'!$A$1:$R$448,3,FALSE) - 1</f>
        <v>4.139931895280613E-3</v>
      </c>
      <c r="D18" s="13">
        <f>VLOOKUP($B18,'Euro Prices'!$A$1:$R$448,7,FALSE) / VLOOKUP($B17,'Euro Prices'!$A$1:$R$448,7,FALSE) - 1</f>
        <v>5.9040533269367756E-3</v>
      </c>
      <c r="E18" s="13">
        <f>VLOOKUP($B18,'Euro Prices'!$A$1:$R$448,8,FALSE) / VLOOKUP($B17,'Euro Prices'!$A$1:$R$448,8,FALSE) - 1</f>
        <v>-1.1722480094400467E-3</v>
      </c>
      <c r="F18" s="13">
        <f>VLOOKUP($B18,'Euro Prices'!$A$1:$R$448,9,FALSE) / VLOOKUP($B17,'Euro Prices'!$A$1:$R$448,9,FALSE) - 1</f>
        <v>-1.02881048068445E-2</v>
      </c>
      <c r="G18" s="13">
        <f>VLOOKUP($B18,'Euro Prices'!$A$1:$R$448,10,FALSE) / VLOOKUP($B17,'Euro Prices'!$A$1:$R$448,10,FALSE) - 1</f>
        <v>-4.5399976308234669E-3</v>
      </c>
      <c r="H18" s="13">
        <f>VLOOKUP($B18,'Euro Prices'!$A$1:$R$448,11,FALSE) / VLOOKUP($B17,'Euro Prices'!$A$1:$R$448,11,FALSE) - 1</f>
        <v>-5.025081076298954E-3</v>
      </c>
      <c r="I18" s="13">
        <f>VLOOKUP($B18,'Euro Prices'!$A$1:$R$448,4,FALSE) / VLOOKUP($B17,'Euro Prices'!$A$1:$R$448,4,FALSE) - 1</f>
        <v>-2.1857268568965527E-3</v>
      </c>
      <c r="J18" s="13">
        <f>VLOOKUP($B18,'Euro Prices'!$A$1:$R$448,5,FALSE) / VLOOKUP($B17,'Euro Prices'!$A$1:$R$448,5,FALSE) - 1</f>
        <v>-2.724272189769783E-3</v>
      </c>
      <c r="K18" s="13">
        <f>VLOOKUP($B18,'Euro Prices'!$A$1:$R$448,12,FALSE) / VLOOKUP($B17,'Euro Prices'!$A$1:$R$448,12,FALSE) - 1</f>
        <v>-2.9878075113141112E-3</v>
      </c>
      <c r="L18" s="13">
        <f>VLOOKUP($B18,'Euro Prices'!$A$1:$R$448,13,FALSE) / VLOOKUP($B17,'Euro Prices'!$A$1:$R$448,13,FALSE) - 1</f>
        <v>0</v>
      </c>
      <c r="M18" s="13">
        <f>VLOOKUP($B18,'Euro Prices'!$A$1:$R$448,2,FALSE) / VLOOKUP($B17,'Euro Prices'!$A$1:$R$448,2,FALSE) - 1</f>
        <v>1.4532175403845882E-2</v>
      </c>
      <c r="N18" s="13">
        <f>VLOOKUP($B18,'Euro Prices'!$A$1:$R$448,15,FALSE) / VLOOKUP($B17,'Euro Prices'!$A$1:$R$448,15,FALSE) - 1</f>
        <v>1.8314564056476357E-3</v>
      </c>
      <c r="O18" s="13">
        <f>VLOOKUP($B18,'Euro Prices'!$A$1:$R$448,14,FALSE) / VLOOKUP($B17,'Euro Prices'!$A$1:$R$448,14,FALSE) - 1</f>
        <v>3.1897896311565699E-3</v>
      </c>
      <c r="P18" s="13">
        <f>VLOOKUP($B18,'Euro Prices'!$A$1:$R$448,6,FALSE) / VLOOKUP($B17,'Euro Prices'!$A$1:$R$448,6,FALSE) - 1</f>
        <v>3.2474004113500765E-3</v>
      </c>
      <c r="R18" s="28">
        <v>44477</v>
      </c>
      <c r="S18" s="13">
        <f>VLOOKUP($B18,'Euro Prices'!$A$1:$R$448,17,FALSE) / VLOOKUP($B17,'Euro Prices'!$A$1:$R$448,17,FALSE) - 1</f>
        <v>-1.3771577457375561E-2</v>
      </c>
      <c r="T18" s="13">
        <f>VLOOKUP($B18,'Euro Prices'!$A$1:$R$448,18,FALSE) / VLOOKUP($B17,'Euro Prices'!$A$1:$R$448,18,FALSE) - 1</f>
        <v>-3.8729815124609601E-3</v>
      </c>
    </row>
    <row r="19" spans="2:20" x14ac:dyDescent="0.75">
      <c r="B19" s="28">
        <v>44480</v>
      </c>
      <c r="C19" s="13">
        <f>VLOOKUP($B19,'Euro Prices'!$A$1:$R$448,3,FALSE) / VLOOKUP($B18,'Euro Prices'!$A$1:$R$448,3,FALSE) - 1</f>
        <v>-2.4498306681032256E-3</v>
      </c>
      <c r="D19" s="13">
        <f>VLOOKUP($B19,'Euro Prices'!$A$1:$R$448,7,FALSE) / VLOOKUP($B18,'Euro Prices'!$A$1:$R$448,7,FALSE) - 1</f>
        <v>-7.5543993462811043E-3</v>
      </c>
      <c r="E19" s="13">
        <f>VLOOKUP($B19,'Euro Prices'!$A$1:$R$448,8,FALSE) / VLOOKUP($B18,'Euro Prices'!$A$1:$R$448,8,FALSE) - 1</f>
        <v>1.6944408590997551E-3</v>
      </c>
      <c r="F19" s="13">
        <f>VLOOKUP($B19,'Euro Prices'!$A$1:$R$448,9,FALSE) / VLOOKUP($B18,'Euro Prices'!$A$1:$R$448,9,FALSE) - 1</f>
        <v>-8.3201527832058586E-3</v>
      </c>
      <c r="G19" s="13">
        <f>VLOOKUP($B19,'Euro Prices'!$A$1:$R$448,10,FALSE) / VLOOKUP($B18,'Euro Prices'!$A$1:$R$448,10,FALSE) - 1</f>
        <v>-6.1722735666275286E-3</v>
      </c>
      <c r="H19" s="13">
        <f>VLOOKUP($B19,'Euro Prices'!$A$1:$R$448,11,FALSE) / VLOOKUP($B18,'Euro Prices'!$A$1:$R$448,11,FALSE) - 1</f>
        <v>-2.8485451143152041E-3</v>
      </c>
      <c r="I19" s="13">
        <f>VLOOKUP($B19,'Euro Prices'!$A$1:$R$448,4,FALSE) / VLOOKUP($B18,'Euro Prices'!$A$1:$R$448,4,FALSE) - 1</f>
        <v>-1.0577684336603443E-3</v>
      </c>
      <c r="J19" s="13">
        <f>VLOOKUP($B19,'Euro Prices'!$A$1:$R$448,5,FALSE) / VLOOKUP($B18,'Euro Prices'!$A$1:$R$448,5,FALSE) - 1</f>
        <v>-1.4841436651802375E-3</v>
      </c>
      <c r="K19" s="13">
        <f>VLOOKUP($B19,'Euro Prices'!$A$1:$R$448,12,FALSE) / VLOOKUP($B18,'Euro Prices'!$A$1:$R$448,12,FALSE) - 1</f>
        <v>-2.5934743916979919E-3</v>
      </c>
      <c r="L19" s="13">
        <f>VLOOKUP($B19,'Euro Prices'!$A$1:$R$448,13,FALSE) / VLOOKUP($B18,'Euro Prices'!$A$1:$R$448,13,FALSE) - 1</f>
        <v>5.2020654473539096E-4</v>
      </c>
      <c r="M19" s="13">
        <f>VLOOKUP($B19,'Euro Prices'!$A$1:$R$448,2,FALSE) / VLOOKUP($B18,'Euro Prices'!$A$1:$R$448,2,FALSE) - 1</f>
        <v>5.370771921796802E-3</v>
      </c>
      <c r="N19" s="13">
        <f>VLOOKUP($B19,'Euro Prices'!$A$1:$R$448,15,FALSE) / VLOOKUP($B18,'Euro Prices'!$A$1:$R$448,15,FALSE) - 1</f>
        <v>9.2084780653209908E-3</v>
      </c>
      <c r="O19" s="13">
        <f>VLOOKUP($B19,'Euro Prices'!$A$1:$R$448,14,FALSE) / VLOOKUP($B18,'Euro Prices'!$A$1:$R$448,14,FALSE) - 1</f>
        <v>3.7015078434396997E-3</v>
      </c>
      <c r="P19" s="13">
        <f>VLOOKUP($B19,'Euro Prices'!$A$1:$R$448,6,FALSE) / VLOOKUP($B18,'Euro Prices'!$A$1:$R$448,6,FALSE) - 1</f>
        <v>-1.9896984236063342E-2</v>
      </c>
      <c r="R19" s="28">
        <v>44480</v>
      </c>
      <c r="S19" s="13">
        <f>VLOOKUP($B19,'Euro Prices'!$A$1:$R$448,17,FALSE) / VLOOKUP($B18,'Euro Prices'!$A$1:$R$448,17,FALSE) - 1</f>
        <v>-4.3313014124976013E-3</v>
      </c>
      <c r="T19" s="13">
        <f>VLOOKUP($B19,'Euro Prices'!$A$1:$R$448,18,FALSE) / VLOOKUP($B18,'Euro Prices'!$A$1:$R$448,18,FALSE) - 1</f>
        <v>-1.0357738982288422E-3</v>
      </c>
    </row>
    <row r="20" spans="2:20" x14ac:dyDescent="0.75">
      <c r="B20" s="28">
        <v>44481</v>
      </c>
      <c r="C20" s="13">
        <f>VLOOKUP($B20,'Euro Prices'!$A$1:$R$448,3,FALSE) / VLOOKUP($B19,'Euro Prices'!$A$1:$R$448,3,FALSE) - 1</f>
        <v>-7.7268242570432966E-3</v>
      </c>
      <c r="D20" s="13">
        <f>VLOOKUP($B20,'Euro Prices'!$A$1:$R$448,7,FALSE) / VLOOKUP($B19,'Euro Prices'!$A$1:$R$448,7,FALSE) - 1</f>
        <v>1.7099354480429874E-3</v>
      </c>
      <c r="E20" s="13">
        <f>VLOOKUP($B20,'Euro Prices'!$A$1:$R$448,8,FALSE) / VLOOKUP($B19,'Euro Prices'!$A$1:$R$448,8,FALSE) - 1</f>
        <v>2.8842999194724772E-3</v>
      </c>
      <c r="F20" s="13">
        <f>VLOOKUP($B20,'Euro Prices'!$A$1:$R$448,9,FALSE) / VLOOKUP($B19,'Euro Prices'!$A$1:$R$448,9,FALSE) - 1</f>
        <v>-7.7451299407214069E-3</v>
      </c>
      <c r="G20" s="13">
        <f>VLOOKUP($B20,'Euro Prices'!$A$1:$R$448,10,FALSE) / VLOOKUP($B19,'Euro Prices'!$A$1:$R$448,10,FALSE) - 1</f>
        <v>4.4694717838866804E-3</v>
      </c>
      <c r="H20" s="13">
        <f>VLOOKUP($B20,'Euro Prices'!$A$1:$R$448,11,FALSE) / VLOOKUP($B19,'Euro Prices'!$A$1:$R$448,11,FALSE) - 1</f>
        <v>-5.058368384611045E-3</v>
      </c>
      <c r="I20" s="13">
        <f>VLOOKUP($B20,'Euro Prices'!$A$1:$R$448,4,FALSE) / VLOOKUP($B19,'Euro Prices'!$A$1:$R$448,4,FALSE) - 1</f>
        <v>5.4021455528820983E-3</v>
      </c>
      <c r="J20" s="13">
        <f>VLOOKUP($B20,'Euro Prices'!$A$1:$R$448,5,FALSE) / VLOOKUP($B19,'Euro Prices'!$A$1:$R$448,5,FALSE) - 1</f>
        <v>4.9088047651431044E-3</v>
      </c>
      <c r="K20" s="13">
        <f>VLOOKUP($B20,'Euro Prices'!$A$1:$R$448,12,FALSE) / VLOOKUP($B19,'Euro Prices'!$A$1:$R$448,12,FALSE) - 1</f>
        <v>3.5630506148291996E-3</v>
      </c>
      <c r="L20" s="13">
        <f>VLOOKUP($B20,'Euro Prices'!$A$1:$R$448,13,FALSE) / VLOOKUP($B19,'Euro Prices'!$A$1:$R$448,13,FALSE) - 1</f>
        <v>7.0112554254642134E-4</v>
      </c>
      <c r="M20" s="13">
        <f>VLOOKUP($B20,'Euro Prices'!$A$1:$R$448,2,FALSE) / VLOOKUP($B19,'Euro Prices'!$A$1:$R$448,2,FALSE) - 1</f>
        <v>2.632679575519159E-3</v>
      </c>
      <c r="N20" s="13">
        <f>VLOOKUP($B20,'Euro Prices'!$A$1:$R$448,15,FALSE) / VLOOKUP($B19,'Euro Prices'!$A$1:$R$448,15,FALSE) - 1</f>
        <v>-1.0133115835451179E-3</v>
      </c>
      <c r="O20" s="13">
        <f>VLOOKUP($B20,'Euro Prices'!$A$1:$R$448,14,FALSE) / VLOOKUP($B19,'Euro Prices'!$A$1:$R$448,14,FALSE) - 1</f>
        <v>1.7099354480429874E-3</v>
      </c>
      <c r="P20" s="13">
        <f>VLOOKUP($B20,'Euro Prices'!$A$1:$R$448,6,FALSE) / VLOOKUP($B19,'Euro Prices'!$A$1:$R$448,6,FALSE) - 1</f>
        <v>2.6643268341508319E-2</v>
      </c>
      <c r="R20" s="28">
        <v>44481</v>
      </c>
      <c r="S20" s="13">
        <f>VLOOKUP($B20,'Euro Prices'!$A$1:$R$448,17,FALSE) / VLOOKUP($B19,'Euro Prices'!$A$1:$R$448,17,FALSE) - 1</f>
        <v>-1.5776408006286102E-3</v>
      </c>
      <c r="T20" s="13">
        <f>VLOOKUP($B20,'Euro Prices'!$A$1:$R$448,18,FALSE) / VLOOKUP($B19,'Euro Prices'!$A$1:$R$448,18,FALSE) - 1</f>
        <v>5.6106899058498971E-3</v>
      </c>
    </row>
    <row r="21" spans="2:20" ht="15" customHeight="1" x14ac:dyDescent="0.75">
      <c r="B21" s="28">
        <v>44482</v>
      </c>
      <c r="C21" s="13">
        <f>VLOOKUP($B21,'Euro Prices'!$A$1:$R$448,3,FALSE) / VLOOKUP($B20,'Euro Prices'!$A$1:$R$448,3,FALSE) - 1</f>
        <v>-1.1469421538438107E-3</v>
      </c>
      <c r="D21" s="13">
        <f>VLOOKUP($B21,'Euro Prices'!$A$1:$R$448,7,FALSE) / VLOOKUP($B20,'Euro Prices'!$A$1:$R$448,7,FALSE) - 1</f>
        <v>-1.006446715676701E-2</v>
      </c>
      <c r="E21" s="13">
        <f>VLOOKUP($B21,'Euro Prices'!$A$1:$R$448,8,FALSE) / VLOOKUP($B20,'Euro Prices'!$A$1:$R$448,8,FALSE) - 1</f>
        <v>-4.4872789124719148E-3</v>
      </c>
      <c r="F21" s="13">
        <f>VLOOKUP($B21,'Euro Prices'!$A$1:$R$448,9,FALSE) / VLOOKUP($B20,'Euro Prices'!$A$1:$R$448,9,FALSE) - 1</f>
        <v>-3.8774013207409919E-4</v>
      </c>
      <c r="G21" s="13">
        <f>VLOOKUP($B21,'Euro Prices'!$A$1:$R$448,10,FALSE) / VLOOKUP($B20,'Euro Prices'!$A$1:$R$448,10,FALSE) - 1</f>
        <v>-4.7409937051152706E-3</v>
      </c>
      <c r="H21" s="13">
        <f>VLOOKUP($B21,'Euro Prices'!$A$1:$R$448,11,FALSE) / VLOOKUP($B20,'Euro Prices'!$A$1:$R$448,11,FALSE) - 1</f>
        <v>4.4947539822490779E-3</v>
      </c>
      <c r="I21" s="13">
        <f>VLOOKUP($B21,'Euro Prices'!$A$1:$R$448,4,FALSE) / VLOOKUP($B20,'Euro Prices'!$A$1:$R$448,4,FALSE) - 1</f>
        <v>-3.3911866905235177E-3</v>
      </c>
      <c r="J21" s="13">
        <f>VLOOKUP($B21,'Euro Prices'!$A$1:$R$448,5,FALSE) / VLOOKUP($B20,'Euro Prices'!$A$1:$R$448,5,FALSE) - 1</f>
        <v>-4.0237680308101709E-3</v>
      </c>
      <c r="K21" s="13">
        <f>VLOOKUP($B21,'Euro Prices'!$A$1:$R$448,12,FALSE) / VLOOKUP($B20,'Euro Prices'!$A$1:$R$448,12,FALSE) - 1</f>
        <v>-3.0123366415087949E-3</v>
      </c>
      <c r="L21" s="13">
        <f>VLOOKUP($B21,'Euro Prices'!$A$1:$R$448,13,FALSE) / VLOOKUP($B20,'Euro Prices'!$A$1:$R$448,13,FALSE) - 1</f>
        <v>-4.649242245121421E-3</v>
      </c>
      <c r="M21" s="13">
        <f>VLOOKUP($B21,'Euro Prices'!$A$1:$R$448,2,FALSE) / VLOOKUP($B20,'Euro Prices'!$A$1:$R$448,2,FALSE) - 1</f>
        <v>-7.7222240201235692E-4</v>
      </c>
      <c r="N21" s="13">
        <f>VLOOKUP($B21,'Euro Prices'!$A$1:$R$448,15,FALSE) / VLOOKUP($B20,'Euro Prices'!$A$1:$R$448,15,FALSE) - 1</f>
        <v>1.124902393031979E-3</v>
      </c>
      <c r="O21" s="13">
        <f>VLOOKUP($B21,'Euro Prices'!$A$1:$R$448,14,FALSE) / VLOOKUP($B20,'Euro Prices'!$A$1:$R$448,14,FALSE) - 1</f>
        <v>-9.2412659161067445E-4</v>
      </c>
      <c r="P21" s="13">
        <f>VLOOKUP($B21,'Euro Prices'!$A$1:$R$448,6,FALSE) / VLOOKUP($B20,'Euro Prices'!$A$1:$R$448,6,FALSE) - 1</f>
        <v>5.0436683656876369E-2</v>
      </c>
      <c r="R21" s="28">
        <v>44482</v>
      </c>
      <c r="S21" s="13">
        <f>VLOOKUP($B21,'Euro Prices'!$A$1:$R$448,17,FALSE) / VLOOKUP($B20,'Euro Prices'!$A$1:$R$448,17,FALSE) - 1</f>
        <v>-5.5672923414962217E-4</v>
      </c>
      <c r="T21" s="13">
        <f>VLOOKUP($B21,'Euro Prices'!$A$1:$R$448,18,FALSE) / VLOOKUP($B20,'Euro Prices'!$A$1:$R$448,18,FALSE) - 1</f>
        <v>-1.7946535126499574E-3</v>
      </c>
    </row>
    <row r="22" spans="2:20" x14ac:dyDescent="0.75">
      <c r="B22" s="28">
        <v>44483</v>
      </c>
      <c r="C22" s="13">
        <f>VLOOKUP($B22,'Euro Prices'!$A$1:$R$448,3,FALSE) / VLOOKUP($B21,'Euro Prices'!$A$1:$R$448,3,FALSE) - 1</f>
        <v>2.719507735071458E-3</v>
      </c>
      <c r="D22" s="13">
        <f>VLOOKUP($B22,'Euro Prices'!$A$1:$R$448,7,FALSE) / VLOOKUP($B21,'Euro Prices'!$A$1:$R$448,7,FALSE) - 1</f>
        <v>1.6308596099815498E-2</v>
      </c>
      <c r="E22" s="13">
        <f>VLOOKUP($B22,'Euro Prices'!$A$1:$R$448,8,FALSE) / VLOOKUP($B21,'Euro Prices'!$A$1:$R$448,8,FALSE) - 1</f>
        <v>2.0592839218990466E-2</v>
      </c>
      <c r="F22" s="13">
        <f>VLOOKUP($B22,'Euro Prices'!$A$1:$R$448,9,FALSE) / VLOOKUP($B21,'Euro Prices'!$A$1:$R$448,9,FALSE) - 1</f>
        <v>3.1259595275099139E-2</v>
      </c>
      <c r="G22" s="13">
        <f>VLOOKUP($B22,'Euro Prices'!$A$1:$R$448,10,FALSE) / VLOOKUP($B21,'Euro Prices'!$A$1:$R$448,10,FALSE) - 1</f>
        <v>1.9006901453768821E-2</v>
      </c>
      <c r="H22" s="13">
        <f>VLOOKUP($B22,'Euro Prices'!$A$1:$R$448,11,FALSE) / VLOOKUP($B21,'Euro Prices'!$A$1:$R$448,11,FALSE) - 1</f>
        <v>8.2769948731227228E-3</v>
      </c>
      <c r="I22" s="13">
        <f>VLOOKUP($B22,'Euro Prices'!$A$1:$R$448,4,FALSE) / VLOOKUP($B21,'Euro Prices'!$A$1:$R$448,4,FALSE) - 1</f>
        <v>2.6164685049971936E-3</v>
      </c>
      <c r="J22" s="13">
        <f>VLOOKUP($B22,'Euro Prices'!$A$1:$R$448,5,FALSE) / VLOOKUP($B21,'Euro Prices'!$A$1:$R$448,5,FALSE) - 1</f>
        <v>2.7858778789637828E-3</v>
      </c>
      <c r="K22" s="13">
        <f>VLOOKUP($B22,'Euro Prices'!$A$1:$R$448,12,FALSE) / VLOOKUP($B21,'Euro Prices'!$A$1:$R$448,12,FALSE) - 1</f>
        <v>6.3398734120434508E-3</v>
      </c>
      <c r="L22" s="13">
        <f>VLOOKUP($B22,'Euro Prices'!$A$1:$R$448,13,FALSE) / VLOOKUP($B21,'Euro Prices'!$A$1:$R$448,13,FALSE) - 1</f>
        <v>1.7036447522751352E-3</v>
      </c>
      <c r="M22" s="13">
        <f>VLOOKUP($B22,'Euro Prices'!$A$1:$R$448,2,FALSE) / VLOOKUP($B21,'Euro Prices'!$A$1:$R$448,2,FALSE) - 1</f>
        <v>1.3293614173951696E-2</v>
      </c>
      <c r="N22" s="13">
        <f>VLOOKUP($B22,'Euro Prices'!$A$1:$R$448,15,FALSE) / VLOOKUP($B21,'Euro Prices'!$A$1:$R$448,15,FALSE) - 1</f>
        <v>1.1533804189077346E-2</v>
      </c>
      <c r="O22" s="13">
        <f>VLOOKUP($B22,'Euro Prices'!$A$1:$R$448,14,FALSE) / VLOOKUP($B21,'Euro Prices'!$A$1:$R$448,14,FALSE) - 1</f>
        <v>1.3323018067140868E-2</v>
      </c>
      <c r="P22" s="13">
        <f>VLOOKUP($B22,'Euro Prices'!$A$1:$R$448,6,FALSE) / VLOOKUP($B21,'Euro Prices'!$A$1:$R$448,6,FALSE) - 1</f>
        <v>1.9424260459445675E-2</v>
      </c>
      <c r="R22" s="28">
        <v>44483</v>
      </c>
      <c r="S22" s="13">
        <f>VLOOKUP($B22,'Euro Prices'!$A$1:$R$448,17,FALSE) / VLOOKUP($B21,'Euro Prices'!$A$1:$R$448,17,FALSE) - 1</f>
        <v>2.4697329142293389E-2</v>
      </c>
      <c r="T22" s="13">
        <f>VLOOKUP($B22,'Euro Prices'!$A$1:$R$448,18,FALSE) / VLOOKUP($B21,'Euro Prices'!$A$1:$R$448,18,FALSE) - 1</f>
        <v>3.0160113999730953E-3</v>
      </c>
    </row>
    <row r="23" spans="2:20" x14ac:dyDescent="0.75">
      <c r="B23" s="28">
        <v>44484</v>
      </c>
      <c r="C23" s="13">
        <f>VLOOKUP($B23,'Euro Prices'!$A$1:$R$448,3,FALSE) / VLOOKUP($B22,'Euro Prices'!$A$1:$R$448,3,FALSE) - 1</f>
        <v>1.5308634118568865E-2</v>
      </c>
      <c r="D23" s="13">
        <f>VLOOKUP($B23,'Euro Prices'!$A$1:$R$448,7,FALSE) / VLOOKUP($B22,'Euro Prices'!$A$1:$R$448,7,FALSE) - 1</f>
        <v>9.5098839586944539E-3</v>
      </c>
      <c r="E23" s="13">
        <f>VLOOKUP($B23,'Euro Prices'!$A$1:$R$448,8,FALSE) / VLOOKUP($B22,'Euro Prices'!$A$1:$R$448,8,FALSE) - 1</f>
        <v>4.0137438463663244E-3</v>
      </c>
      <c r="F23" s="13">
        <f>VLOOKUP($B23,'Euro Prices'!$A$1:$R$448,9,FALSE) / VLOOKUP($B22,'Euro Prices'!$A$1:$R$448,9,FALSE) - 1</f>
        <v>5.1098816059842456E-3</v>
      </c>
      <c r="G23" s="13">
        <f>VLOOKUP($B23,'Euro Prices'!$A$1:$R$448,10,FALSE) / VLOOKUP($B22,'Euro Prices'!$A$1:$R$448,10,FALSE) - 1</f>
        <v>2.3959818064416272E-3</v>
      </c>
      <c r="H23" s="13">
        <f>VLOOKUP($B23,'Euro Prices'!$A$1:$R$448,11,FALSE) / VLOOKUP($B22,'Euro Prices'!$A$1:$R$448,11,FALSE) - 1</f>
        <v>5.8479275908633888E-3</v>
      </c>
      <c r="I23" s="13">
        <f>VLOOKUP($B23,'Euro Prices'!$A$1:$R$448,4,FALSE) / VLOOKUP($B22,'Euro Prices'!$A$1:$R$448,4,FALSE) - 1</f>
        <v>-2.4379269091651112E-3</v>
      </c>
      <c r="J23" s="13">
        <f>VLOOKUP($B23,'Euro Prices'!$A$1:$R$448,5,FALSE) / VLOOKUP($B22,'Euro Prices'!$A$1:$R$448,5,FALSE) - 1</f>
        <v>-1.6310501402367894E-3</v>
      </c>
      <c r="K23" s="13">
        <f>VLOOKUP($B23,'Euro Prices'!$A$1:$R$448,12,FALSE) / VLOOKUP($B22,'Euro Prices'!$A$1:$R$448,12,FALSE) - 1</f>
        <v>-1.7168231675637191E-3</v>
      </c>
      <c r="L23" s="13">
        <f>VLOOKUP($B23,'Euro Prices'!$A$1:$R$448,13,FALSE) / VLOOKUP($B22,'Euro Prices'!$A$1:$R$448,13,FALSE) - 1</f>
        <v>2.0120535105465631E-3</v>
      </c>
      <c r="M23" s="13">
        <f>VLOOKUP($B23,'Euro Prices'!$A$1:$R$448,2,FALSE) / VLOOKUP($B22,'Euro Prices'!$A$1:$R$448,2,FALSE) - 1</f>
        <v>4.6522118390583955E-3</v>
      </c>
      <c r="N23" s="13">
        <f>VLOOKUP($B23,'Euro Prices'!$A$1:$R$448,15,FALSE) / VLOOKUP($B22,'Euro Prices'!$A$1:$R$448,15,FALSE) - 1</f>
        <v>8.4821668434504893E-3</v>
      </c>
      <c r="O23" s="13">
        <f>VLOOKUP($B23,'Euro Prices'!$A$1:$R$448,14,FALSE) / VLOOKUP($B22,'Euro Prices'!$A$1:$R$448,14,FALSE) - 1</f>
        <v>1.5575937579197507E-3</v>
      </c>
      <c r="P23" s="13">
        <f>VLOOKUP($B23,'Euro Prices'!$A$1:$R$448,6,FALSE) / VLOOKUP($B22,'Euro Prices'!$A$1:$R$448,6,FALSE) - 1</f>
        <v>-8.3498998676265757E-3</v>
      </c>
      <c r="R23" s="28">
        <v>44484</v>
      </c>
      <c r="S23" s="13">
        <f>VLOOKUP($B23,'Euro Prices'!$A$1:$R$448,17,FALSE) / VLOOKUP($B22,'Euro Prices'!$A$1:$R$448,17,FALSE) - 1</f>
        <v>5.5986167291210975E-3</v>
      </c>
      <c r="T23" s="13">
        <f>VLOOKUP($B23,'Euro Prices'!$A$1:$R$448,18,FALSE) / VLOOKUP($B22,'Euro Prices'!$A$1:$R$448,18,FALSE) - 1</f>
        <v>-1.542055308552448E-3</v>
      </c>
    </row>
    <row r="24" spans="2:20" x14ac:dyDescent="0.75">
      <c r="B24" s="28">
        <v>44487</v>
      </c>
      <c r="C24" s="13">
        <f>VLOOKUP($B24,'Euro Prices'!$A$1:$R$448,3,FALSE) / VLOOKUP($B23,'Euro Prices'!$A$1:$R$448,3,FALSE) - 1</f>
        <v>5.6986312288860308E-3</v>
      </c>
      <c r="D24" s="13">
        <f>VLOOKUP($B24,'Euro Prices'!$A$1:$R$448,7,FALSE) / VLOOKUP($B23,'Euro Prices'!$A$1:$R$448,7,FALSE) - 1</f>
        <v>-4.7772837687065639E-4</v>
      </c>
      <c r="E24" s="13">
        <f>VLOOKUP($B24,'Euro Prices'!$A$1:$R$448,8,FALSE) / VLOOKUP($B23,'Euro Prices'!$A$1:$R$448,8,FALSE) - 1</f>
        <v>9.2579390903257952E-4</v>
      </c>
      <c r="F24" s="13">
        <f>VLOOKUP($B24,'Euro Prices'!$A$1:$R$448,9,FALSE) / VLOOKUP($B23,'Euro Prices'!$A$1:$R$448,9,FALSE) - 1</f>
        <v>9.746231642063119E-3</v>
      </c>
      <c r="G24" s="13">
        <f>VLOOKUP($B24,'Euro Prices'!$A$1:$R$448,10,FALSE) / VLOOKUP($B23,'Euro Prices'!$A$1:$R$448,10,FALSE) - 1</f>
        <v>-1.1168423699285168E-2</v>
      </c>
      <c r="H24" s="13">
        <f>VLOOKUP($B24,'Euro Prices'!$A$1:$R$448,11,FALSE) / VLOOKUP($B23,'Euro Prices'!$A$1:$R$448,11,FALSE) - 1</f>
        <v>1.3916841752701359E-3</v>
      </c>
      <c r="I24" s="13">
        <f>VLOOKUP($B24,'Euro Prices'!$A$1:$R$448,4,FALSE) / VLOOKUP($B23,'Euro Prices'!$A$1:$R$448,4,FALSE) - 1</f>
        <v>-2.6211455168158038E-3</v>
      </c>
      <c r="J24" s="13">
        <f>VLOOKUP($B24,'Euro Prices'!$A$1:$R$448,5,FALSE) / VLOOKUP($B23,'Euro Prices'!$A$1:$R$448,5,FALSE) - 1</f>
        <v>-3.1924012714054095E-3</v>
      </c>
      <c r="K24" s="13">
        <f>VLOOKUP($B24,'Euro Prices'!$A$1:$R$448,12,FALSE) / VLOOKUP($B23,'Euro Prices'!$A$1:$R$448,12,FALSE) - 1</f>
        <v>-2.3818919259270821E-3</v>
      </c>
      <c r="L24" s="13">
        <f>VLOOKUP($B24,'Euro Prices'!$A$1:$R$448,13,FALSE) / VLOOKUP($B23,'Euro Prices'!$A$1:$R$448,13,FALSE) - 1</f>
        <v>-2.926206141304899E-3</v>
      </c>
      <c r="M24" s="13">
        <f>VLOOKUP($B24,'Euro Prices'!$A$1:$R$448,2,FALSE) / VLOOKUP($B23,'Euro Prices'!$A$1:$R$448,2,FALSE) - 1</f>
        <v>-9.8703132488753287E-4</v>
      </c>
      <c r="N24" s="13">
        <f>VLOOKUP($B24,'Euro Prices'!$A$1:$R$448,15,FALSE) / VLOOKUP($B23,'Euro Prices'!$A$1:$R$448,15,FALSE) - 1</f>
        <v>-8.993323851185564E-3</v>
      </c>
      <c r="O24" s="13">
        <f>VLOOKUP($B24,'Euro Prices'!$A$1:$R$448,14,FALSE) / VLOOKUP($B23,'Euro Prices'!$A$1:$R$448,14,FALSE) - 1</f>
        <v>-1.4341907282098054E-2</v>
      </c>
      <c r="P24" s="13">
        <f>VLOOKUP($B24,'Euro Prices'!$A$1:$R$448,6,FALSE) / VLOOKUP($B23,'Euro Prices'!$A$1:$R$448,6,FALSE) - 1</f>
        <v>9.4001304345543435E-3</v>
      </c>
      <c r="R24" s="28">
        <v>44487</v>
      </c>
      <c r="S24" s="13">
        <f>VLOOKUP($B24,'Euro Prices'!$A$1:$R$448,17,FALSE) / VLOOKUP($B23,'Euro Prices'!$A$1:$R$448,17,FALSE) - 1</f>
        <v>4.1347640010134246E-3</v>
      </c>
      <c r="T24" s="13">
        <f>VLOOKUP($B24,'Euro Prices'!$A$1:$R$448,18,FALSE) / VLOOKUP($B23,'Euro Prices'!$A$1:$R$448,18,FALSE) - 1</f>
        <v>-1.9241791873045866E-3</v>
      </c>
    </row>
    <row r="25" spans="2:20" x14ac:dyDescent="0.75">
      <c r="B25" s="28">
        <v>44488</v>
      </c>
      <c r="C25" s="13">
        <f>VLOOKUP($B25,'Euro Prices'!$A$1:$R$448,3,FALSE) / VLOOKUP($B24,'Euro Prices'!$A$1:$R$448,3,FALSE) - 1</f>
        <v>-3.836583068763999E-3</v>
      </c>
      <c r="D25" s="13">
        <f>VLOOKUP($B25,'Euro Prices'!$A$1:$R$448,7,FALSE) / VLOOKUP($B24,'Euro Prices'!$A$1:$R$448,7,FALSE) - 1</f>
        <v>6.390911486885642E-3</v>
      </c>
      <c r="E25" s="13">
        <f>VLOOKUP($B25,'Euro Prices'!$A$1:$R$448,8,FALSE) / VLOOKUP($B24,'Euro Prices'!$A$1:$R$448,8,FALSE) - 1</f>
        <v>1.2867893422332521E-3</v>
      </c>
      <c r="F25" s="13">
        <f>VLOOKUP($B25,'Euro Prices'!$A$1:$R$448,9,FALSE) / VLOOKUP($B24,'Euro Prices'!$A$1:$R$448,9,FALSE) - 1</f>
        <v>8.9801662488204759E-3</v>
      </c>
      <c r="G25" s="13">
        <f>VLOOKUP($B25,'Euro Prices'!$A$1:$R$448,10,FALSE) / VLOOKUP($B24,'Euro Prices'!$A$1:$R$448,10,FALSE) - 1</f>
        <v>9.584400150886907E-3</v>
      </c>
      <c r="H25" s="13">
        <f>VLOOKUP($B25,'Euro Prices'!$A$1:$R$448,11,FALSE) / VLOOKUP($B24,'Euro Prices'!$A$1:$R$448,11,FALSE) - 1</f>
        <v>7.5355359627904406E-3</v>
      </c>
      <c r="I25" s="13">
        <f>VLOOKUP($B25,'Euro Prices'!$A$1:$R$448,4,FALSE) / VLOOKUP($B24,'Euro Prices'!$A$1:$R$448,4,FALSE) - 1</f>
        <v>-4.4340309499792951E-3</v>
      </c>
      <c r="J25" s="13">
        <f>VLOOKUP($B25,'Euro Prices'!$A$1:$R$448,5,FALSE) / VLOOKUP($B24,'Euro Prices'!$A$1:$R$448,5,FALSE) - 1</f>
        <v>-4.2782351846961664E-3</v>
      </c>
      <c r="K25" s="13">
        <f>VLOOKUP($B25,'Euro Prices'!$A$1:$R$448,12,FALSE) / VLOOKUP($B24,'Euro Prices'!$A$1:$R$448,12,FALSE) - 1</f>
        <v>-8.6908772068927664E-4</v>
      </c>
      <c r="L25" s="13">
        <f>VLOOKUP($B25,'Euro Prices'!$A$1:$R$448,13,FALSE) / VLOOKUP($B24,'Euro Prices'!$A$1:$R$448,13,FALSE) - 1</f>
        <v>-1.5562250594524096E-3</v>
      </c>
      <c r="M25" s="13">
        <f>VLOOKUP($B25,'Euro Prices'!$A$1:$R$448,2,FALSE) / VLOOKUP($B24,'Euro Prices'!$A$1:$R$448,2,FALSE) - 1</f>
        <v>1.5204192043554166E-3</v>
      </c>
      <c r="N25" s="13">
        <f>VLOOKUP($B25,'Euro Prices'!$A$1:$R$448,15,FALSE) / VLOOKUP($B24,'Euro Prices'!$A$1:$R$448,15,FALSE) - 1</f>
        <v>2.2428141297070603E-4</v>
      </c>
      <c r="O25" s="13">
        <f>VLOOKUP($B25,'Euro Prices'!$A$1:$R$448,14,FALSE) / VLOOKUP($B24,'Euro Prices'!$A$1:$R$448,14,FALSE) - 1</f>
        <v>3.1608652051009489E-3</v>
      </c>
      <c r="P25" s="13">
        <f>VLOOKUP($B25,'Euro Prices'!$A$1:$R$448,6,FALSE) / VLOOKUP($B24,'Euro Prices'!$A$1:$R$448,6,FALSE) - 1</f>
        <v>7.0032745906139171E-2</v>
      </c>
      <c r="R25" s="28">
        <v>44488</v>
      </c>
      <c r="S25" s="13">
        <f>VLOOKUP($B25,'Euro Prices'!$A$1:$R$448,17,FALSE) / VLOOKUP($B24,'Euro Prices'!$A$1:$R$448,17,FALSE) - 1</f>
        <v>1.6388788246098018E-2</v>
      </c>
      <c r="T25" s="13">
        <f>VLOOKUP($B25,'Euro Prices'!$A$1:$R$448,18,FALSE) / VLOOKUP($B24,'Euro Prices'!$A$1:$R$448,18,FALSE) - 1</f>
        <v>-5.4112350919145458E-3</v>
      </c>
    </row>
    <row r="26" spans="2:20" ht="15.65" customHeight="1" x14ac:dyDescent="0.75">
      <c r="B26" s="28">
        <v>44489</v>
      </c>
      <c r="C26" s="13">
        <f>VLOOKUP($B26,'Euro Prices'!$A$1:$R$448,3,FALSE) / VLOOKUP($B25,'Euro Prices'!$A$1:$R$448,3,FALSE) - 1</f>
        <v>4.7401969041045433E-3</v>
      </c>
      <c r="D26" s="13">
        <f>VLOOKUP($B26,'Euro Prices'!$A$1:$R$448,7,FALSE) / VLOOKUP($B25,'Euro Prices'!$A$1:$R$448,7,FALSE) - 1</f>
        <v>1.0918667564506546E-2</v>
      </c>
      <c r="E26" s="13">
        <f>VLOOKUP($B26,'Euro Prices'!$A$1:$R$448,8,FALSE) / VLOOKUP($B25,'Euro Prices'!$A$1:$R$448,8,FALSE) - 1</f>
        <v>5.9567877277775239E-3</v>
      </c>
      <c r="F26" s="13">
        <f>VLOOKUP($B26,'Euro Prices'!$A$1:$R$448,9,FALSE) / VLOOKUP($B25,'Euro Prices'!$A$1:$R$448,9,FALSE) - 1</f>
        <v>-4.9552430524798519E-3</v>
      </c>
      <c r="G26" s="13">
        <f>VLOOKUP($B26,'Euro Prices'!$A$1:$R$448,10,FALSE) / VLOOKUP($B25,'Euro Prices'!$A$1:$R$448,10,FALSE) - 1</f>
        <v>1.0821501295608327E-2</v>
      </c>
      <c r="H26" s="13">
        <f>VLOOKUP($B26,'Euro Prices'!$A$1:$R$448,11,FALSE) / VLOOKUP($B25,'Euro Prices'!$A$1:$R$448,11,FALSE) - 1</f>
        <v>-3.6148888463644058E-3</v>
      </c>
      <c r="I26" s="13">
        <f>VLOOKUP($B26,'Euro Prices'!$A$1:$R$448,4,FALSE) / VLOOKUP($B25,'Euro Prices'!$A$1:$R$448,4,FALSE) - 1</f>
        <v>-2.6768500215219593E-3</v>
      </c>
      <c r="J26" s="13">
        <f>VLOOKUP($B26,'Euro Prices'!$A$1:$R$448,5,FALSE) / VLOOKUP($B25,'Euro Prices'!$A$1:$R$448,5,FALSE) - 1</f>
        <v>-2.5231585855023386E-3</v>
      </c>
      <c r="K26" s="13">
        <f>VLOOKUP($B26,'Euro Prices'!$A$1:$R$448,12,FALSE) / VLOOKUP($B25,'Euro Prices'!$A$1:$R$448,12,FALSE) - 1</f>
        <v>-1.6343409913845974E-3</v>
      </c>
      <c r="L26" s="13">
        <f>VLOOKUP($B26,'Euro Prices'!$A$1:$R$448,13,FALSE) / VLOOKUP($B25,'Euro Prices'!$A$1:$R$448,13,FALSE) - 1</f>
        <v>-1.977484739526858E-3</v>
      </c>
      <c r="M26" s="13">
        <f>VLOOKUP($B26,'Euro Prices'!$A$1:$R$448,2,FALSE) / VLOOKUP($B25,'Euro Prices'!$A$1:$R$448,2,FALSE) - 1</f>
        <v>3.6417006871825031E-3</v>
      </c>
      <c r="N26" s="13">
        <f>VLOOKUP($B26,'Euro Prices'!$A$1:$R$448,15,FALSE) / VLOOKUP($B25,'Euro Prices'!$A$1:$R$448,15,FALSE) - 1</f>
        <v>8.6822919650930697E-3</v>
      </c>
      <c r="O26" s="13">
        <f>VLOOKUP($B26,'Euro Prices'!$A$1:$R$448,14,FALSE) / VLOOKUP($B25,'Euro Prices'!$A$1:$R$448,14,FALSE) - 1</f>
        <v>1.2101151805019805E-2</v>
      </c>
      <c r="P26" s="13">
        <f>VLOOKUP($B26,'Euro Prices'!$A$1:$R$448,6,FALSE) / VLOOKUP($B25,'Euro Prices'!$A$1:$R$448,6,FALSE) - 1</f>
        <v>-2.2126199659315726E-2</v>
      </c>
      <c r="R26" s="28">
        <v>44489</v>
      </c>
      <c r="S26" s="13">
        <f>VLOOKUP($B26,'Euro Prices'!$A$1:$R$448,17,FALSE) / VLOOKUP($B25,'Euro Prices'!$A$1:$R$448,17,FALSE) - 1</f>
        <v>-1.3998860738820618E-2</v>
      </c>
      <c r="T26" s="13">
        <f>VLOOKUP($B26,'Euro Prices'!$A$1:$R$448,18,FALSE) / VLOOKUP($B25,'Euro Prices'!$A$1:$R$448,18,FALSE) - 1</f>
        <v>-3.5247681476981985E-3</v>
      </c>
    </row>
    <row r="27" spans="2:20" x14ac:dyDescent="0.75">
      <c r="B27" s="29">
        <v>44490</v>
      </c>
      <c r="C27" s="15">
        <f>VLOOKUP($B27,'Euro Prices'!$A$1:$R$448,3,FALSE) / VLOOKUP($B26,'Euro Prices'!$A$1:$R$448,3,FALSE) - 1</f>
        <v>-2.2409911328566956E-3</v>
      </c>
      <c r="D27" s="15">
        <f>VLOOKUP($B27,'Euro Prices'!$A$1:$R$448,7,FALSE) / VLOOKUP($B26,'Euro Prices'!$A$1:$R$448,7,FALSE) - 1</f>
        <v>-1.0001363267743146E-3</v>
      </c>
      <c r="E27" s="15">
        <f>VLOOKUP($B27,'Euro Prices'!$A$1:$R$448,8,FALSE) / VLOOKUP($B26,'Euro Prices'!$A$1:$R$448,8,FALSE) - 1</f>
        <v>2.9311563658618311E-4</v>
      </c>
      <c r="F27" s="15">
        <f>VLOOKUP($B27,'Euro Prices'!$A$1:$R$448,9,FALSE) / VLOOKUP($B26,'Euro Prices'!$A$1:$R$448,9,FALSE) - 1</f>
        <v>1.6053170036258946E-2</v>
      </c>
      <c r="G27" s="15">
        <f>VLOOKUP($B27,'Euro Prices'!$A$1:$R$448,10,FALSE) / VLOOKUP($B26,'Euro Prices'!$A$1:$R$448,10,FALSE) - 1</f>
        <v>1.1113722355717393E-2</v>
      </c>
      <c r="H27" s="15">
        <f>VLOOKUP($B27,'Euro Prices'!$A$1:$R$448,11,FALSE) / VLOOKUP($B26,'Euro Prices'!$A$1:$R$448,11,FALSE) - 1</f>
        <v>-6.5092213025872425E-3</v>
      </c>
      <c r="I27" s="15">
        <f>VLOOKUP($B27,'Euro Prices'!$A$1:$R$448,4,FALSE) / VLOOKUP($B26,'Euro Prices'!$A$1:$R$448,4,FALSE) - 1</f>
        <v>4.4320929842878165E-4</v>
      </c>
      <c r="J27" s="15">
        <f>VLOOKUP($B27,'Euro Prices'!$A$1:$R$448,5,FALSE) / VLOOKUP($B26,'Euro Prices'!$A$1:$R$448,5,FALSE) - 1</f>
        <v>1.9125815667575541E-3</v>
      </c>
      <c r="K27" s="15">
        <f>VLOOKUP($B27,'Euro Prices'!$A$1:$R$448,12,FALSE) / VLOOKUP($B26,'Euro Prices'!$A$1:$R$448,12,FALSE) - 1</f>
        <v>2.5177758724792554E-5</v>
      </c>
      <c r="L27" s="15">
        <f>VLOOKUP($B27,'Euro Prices'!$A$1:$R$448,13,FALSE) / VLOOKUP($B26,'Euro Prices'!$A$1:$R$448,13,FALSE) - 1</f>
        <v>2.8547387456598905E-3</v>
      </c>
      <c r="M27" s="15">
        <f>VLOOKUP($B27,'Euro Prices'!$A$1:$R$448,2,FALSE) / VLOOKUP($B26,'Euro Prices'!$A$1:$R$448,2,FALSE) - 1</f>
        <v>-1.2550086189961673E-2</v>
      </c>
      <c r="N27" s="15">
        <f>VLOOKUP($B27,'Euro Prices'!$A$1:$R$448,15,FALSE) / VLOOKUP($B26,'Euro Prices'!$A$1:$R$448,15,FALSE) - 1</f>
        <v>-1.2898543190421163E-2</v>
      </c>
      <c r="O27" s="15">
        <f>VLOOKUP($B27,'Euro Prices'!$A$1:$R$448,14,FALSE) / VLOOKUP($B26,'Euro Prices'!$A$1:$R$448,14,FALSE) - 1</f>
        <v>-1.6042023538630046E-2</v>
      </c>
      <c r="P27" s="15">
        <f>VLOOKUP($B27,'Euro Prices'!$A$1:$R$448,6,FALSE) / VLOOKUP($B26,'Euro Prices'!$A$1:$R$448,6,FALSE) - 1</f>
        <v>-2.2384573777349259E-2</v>
      </c>
      <c r="R27" s="29">
        <v>44490</v>
      </c>
      <c r="S27" s="15">
        <f>VLOOKUP($B27,'Euro Prices'!$A$1:$R$448,17,FALSE) / VLOOKUP($B26,'Euro Prices'!$A$1:$R$448,17,FALSE) - 1</f>
        <v>2.3572987243344334E-2</v>
      </c>
      <c r="T27" s="15">
        <f>VLOOKUP($B27,'Euro Prices'!$A$1:$R$448,18,FALSE) / VLOOKUP($B26,'Euro Prices'!$A$1:$R$448,18,FALSE) - 1</f>
        <v>2.173235863456302E-4</v>
      </c>
    </row>
    <row r="28" spans="2:20" x14ac:dyDescent="0.75">
      <c r="B28" s="28">
        <v>44491</v>
      </c>
      <c r="C28" s="13">
        <f>VLOOKUP($B28,'Euro Prices'!$A$1:$R$448,3,FALSE) / VLOOKUP($B27,'Euro Prices'!$A$1:$R$448,3,FALSE) - 1</f>
        <v>3.9009613605129889E-3</v>
      </c>
      <c r="D28" s="13">
        <f>VLOOKUP($B28,'Euro Prices'!$A$1:$R$448,7,FALSE) / VLOOKUP($B27,'Euro Prices'!$A$1:$R$448,7,FALSE) - 1</f>
        <v>9.2460282280806272E-3</v>
      </c>
      <c r="E28" s="13">
        <f>VLOOKUP($B28,'Euro Prices'!$A$1:$R$448,8,FALSE) / VLOOKUP($B27,'Euro Prices'!$A$1:$R$448,8,FALSE) - 1</f>
        <v>5.6465492173503051E-3</v>
      </c>
      <c r="F28" s="13">
        <f>VLOOKUP($B28,'Euro Prices'!$A$1:$R$448,9,FALSE) / VLOOKUP($B27,'Euro Prices'!$A$1:$R$448,9,FALSE) - 1</f>
        <v>-9.8424635135081484E-3</v>
      </c>
      <c r="G28" s="13">
        <f>VLOOKUP($B28,'Euro Prices'!$A$1:$R$448,10,FALSE) / VLOOKUP($B27,'Euro Prices'!$A$1:$R$448,10,FALSE) - 1</f>
        <v>2.335819884806023E-3</v>
      </c>
      <c r="H28" s="13">
        <f>VLOOKUP($B28,'Euro Prices'!$A$1:$R$448,11,FALSE) / VLOOKUP($B27,'Euro Prices'!$A$1:$R$448,11,FALSE) - 1</f>
        <v>-4.1459526530006618E-3</v>
      </c>
      <c r="I28" s="13">
        <f>VLOOKUP($B28,'Euro Prices'!$A$1:$R$448,4,FALSE) / VLOOKUP($B27,'Euro Prices'!$A$1:$R$448,4,FALSE) - 1</f>
        <v>1.9325661869162847E-3</v>
      </c>
      <c r="J28" s="13">
        <f>VLOOKUP($B28,'Euro Prices'!$A$1:$R$448,5,FALSE) / VLOOKUP($B27,'Euro Prices'!$A$1:$R$448,5,FALSE) - 1</f>
        <v>0</v>
      </c>
      <c r="K28" s="13">
        <f>VLOOKUP($B28,'Euro Prices'!$A$1:$R$448,12,FALSE) / VLOOKUP($B27,'Euro Prices'!$A$1:$R$448,12,FALSE) - 1</f>
        <v>-2.4124582657815141E-3</v>
      </c>
      <c r="L28" s="13">
        <f>VLOOKUP($B28,'Euro Prices'!$A$1:$R$448,13,FALSE) / VLOOKUP($B27,'Euro Prices'!$A$1:$R$448,13,FALSE) - 1</f>
        <v>-2.0100004495204882E-3</v>
      </c>
      <c r="M28" s="13">
        <f>VLOOKUP($B28,'Euro Prices'!$A$1:$R$448,2,FALSE) / VLOOKUP($B27,'Euro Prices'!$A$1:$R$448,2,FALSE) - 1</f>
        <v>1.2253086048099604E-3</v>
      </c>
      <c r="N28" s="13">
        <f>VLOOKUP($B28,'Euro Prices'!$A$1:$R$448,15,FALSE) / VLOOKUP($B27,'Euro Prices'!$A$1:$R$448,15,FALSE) - 1</f>
        <v>3.1305766061471285E-3</v>
      </c>
      <c r="O28" s="13">
        <f>VLOOKUP($B28,'Euro Prices'!$A$1:$R$448,14,FALSE) / VLOOKUP($B27,'Euro Prices'!$A$1:$R$448,14,FALSE) - 1</f>
        <v>4.7244425604577867E-3</v>
      </c>
      <c r="P28" s="13">
        <f>VLOOKUP($B28,'Euro Prices'!$A$1:$R$448,6,FALSE) / VLOOKUP($B27,'Euro Prices'!$A$1:$R$448,6,FALSE) - 1</f>
        <v>5.0933421739645768E-2</v>
      </c>
      <c r="R28" s="28">
        <v>44491</v>
      </c>
      <c r="S28" s="13">
        <f>VLOOKUP($B28,'Euro Prices'!$A$1:$R$448,17,FALSE) / VLOOKUP($B27,'Euro Prices'!$A$1:$R$448,17,FALSE) - 1</f>
        <v>1.9892265175089685E-2</v>
      </c>
      <c r="T28" s="13">
        <f>VLOOKUP($B28,'Euro Prices'!$A$1:$R$448,18,FALSE) / VLOOKUP($B27,'Euro Prices'!$A$1:$R$448,18,FALSE) - 1</f>
        <v>3.1128374058790875E-3</v>
      </c>
    </row>
    <row r="29" spans="2:20" x14ac:dyDescent="0.75">
      <c r="B29" s="28">
        <v>44494</v>
      </c>
      <c r="C29" s="13">
        <f>VLOOKUP($B29,'Euro Prices'!$A$1:$R$448,3,FALSE) / VLOOKUP($B28,'Euro Prices'!$A$1:$R$448,3,FALSE) - 1</f>
        <v>-1.8252152266281518E-3</v>
      </c>
      <c r="D29" s="13">
        <f>VLOOKUP($B29,'Euro Prices'!$A$1:$R$448,7,FALSE) / VLOOKUP($B28,'Euro Prices'!$A$1:$R$448,7,FALSE) - 1</f>
        <v>1.1741600528785145E-3</v>
      </c>
      <c r="E29" s="13">
        <f>VLOOKUP($B29,'Euro Prices'!$A$1:$R$448,8,FALSE) / VLOOKUP($B28,'Euro Prices'!$A$1:$R$448,8,FALSE) - 1</f>
        <v>8.4820608995459512E-3</v>
      </c>
      <c r="F29" s="13">
        <f>VLOOKUP($B29,'Euro Prices'!$A$1:$R$448,9,FALSE) / VLOOKUP($B28,'Euro Prices'!$A$1:$R$448,9,FALSE) - 1</f>
        <v>1.1623744955417736E-2</v>
      </c>
      <c r="G29" s="13">
        <f>VLOOKUP($B29,'Euro Prices'!$A$1:$R$448,10,FALSE) / VLOOKUP($B28,'Euro Prices'!$A$1:$R$448,10,FALSE) - 1</f>
        <v>-1.4505362001296929E-3</v>
      </c>
      <c r="H29" s="13">
        <f>VLOOKUP($B29,'Euro Prices'!$A$1:$R$448,11,FALSE) / VLOOKUP($B28,'Euro Prices'!$A$1:$R$448,11,FALSE) - 1</f>
        <v>1.0343919568374549E-2</v>
      </c>
      <c r="I29" s="13">
        <f>VLOOKUP($B29,'Euro Prices'!$A$1:$R$448,4,FALSE) / VLOOKUP($B28,'Euro Prices'!$A$1:$R$448,4,FALSE) - 1</f>
        <v>2.1396781882585536E-3</v>
      </c>
      <c r="J29" s="13">
        <f>VLOOKUP($B29,'Euro Prices'!$A$1:$R$448,5,FALSE) / VLOOKUP($B28,'Euro Prices'!$A$1:$R$448,5,FALSE) - 1</f>
        <v>1.9961596087105793E-3</v>
      </c>
      <c r="K29" s="13">
        <f>VLOOKUP($B29,'Euro Prices'!$A$1:$R$448,12,FALSE) / VLOOKUP($B28,'Euro Prices'!$A$1:$R$448,12,FALSE) - 1</f>
        <v>2.9034894565567182E-3</v>
      </c>
      <c r="L29" s="13">
        <f>VLOOKUP($B29,'Euro Prices'!$A$1:$R$448,13,FALSE) / VLOOKUP($B28,'Euro Prices'!$A$1:$R$448,13,FALSE) - 1</f>
        <v>1.1741600528785145E-3</v>
      </c>
      <c r="M29" s="13">
        <f>VLOOKUP($B29,'Euro Prices'!$A$1:$R$448,2,FALSE) / VLOOKUP($B28,'Euro Prices'!$A$1:$R$448,2,FALSE) - 1</f>
        <v>1.0705635583380335E-2</v>
      </c>
      <c r="N29" s="13">
        <f>VLOOKUP($B29,'Euro Prices'!$A$1:$R$448,15,FALSE) / VLOOKUP($B28,'Euro Prices'!$A$1:$R$448,15,FALSE) - 1</f>
        <v>6.0840917147453322E-3</v>
      </c>
      <c r="O29" s="13">
        <f>VLOOKUP($B29,'Euro Prices'!$A$1:$R$448,14,FALSE) / VLOOKUP($B28,'Euro Prices'!$A$1:$R$448,14,FALSE) - 1</f>
        <v>2.3143477642540988E-2</v>
      </c>
      <c r="P29" s="13">
        <f>VLOOKUP($B29,'Euro Prices'!$A$1:$R$448,6,FALSE) / VLOOKUP($B28,'Euro Prices'!$A$1:$R$448,6,FALSE) - 1</f>
        <v>-5.8378511845647019E-3</v>
      </c>
      <c r="R29" s="28">
        <v>44494</v>
      </c>
      <c r="S29" s="13">
        <f>VLOOKUP($B29,'Euro Prices'!$A$1:$R$448,17,FALSE) / VLOOKUP($B28,'Euro Prices'!$A$1:$R$448,17,FALSE) - 1</f>
        <v>5.7089000011854019E-3</v>
      </c>
      <c r="T29" s="13">
        <f>VLOOKUP($B29,'Euro Prices'!$A$1:$R$448,18,FALSE) / VLOOKUP($B28,'Euro Prices'!$A$1:$R$448,18,FALSE) - 1</f>
        <v>1.9508098349081404E-3</v>
      </c>
    </row>
    <row r="30" spans="2:20" x14ac:dyDescent="0.75">
      <c r="B30" s="28">
        <v>44495</v>
      </c>
      <c r="C30" s="13">
        <f>VLOOKUP($B30,'Euro Prices'!$A$1:$R$448,3,FALSE) / VLOOKUP($B29,'Euro Prices'!$A$1:$R$448,3,FALSE) - 1</f>
        <v>1.0381089036936686E-2</v>
      </c>
      <c r="D30" s="13">
        <f>VLOOKUP($B30,'Euro Prices'!$A$1:$R$448,7,FALSE) / VLOOKUP($B29,'Euro Prices'!$A$1:$R$448,7,FALSE) - 1</f>
        <v>-2.3664213966443359E-3</v>
      </c>
      <c r="E30" s="13">
        <f>VLOOKUP($B30,'Euro Prices'!$A$1:$R$448,8,FALSE) / VLOOKUP($B29,'Euro Prices'!$A$1:$R$448,8,FALSE) - 1</f>
        <v>2.8353392326434523E-3</v>
      </c>
      <c r="F30" s="13">
        <f>VLOOKUP($B30,'Euro Prices'!$A$1:$R$448,9,FALSE) / VLOOKUP($B29,'Euro Prices'!$A$1:$R$448,9,FALSE) - 1</f>
        <v>1.1995203251361275E-2</v>
      </c>
      <c r="G30" s="13">
        <f>VLOOKUP($B30,'Euro Prices'!$A$1:$R$448,10,FALSE) / VLOOKUP($B29,'Euro Prices'!$A$1:$R$448,10,FALSE) - 1</f>
        <v>4.6699359620019365E-3</v>
      </c>
      <c r="H30" s="13">
        <f>VLOOKUP($B30,'Euro Prices'!$A$1:$R$448,11,FALSE) / VLOOKUP($B29,'Euro Prices'!$A$1:$R$448,11,FALSE) - 1</f>
        <v>-1.3168750541299179E-3</v>
      </c>
      <c r="I30" s="13">
        <f>VLOOKUP($B30,'Euro Prices'!$A$1:$R$448,4,FALSE) / VLOOKUP($B29,'Euro Prices'!$A$1:$R$448,4,FALSE) - 1</f>
        <v>3.0027295959422773E-3</v>
      </c>
      <c r="J30" s="13">
        <f>VLOOKUP($B30,'Euro Prices'!$A$1:$R$448,5,FALSE) / VLOOKUP($B29,'Euro Prices'!$A$1:$R$448,5,FALSE) - 1</f>
        <v>1.6176191858110478E-3</v>
      </c>
      <c r="K30" s="13">
        <f>VLOOKUP($B30,'Euro Prices'!$A$1:$R$448,12,FALSE) / VLOOKUP($B29,'Euro Prices'!$A$1:$R$448,12,FALSE) - 1</f>
        <v>1.3914836596546909E-3</v>
      </c>
      <c r="L30" s="13">
        <f>VLOOKUP($B30,'Euro Prices'!$A$1:$R$448,13,FALSE) / VLOOKUP($B29,'Euro Prices'!$A$1:$R$448,13,FALSE) - 1</f>
        <v>1.161224755058976E-3</v>
      </c>
      <c r="M30" s="13">
        <f>VLOOKUP($B30,'Euro Prices'!$A$1:$R$448,2,FALSE) / VLOOKUP($B29,'Euro Prices'!$A$1:$R$448,2,FALSE) - 1</f>
        <v>3.0261181688178151E-3</v>
      </c>
      <c r="N30" s="13">
        <f>VLOOKUP($B30,'Euro Prices'!$A$1:$R$448,15,FALSE) / VLOOKUP($B29,'Euro Prices'!$A$1:$R$448,15,FALSE) - 1</f>
        <v>2.9378642577477798E-3</v>
      </c>
      <c r="O30" s="13">
        <f>VLOOKUP($B30,'Euro Prices'!$A$1:$R$448,14,FALSE) / VLOOKUP($B29,'Euro Prices'!$A$1:$R$448,14,FALSE) - 1</f>
        <v>1.161224755058754E-3</v>
      </c>
      <c r="P30" s="13">
        <f>VLOOKUP($B30,'Euro Prices'!$A$1:$R$448,6,FALSE) / VLOOKUP($B29,'Euro Prices'!$A$1:$R$448,6,FALSE) - 1</f>
        <v>-4.8789826709644823E-2</v>
      </c>
      <c r="R30" s="28">
        <v>44495</v>
      </c>
      <c r="S30" s="13">
        <f>VLOOKUP($B30,'Euro Prices'!$A$1:$R$448,17,FALSE) / VLOOKUP($B29,'Euro Prices'!$A$1:$R$448,17,FALSE) - 1</f>
        <v>-1.2519710679104068E-2</v>
      </c>
      <c r="T30" s="13">
        <f>VLOOKUP($B30,'Euro Prices'!$A$1:$R$448,18,FALSE) / VLOOKUP($B29,'Euro Prices'!$A$1:$R$448,18,FALSE) - 1</f>
        <v>3.4895600320890008E-3</v>
      </c>
    </row>
    <row r="31" spans="2:20" x14ac:dyDescent="0.75">
      <c r="B31" s="28">
        <v>44496</v>
      </c>
      <c r="C31" s="13">
        <f>VLOOKUP($B31,'Euro Prices'!$A$1:$R$448,3,FALSE) / VLOOKUP($B30,'Euro Prices'!$A$1:$R$448,3,FALSE) - 1</f>
        <v>2.9190339093521089E-4</v>
      </c>
      <c r="D31" s="13">
        <f>VLOOKUP($B31,'Euro Prices'!$A$1:$R$448,7,FALSE) / VLOOKUP($B30,'Euro Prices'!$A$1:$R$448,7,FALSE) - 1</f>
        <v>-2.1375363460790164E-2</v>
      </c>
      <c r="E31" s="13">
        <f>VLOOKUP($B31,'Euro Prices'!$A$1:$R$448,8,FALSE) / VLOOKUP($B30,'Euro Prices'!$A$1:$R$448,8,FALSE) - 1</f>
        <v>-1.7966937281243434E-2</v>
      </c>
      <c r="F31" s="13">
        <f>VLOOKUP($B31,'Euro Prices'!$A$1:$R$448,9,FALSE) / VLOOKUP($B30,'Euro Prices'!$A$1:$R$448,9,FALSE) - 1</f>
        <v>-9.4065626512561673E-3</v>
      </c>
      <c r="G31" s="13">
        <f>VLOOKUP($B31,'Euro Prices'!$A$1:$R$448,10,FALSE) / VLOOKUP($B30,'Euro Prices'!$A$1:$R$448,10,FALSE) - 1</f>
        <v>-9.4740218700285483E-3</v>
      </c>
      <c r="H31" s="13">
        <f>VLOOKUP($B31,'Euro Prices'!$A$1:$R$448,11,FALSE) / VLOOKUP($B30,'Euro Prices'!$A$1:$R$448,11,FALSE) - 1</f>
        <v>-1.091333982151399E-2</v>
      </c>
      <c r="I31" s="13">
        <f>VLOOKUP($B31,'Euro Prices'!$A$1:$R$448,4,FALSE) / VLOOKUP($B30,'Euro Prices'!$A$1:$R$448,4,FALSE) - 1</f>
        <v>3.1593875728701537E-3</v>
      </c>
      <c r="J31" s="13">
        <f>VLOOKUP($B31,'Euro Prices'!$A$1:$R$448,5,FALSE) / VLOOKUP($B30,'Euro Prices'!$A$1:$R$448,5,FALSE) - 1</f>
        <v>2.1151104504146812E-3</v>
      </c>
      <c r="K31" s="13">
        <f>VLOOKUP($B31,'Euro Prices'!$A$1:$R$448,12,FALSE) / VLOOKUP($B30,'Euro Prices'!$A$1:$R$448,12,FALSE) - 1</f>
        <v>-9.6678021385998569E-4</v>
      </c>
      <c r="L31" s="13">
        <f>VLOOKUP($B31,'Euro Prices'!$A$1:$R$448,13,FALSE) / VLOOKUP($B30,'Euro Prices'!$A$1:$R$448,13,FALSE) - 1</f>
        <v>8.4442436985265878E-4</v>
      </c>
      <c r="M31" s="13">
        <f>VLOOKUP($B31,'Euro Prices'!$A$1:$R$448,2,FALSE) / VLOOKUP($B30,'Euro Prices'!$A$1:$R$448,2,FALSE) - 1</f>
        <v>-1.3954754225295574E-2</v>
      </c>
      <c r="N31" s="13">
        <f>VLOOKUP($B31,'Euro Prices'!$A$1:$R$448,15,FALSE) / VLOOKUP($B30,'Euro Prices'!$A$1:$R$448,15,FALSE) - 1</f>
        <v>-1.7874286775483528E-2</v>
      </c>
      <c r="O31" s="13">
        <f>VLOOKUP($B31,'Euro Prices'!$A$1:$R$448,14,FALSE) / VLOOKUP($B30,'Euro Prices'!$A$1:$R$448,14,FALSE) - 1</f>
        <v>-7.8298840509959389E-3</v>
      </c>
      <c r="P31" s="13">
        <f>VLOOKUP($B31,'Euro Prices'!$A$1:$R$448,6,FALSE) / VLOOKUP($B30,'Euro Prices'!$A$1:$R$448,6,FALSE) - 1</f>
        <v>8.3033966017195704E-2</v>
      </c>
      <c r="R31" s="28">
        <v>44496</v>
      </c>
      <c r="S31" s="13">
        <f>VLOOKUP($B31,'Euro Prices'!$A$1:$R$448,17,FALSE) / VLOOKUP($B30,'Euro Prices'!$A$1:$R$448,17,FALSE) - 1</f>
        <v>-9.6769445769724349E-3</v>
      </c>
      <c r="T31" s="13">
        <f>VLOOKUP($B31,'Euro Prices'!$A$1:$R$448,18,FALSE) / VLOOKUP($B30,'Euro Prices'!$A$1:$R$448,18,FALSE) - 1</f>
        <v>6.0237624374004373E-3</v>
      </c>
    </row>
    <row r="32" spans="2:20" x14ac:dyDescent="0.75">
      <c r="B32" s="28">
        <v>44497</v>
      </c>
      <c r="C32" s="13">
        <f>VLOOKUP($B32,'Euro Prices'!$A$1:$R$448,3,FALSE) / VLOOKUP($B31,'Euro Prices'!$A$1:$R$448,3,FALSE) - 1</f>
        <v>-1.0738322329375438E-2</v>
      </c>
      <c r="D32" s="13">
        <f>VLOOKUP($B32,'Euro Prices'!$A$1:$R$448,7,FALSE) / VLOOKUP($B31,'Euro Prices'!$A$1:$R$448,7,FALSE) - 1</f>
        <v>3.6149782618806192E-3</v>
      </c>
      <c r="E32" s="13">
        <f>VLOOKUP($B32,'Euro Prices'!$A$1:$R$448,8,FALSE) / VLOOKUP($B31,'Euro Prices'!$A$1:$R$448,8,FALSE) - 1</f>
        <v>2.4172087305962542E-3</v>
      </c>
      <c r="F32" s="13">
        <f>VLOOKUP($B32,'Euro Prices'!$A$1:$R$448,9,FALSE) / VLOOKUP($B31,'Euro Prices'!$A$1:$R$448,9,FALSE) - 1</f>
        <v>1.8699662715483623E-2</v>
      </c>
      <c r="G32" s="13">
        <f>VLOOKUP($B32,'Euro Prices'!$A$1:$R$448,10,FALSE) / VLOOKUP($B31,'Euro Prices'!$A$1:$R$448,10,FALSE) - 1</f>
        <v>6.8545835570643643E-3</v>
      </c>
      <c r="H32" s="13">
        <f>VLOOKUP($B32,'Euro Prices'!$A$1:$R$448,11,FALSE) / VLOOKUP($B31,'Euro Prices'!$A$1:$R$448,11,FALSE) - 1</f>
        <v>-7.9758631245587797E-3</v>
      </c>
      <c r="I32" s="13">
        <f>VLOOKUP($B32,'Euro Prices'!$A$1:$R$448,4,FALSE) / VLOOKUP($B31,'Euro Prices'!$A$1:$R$448,4,FALSE) - 1</f>
        <v>-7.924408630878288E-3</v>
      </c>
      <c r="J32" s="13">
        <f>VLOOKUP($B32,'Euro Prices'!$A$1:$R$448,5,FALSE) / VLOOKUP($B31,'Euro Prices'!$A$1:$R$448,5,FALSE) - 1</f>
        <v>-6.6943251977601426E-3</v>
      </c>
      <c r="K32" s="13">
        <f>VLOOKUP($B32,'Euro Prices'!$A$1:$R$448,12,FALSE) / VLOOKUP($B31,'Euro Prices'!$A$1:$R$448,12,FALSE) - 1</f>
        <v>-4.6332958504471389E-3</v>
      </c>
      <c r="L32" s="13">
        <f>VLOOKUP($B32,'Euro Prices'!$A$1:$R$448,13,FALSE) / VLOOKUP($B31,'Euro Prices'!$A$1:$R$448,13,FALSE) - 1</f>
        <v>-7.1456983895489268E-3</v>
      </c>
      <c r="M32" s="13">
        <f>VLOOKUP($B32,'Euro Prices'!$A$1:$R$448,2,FALSE) / VLOOKUP($B31,'Euro Prices'!$A$1:$R$448,2,FALSE) - 1</f>
        <v>-3.3659461961829118E-3</v>
      </c>
      <c r="N32" s="13">
        <f>VLOOKUP($B32,'Euro Prices'!$A$1:$R$448,15,FALSE) / VLOOKUP($B31,'Euro Prices'!$A$1:$R$448,15,FALSE) - 1</f>
        <v>-3.5646223170849867E-3</v>
      </c>
      <c r="O32" s="13">
        <f>VLOOKUP($B32,'Euro Prices'!$A$1:$R$448,14,FALSE) / VLOOKUP($B31,'Euro Prices'!$A$1:$R$448,14,FALSE) - 1</f>
        <v>-1.7887506793160646E-2</v>
      </c>
      <c r="P32" s="13">
        <f>VLOOKUP($B32,'Euro Prices'!$A$1:$R$448,6,FALSE) / VLOOKUP($B31,'Euro Prices'!$A$1:$R$448,6,FALSE) - 1</f>
        <v>4.0517434014039289E-2</v>
      </c>
      <c r="R32" s="28">
        <v>44497</v>
      </c>
      <c r="S32" s="13">
        <f>VLOOKUP($B32,'Euro Prices'!$A$1:$R$448,17,FALSE) / VLOOKUP($B31,'Euro Prices'!$A$1:$R$448,17,FALSE) - 1</f>
        <v>2.1424217334538476E-2</v>
      </c>
      <c r="T32" s="13">
        <f>VLOOKUP($B32,'Euro Prices'!$A$1:$R$448,18,FALSE) / VLOOKUP($B31,'Euro Prices'!$A$1:$R$448,18,FALSE) - 1</f>
        <v>-9.4351918763461162E-3</v>
      </c>
    </row>
    <row r="33" spans="2:20" x14ac:dyDescent="0.75">
      <c r="B33" s="28">
        <v>44498</v>
      </c>
      <c r="C33" s="13">
        <f>VLOOKUP($B33,'Euro Prices'!$A$1:$R$448,3,FALSE) / VLOOKUP($B32,'Euro Prices'!$A$1:$R$448,3,FALSE) - 1</f>
        <v>2.0058498477875109E-3</v>
      </c>
      <c r="D33" s="13">
        <f>VLOOKUP($B33,'Euro Prices'!$A$1:$R$448,7,FALSE) / VLOOKUP($B32,'Euro Prices'!$A$1:$R$448,7,FALSE) - 1</f>
        <v>-5.7183649045624563E-3</v>
      </c>
      <c r="E33" s="13">
        <f>VLOOKUP($B33,'Euro Prices'!$A$1:$R$448,8,FALSE) / VLOOKUP($B32,'Euro Prices'!$A$1:$R$448,8,FALSE) - 1</f>
        <v>-4.4893336181894838E-3</v>
      </c>
      <c r="F33" s="13">
        <f>VLOOKUP($B33,'Euro Prices'!$A$1:$R$448,9,FALSE) / VLOOKUP($B32,'Euro Prices'!$A$1:$R$448,9,FALSE) - 1</f>
        <v>1.0531413457681493E-2</v>
      </c>
      <c r="G33" s="13">
        <f>VLOOKUP($B33,'Euro Prices'!$A$1:$R$448,10,FALSE) / VLOOKUP($B32,'Euro Prices'!$A$1:$R$448,10,FALSE) - 1</f>
        <v>4.634989724518368E-3</v>
      </c>
      <c r="H33" s="13">
        <f>VLOOKUP($B33,'Euro Prices'!$A$1:$R$448,11,FALSE) / VLOOKUP($B32,'Euro Prices'!$A$1:$R$448,11,FALSE) - 1</f>
        <v>-9.204992337490614E-3</v>
      </c>
      <c r="I33" s="13">
        <f>VLOOKUP($B33,'Euro Prices'!$A$1:$R$448,4,FALSE) / VLOOKUP($B32,'Euro Prices'!$A$1:$R$448,4,FALSE) - 1</f>
        <v>-2.6162123735640197E-4</v>
      </c>
      <c r="J33" s="13">
        <f>VLOOKUP($B33,'Euro Prices'!$A$1:$R$448,5,FALSE) / VLOOKUP($B32,'Euro Prices'!$A$1:$R$448,5,FALSE) - 1</f>
        <v>-9.093861643938439E-5</v>
      </c>
      <c r="K33" s="13">
        <f>VLOOKUP($B33,'Euro Prices'!$A$1:$R$448,12,FALSE) / VLOOKUP($B32,'Euro Prices'!$A$1:$R$448,12,FALSE) - 1</f>
        <v>-2.6388690455857455E-3</v>
      </c>
      <c r="L33" s="13">
        <f>VLOOKUP($B33,'Euro Prices'!$A$1:$R$448,13,FALSE) / VLOOKUP($B32,'Euro Prices'!$A$1:$R$448,13,FALSE) - 1</f>
        <v>-1.0059633430221648E-3</v>
      </c>
      <c r="M33" s="13">
        <f>VLOOKUP($B33,'Euro Prices'!$A$1:$R$448,2,FALSE) / VLOOKUP($B32,'Euro Prices'!$A$1:$R$448,2,FALSE) - 1</f>
        <v>-1.0740670886848491E-3</v>
      </c>
      <c r="N33" s="13">
        <f>VLOOKUP($B33,'Euro Prices'!$A$1:$R$448,15,FALSE) / VLOOKUP($B32,'Euro Prices'!$A$1:$R$448,15,FALSE) - 1</f>
        <v>-5.8401198013701139E-3</v>
      </c>
      <c r="O33" s="13">
        <f>VLOOKUP($B33,'Euro Prices'!$A$1:$R$448,14,FALSE) / VLOOKUP($B32,'Euro Prices'!$A$1:$R$448,14,FALSE) - 1</f>
        <v>-9.3749909196049197E-3</v>
      </c>
      <c r="P33" s="13">
        <f>VLOOKUP($B33,'Euro Prices'!$A$1:$R$448,6,FALSE) / VLOOKUP($B32,'Euro Prices'!$A$1:$R$448,6,FALSE) - 1</f>
        <v>-2.0181532198349172E-2</v>
      </c>
      <c r="R33" s="28">
        <v>44498</v>
      </c>
      <c r="S33" s="13">
        <f>VLOOKUP($B33,'Euro Prices'!$A$1:$R$448,17,FALSE) / VLOOKUP($B32,'Euro Prices'!$A$1:$R$448,17,FALSE) - 1</f>
        <v>1.4572791637682325E-2</v>
      </c>
      <c r="T33" s="13">
        <f>VLOOKUP($B33,'Euro Prices'!$A$1:$R$448,18,FALSE) / VLOOKUP($B32,'Euro Prices'!$A$1:$R$448,18,FALSE) - 1</f>
        <v>7.7043368524476463E-4</v>
      </c>
    </row>
    <row r="34" spans="2:20" x14ac:dyDescent="0.75">
      <c r="B34" s="28">
        <v>44501</v>
      </c>
      <c r="C34" s="13">
        <f>VLOOKUP($B34,'Euro Prices'!$A$1:$R$448,3,FALSE) / VLOOKUP($B33,'Euro Prices'!$A$1:$R$448,3,FALSE) - 1</f>
        <v>1.0774133096884908E-2</v>
      </c>
      <c r="D34" s="13">
        <f>VLOOKUP($B34,'Euro Prices'!$A$1:$R$448,7,FALSE) / VLOOKUP($B33,'Euro Prices'!$A$1:$R$448,7,FALSE) - 1</f>
        <v>2.2611436154256426E-2</v>
      </c>
      <c r="E34" s="13">
        <f>VLOOKUP($B34,'Euro Prices'!$A$1:$R$448,8,FALSE) / VLOOKUP($B33,'Euro Prices'!$A$1:$R$448,8,FALSE) - 1</f>
        <v>1.8391217798029436E-2</v>
      </c>
      <c r="F34" s="13">
        <f>VLOOKUP($B34,'Euro Prices'!$A$1:$R$448,9,FALSE) / VLOOKUP($B33,'Euro Prices'!$A$1:$R$448,9,FALSE) - 1</f>
        <v>3.3970342487185778E-2</v>
      </c>
      <c r="G34" s="13">
        <f>VLOOKUP($B34,'Euro Prices'!$A$1:$R$448,10,FALSE) / VLOOKUP($B33,'Euro Prices'!$A$1:$R$448,10,FALSE) - 1</f>
        <v>1.5646878479582238E-2</v>
      </c>
      <c r="H34" s="13">
        <f>VLOOKUP($B34,'Euro Prices'!$A$1:$R$448,11,FALSE) / VLOOKUP($B33,'Euro Prices'!$A$1:$R$448,11,FALSE) - 1</f>
        <v>1.5251971809953968E-2</v>
      </c>
      <c r="I34" s="13">
        <f>VLOOKUP($B34,'Euro Prices'!$A$1:$R$448,4,FALSE) / VLOOKUP($B33,'Euro Prices'!$A$1:$R$448,4,FALSE) - 1</f>
        <v>1.0364322097553558E-2</v>
      </c>
      <c r="J34" s="13">
        <f>VLOOKUP($B34,'Euro Prices'!$A$1:$R$448,5,FALSE) / VLOOKUP($B33,'Euro Prices'!$A$1:$R$448,5,FALSE) - 1</f>
        <v>1.0798501203730382E-2</v>
      </c>
      <c r="K34" s="13">
        <f>VLOOKUP($B34,'Euro Prices'!$A$1:$R$448,12,FALSE) / VLOOKUP($B33,'Euro Prices'!$A$1:$R$448,12,FALSE) - 1</f>
        <v>9.8975431045424944E-3</v>
      </c>
      <c r="L34" s="13">
        <f>VLOOKUP($B34,'Euro Prices'!$A$1:$R$448,13,FALSE) / VLOOKUP($B33,'Euro Prices'!$A$1:$R$448,13,FALSE) - 1</f>
        <v>1.2000638914377637E-2</v>
      </c>
      <c r="M34" s="13">
        <f>VLOOKUP($B34,'Euro Prices'!$A$1:$R$448,2,FALSE) / VLOOKUP($B33,'Euro Prices'!$A$1:$R$448,2,FALSE) - 1</f>
        <v>0</v>
      </c>
      <c r="N34" s="13">
        <f>VLOOKUP($B34,'Euro Prices'!$A$1:$R$448,15,FALSE) / VLOOKUP($B33,'Euro Prices'!$A$1:$R$448,15,FALSE) - 1</f>
        <v>1.6921547031775175E-2</v>
      </c>
      <c r="O34" s="13">
        <f>VLOOKUP($B34,'Euro Prices'!$A$1:$R$448,14,FALSE) / VLOOKUP($B33,'Euro Prices'!$A$1:$R$448,14,FALSE) - 1</f>
        <v>1.2577173575430978E-2</v>
      </c>
      <c r="P34" s="13">
        <f>VLOOKUP($B34,'Euro Prices'!$A$1:$R$448,6,FALSE) / VLOOKUP($B33,'Euro Prices'!$A$1:$R$448,6,FALSE) - 1</f>
        <v>-3.5527245874668045E-3</v>
      </c>
      <c r="R34" s="28">
        <v>44501</v>
      </c>
      <c r="S34" s="13">
        <f>VLOOKUP($B34,'Euro Prices'!$A$1:$R$448,17,FALSE) / VLOOKUP($B33,'Euro Prices'!$A$1:$R$448,17,FALSE) - 1</f>
        <v>-8.3209178886456403E-4</v>
      </c>
      <c r="T34" s="13">
        <f>VLOOKUP($B34,'Euro Prices'!$A$1:$R$448,18,FALSE) / VLOOKUP($B33,'Euro Prices'!$A$1:$R$448,18,FALSE) - 1</f>
        <v>8.6477913073923496E-3</v>
      </c>
    </row>
    <row r="35" spans="2:20" x14ac:dyDescent="0.75">
      <c r="B35" s="28">
        <v>44502</v>
      </c>
      <c r="C35" s="13">
        <f>VLOOKUP($B35,'Euro Prices'!$A$1:$R$448,3,FALSE) / VLOOKUP($B34,'Euro Prices'!$A$1:$R$448,3,FALSE) - 1</f>
        <v>4.834586827024534E-3</v>
      </c>
      <c r="D35" s="13">
        <f>VLOOKUP($B35,'Euro Prices'!$A$1:$R$448,7,FALSE) / VLOOKUP($B34,'Euro Prices'!$A$1:$R$448,7,FALSE) - 1</f>
        <v>-7.9467174017568976E-3</v>
      </c>
      <c r="E35" s="13">
        <f>VLOOKUP($B35,'Euro Prices'!$A$1:$R$448,8,FALSE) / VLOOKUP($B34,'Euro Prices'!$A$1:$R$448,8,FALSE) - 1</f>
        <v>8.0098954514014054E-3</v>
      </c>
      <c r="F35" s="13">
        <f>VLOOKUP($B35,'Euro Prices'!$A$1:$R$448,9,FALSE) / VLOOKUP($B34,'Euro Prices'!$A$1:$R$448,9,FALSE) - 1</f>
        <v>1.1530191953339042E-2</v>
      </c>
      <c r="G35" s="13">
        <f>VLOOKUP($B35,'Euro Prices'!$A$1:$R$448,10,FALSE) / VLOOKUP($B34,'Euro Prices'!$A$1:$R$448,10,FALSE) - 1</f>
        <v>-2.6658431715276265E-4</v>
      </c>
      <c r="H35" s="13">
        <f>VLOOKUP($B35,'Euro Prices'!$A$1:$R$448,11,FALSE) / VLOOKUP($B34,'Euro Prices'!$A$1:$R$448,11,FALSE) - 1</f>
        <v>-1.2915442620853201E-2</v>
      </c>
      <c r="I35" s="13">
        <f>VLOOKUP($B35,'Euro Prices'!$A$1:$R$448,4,FALSE) / VLOOKUP($B34,'Euro Prices'!$A$1:$R$448,4,FALSE) - 1</f>
        <v>-1.6948742839677511E-3</v>
      </c>
      <c r="J35" s="13">
        <f>VLOOKUP($B35,'Euro Prices'!$A$1:$R$448,5,FALSE) / VLOOKUP($B34,'Euro Prices'!$A$1:$R$448,5,FALSE) - 1</f>
        <v>-2.336927162962632E-3</v>
      </c>
      <c r="K35" s="13">
        <f>VLOOKUP($B35,'Euro Prices'!$A$1:$R$448,12,FALSE) / VLOOKUP($B34,'Euro Prices'!$A$1:$R$448,12,FALSE) - 1</f>
        <v>-1.2810526189246385E-3</v>
      </c>
      <c r="L35" s="13">
        <f>VLOOKUP($B35,'Euro Prices'!$A$1:$R$448,13,FALSE) / VLOOKUP($B34,'Euro Prices'!$A$1:$R$448,13,FALSE) - 1</f>
        <v>-3.6981330927009504E-3</v>
      </c>
      <c r="M35" s="13">
        <f>VLOOKUP($B35,'Euro Prices'!$A$1:$R$448,2,FALSE) / VLOOKUP($B34,'Euro Prices'!$A$1:$R$448,2,FALSE) - 1</f>
        <v>-2.3826298114125732E-3</v>
      </c>
      <c r="N35" s="13">
        <f>VLOOKUP($B35,'Euro Prices'!$A$1:$R$448,15,FALSE) / VLOOKUP($B34,'Euro Prices'!$A$1:$R$448,15,FALSE) - 1</f>
        <v>-1.0127072473634646E-3</v>
      </c>
      <c r="O35" s="13">
        <f>VLOOKUP($B35,'Euro Prices'!$A$1:$R$448,14,FALSE) / VLOOKUP($B34,'Euro Prices'!$A$1:$R$448,14,FALSE) - 1</f>
        <v>2.577778288230137E-3</v>
      </c>
      <c r="P35" s="13">
        <f>VLOOKUP($B35,'Euro Prices'!$A$1:$R$448,6,FALSE) / VLOOKUP($B34,'Euro Prices'!$A$1:$R$448,6,FALSE) - 1</f>
        <v>6.2032192576583434E-2</v>
      </c>
      <c r="R35" s="28">
        <v>44502</v>
      </c>
      <c r="S35" s="13">
        <f>VLOOKUP($B35,'Euro Prices'!$A$1:$R$448,17,FALSE) / VLOOKUP($B34,'Euro Prices'!$A$1:$R$448,17,FALSE) - 1</f>
        <v>-7.9130858872654697E-3</v>
      </c>
      <c r="T35" s="13">
        <f>VLOOKUP($B35,'Euro Prices'!$A$1:$R$448,18,FALSE) / VLOOKUP($B34,'Euro Prices'!$A$1:$R$448,18,FALSE) - 1</f>
        <v>-2.929364059119921E-3</v>
      </c>
    </row>
    <row r="36" spans="2:20" x14ac:dyDescent="0.75">
      <c r="B36" s="28">
        <v>44503</v>
      </c>
      <c r="C36" s="13">
        <f>VLOOKUP($B36,'Euro Prices'!$A$1:$R$448,3,FALSE) / VLOOKUP($B35,'Euro Prices'!$A$1:$R$448,3,FALSE) - 1</f>
        <v>0</v>
      </c>
      <c r="D36" s="13">
        <f>VLOOKUP($B36,'Euro Prices'!$A$1:$R$448,7,FALSE) / VLOOKUP($B35,'Euro Prices'!$A$1:$R$448,7,FALSE) - 1</f>
        <v>9.6051207356442347E-3</v>
      </c>
      <c r="E36" s="13">
        <f>VLOOKUP($B36,'Euro Prices'!$A$1:$R$448,8,FALSE) / VLOOKUP($B35,'Euro Prices'!$A$1:$R$448,8,FALSE) - 1</f>
        <v>1.7253659414638411E-2</v>
      </c>
      <c r="F36" s="13">
        <f>VLOOKUP($B36,'Euro Prices'!$A$1:$R$448,9,FALSE) / VLOOKUP($B35,'Euro Prices'!$A$1:$R$448,9,FALSE) - 1</f>
        <v>1.179387745311633E-2</v>
      </c>
      <c r="G36" s="13">
        <f>VLOOKUP($B36,'Euro Prices'!$A$1:$R$448,10,FALSE) / VLOOKUP($B35,'Euro Prices'!$A$1:$R$448,10,FALSE) - 1</f>
        <v>1.2914948923349101E-2</v>
      </c>
      <c r="H36" s="13">
        <f>VLOOKUP($B36,'Euro Prices'!$A$1:$R$448,11,FALSE) / VLOOKUP($B35,'Euro Prices'!$A$1:$R$448,11,FALSE) - 1</f>
        <v>7.6926191028969804E-3</v>
      </c>
      <c r="I36" s="13">
        <f>VLOOKUP($B36,'Euro Prices'!$A$1:$R$448,4,FALSE) / VLOOKUP($B35,'Euro Prices'!$A$1:$R$448,4,FALSE) - 1</f>
        <v>-2.7020181142867195E-4</v>
      </c>
      <c r="J36" s="13">
        <f>VLOOKUP($B36,'Euro Prices'!$A$1:$R$448,5,FALSE) / VLOOKUP($B35,'Euro Prices'!$A$1:$R$448,5,FALSE) - 1</f>
        <v>1.9090826084333656E-4</v>
      </c>
      <c r="K36" s="13">
        <f>VLOOKUP($B36,'Euro Prices'!$A$1:$R$448,12,FALSE) / VLOOKUP($B35,'Euro Prices'!$A$1:$R$448,12,FALSE) - 1</f>
        <v>3.7026279395260264E-3</v>
      </c>
      <c r="L36" s="13">
        <f>VLOOKUP($B36,'Euro Prices'!$A$1:$R$448,13,FALSE) / VLOOKUP($B35,'Euro Prices'!$A$1:$R$448,13,FALSE) - 1</f>
        <v>1.7399495203069826E-3</v>
      </c>
      <c r="M36" s="13">
        <f>VLOOKUP($B36,'Euro Prices'!$A$1:$R$448,2,FALSE) / VLOOKUP($B35,'Euro Prices'!$A$1:$R$448,2,FALSE) - 1</f>
        <v>0</v>
      </c>
      <c r="N36" s="13">
        <f>VLOOKUP($B36,'Euro Prices'!$A$1:$R$448,15,FALSE) / VLOOKUP($B35,'Euro Prices'!$A$1:$R$448,15,FALSE) - 1</f>
        <v>-2.1598098841384639E-2</v>
      </c>
      <c r="O36" s="13">
        <f>VLOOKUP($B36,'Euro Prices'!$A$1:$R$448,14,FALSE) / VLOOKUP($B35,'Euro Prices'!$A$1:$R$448,14,FALSE) - 1</f>
        <v>-7.6660506216389424E-3</v>
      </c>
      <c r="P36" s="13">
        <f>VLOOKUP($B36,'Euro Prices'!$A$1:$R$448,6,FALSE) / VLOOKUP($B35,'Euro Prices'!$A$1:$R$448,6,FALSE) - 1</f>
        <v>1.7848393903503457E-3</v>
      </c>
      <c r="R36" s="28">
        <v>44503</v>
      </c>
      <c r="S36" s="13">
        <f>VLOOKUP($B36,'Euro Prices'!$A$1:$R$448,17,FALSE) / VLOOKUP($B35,'Euro Prices'!$A$1:$R$448,17,FALSE) - 1</f>
        <v>-1.1533366936644085E-2</v>
      </c>
      <c r="T36" s="13">
        <f>VLOOKUP($B36,'Euro Prices'!$A$1:$R$448,18,FALSE) / VLOOKUP($B35,'Euro Prices'!$A$1:$R$448,18,FALSE) - 1</f>
        <v>-5.771580901096085E-4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ABF3-2BD9-4E49-8386-A0E3179EC947}">
  <dimension ref="A1:R32"/>
  <sheetViews>
    <sheetView workbookViewId="0">
      <selection activeCell="K9" sqref="K9"/>
    </sheetView>
  </sheetViews>
  <sheetFormatPr defaultRowHeight="14.75" x14ac:dyDescent="0.75"/>
  <cols>
    <col min="1" max="1" width="10.453125" style="11" bestFit="1" customWidth="1"/>
    <col min="2" max="2" width="12.453125" style="23" bestFit="1" customWidth="1"/>
    <col min="3" max="3" width="12.6328125" style="23" bestFit="1" customWidth="1"/>
    <col min="4" max="5" width="9" style="23" bestFit="1" customWidth="1"/>
    <col min="6" max="6" width="10.54296875" style="23" bestFit="1" customWidth="1"/>
    <col min="7" max="16" width="8.81640625" style="23" bestFit="1" customWidth="1"/>
    <col min="17" max="17" width="9" style="23" bestFit="1" customWidth="1"/>
    <col min="18" max="18" width="8.81640625" style="23" bestFit="1" customWidth="1"/>
  </cols>
  <sheetData>
    <row r="1" spans="1:18" x14ac:dyDescent="0.75">
      <c r="A1" s="24" t="s">
        <v>2</v>
      </c>
      <c r="B1" s="24" t="s">
        <v>32</v>
      </c>
      <c r="C1" s="24" t="s">
        <v>12</v>
      </c>
      <c r="D1" s="24" t="s">
        <v>24</v>
      </c>
      <c r="E1" s="24" t="s">
        <v>26</v>
      </c>
      <c r="F1" s="24" t="s">
        <v>38</v>
      </c>
      <c r="G1" s="24" t="s">
        <v>14</v>
      </c>
      <c r="H1" s="24" t="s">
        <v>16</v>
      </c>
      <c r="I1" s="24" t="s">
        <v>18</v>
      </c>
      <c r="J1" s="24" t="s">
        <v>20</v>
      </c>
      <c r="K1" s="24" t="s">
        <v>22</v>
      </c>
      <c r="L1" s="24" t="s">
        <v>28</v>
      </c>
      <c r="M1" s="24" t="s">
        <v>30</v>
      </c>
      <c r="N1" s="24" t="s">
        <v>36</v>
      </c>
      <c r="O1" s="24" t="s">
        <v>34</v>
      </c>
      <c r="P1" s="24" t="s">
        <v>47</v>
      </c>
      <c r="Q1" s="24" t="s">
        <v>45</v>
      </c>
      <c r="R1" s="24" t="s">
        <v>46</v>
      </c>
    </row>
    <row r="2" spans="1:18" x14ac:dyDescent="0.75">
      <c r="A2" s="11">
        <v>44461</v>
      </c>
      <c r="B2" s="23">
        <v>12.396089553833001</v>
      </c>
      <c r="C2" s="23">
        <v>165.259994506835</v>
      </c>
      <c r="D2" s="23">
        <v>99.091962265882245</v>
      </c>
      <c r="E2" s="23">
        <v>95.18927948040654</v>
      </c>
      <c r="F2" s="23">
        <v>2687.82153320312</v>
      </c>
      <c r="G2" s="23">
        <v>11.011571894720001</v>
      </c>
      <c r="H2" s="23">
        <v>13.997616512855467</v>
      </c>
      <c r="I2" s="23">
        <v>17.257452053735683</v>
      </c>
      <c r="J2" s="23">
        <v>29.133179327745381</v>
      </c>
      <c r="K2" s="23">
        <v>10.429763634000773</v>
      </c>
      <c r="L2" s="23">
        <v>74.804964601461464</v>
      </c>
      <c r="M2" s="23">
        <v>8.5423007789703345</v>
      </c>
      <c r="N2" s="23">
        <v>5.0822640455589188</v>
      </c>
      <c r="O2" s="23">
        <v>17.454239661941454</v>
      </c>
      <c r="P2" s="23">
        <v>0.85559999942779497</v>
      </c>
      <c r="Q2" s="23">
        <v>551.99036051951339</v>
      </c>
      <c r="R2" s="23">
        <v>11.27149551362578</v>
      </c>
    </row>
    <row r="3" spans="1:18" x14ac:dyDescent="0.75">
      <c r="A3" s="11">
        <v>44462</v>
      </c>
      <c r="B3" s="23">
        <v>12.598569869995099</v>
      </c>
      <c r="C3" s="23">
        <v>166.78999328613199</v>
      </c>
      <c r="D3" s="23">
        <v>98.164398115774119</v>
      </c>
      <c r="E3" s="23">
        <v>94.398465105492278</v>
      </c>
      <c r="F3" s="23">
        <v>2501.30615234375</v>
      </c>
      <c r="G3" s="23">
        <v>11.226328646007843</v>
      </c>
      <c r="H3" s="23">
        <v>14.21604148398988</v>
      </c>
      <c r="I3" s="23">
        <v>17.469802562045825</v>
      </c>
      <c r="J3" s="23">
        <v>29.215709793409314</v>
      </c>
      <c r="K3" s="23">
        <v>10.459735173229525</v>
      </c>
      <c r="L3" s="23">
        <v>74.503957604587342</v>
      </c>
      <c r="M3" s="23">
        <v>8.5066166642584413</v>
      </c>
      <c r="N3" s="23">
        <v>5.1106199026107779</v>
      </c>
      <c r="O3" s="23">
        <v>17.623121419063732</v>
      </c>
      <c r="P3" s="23">
        <v>0.85176998376846302</v>
      </c>
      <c r="Q3" s="23">
        <v>556.69984054800727</v>
      </c>
      <c r="R3" s="23">
        <v>11.152981822397154</v>
      </c>
    </row>
    <row r="4" spans="1:18" x14ac:dyDescent="0.75">
      <c r="A4" s="11">
        <v>44463</v>
      </c>
      <c r="B4" s="23">
        <v>12.6814403533935</v>
      </c>
      <c r="C4" s="23">
        <v>168.55000305175699</v>
      </c>
      <c r="D4" s="23">
        <v>97.994579594535651</v>
      </c>
      <c r="E4" s="23">
        <v>94.127062200202886</v>
      </c>
      <c r="F4" s="23">
        <v>2496.19506835937</v>
      </c>
      <c r="G4" s="23">
        <v>11.260399412866198</v>
      </c>
      <c r="H4" s="23">
        <v>14.233075648952259</v>
      </c>
      <c r="I4" s="23">
        <v>17.418696817913951</v>
      </c>
      <c r="J4" s="23">
        <v>28.985731507882448</v>
      </c>
      <c r="K4" s="23">
        <v>10.331970000588781</v>
      </c>
      <c r="L4" s="23">
        <v>74.393944679971767</v>
      </c>
      <c r="M4" s="23">
        <v>8.4981012063995465</v>
      </c>
      <c r="N4" s="23">
        <v>5.1532085642614298</v>
      </c>
      <c r="O4" s="23">
        <v>17.725332907327399</v>
      </c>
      <c r="P4" s="23">
        <v>0.85176998376846302</v>
      </c>
      <c r="Q4" s="23">
        <v>563.33511000591488</v>
      </c>
      <c r="R4" s="23">
        <v>11.135967965213695</v>
      </c>
    </row>
    <row r="5" spans="1:18" x14ac:dyDescent="0.75">
      <c r="A5" s="11">
        <v>44466</v>
      </c>
      <c r="B5" s="23">
        <v>12.9269304275512</v>
      </c>
      <c r="C5" s="23">
        <v>169.16000366210901</v>
      </c>
      <c r="D5" s="23">
        <v>98.222345587215344</v>
      </c>
      <c r="E5" s="23">
        <v>94.40019809920787</v>
      </c>
      <c r="F5" s="23">
        <v>2402.2431640625</v>
      </c>
      <c r="G5" s="23">
        <v>11.490325912312125</v>
      </c>
      <c r="H5" s="23">
        <v>14.482599194062779</v>
      </c>
      <c r="I5" s="23">
        <v>17.406476926477747</v>
      </c>
      <c r="J5" s="23">
        <v>28.896802023460342</v>
      </c>
      <c r="K5" s="23">
        <v>10.361811985881541</v>
      </c>
      <c r="L5" s="23">
        <v>74.602424850802336</v>
      </c>
      <c r="M5" s="23">
        <v>8.5296784481873171</v>
      </c>
      <c r="N5" s="23">
        <v>5.2663994104484466</v>
      </c>
      <c r="O5" s="23">
        <v>18.039128623699156</v>
      </c>
      <c r="P5" s="23">
        <v>0.85493499040603604</v>
      </c>
      <c r="Q5" s="23">
        <v>546.02987341079597</v>
      </c>
      <c r="R5" s="23">
        <v>11.168808045174458</v>
      </c>
    </row>
    <row r="6" spans="1:18" x14ac:dyDescent="0.75">
      <c r="A6" s="11">
        <v>44467</v>
      </c>
      <c r="B6" s="23">
        <v>12.9248304367065</v>
      </c>
      <c r="C6" s="23">
        <v>168.52999877929599</v>
      </c>
      <c r="D6" s="23">
        <v>97.900785593119394</v>
      </c>
      <c r="E6" s="23">
        <v>94.109766593609919</v>
      </c>
      <c r="F6" s="23">
        <v>2459.42944335937</v>
      </c>
      <c r="G6" s="23">
        <v>11.320910820259055</v>
      </c>
      <c r="H6" s="23">
        <v>14.30730368032064</v>
      </c>
      <c r="I6" s="23">
        <v>16.72893466037744</v>
      </c>
      <c r="J6" s="23">
        <v>28.229544964820871</v>
      </c>
      <c r="K6" s="23">
        <v>10.217057832233415</v>
      </c>
      <c r="L6" s="23">
        <v>74.329120068461592</v>
      </c>
      <c r="M6" s="23">
        <v>8.5116484902473406</v>
      </c>
      <c r="N6" s="23">
        <v>5.2796691641387872</v>
      </c>
      <c r="O6" s="23">
        <v>17.892687204444861</v>
      </c>
      <c r="P6" s="23">
        <v>0.85570001602172796</v>
      </c>
      <c r="Q6" s="23">
        <v>511.53745913223145</v>
      </c>
      <c r="R6" s="23">
        <v>11.101883814586417</v>
      </c>
    </row>
    <row r="7" spans="1:18" x14ac:dyDescent="0.75">
      <c r="A7" s="11">
        <v>44468</v>
      </c>
      <c r="B7" s="23">
        <v>12.959449768066399</v>
      </c>
      <c r="C7" s="23">
        <v>167.419998168945</v>
      </c>
      <c r="D7" s="23">
        <v>98.684585636957507</v>
      </c>
      <c r="E7" s="23">
        <v>94.934460074728904</v>
      </c>
      <c r="F7" s="23">
        <v>2593.48974609375</v>
      </c>
      <c r="G7" s="23">
        <v>11.429456935518221</v>
      </c>
      <c r="H7" s="23">
        <v>14.385945630852662</v>
      </c>
      <c r="I7" s="23">
        <v>16.566678028722684</v>
      </c>
      <c r="J7" s="23">
        <v>28.444349348545053</v>
      </c>
      <c r="K7" s="23">
        <v>10.274443830448101</v>
      </c>
      <c r="L7" s="23">
        <v>75.009028215631986</v>
      </c>
      <c r="M7" s="23">
        <v>8.5824332966710628</v>
      </c>
      <c r="N7" s="23">
        <v>5.2492755113000795</v>
      </c>
      <c r="O7" s="23">
        <v>18.049233046953162</v>
      </c>
      <c r="P7" s="23">
        <v>0.86194998025894098</v>
      </c>
      <c r="Q7" s="23">
        <v>526.39286346598544</v>
      </c>
      <c r="R7" s="23">
        <v>11.19158009374676</v>
      </c>
    </row>
    <row r="8" spans="1:18" x14ac:dyDescent="0.75">
      <c r="A8" s="11">
        <v>44469</v>
      </c>
      <c r="B8" s="23">
        <v>12.950010299682599</v>
      </c>
      <c r="C8" s="23">
        <v>167.509994506835</v>
      </c>
      <c r="D8" s="23">
        <v>98.898631673323379</v>
      </c>
      <c r="E8" s="23">
        <v>95.105322796661881</v>
      </c>
      <c r="F8" s="23">
        <v>2852.79541015625</v>
      </c>
      <c r="G8" s="23">
        <v>11.309367191896539</v>
      </c>
      <c r="H8" s="23">
        <v>14.19502706250697</v>
      </c>
      <c r="I8" s="23">
        <v>16.631422147154794</v>
      </c>
      <c r="J8" s="23">
        <v>28.441890214612577</v>
      </c>
      <c r="K8" s="23">
        <v>10.358999882480752</v>
      </c>
      <c r="L8" s="23">
        <v>75.098978359200714</v>
      </c>
      <c r="M8" s="23">
        <v>8.6025464444985502</v>
      </c>
      <c r="N8" s="23">
        <v>5.3220549552581691</v>
      </c>
      <c r="O8" s="23">
        <v>18.186567455004653</v>
      </c>
      <c r="P8" s="23">
        <v>0.86396998167037897</v>
      </c>
      <c r="Q8" s="23">
        <v>525.58752185167646</v>
      </c>
      <c r="R8" s="23">
        <v>11.191920283778114</v>
      </c>
    </row>
    <row r="9" spans="1:18" x14ac:dyDescent="0.75">
      <c r="A9" s="11">
        <v>44470</v>
      </c>
      <c r="B9" s="23">
        <v>13.0633096694946</v>
      </c>
      <c r="C9" s="23">
        <v>165.13000488281199</v>
      </c>
      <c r="D9" s="23">
        <v>99.200545255708263</v>
      </c>
      <c r="E9" s="23">
        <v>95.432950085243945</v>
      </c>
      <c r="F9" s="23">
        <v>2925.40087890625</v>
      </c>
      <c r="G9" s="23">
        <v>11.533999584877929</v>
      </c>
      <c r="H9" s="23">
        <v>14.531974828033045</v>
      </c>
      <c r="I9" s="23">
        <v>16.631422147154794</v>
      </c>
      <c r="J9" s="23">
        <v>28.502371145450731</v>
      </c>
      <c r="K9" s="23">
        <v>10.358999882480752</v>
      </c>
      <c r="L9" s="23">
        <v>75.27898089413921</v>
      </c>
      <c r="M9" s="23">
        <v>8.5939098427187304</v>
      </c>
      <c r="N9" s="23">
        <v>5.3393343384126633</v>
      </c>
      <c r="O9" s="23">
        <v>18.471677483040239</v>
      </c>
      <c r="P9" s="23">
        <v>0.86396998167037897</v>
      </c>
      <c r="Q9" s="23">
        <v>527.62647835260884</v>
      </c>
      <c r="R9" s="23">
        <v>11.23506621510799</v>
      </c>
    </row>
    <row r="10" spans="1:18" x14ac:dyDescent="0.75">
      <c r="A10" s="11">
        <v>44473</v>
      </c>
      <c r="B10" s="23">
        <v>13.1619300842285</v>
      </c>
      <c r="C10" s="23">
        <v>166.58999633789</v>
      </c>
      <c r="D10" s="23">
        <v>98.756343155218602</v>
      </c>
      <c r="E10" s="23">
        <v>95.088931874510394</v>
      </c>
      <c r="F10" s="23">
        <v>3034.28955078125</v>
      </c>
      <c r="G10" s="23">
        <v>11.430095919612791</v>
      </c>
      <c r="H10" s="23">
        <v>14.382296400049135</v>
      </c>
      <c r="I10" s="23">
        <v>16.069269275766317</v>
      </c>
      <c r="J10" s="23">
        <v>27.938321577289493</v>
      </c>
      <c r="K10" s="23">
        <v>10.139045902732757</v>
      </c>
      <c r="L10" s="23">
        <v>74.728089165978261</v>
      </c>
      <c r="M10" s="23">
        <v>8.5613834453340427</v>
      </c>
      <c r="N10" s="23">
        <v>5.3793750703334755</v>
      </c>
      <c r="O10" s="23">
        <v>18.651369309526384</v>
      </c>
      <c r="P10" s="23">
        <v>0.86070001125335605</v>
      </c>
      <c r="Q10" s="23">
        <v>505.4891061025034</v>
      </c>
      <c r="R10" s="23">
        <v>11.180492949182442</v>
      </c>
    </row>
    <row r="11" spans="1:18" x14ac:dyDescent="0.75">
      <c r="A11" s="11">
        <v>44474</v>
      </c>
      <c r="B11" s="23">
        <v>13.272080421447701</v>
      </c>
      <c r="C11" s="23">
        <v>165.08000183105401</v>
      </c>
      <c r="D11" s="23">
        <v>98.714337163983032</v>
      </c>
      <c r="E11" s="23">
        <v>94.996942634678945</v>
      </c>
      <c r="F11" s="23">
        <v>3098.6865234375</v>
      </c>
      <c r="G11" s="23">
        <v>11.598741843727073</v>
      </c>
      <c r="H11" s="23">
        <v>14.642872415606655</v>
      </c>
      <c r="I11" s="23">
        <v>16.410711403750593</v>
      </c>
      <c r="J11" s="23">
        <v>28.095690398913483</v>
      </c>
      <c r="K11" s="23">
        <v>10.262083678298881</v>
      </c>
      <c r="L11" s="23">
        <v>74.837830177784667</v>
      </c>
      <c r="M11" s="23">
        <v>8.577895360303943</v>
      </c>
      <c r="N11" s="23">
        <v>5.493233105198664</v>
      </c>
      <c r="O11" s="23">
        <v>18.963296216043023</v>
      </c>
      <c r="P11" s="23">
        <v>0.86236000061035101</v>
      </c>
      <c r="Q11" s="23">
        <v>519.24419935676201</v>
      </c>
      <c r="R11" s="23">
        <v>11.167561843421897</v>
      </c>
    </row>
    <row r="12" spans="1:18" x14ac:dyDescent="0.75">
      <c r="A12" s="11">
        <v>44475</v>
      </c>
      <c r="B12" s="23">
        <v>13.175569534301699</v>
      </c>
      <c r="C12" s="23">
        <v>165.30999755859301</v>
      </c>
      <c r="D12" s="23">
        <v>99.105527732744463</v>
      </c>
      <c r="E12" s="23">
        <v>95.21093054784231</v>
      </c>
      <c r="F12" s="23">
        <v>3103.91748046875</v>
      </c>
      <c r="G12" s="23">
        <v>11.639630054278328</v>
      </c>
      <c r="H12" s="23">
        <v>14.59064480314821</v>
      </c>
      <c r="I12" s="23">
        <v>16.589718378645845</v>
      </c>
      <c r="J12" s="23">
        <v>28.212039211139547</v>
      </c>
      <c r="K12" s="23">
        <v>10.177104389854396</v>
      </c>
      <c r="L12" s="23">
        <v>75.058523211603088</v>
      </c>
      <c r="M12" s="23">
        <v>8.5821800563629598</v>
      </c>
      <c r="N12" s="23">
        <v>5.3914421181039707</v>
      </c>
      <c r="O12" s="23">
        <v>18.666678087660753</v>
      </c>
      <c r="P12" s="23">
        <v>0.86540001630783003</v>
      </c>
      <c r="Q12" s="23">
        <v>519.18808789651234</v>
      </c>
      <c r="R12" s="23">
        <v>11.206930046124413</v>
      </c>
    </row>
    <row r="13" spans="1:18" x14ac:dyDescent="0.75">
      <c r="A13" s="11">
        <v>44476</v>
      </c>
      <c r="B13" s="23">
        <v>13.2836198806762</v>
      </c>
      <c r="C13" s="23">
        <v>166.669998168945</v>
      </c>
      <c r="D13" s="23">
        <v>98.791346089371572</v>
      </c>
      <c r="E13" s="23">
        <v>95.062394967352915</v>
      </c>
      <c r="F13" s="23">
        <v>3080.43872070312</v>
      </c>
      <c r="G13" s="23">
        <v>11.721698467029507</v>
      </c>
      <c r="H13" s="23">
        <v>14.75809348875115</v>
      </c>
      <c r="I13" s="23">
        <v>16.816960977973142</v>
      </c>
      <c r="J13" s="23">
        <v>28.581913109271174</v>
      </c>
      <c r="K13" s="23">
        <v>10.328935262555314</v>
      </c>
      <c r="L13" s="23">
        <v>75.038518270551236</v>
      </c>
      <c r="M13" s="23">
        <v>8.5875555595285906</v>
      </c>
      <c r="N13" s="23">
        <v>5.4239887918935716</v>
      </c>
      <c r="O13" s="23">
        <v>18.89312861291037</v>
      </c>
      <c r="P13" s="23">
        <v>0.86506998538970903</v>
      </c>
      <c r="Q13" s="23">
        <v>526.39508610963799</v>
      </c>
      <c r="R13" s="23">
        <v>11.168053379381931</v>
      </c>
    </row>
    <row r="14" spans="1:18" x14ac:dyDescent="0.75">
      <c r="A14" s="11">
        <v>44477</v>
      </c>
      <c r="B14" s="23">
        <v>13.476659774780201</v>
      </c>
      <c r="C14" s="23">
        <v>167.36000061035099</v>
      </c>
      <c r="D14" s="23">
        <v>98.575415190995074</v>
      </c>
      <c r="E14" s="23">
        <v>94.803419128450443</v>
      </c>
      <c r="F14" s="23">
        <v>3090.44213867187</v>
      </c>
      <c r="G14" s="23">
        <v>11.790903999861122</v>
      </c>
      <c r="H14" s="23">
        <v>14.740793343035831</v>
      </c>
      <c r="I14" s="23">
        <v>16.64394632089914</v>
      </c>
      <c r="J14" s="23">
        <v>28.452151291470681</v>
      </c>
      <c r="K14" s="23">
        <v>10.27703152542913</v>
      </c>
      <c r="L14" s="23">
        <v>74.814317622024603</v>
      </c>
      <c r="M14" s="23">
        <v>8.5875555595285906</v>
      </c>
      <c r="N14" s="23">
        <v>5.4412901751014626</v>
      </c>
      <c r="O14" s="23">
        <v>18.927730554331209</v>
      </c>
      <c r="P14" s="23">
        <v>0.86506998538970903</v>
      </c>
      <c r="Q14" s="23">
        <v>519.14579540809723</v>
      </c>
      <c r="R14" s="23">
        <v>11.124799715113408</v>
      </c>
    </row>
    <row r="15" spans="1:18" x14ac:dyDescent="0.75">
      <c r="A15" s="11">
        <v>44480</v>
      </c>
      <c r="B15" s="23">
        <v>13.5490398406982</v>
      </c>
      <c r="C15" s="23">
        <v>166.94999694824199</v>
      </c>
      <c r="D15" s="23">
        <v>98.471145228471073</v>
      </c>
      <c r="E15" s="23">
        <v>94.662717234513522</v>
      </c>
      <c r="F15" s="23">
        <v>3028.95166015625</v>
      </c>
      <c r="G15" s="23">
        <v>11.701830802392507</v>
      </c>
      <c r="H15" s="23">
        <v>14.765770745571817</v>
      </c>
      <c r="I15" s="23">
        <v>16.505466144593782</v>
      </c>
      <c r="J15" s="23">
        <v>28.27653683014065</v>
      </c>
      <c r="K15" s="23">
        <v>10.247756937487706</v>
      </c>
      <c r="L15" s="23">
        <v>74.620288605139521</v>
      </c>
      <c r="M15" s="23">
        <v>8.5920228621339358</v>
      </c>
      <c r="N15" s="23">
        <v>5.4614311533630318</v>
      </c>
      <c r="O15" s="23">
        <v>19.102026145967073</v>
      </c>
      <c r="P15" s="23">
        <v>0.86552000045776301</v>
      </c>
      <c r="Q15" s="23">
        <v>516.89721849115392</v>
      </c>
      <c r="R15" s="23">
        <v>11.11327693794547</v>
      </c>
    </row>
    <row r="16" spans="1:18" x14ac:dyDescent="0.75">
      <c r="A16" s="11">
        <v>44481</v>
      </c>
      <c r="B16" s="23">
        <v>13.5847101211547</v>
      </c>
      <c r="C16" s="23">
        <v>165.66000366210901</v>
      </c>
      <c r="D16" s="23">
        <v>99.003100687754269</v>
      </c>
      <c r="E16" s="23">
        <v>95.127398031955707</v>
      </c>
      <c r="F16" s="23">
        <v>3109.65283203125</v>
      </c>
      <c r="G16" s="23">
        <v>11.72184017768852</v>
      </c>
      <c r="H16" s="23">
        <v>14.808359656944219</v>
      </c>
      <c r="I16" s="23">
        <v>16.377629164571726</v>
      </c>
      <c r="J16" s="23">
        <v>28.402918013648993</v>
      </c>
      <c r="K16" s="23">
        <v>10.19592000778194</v>
      </c>
      <c r="L16" s="23">
        <v>74.886164470332801</v>
      </c>
      <c r="M16" s="23">
        <v>8.5980469488247202</v>
      </c>
      <c r="N16" s="23">
        <v>5.4707698480892137</v>
      </c>
      <c r="O16" s="23">
        <v>19.082669841604183</v>
      </c>
      <c r="P16" s="23">
        <v>0.86699998378753595</v>
      </c>
      <c r="Q16" s="23">
        <v>516.08174034953083</v>
      </c>
      <c r="R16" s="23">
        <v>11.175630088682114</v>
      </c>
    </row>
    <row r="17" spans="1:18" x14ac:dyDescent="0.75">
      <c r="A17" s="11">
        <v>44482</v>
      </c>
      <c r="B17" s="23">
        <v>13.5742197036743</v>
      </c>
      <c r="C17" s="23">
        <v>165.47000122070301</v>
      </c>
      <c r="D17" s="23">
        <v>98.667362690381395</v>
      </c>
      <c r="E17" s="23">
        <v>94.744627448900573</v>
      </c>
      <c r="F17" s="23">
        <v>3266.49340820312</v>
      </c>
      <c r="G17" s="23">
        <v>11.603866102203302</v>
      </c>
      <c r="H17" s="23">
        <v>14.741910416927313</v>
      </c>
      <c r="I17" s="23">
        <v>16.371278900476394</v>
      </c>
      <c r="J17" s="23">
        <v>28.268259958139378</v>
      </c>
      <c r="K17" s="23">
        <v>10.241748159839611</v>
      </c>
      <c r="L17" s="23">
        <v>74.660582133156765</v>
      </c>
      <c r="M17" s="23">
        <v>8.5580725457247073</v>
      </c>
      <c r="N17" s="23">
        <v>5.4657141641960125</v>
      </c>
      <c r="O17" s="23">
        <v>19.104135982574444</v>
      </c>
      <c r="P17" s="23">
        <v>0.86210000514984098</v>
      </c>
      <c r="Q17" s="23">
        <v>515.79442255746744</v>
      </c>
      <c r="R17" s="23">
        <v>11.155573704887384</v>
      </c>
    </row>
    <row r="18" spans="1:18" x14ac:dyDescent="0.75">
      <c r="A18" s="11">
        <v>44483</v>
      </c>
      <c r="B18" s="23">
        <v>13.754670143127401</v>
      </c>
      <c r="C18" s="23">
        <v>165.919998168945</v>
      </c>
      <c r="D18" s="23">
        <v>98.925522737331903</v>
      </c>
      <c r="E18" s="23">
        <v>95.008574410661126</v>
      </c>
      <c r="F18" s="23">
        <v>3329.94262695312</v>
      </c>
      <c r="G18" s="23">
        <v>11.793108867660475</v>
      </c>
      <c r="H18" s="23">
        <v>15.045488207923858</v>
      </c>
      <c r="I18" s="23">
        <v>16.883038453041056</v>
      </c>
      <c r="J18" s="23">
        <v>28.805551989433251</v>
      </c>
      <c r="K18" s="23">
        <v>10.326519056850417</v>
      </c>
      <c r="L18" s="23">
        <v>75.133920772750457</v>
      </c>
      <c r="M18" s="23">
        <v>8.5726524611068218</v>
      </c>
      <c r="N18" s="23">
        <v>5.5385339727554239</v>
      </c>
      <c r="O18" s="23">
        <v>19.324479346198967</v>
      </c>
      <c r="P18" s="23">
        <v>0.86269998550414995</v>
      </c>
      <c r="Q18" s="23">
        <v>528.53316718112842</v>
      </c>
      <c r="R18" s="23">
        <v>11.189219042354566</v>
      </c>
    </row>
    <row r="19" spans="1:18" x14ac:dyDescent="0.75">
      <c r="A19" s="11">
        <v>44484</v>
      </c>
      <c r="B19" s="23">
        <v>13.8186597824096</v>
      </c>
      <c r="C19" s="23">
        <v>168.46000671386699</v>
      </c>
      <c r="D19" s="23">
        <v>98.68434954344734</v>
      </c>
      <c r="E19" s="23">
        <v>94.853610662044915</v>
      </c>
      <c r="F19" s="23">
        <v>3302.13793945312</v>
      </c>
      <c r="G19" s="23">
        <v>11.905259964504177</v>
      </c>
      <c r="H19" s="23">
        <v>15.105876943633991</v>
      </c>
      <c r="I19" s="23">
        <v>16.969308780685374</v>
      </c>
      <c r="J19" s="23">
        <v>28.874569567924443</v>
      </c>
      <c r="K19" s="23">
        <v>10.38690779256055</v>
      </c>
      <c r="L19" s="23">
        <v>75.004929116897898</v>
      </c>
      <c r="M19" s="23">
        <v>8.5899010965858871</v>
      </c>
      <c r="N19" s="23">
        <v>5.5471607586994143</v>
      </c>
      <c r="O19" s="23">
        <v>19.48839280417624</v>
      </c>
      <c r="P19" s="23">
        <v>0.86269998550414995</v>
      </c>
      <c r="Q19" s="23">
        <v>531.49222181280402</v>
      </c>
      <c r="R19" s="23">
        <v>11.171964647731746</v>
      </c>
    </row>
    <row r="20" spans="1:18" x14ac:dyDescent="0.75">
      <c r="A20" s="11">
        <v>44487</v>
      </c>
      <c r="B20" s="23">
        <v>13.805020332336399</v>
      </c>
      <c r="C20" s="23">
        <v>169.419998168945</v>
      </c>
      <c r="D20" s="23">
        <v>98.425683503061649</v>
      </c>
      <c r="E20" s="23">
        <v>94.550799874770007</v>
      </c>
      <c r="F20" s="23">
        <v>3333.17846679687</v>
      </c>
      <c r="G20" s="23">
        <v>11.899572483985111</v>
      </c>
      <c r="H20" s="23">
        <v>15.119861872499003</v>
      </c>
      <c r="I20" s="23">
        <v>17.13469559486763</v>
      </c>
      <c r="J20" s="23">
        <v>28.552086140855376</v>
      </c>
      <c r="K20" s="23">
        <v>10.401363087765446</v>
      </c>
      <c r="L20" s="23">
        <v>74.826275481829626</v>
      </c>
      <c r="M20" s="23">
        <v>8.5647652752438557</v>
      </c>
      <c r="N20" s="23">
        <v>5.4676038934192546</v>
      </c>
      <c r="O20" s="23">
        <v>19.313127376349168</v>
      </c>
      <c r="P20" s="23">
        <v>0.86103999614715498</v>
      </c>
      <c r="Q20" s="23">
        <v>533.68981671837423</v>
      </c>
      <c r="R20" s="23">
        <v>11.150467785875279</v>
      </c>
    </row>
    <row r="21" spans="1:18" x14ac:dyDescent="0.75">
      <c r="A21" s="11">
        <v>44488</v>
      </c>
      <c r="B21" s="23">
        <v>13.8260097503662</v>
      </c>
      <c r="C21" s="23">
        <v>168.77000427246</v>
      </c>
      <c r="D21" s="23">
        <v>97.989260976136208</v>
      </c>
      <c r="E21" s="23">
        <v>94.146289316004598</v>
      </c>
      <c r="F21" s="23">
        <v>3566.61010742187</v>
      </c>
      <c r="G21" s="23">
        <v>11.975621598462039</v>
      </c>
      <c r="H21" s="23">
        <v>15.139317949612574</v>
      </c>
      <c r="I21" s="23">
        <v>17.288568009932472</v>
      </c>
      <c r="J21" s="23">
        <v>28.825740759571925</v>
      </c>
      <c r="K21" s="23">
        <v>10.479742933375345</v>
      </c>
      <c r="L21" s="23">
        <v>74.761244884623451</v>
      </c>
      <c r="M21" s="23">
        <v>8.5514365728941932</v>
      </c>
      <c r="N21" s="23">
        <v>5.4848862523212381</v>
      </c>
      <c r="O21" s="23">
        <v>19.317458951846021</v>
      </c>
      <c r="P21" s="23">
        <v>0.85970002412795998</v>
      </c>
      <c r="Q21" s="23">
        <v>542.43634611367054</v>
      </c>
      <c r="R21" s="23">
        <v>11.090129983301088</v>
      </c>
    </row>
    <row r="22" spans="1:18" x14ac:dyDescent="0.75">
      <c r="A22" s="11">
        <v>44489</v>
      </c>
      <c r="B22" s="23">
        <v>13.876359939575099</v>
      </c>
      <c r="C22" s="23">
        <v>169.57000732421801</v>
      </c>
      <c r="D22" s="23">
        <v>97.726958420783319</v>
      </c>
      <c r="E22" s="23">
        <v>93.908743297823733</v>
      </c>
      <c r="F22" s="23">
        <v>3487.69458007812</v>
      </c>
      <c r="G22" s="23">
        <v>12.106379429573972</v>
      </c>
      <c r="H22" s="23">
        <v>15.229499652981747</v>
      </c>
      <c r="I22" s="23">
        <v>17.202898953413928</v>
      </c>
      <c r="J22" s="23">
        <v>29.137678550548504</v>
      </c>
      <c r="K22" s="23">
        <v>10.441859827532721</v>
      </c>
      <c r="L22" s="23">
        <v>74.639059517541568</v>
      </c>
      <c r="M22" s="23">
        <v>8.5345262375702635</v>
      </c>
      <c r="N22" s="23">
        <v>5.5512596934938436</v>
      </c>
      <c r="O22" s="23">
        <v>19.48517877048965</v>
      </c>
      <c r="P22" s="23">
        <v>0.85799998044967596</v>
      </c>
      <c r="Q22" s="23">
        <v>534.84285524475058</v>
      </c>
      <c r="R22" s="23">
        <v>11.051039846382116</v>
      </c>
    </row>
    <row r="23" spans="1:18" x14ac:dyDescent="0.75">
      <c r="A23" s="11">
        <v>44490</v>
      </c>
      <c r="B23" s="23">
        <v>13.702210426330501</v>
      </c>
      <c r="C23" s="23">
        <v>169.19000244140599</v>
      </c>
      <c r="D23" s="23">
        <v>97.77027191746258</v>
      </c>
      <c r="E23" s="23">
        <v>94.088351429212508</v>
      </c>
      <c r="F23" s="23">
        <v>3409.6240234375</v>
      </c>
      <c r="G23" s="23">
        <v>12.094271399720741</v>
      </c>
      <c r="H23" s="23">
        <v>15.23396365746742</v>
      </c>
      <c r="I23" s="23">
        <v>17.479060015429663</v>
      </c>
      <c r="J23" s="23">
        <v>29.461506620049445</v>
      </c>
      <c r="K23" s="23">
        <v>10.373891451104715</v>
      </c>
      <c r="L23" s="23">
        <v>74.64093876177354</v>
      </c>
      <c r="M23" s="23">
        <v>8.5588900802965071</v>
      </c>
      <c r="N23" s="23">
        <v>5.4622062548217674</v>
      </c>
      <c r="O23" s="23">
        <v>19.233848350545411</v>
      </c>
      <c r="P23" s="23">
        <v>0.86018997430801303</v>
      </c>
      <c r="Q23" s="23">
        <v>547.45069904862896</v>
      </c>
      <c r="R23" s="23">
        <v>11.053441497994379</v>
      </c>
    </row>
    <row r="24" spans="1:18" x14ac:dyDescent="0.75">
      <c r="A24" s="11">
        <v>44491</v>
      </c>
      <c r="B24" s="23">
        <v>13.718999862670801</v>
      </c>
      <c r="C24" s="23">
        <v>169.850006103515</v>
      </c>
      <c r="D24" s="23">
        <v>97.959219439055872</v>
      </c>
      <c r="E24" s="23">
        <v>94.088351429212508</v>
      </c>
      <c r="F24" s="23">
        <v>3583.28784179687</v>
      </c>
      <c r="G24" s="23">
        <v>12.206095374480627</v>
      </c>
      <c r="H24" s="23">
        <v>15.319982983034635</v>
      </c>
      <c r="I24" s="23">
        <v>17.307023004977378</v>
      </c>
      <c r="J24" s="23">
        <v>29.530323393048899</v>
      </c>
      <c r="K24" s="23">
        <v>10.330881788321067</v>
      </c>
      <c r="L24" s="23">
        <v>74.460870612092009</v>
      </c>
      <c r="M24" s="23">
        <v>8.541686707387715</v>
      </c>
      <c r="N24" s="23">
        <v>5.4880121345260466</v>
      </c>
      <c r="O24" s="23">
        <v>19.294061386237811</v>
      </c>
      <c r="P24" s="23">
        <v>0.86018997430801303</v>
      </c>
      <c r="Q24" s="23">
        <v>558.34073352439248</v>
      </c>
      <c r="R24" s="23">
        <v>11.087849064153033</v>
      </c>
    </row>
    <row r="25" spans="1:18" x14ac:dyDescent="0.75">
      <c r="A25" s="11">
        <v>44494</v>
      </c>
      <c r="B25" s="23">
        <v>13.865870475769</v>
      </c>
      <c r="C25" s="23">
        <v>169.53999328613199</v>
      </c>
      <c r="D25" s="23">
        <v>98.168820644228461</v>
      </c>
      <c r="E25" s="23">
        <v>94.276166795985674</v>
      </c>
      <c r="F25" s="23">
        <v>3562.369140625</v>
      </c>
      <c r="G25" s="23">
        <v>12.220427284070967</v>
      </c>
      <c r="H25" s="23">
        <v>15.449928011676743</v>
      </c>
      <c r="I25" s="23">
        <v>17.508195426324782</v>
      </c>
      <c r="J25" s="23">
        <v>29.487488589965746</v>
      </c>
      <c r="K25" s="23">
        <v>10.437743598609845</v>
      </c>
      <c r="L25" s="23">
        <v>74.67706696484025</v>
      </c>
      <c r="M25" s="23">
        <v>8.5517160147037323</v>
      </c>
      <c r="N25" s="23">
        <v>5.6150238206634437</v>
      </c>
      <c r="O25" s="23">
        <v>19.411448225261609</v>
      </c>
      <c r="P25" s="23">
        <v>0.86119997501373202</v>
      </c>
      <c r="Q25" s="23">
        <v>561.52824493867172</v>
      </c>
      <c r="R25" s="23">
        <v>11.109479349155361</v>
      </c>
    </row>
    <row r="26" spans="1:18" x14ac:dyDescent="0.75">
      <c r="A26" s="11">
        <v>44495</v>
      </c>
      <c r="B26" s="23">
        <v>13.9078302383422</v>
      </c>
      <c r="C26" s="23">
        <v>171.30000305175699</v>
      </c>
      <c r="D26" s="23">
        <v>98.463595067375635</v>
      </c>
      <c r="E26" s="23">
        <v>94.428669732159577</v>
      </c>
      <c r="F26" s="23">
        <v>3388.56176757812</v>
      </c>
      <c r="G26" s="23">
        <v>12.191508603469805</v>
      </c>
      <c r="H26" s="23">
        <v>15.493733798709767</v>
      </c>
      <c r="I26" s="23">
        <v>17.718209789028101</v>
      </c>
      <c r="J26" s="23">
        <v>29.625193273361148</v>
      </c>
      <c r="K26" s="23">
        <v>10.423998394443432</v>
      </c>
      <c r="L26" s="23">
        <v>74.780978883272766</v>
      </c>
      <c r="M26" s="23">
        <v>8.5616464790382398</v>
      </c>
      <c r="N26" s="23">
        <v>5.6215441253242426</v>
      </c>
      <c r="O26" s="23">
        <v>19.468476425193728</v>
      </c>
      <c r="P26" s="23">
        <v>0.86220002174377397</v>
      </c>
      <c r="Q26" s="23">
        <v>554.49807377389448</v>
      </c>
      <c r="R26" s="23">
        <v>11.148246544269492</v>
      </c>
    </row>
    <row r="27" spans="1:18" x14ac:dyDescent="0.75">
      <c r="A27" s="11">
        <v>44496</v>
      </c>
      <c r="B27" s="23">
        <v>13.713749885559</v>
      </c>
      <c r="C27" s="23">
        <v>171.350006103515</v>
      </c>
      <c r="D27" s="23">
        <v>98.774679726011627</v>
      </c>
      <c r="E27" s="23">
        <v>94.628396798328822</v>
      </c>
      <c r="F27" s="23">
        <v>3669.92749023437</v>
      </c>
      <c r="G27" s="23">
        <v>11.930910675935287</v>
      </c>
      <c r="H27" s="23">
        <v>15.215358855296067</v>
      </c>
      <c r="I27" s="23">
        <v>17.551542338579509</v>
      </c>
      <c r="J27" s="23">
        <v>29.344523544385503</v>
      </c>
      <c r="K27" s="23">
        <v>10.310237757665954</v>
      </c>
      <c r="L27" s="23">
        <v>74.708682112515334</v>
      </c>
      <c r="M27" s="23">
        <v>8.5688761419712023</v>
      </c>
      <c r="N27" s="23">
        <v>5.5775280866353967</v>
      </c>
      <c r="O27" s="23">
        <v>19.120491294488076</v>
      </c>
      <c r="P27" s="23">
        <v>0.86206001043319702</v>
      </c>
      <c r="Q27" s="23">
        <v>549.1322266459465</v>
      </c>
      <c r="R27" s="23">
        <v>11.215400933045741</v>
      </c>
    </row>
    <row r="28" spans="1:18" x14ac:dyDescent="0.75">
      <c r="A28" s="11">
        <v>44497</v>
      </c>
      <c r="B28" s="23">
        <v>13.6675901412963</v>
      </c>
      <c r="C28" s="23">
        <v>169.509994506835</v>
      </c>
      <c r="D28" s="23">
        <v>97.991948801478586</v>
      </c>
      <c r="E28" s="23">
        <v>93.994923537218128</v>
      </c>
      <c r="F28" s="23">
        <v>3818.62353515625</v>
      </c>
      <c r="G28" s="23">
        <v>11.974040658673234</v>
      </c>
      <c r="H28" s="23">
        <v>15.252137553560244</v>
      </c>
      <c r="I28" s="23">
        <v>17.879750260447477</v>
      </c>
      <c r="J28" s="23">
        <v>29.545668032962734</v>
      </c>
      <c r="K28" s="23">
        <v>10.228004712529152</v>
      </c>
      <c r="L28" s="23">
        <v>74.362534685691045</v>
      </c>
      <c r="M28" s="23">
        <v>8.507645537523274</v>
      </c>
      <c r="N28" s="23">
        <v>5.4777600150966617</v>
      </c>
      <c r="O28" s="23">
        <v>19.052333964506115</v>
      </c>
      <c r="P28" s="23">
        <v>0.85589998960494995</v>
      </c>
      <c r="Q28" s="23">
        <v>560.89695481500826</v>
      </c>
      <c r="R28" s="23">
        <v>11.109581473272303</v>
      </c>
    </row>
    <row r="29" spans="1:18" x14ac:dyDescent="0.75">
      <c r="A29" s="11">
        <v>44498</v>
      </c>
      <c r="B29" s="23">
        <v>13.652910232543899</v>
      </c>
      <c r="C29" s="23">
        <v>169.850006103515</v>
      </c>
      <c r="D29" s="23">
        <v>97.966312026582173</v>
      </c>
      <c r="E29" s="23">
        <v>93.986375768919331</v>
      </c>
      <c r="F29" s="23">
        <v>3741.55786132812</v>
      </c>
      <c r="G29" s="23">
        <v>11.905568724804873</v>
      </c>
      <c r="H29" s="23">
        <v>15.183665619691796</v>
      </c>
      <c r="I29" s="23">
        <v>18.068049302960336</v>
      </c>
      <c r="J29" s="23">
        <v>29.682611900699545</v>
      </c>
      <c r="K29" s="23">
        <v>10.133856007522503</v>
      </c>
      <c r="L29" s="23">
        <v>74.166301694757678</v>
      </c>
      <c r="M29" s="23">
        <v>8.4990871579770992</v>
      </c>
      <c r="N29" s="23">
        <v>5.4264060646953558</v>
      </c>
      <c r="O29" s="23">
        <v>18.941066051657685</v>
      </c>
      <c r="P29" s="23">
        <v>0.85589998960494995</v>
      </c>
      <c r="Q29" s="23">
        <v>569.07078926773795</v>
      </c>
      <c r="R29" s="23">
        <v>11.118140669068284</v>
      </c>
    </row>
    <row r="30" spans="1:18" x14ac:dyDescent="0.75">
      <c r="A30" s="11">
        <v>44501</v>
      </c>
      <c r="B30" s="23">
        <v>13.652910232543899</v>
      </c>
      <c r="C30" s="23">
        <v>171.67999267578099</v>
      </c>
      <c r="D30" s="23">
        <v>98.981666439135097</v>
      </c>
      <c r="E30" s="23">
        <v>95.00128776079427</v>
      </c>
      <c r="F30" s="23">
        <v>3728.26513671875</v>
      </c>
      <c r="G30" s="23">
        <v>12.174770731905911</v>
      </c>
      <c r="H30" s="23">
        <v>15.462911721075999</v>
      </c>
      <c r="I30" s="23">
        <v>18.681827125857257</v>
      </c>
      <c r="J30" s="23">
        <v>30.147052122066395</v>
      </c>
      <c r="K30" s="23">
        <v>10.288417293675369</v>
      </c>
      <c r="L30" s="23">
        <v>74.900365862686044</v>
      </c>
      <c r="M30" s="23">
        <v>8.6010816340618064</v>
      </c>
      <c r="N30" s="23">
        <v>5.4946549156618003</v>
      </c>
      <c r="O30" s="23">
        <v>19.261578191682769</v>
      </c>
      <c r="P30" s="23">
        <v>0.86529999971389704</v>
      </c>
      <c r="Q30" s="23">
        <v>568.59727013670556</v>
      </c>
      <c r="R30" s="23">
        <v>11.214288029300619</v>
      </c>
    </row>
    <row r="31" spans="1:18" x14ac:dyDescent="0.75">
      <c r="A31" s="11">
        <v>44502</v>
      </c>
      <c r="B31" s="23">
        <v>13.6203804016113</v>
      </c>
      <c r="C31" s="23">
        <v>172.509994506835</v>
      </c>
      <c r="D31" s="23">
        <v>98.813904958103137</v>
      </c>
      <c r="E31" s="23">
        <v>94.779276670909638</v>
      </c>
      <c r="F31" s="23">
        <v>3959.53759765625</v>
      </c>
      <c r="G31" s="23">
        <v>12.078021269468273</v>
      </c>
      <c r="H31" s="23">
        <v>15.586768027336069</v>
      </c>
      <c r="I31" s="23">
        <v>18.897232178657486</v>
      </c>
      <c r="J31" s="23">
        <v>30.139015390762264</v>
      </c>
      <c r="K31" s="23">
        <v>10.155537830459512</v>
      </c>
      <c r="L31" s="23">
        <v>74.804414552839233</v>
      </c>
      <c r="M31" s="23">
        <v>8.5692736894378605</v>
      </c>
      <c r="N31" s="23">
        <v>5.5088189178047102</v>
      </c>
      <c r="O31" s="23">
        <v>19.242071851852394</v>
      </c>
      <c r="P31" s="23">
        <v>0.86210000514984098</v>
      </c>
      <c r="Q31" s="23">
        <v>564.09791110284914</v>
      </c>
      <c r="R31" s="23">
        <v>11.181437296998967</v>
      </c>
    </row>
    <row r="32" spans="1:18" x14ac:dyDescent="0.75">
      <c r="A32" s="11">
        <v>44503</v>
      </c>
      <c r="B32" s="23">
        <v>13.6203804016113</v>
      </c>
      <c r="C32" s="23">
        <v>172.509994506835</v>
      </c>
      <c r="D32" s="23">
        <f>$P32 * '[1]Original Currency Prices'!D32</f>
        <v>98.787205261989115</v>
      </c>
      <c r="E32" s="23">
        <f>$P32 * '[1]Original Currency Prices'!E32</f>
        <v>94.797370817782863</v>
      </c>
      <c r="F32" s="23">
        <v>3966.60473632812</v>
      </c>
      <c r="G32" s="23">
        <v>12.194032122009194</v>
      </c>
      <c r="H32" s="23">
        <v>15.855696814254701</v>
      </c>
      <c r="I32" s="23">
        <v>19.120103819175661</v>
      </c>
      <c r="J32" s="23">
        <v>30.528259235133994</v>
      </c>
      <c r="K32" s="23">
        <v>10.233660514774297</v>
      </c>
      <c r="L32" s="23">
        <v>75.081387468162461</v>
      </c>
      <c r="M32" s="23">
        <v>8.5841837930831772</v>
      </c>
      <c r="N32" s="23">
        <v>5.4665880331153769</v>
      </c>
      <c r="O32" s="23">
        <v>18.826479682083061</v>
      </c>
      <c r="P32" s="23">
        <v>0.86360001564025801</v>
      </c>
      <c r="Q32" s="23">
        <v>557.59196290590558</v>
      </c>
      <c r="R32" s="23">
        <v>11.17498384000395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Value History</vt:lpstr>
      <vt:lpstr>Rebalancing History</vt:lpstr>
      <vt:lpstr>Fund Performance</vt:lpstr>
      <vt:lpstr>Attribution</vt:lpstr>
      <vt:lpstr>Change Impact</vt:lpstr>
      <vt:lpstr>Transaction Impact</vt:lpstr>
      <vt:lpstr>Asset Prices</vt:lpstr>
      <vt:lpstr>Asset Returns</vt:lpstr>
      <vt:lpstr>Euro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Sebastian Castellano</cp:lastModifiedBy>
  <dcterms:created xsi:type="dcterms:W3CDTF">2021-11-04T08:21:47Z</dcterms:created>
  <dcterms:modified xsi:type="dcterms:W3CDTF">2021-11-15T18:20:11Z</dcterms:modified>
</cp:coreProperties>
</file>