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dd072dddfb4f897a/Desktop/Poli 2021-2022/Computational Finance/Guzzetti Asset Allocation/"/>
    </mc:Choice>
  </mc:AlternateContent>
  <xr:revisionPtr revIDLastSave="5" documentId="13_ncr:1_{8BB2F04E-0741-491D-9B80-21D3207C3619}" xr6:coauthVersionLast="47" xr6:coauthVersionMax="47" xr10:uidLastSave="{223140ED-57A2-4516-B9EA-1AEE37996FD5}"/>
  <bookViews>
    <workbookView xWindow="13095" yWindow="-13350" windowWidth="7200" windowHeight="3765" firstSheet="4" activeTab="8" xr2:uid="{00000000-000D-0000-FFFF-FFFF00000000}"/>
  </bookViews>
  <sheets>
    <sheet name="workflow" sheetId="9" r:id="rId1"/>
    <sheet name="Prezzi Trade" sheetId="1" r:id="rId2"/>
    <sheet name="Prezzi FI" sheetId="2" r:id="rId3"/>
    <sheet name="benchmark" sheetId="8" r:id="rId4"/>
    <sheet name="Prezzi-Rend EUR" sheetId="3" r:id="rId5"/>
    <sheet name="optim" sheetId="4" r:id="rId6"/>
    <sheet name="implementazione" sheetId="5" r:id="rId7"/>
    <sheet name="Valorizzazione" sheetId="6" r:id="rId8"/>
    <sheet name="Performance" sheetId="7" r:id="rId9"/>
  </sheets>
  <definedNames>
    <definedName name="_xlnm._FilterDatabase" localSheetId="5" hidden="1">optim!#REF!</definedName>
    <definedName name="_xlnm._FilterDatabase" localSheetId="4" hidden="1">'Prezzi-Rend EUR'!$C$4:$I$446</definedName>
    <definedName name="solver_adj" localSheetId="5" hidden="1">optim!$I$3:$L$3</definedName>
    <definedName name="solver_cvg" localSheetId="5" hidden="1">"""""""""""""""0,0001"""""""""""""""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optim!$M$3</definedName>
    <definedName name="solver_lhs2" localSheetId="5" hidden="1">optim!$U$2</definedName>
    <definedName name="solver_mip" localSheetId="5" hidden="1">2147483647</definedName>
    <definedName name="solver_mni" localSheetId="5" hidden="1">30</definedName>
    <definedName name="solver_mrt" localSheetId="5" hidden="1">"""""""""""""""0,075"""""""""""""""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nwt" localSheetId="5" hidden="1">1</definedName>
    <definedName name="solver_opt" localSheetId="5" hidden="1">optim!$U$3</definedName>
    <definedName name="solver_pre" localSheetId="5" hidden="1">"""""""""""""""0,000001"""""""""""""""</definedName>
    <definedName name="solver_rbv" localSheetId="5" hidden="1">1</definedName>
    <definedName name="solver_rel1" localSheetId="5" hidden="1">2</definedName>
    <definedName name="solver_rel2" localSheetId="5" hidden="1">3</definedName>
    <definedName name="solver_rhs1" localSheetId="5" hidden="1">1</definedName>
    <definedName name="solver_rhs2" localSheetId="5" hidden="1">0.001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0" i="7" l="1"/>
  <c r="AK14" i="7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5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44" i="3"/>
  <c r="G5" i="3"/>
  <c r="L21" i="5" l="1"/>
  <c r="R9" i="6"/>
  <c r="R10" i="6"/>
  <c r="R24" i="6"/>
  <c r="J6" i="6"/>
  <c r="R6" i="6" s="1"/>
  <c r="J7" i="6"/>
  <c r="R7" i="6" s="1"/>
  <c r="J8" i="6"/>
  <c r="R8" i="6" s="1"/>
  <c r="J9" i="6"/>
  <c r="J10" i="6"/>
  <c r="J11" i="6"/>
  <c r="R11" i="6" s="1"/>
  <c r="J12" i="6"/>
  <c r="R12" i="6" s="1"/>
  <c r="J13" i="6"/>
  <c r="R13" i="6" s="1"/>
  <c r="J14" i="6"/>
  <c r="R14" i="6" s="1"/>
  <c r="J15" i="6"/>
  <c r="R15" i="6" s="1"/>
  <c r="J16" i="6"/>
  <c r="R16" i="6" s="1"/>
  <c r="J17" i="6"/>
  <c r="R17" i="6" s="1"/>
  <c r="J18" i="6"/>
  <c r="R18" i="6" s="1"/>
  <c r="J19" i="6"/>
  <c r="R19" i="6" s="1"/>
  <c r="J20" i="6"/>
  <c r="R20" i="6" s="1"/>
  <c r="J21" i="6"/>
  <c r="R21" i="6" s="1"/>
  <c r="J22" i="6"/>
  <c r="R22" i="6" s="1"/>
  <c r="J23" i="6"/>
  <c r="R23" i="6" s="1"/>
  <c r="J24" i="6"/>
  <c r="J25" i="6"/>
  <c r="R25" i="6" s="1"/>
  <c r="J5" i="6"/>
  <c r="R5" i="6" s="1"/>
  <c r="P5" i="5"/>
  <c r="O5" i="5"/>
  <c r="N5" i="5"/>
  <c r="M5" i="5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5" i="3"/>
  <c r="R6" i="7" l="1"/>
  <c r="R14" i="7" s="1"/>
  <c r="R5" i="7"/>
  <c r="R13" i="7" s="1"/>
  <c r="R4" i="7"/>
  <c r="R12" i="7" s="1"/>
  <c r="AS4" i="3"/>
  <c r="AT4" i="3"/>
  <c r="AU4" i="3"/>
  <c r="AV4" i="3"/>
  <c r="AW4" i="3"/>
  <c r="AZ6" i="3"/>
  <c r="AZ7" i="3"/>
  <c r="AZ8" i="3"/>
  <c r="AZ9" i="3"/>
  <c r="AZ10" i="3"/>
  <c r="AZ11" i="3"/>
  <c r="AZ12" i="3"/>
  <c r="AZ13" i="3"/>
  <c r="AZ14" i="3"/>
  <c r="AZ15" i="3"/>
  <c r="AZ16" i="3"/>
  <c r="AZ17" i="3"/>
  <c r="AZ18" i="3"/>
  <c r="AZ19" i="3"/>
  <c r="AZ20" i="3"/>
  <c r="AZ21" i="3"/>
  <c r="AZ22" i="3"/>
  <c r="AZ23" i="3"/>
  <c r="AZ24" i="3"/>
  <c r="AZ5" i="3"/>
  <c r="AE6" i="3"/>
  <c r="AE7" i="3"/>
  <c r="AE8" i="3"/>
  <c r="AM8" i="3" s="1"/>
  <c r="AE9" i="3"/>
  <c r="AE10" i="3"/>
  <c r="AE11" i="3"/>
  <c r="AE12" i="3"/>
  <c r="AE14" i="3"/>
  <c r="AE13" i="3" s="1"/>
  <c r="AM13" i="3" s="1"/>
  <c r="AE15" i="3"/>
  <c r="AE16" i="3"/>
  <c r="AE17" i="3"/>
  <c r="AM17" i="3" s="1"/>
  <c r="AE18" i="3"/>
  <c r="AE19" i="3"/>
  <c r="AE20" i="3"/>
  <c r="AE21" i="3"/>
  <c r="AE22" i="3"/>
  <c r="AM22" i="3" s="1"/>
  <c r="AE23" i="3"/>
  <c r="AE24" i="3"/>
  <c r="AE25" i="3"/>
  <c r="W12" i="7" s="1"/>
  <c r="AE5" i="3"/>
  <c r="AH6" i="3"/>
  <c r="AH7" i="3"/>
  <c r="AH8" i="3"/>
  <c r="AH9" i="3"/>
  <c r="AP9" i="3" s="1"/>
  <c r="AH10" i="3"/>
  <c r="AH11" i="3"/>
  <c r="AH12" i="3"/>
  <c r="AP12" i="3" s="1"/>
  <c r="AH13" i="3"/>
  <c r="AH14" i="3"/>
  <c r="AH15" i="3"/>
  <c r="AF13" i="7" s="1"/>
  <c r="AH16" i="3"/>
  <c r="AH17" i="3"/>
  <c r="AP17" i="3" s="1"/>
  <c r="AH18" i="3"/>
  <c r="AH19" i="3"/>
  <c r="AH20" i="3"/>
  <c r="AH21" i="3"/>
  <c r="AH22" i="3"/>
  <c r="AH23" i="3"/>
  <c r="AH24" i="3"/>
  <c r="AH25" i="3"/>
  <c r="AF12" i="7" s="1"/>
  <c r="AH5" i="3"/>
  <c r="AP5" i="3" s="1"/>
  <c r="AG6" i="3"/>
  <c r="AG7" i="3"/>
  <c r="AG8" i="3"/>
  <c r="AG9" i="3"/>
  <c r="AG10" i="3"/>
  <c r="AG11" i="3"/>
  <c r="AG12" i="3"/>
  <c r="AO12" i="3" s="1"/>
  <c r="AG13" i="3"/>
  <c r="AG14" i="3"/>
  <c r="AG15" i="3"/>
  <c r="AC13" i="7" s="1"/>
  <c r="AD13" i="7" s="1"/>
  <c r="AG16" i="3"/>
  <c r="AG17" i="3"/>
  <c r="AG18" i="3"/>
  <c r="AG19" i="3"/>
  <c r="AG20" i="3"/>
  <c r="AO20" i="3" s="1"/>
  <c r="AG21" i="3"/>
  <c r="AG22" i="3"/>
  <c r="AG23" i="3"/>
  <c r="AG24" i="3"/>
  <c r="AG25" i="3"/>
  <c r="AC12" i="7" s="1"/>
  <c r="AG5" i="3"/>
  <c r="AO5" i="3" s="1"/>
  <c r="AF6" i="3"/>
  <c r="AF7" i="3"/>
  <c r="AN7" i="3" s="1"/>
  <c r="AF8" i="3"/>
  <c r="AF9" i="3"/>
  <c r="AF10" i="3"/>
  <c r="AF11" i="3"/>
  <c r="AF12" i="3"/>
  <c r="AF13" i="3"/>
  <c r="AF14" i="3"/>
  <c r="AF15" i="3"/>
  <c r="Z13" i="7" s="1"/>
  <c r="AA13" i="7" s="1"/>
  <c r="AF16" i="3"/>
  <c r="AF17" i="3"/>
  <c r="AF18" i="3"/>
  <c r="AF19" i="3"/>
  <c r="AF20" i="3"/>
  <c r="AF21" i="3"/>
  <c r="AF22" i="3"/>
  <c r="AF23" i="3"/>
  <c r="AN23" i="3" s="1"/>
  <c r="AF24" i="3"/>
  <c r="AF25" i="3"/>
  <c r="Z12" i="7" s="1"/>
  <c r="AF5" i="3"/>
  <c r="AN5" i="3" s="1"/>
  <c r="AD6" i="3"/>
  <c r="AD7" i="3"/>
  <c r="AD8" i="3"/>
  <c r="AD9" i="3"/>
  <c r="AD10" i="3"/>
  <c r="AL10" i="3" s="1"/>
  <c r="AD11" i="3"/>
  <c r="AD12" i="3"/>
  <c r="AD13" i="3"/>
  <c r="AD14" i="3"/>
  <c r="AD15" i="3"/>
  <c r="T13" i="7" s="1"/>
  <c r="AD16" i="3"/>
  <c r="AD17" i="3"/>
  <c r="AD18" i="3"/>
  <c r="AL18" i="3" s="1"/>
  <c r="AD19" i="3"/>
  <c r="AD20" i="3"/>
  <c r="AD21" i="3"/>
  <c r="AD22" i="3"/>
  <c r="AD23" i="3"/>
  <c r="AD24" i="3"/>
  <c r="AD25" i="3"/>
  <c r="T12" i="7" s="1"/>
  <c r="AD5" i="3"/>
  <c r="AL13" i="3" l="1"/>
  <c r="AO23" i="3"/>
  <c r="AO7" i="3"/>
  <c r="AP20" i="3"/>
  <c r="AL21" i="3"/>
  <c r="AL5" i="3"/>
  <c r="AL16" i="3"/>
  <c r="AP18" i="3"/>
  <c r="AP10" i="3"/>
  <c r="AM6" i="3"/>
  <c r="AL24" i="3"/>
  <c r="AL8" i="3"/>
  <c r="AN21" i="3"/>
  <c r="AN13" i="3"/>
  <c r="AO18" i="3"/>
  <c r="AO10" i="3"/>
  <c r="AP23" i="3"/>
  <c r="AP7" i="3"/>
  <c r="AM20" i="3"/>
  <c r="AM11" i="3"/>
  <c r="U13" i="7"/>
  <c r="AL22" i="3"/>
  <c r="AL14" i="3"/>
  <c r="AL6" i="3"/>
  <c r="AO24" i="3"/>
  <c r="AO16" i="3"/>
  <c r="AO8" i="3"/>
  <c r="AP21" i="3"/>
  <c r="AP13" i="3"/>
  <c r="AM5" i="3"/>
  <c r="BA5" i="3" s="1"/>
  <c r="AM18" i="3"/>
  <c r="AM9" i="3"/>
  <c r="AO22" i="3"/>
  <c r="AO6" i="3"/>
  <c r="AO14" i="3"/>
  <c r="AL23" i="3"/>
  <c r="BA23" i="3" s="1"/>
  <c r="AL7" i="3"/>
  <c r="AN20" i="3"/>
  <c r="AN12" i="3"/>
  <c r="AO17" i="3"/>
  <c r="AO9" i="3"/>
  <c r="AP22" i="3"/>
  <c r="AP14" i="3"/>
  <c r="AP6" i="3"/>
  <c r="AM19" i="3"/>
  <c r="AM10" i="3"/>
  <c r="AN18" i="3"/>
  <c r="AN10" i="3"/>
  <c r="BA10" i="3" s="1"/>
  <c r="AL12" i="3"/>
  <c r="AN17" i="3"/>
  <c r="AN9" i="3"/>
  <c r="AP19" i="3"/>
  <c r="AP11" i="3"/>
  <c r="AM24" i="3"/>
  <c r="AM16" i="3"/>
  <c r="AM7" i="3"/>
  <c r="AL20" i="3"/>
  <c r="AL19" i="3"/>
  <c r="AL11" i="3"/>
  <c r="AN24" i="3"/>
  <c r="AN16" i="3"/>
  <c r="AN8" i="3"/>
  <c r="AO21" i="3"/>
  <c r="AO13" i="3"/>
  <c r="AM23" i="3"/>
  <c r="AM15" i="3"/>
  <c r="AL17" i="3"/>
  <c r="AL9" i="3"/>
  <c r="AN22" i="3"/>
  <c r="BA22" i="3" s="1"/>
  <c r="AN14" i="3"/>
  <c r="AN6" i="3"/>
  <c r="AO19" i="3"/>
  <c r="AO11" i="3"/>
  <c r="AP24" i="3"/>
  <c r="AP16" i="3"/>
  <c r="AP8" i="3"/>
  <c r="AM21" i="3"/>
  <c r="AM12" i="3"/>
  <c r="BA18" i="3"/>
  <c r="AC14" i="7"/>
  <c r="AD14" i="7" s="1"/>
  <c r="AL15" i="3"/>
  <c r="AN15" i="3"/>
  <c r="AP15" i="3"/>
  <c r="W13" i="7"/>
  <c r="X13" i="7" s="1"/>
  <c r="W14" i="7"/>
  <c r="T14" i="7"/>
  <c r="U14" i="7" s="1"/>
  <c r="AF14" i="7"/>
  <c r="AG14" i="7" s="1"/>
  <c r="AN11" i="3"/>
  <c r="AN19" i="3"/>
  <c r="AO15" i="3"/>
  <c r="Z14" i="7"/>
  <c r="AA14" i="7" s="1"/>
  <c r="AM14" i="3"/>
  <c r="AG13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4" i="7"/>
  <c r="M21" i="5"/>
  <c r="O3" i="6"/>
  <c r="N3" i="6"/>
  <c r="M3" i="6"/>
  <c r="L3" i="6"/>
  <c r="K3" i="6"/>
  <c r="B13" i="5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5" i="3"/>
  <c r="H6" i="3"/>
  <c r="H7" i="3"/>
  <c r="H8" i="3"/>
  <c r="H9" i="3"/>
  <c r="H10" i="3"/>
  <c r="H11" i="3"/>
  <c r="H12" i="3"/>
  <c r="H13" i="3"/>
  <c r="H14" i="3"/>
  <c r="H15" i="3"/>
  <c r="P23" i="5" s="1"/>
  <c r="H16" i="3"/>
  <c r="H17" i="3"/>
  <c r="H18" i="3"/>
  <c r="H19" i="3"/>
  <c r="H20" i="3"/>
  <c r="H21" i="3"/>
  <c r="P21" i="3" s="1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P53" i="3" s="1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P82" i="3" s="1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P141" i="3" s="1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P173" i="3" s="1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P437" i="3" s="1"/>
  <c r="H438" i="3"/>
  <c r="H439" i="3"/>
  <c r="H440" i="3"/>
  <c r="H441" i="3"/>
  <c r="H442" i="3"/>
  <c r="H443" i="3"/>
  <c r="H444" i="3"/>
  <c r="H445" i="3"/>
  <c r="H446" i="3"/>
  <c r="H5" i="3"/>
  <c r="E11" i="5"/>
  <c r="D11" i="5"/>
  <c r="C11" i="5"/>
  <c r="B11" i="5"/>
  <c r="B3" i="5"/>
  <c r="C3" i="5"/>
  <c r="D3" i="5"/>
  <c r="E3" i="5"/>
  <c r="B4" i="5"/>
  <c r="C4" i="5"/>
  <c r="D4" i="5"/>
  <c r="E4" i="5"/>
  <c r="M3" i="4"/>
  <c r="B2" i="4"/>
  <c r="C2" i="4"/>
  <c r="D2" i="4"/>
  <c r="E2" i="4"/>
  <c r="F2" i="4"/>
  <c r="B3" i="4"/>
  <c r="O3" i="4" s="1"/>
  <c r="B4" i="4"/>
  <c r="O4" i="4" s="1"/>
  <c r="B5" i="4"/>
  <c r="O5" i="4" s="1"/>
  <c r="B6" i="4"/>
  <c r="O6" i="4" s="1"/>
  <c r="B7" i="4"/>
  <c r="O7" i="4" s="1"/>
  <c r="B8" i="4"/>
  <c r="O8" i="4" s="1"/>
  <c r="B9" i="4"/>
  <c r="O9" i="4" s="1"/>
  <c r="B10" i="4"/>
  <c r="O10" i="4" s="1"/>
  <c r="B11" i="4"/>
  <c r="O11" i="4" s="1"/>
  <c r="B12" i="4"/>
  <c r="O12" i="4" s="1"/>
  <c r="B13" i="4"/>
  <c r="O13" i="4" s="1"/>
  <c r="B14" i="4"/>
  <c r="O14" i="4" s="1"/>
  <c r="B15" i="4"/>
  <c r="O15" i="4" s="1"/>
  <c r="B16" i="4"/>
  <c r="O16" i="4" s="1"/>
  <c r="B17" i="4"/>
  <c r="O17" i="4" s="1"/>
  <c r="B18" i="4"/>
  <c r="O18" i="4" s="1"/>
  <c r="B19" i="4"/>
  <c r="O19" i="4" s="1"/>
  <c r="B20" i="4"/>
  <c r="O20" i="4" s="1"/>
  <c r="B21" i="4"/>
  <c r="O21" i="4" s="1"/>
  <c r="B22" i="4"/>
  <c r="O22" i="4" s="1"/>
  <c r="B23" i="4"/>
  <c r="O23" i="4" s="1"/>
  <c r="B24" i="4"/>
  <c r="O24" i="4" s="1"/>
  <c r="B25" i="4"/>
  <c r="O25" i="4" s="1"/>
  <c r="B26" i="4"/>
  <c r="O26" i="4" s="1"/>
  <c r="B27" i="4"/>
  <c r="O27" i="4" s="1"/>
  <c r="B28" i="4"/>
  <c r="O28" i="4" s="1"/>
  <c r="B29" i="4"/>
  <c r="O29" i="4" s="1"/>
  <c r="B30" i="4"/>
  <c r="O30" i="4" s="1"/>
  <c r="B31" i="4"/>
  <c r="O31" i="4" s="1"/>
  <c r="B32" i="4"/>
  <c r="O32" i="4" s="1"/>
  <c r="B33" i="4"/>
  <c r="O33" i="4" s="1"/>
  <c r="B34" i="4"/>
  <c r="O34" i="4" s="1"/>
  <c r="B35" i="4"/>
  <c r="O35" i="4" s="1"/>
  <c r="B36" i="4"/>
  <c r="O36" i="4" s="1"/>
  <c r="B37" i="4"/>
  <c r="O37" i="4" s="1"/>
  <c r="B38" i="4"/>
  <c r="O38" i="4" s="1"/>
  <c r="B39" i="4"/>
  <c r="O39" i="4" s="1"/>
  <c r="B40" i="4"/>
  <c r="O40" i="4" s="1"/>
  <c r="B41" i="4"/>
  <c r="O41" i="4" s="1"/>
  <c r="B42" i="4"/>
  <c r="O42" i="4" s="1"/>
  <c r="B43" i="4"/>
  <c r="O43" i="4" s="1"/>
  <c r="B44" i="4"/>
  <c r="O44" i="4" s="1"/>
  <c r="B45" i="4"/>
  <c r="O45" i="4" s="1"/>
  <c r="B46" i="4"/>
  <c r="O46" i="4" s="1"/>
  <c r="B47" i="4"/>
  <c r="O47" i="4" s="1"/>
  <c r="B48" i="4"/>
  <c r="O48" i="4" s="1"/>
  <c r="B49" i="4"/>
  <c r="O49" i="4" s="1"/>
  <c r="B50" i="4"/>
  <c r="O50" i="4" s="1"/>
  <c r="B51" i="4"/>
  <c r="O51" i="4" s="1"/>
  <c r="B52" i="4"/>
  <c r="O52" i="4" s="1"/>
  <c r="B53" i="4"/>
  <c r="O53" i="4" s="1"/>
  <c r="B54" i="4"/>
  <c r="O54" i="4" s="1"/>
  <c r="B55" i="4"/>
  <c r="O55" i="4" s="1"/>
  <c r="B56" i="4"/>
  <c r="O56" i="4" s="1"/>
  <c r="B57" i="4"/>
  <c r="O57" i="4" s="1"/>
  <c r="B58" i="4"/>
  <c r="O58" i="4" s="1"/>
  <c r="B59" i="4"/>
  <c r="O59" i="4" s="1"/>
  <c r="B60" i="4"/>
  <c r="O60" i="4" s="1"/>
  <c r="B61" i="4"/>
  <c r="O61" i="4" s="1"/>
  <c r="B62" i="4"/>
  <c r="O62" i="4" s="1"/>
  <c r="B63" i="4"/>
  <c r="O63" i="4" s="1"/>
  <c r="B64" i="4"/>
  <c r="O64" i="4" s="1"/>
  <c r="B65" i="4"/>
  <c r="O65" i="4" s="1"/>
  <c r="B66" i="4"/>
  <c r="O66" i="4" s="1"/>
  <c r="B67" i="4"/>
  <c r="O67" i="4" s="1"/>
  <c r="B68" i="4"/>
  <c r="O68" i="4" s="1"/>
  <c r="B69" i="4"/>
  <c r="O69" i="4" s="1"/>
  <c r="B70" i="4"/>
  <c r="O70" i="4" s="1"/>
  <c r="B71" i="4"/>
  <c r="O71" i="4" s="1"/>
  <c r="B72" i="4"/>
  <c r="O72" i="4" s="1"/>
  <c r="B73" i="4"/>
  <c r="O73" i="4" s="1"/>
  <c r="B74" i="4"/>
  <c r="O74" i="4" s="1"/>
  <c r="B75" i="4"/>
  <c r="O75" i="4" s="1"/>
  <c r="B76" i="4"/>
  <c r="O76" i="4" s="1"/>
  <c r="B77" i="4"/>
  <c r="O77" i="4" s="1"/>
  <c r="B78" i="4"/>
  <c r="O78" i="4" s="1"/>
  <c r="B79" i="4"/>
  <c r="O79" i="4" s="1"/>
  <c r="B80" i="4"/>
  <c r="O80" i="4" s="1"/>
  <c r="B81" i="4"/>
  <c r="O81" i="4" s="1"/>
  <c r="B82" i="4"/>
  <c r="O82" i="4" s="1"/>
  <c r="B83" i="4"/>
  <c r="O83" i="4" s="1"/>
  <c r="B84" i="4"/>
  <c r="O84" i="4" s="1"/>
  <c r="B85" i="4"/>
  <c r="O85" i="4" s="1"/>
  <c r="B86" i="4"/>
  <c r="O86" i="4" s="1"/>
  <c r="B87" i="4"/>
  <c r="O87" i="4" s="1"/>
  <c r="B88" i="4"/>
  <c r="O88" i="4" s="1"/>
  <c r="B89" i="4"/>
  <c r="O89" i="4" s="1"/>
  <c r="B90" i="4"/>
  <c r="O90" i="4" s="1"/>
  <c r="B91" i="4"/>
  <c r="O91" i="4" s="1"/>
  <c r="B92" i="4"/>
  <c r="O92" i="4" s="1"/>
  <c r="B93" i="4"/>
  <c r="O93" i="4" s="1"/>
  <c r="P6" i="3"/>
  <c r="P70" i="3"/>
  <c r="P134" i="3"/>
  <c r="P198" i="3"/>
  <c r="P266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5" i="3"/>
  <c r="E206" i="3"/>
  <c r="F206" i="3"/>
  <c r="E207" i="3"/>
  <c r="M207" i="3" s="1"/>
  <c r="F207" i="3"/>
  <c r="E208" i="3"/>
  <c r="F208" i="3"/>
  <c r="E209" i="3"/>
  <c r="F209" i="3"/>
  <c r="O209" i="3"/>
  <c r="E210" i="3"/>
  <c r="F210" i="3"/>
  <c r="E211" i="3"/>
  <c r="F211" i="3"/>
  <c r="E212" i="3"/>
  <c r="F212" i="3"/>
  <c r="N212" i="3" s="1"/>
  <c r="E213" i="3"/>
  <c r="F213" i="3"/>
  <c r="E214" i="3"/>
  <c r="F214" i="3"/>
  <c r="E215" i="3"/>
  <c r="M215" i="3" s="1"/>
  <c r="F215" i="3"/>
  <c r="E216" i="3"/>
  <c r="F216" i="3"/>
  <c r="E217" i="3"/>
  <c r="F217" i="3"/>
  <c r="O217" i="3"/>
  <c r="E218" i="3"/>
  <c r="F218" i="3"/>
  <c r="E219" i="3"/>
  <c r="F219" i="3"/>
  <c r="E220" i="3"/>
  <c r="F220" i="3"/>
  <c r="N220" i="3" s="1"/>
  <c r="E221" i="3"/>
  <c r="F221" i="3"/>
  <c r="E222" i="3"/>
  <c r="F222" i="3"/>
  <c r="E223" i="3"/>
  <c r="M223" i="3" s="1"/>
  <c r="F223" i="3"/>
  <c r="E224" i="3"/>
  <c r="F224" i="3"/>
  <c r="E225" i="3"/>
  <c r="F225" i="3"/>
  <c r="O225" i="3"/>
  <c r="E226" i="3"/>
  <c r="F226" i="3"/>
  <c r="E227" i="3"/>
  <c r="F227" i="3"/>
  <c r="E228" i="3"/>
  <c r="F228" i="3"/>
  <c r="N228" i="3" s="1"/>
  <c r="E229" i="3"/>
  <c r="F229" i="3"/>
  <c r="E230" i="3"/>
  <c r="F230" i="3"/>
  <c r="E231" i="3"/>
  <c r="M231" i="3" s="1"/>
  <c r="F231" i="3"/>
  <c r="E232" i="3"/>
  <c r="F232" i="3"/>
  <c r="E233" i="3"/>
  <c r="F233" i="3"/>
  <c r="O233" i="3"/>
  <c r="E234" i="3"/>
  <c r="F234" i="3"/>
  <c r="E235" i="3"/>
  <c r="F235" i="3"/>
  <c r="E236" i="3"/>
  <c r="F236" i="3"/>
  <c r="N236" i="3" s="1"/>
  <c r="E237" i="3"/>
  <c r="F237" i="3"/>
  <c r="E238" i="3"/>
  <c r="F238" i="3"/>
  <c r="E239" i="3"/>
  <c r="M239" i="3" s="1"/>
  <c r="F239" i="3"/>
  <c r="E240" i="3"/>
  <c r="F240" i="3"/>
  <c r="E241" i="3"/>
  <c r="F241" i="3"/>
  <c r="O241" i="3"/>
  <c r="E242" i="3"/>
  <c r="F242" i="3"/>
  <c r="E243" i="3"/>
  <c r="F243" i="3"/>
  <c r="E244" i="3"/>
  <c r="F244" i="3"/>
  <c r="N244" i="3" s="1"/>
  <c r="E245" i="3"/>
  <c r="F245" i="3"/>
  <c r="E246" i="3"/>
  <c r="F246" i="3"/>
  <c r="E247" i="3"/>
  <c r="M247" i="3" s="1"/>
  <c r="F247" i="3"/>
  <c r="E248" i="3"/>
  <c r="F248" i="3"/>
  <c r="E249" i="3"/>
  <c r="F249" i="3"/>
  <c r="O249" i="3"/>
  <c r="E250" i="3"/>
  <c r="F250" i="3"/>
  <c r="E251" i="3"/>
  <c r="F251" i="3"/>
  <c r="E252" i="3"/>
  <c r="F252" i="3"/>
  <c r="N252" i="3" s="1"/>
  <c r="E253" i="3"/>
  <c r="F253" i="3"/>
  <c r="E254" i="3"/>
  <c r="F254" i="3"/>
  <c r="E255" i="3"/>
  <c r="M255" i="3" s="1"/>
  <c r="F255" i="3"/>
  <c r="E256" i="3"/>
  <c r="F256" i="3"/>
  <c r="E257" i="3"/>
  <c r="F257" i="3"/>
  <c r="O257" i="3"/>
  <c r="E258" i="3"/>
  <c r="F258" i="3"/>
  <c r="E259" i="3"/>
  <c r="F259" i="3"/>
  <c r="E260" i="3"/>
  <c r="F260" i="3"/>
  <c r="N260" i="3" s="1"/>
  <c r="E261" i="3"/>
  <c r="F261" i="3"/>
  <c r="E262" i="3"/>
  <c r="F262" i="3"/>
  <c r="E263" i="3"/>
  <c r="M263" i="3" s="1"/>
  <c r="F263" i="3"/>
  <c r="E264" i="3"/>
  <c r="F264" i="3"/>
  <c r="E265" i="3"/>
  <c r="F265" i="3"/>
  <c r="O265" i="3"/>
  <c r="E266" i="3"/>
  <c r="F266" i="3"/>
  <c r="E267" i="3"/>
  <c r="F267" i="3"/>
  <c r="E268" i="3"/>
  <c r="F268" i="3"/>
  <c r="N268" i="3" s="1"/>
  <c r="E269" i="3"/>
  <c r="F269" i="3"/>
  <c r="E270" i="3"/>
  <c r="F270" i="3"/>
  <c r="E271" i="3"/>
  <c r="M271" i="3" s="1"/>
  <c r="F271" i="3"/>
  <c r="E272" i="3"/>
  <c r="F272" i="3"/>
  <c r="E273" i="3"/>
  <c r="F273" i="3"/>
  <c r="O273" i="3"/>
  <c r="E274" i="3"/>
  <c r="F274" i="3"/>
  <c r="E275" i="3"/>
  <c r="F275" i="3"/>
  <c r="E276" i="3"/>
  <c r="F276" i="3"/>
  <c r="N276" i="3" s="1"/>
  <c r="E277" i="3"/>
  <c r="F277" i="3"/>
  <c r="E278" i="3"/>
  <c r="F278" i="3"/>
  <c r="E279" i="3"/>
  <c r="M279" i="3" s="1"/>
  <c r="F279" i="3"/>
  <c r="E280" i="3"/>
  <c r="F280" i="3"/>
  <c r="E281" i="3"/>
  <c r="F281" i="3"/>
  <c r="O281" i="3"/>
  <c r="E282" i="3"/>
  <c r="F282" i="3"/>
  <c r="E283" i="3"/>
  <c r="F283" i="3"/>
  <c r="E284" i="3"/>
  <c r="F284" i="3"/>
  <c r="N284" i="3" s="1"/>
  <c r="E285" i="3"/>
  <c r="F285" i="3"/>
  <c r="E286" i="3"/>
  <c r="F286" i="3"/>
  <c r="E287" i="3"/>
  <c r="M287" i="3" s="1"/>
  <c r="F287" i="3"/>
  <c r="E288" i="3"/>
  <c r="F288" i="3"/>
  <c r="E289" i="3"/>
  <c r="F289" i="3"/>
  <c r="O289" i="3"/>
  <c r="E290" i="3"/>
  <c r="F290" i="3"/>
  <c r="E291" i="3"/>
  <c r="F291" i="3"/>
  <c r="E292" i="3"/>
  <c r="F292" i="3"/>
  <c r="N292" i="3" s="1"/>
  <c r="E293" i="3"/>
  <c r="F293" i="3"/>
  <c r="E294" i="3"/>
  <c r="F294" i="3"/>
  <c r="E295" i="3"/>
  <c r="M295" i="3" s="1"/>
  <c r="F295" i="3"/>
  <c r="E296" i="3"/>
  <c r="F296" i="3"/>
  <c r="E297" i="3"/>
  <c r="F297" i="3"/>
  <c r="O297" i="3"/>
  <c r="E298" i="3"/>
  <c r="F298" i="3"/>
  <c r="E299" i="3"/>
  <c r="F299" i="3"/>
  <c r="E300" i="3"/>
  <c r="F300" i="3"/>
  <c r="N300" i="3" s="1"/>
  <c r="E301" i="3"/>
  <c r="F301" i="3"/>
  <c r="E302" i="3"/>
  <c r="F302" i="3"/>
  <c r="E303" i="3"/>
  <c r="M303" i="3" s="1"/>
  <c r="F303" i="3"/>
  <c r="E304" i="3"/>
  <c r="F304" i="3"/>
  <c r="E305" i="3"/>
  <c r="F305" i="3"/>
  <c r="O305" i="3"/>
  <c r="E306" i="3"/>
  <c r="F306" i="3"/>
  <c r="E307" i="3"/>
  <c r="F307" i="3"/>
  <c r="E308" i="3"/>
  <c r="F308" i="3"/>
  <c r="N308" i="3" s="1"/>
  <c r="E309" i="3"/>
  <c r="F309" i="3"/>
  <c r="E310" i="3"/>
  <c r="F310" i="3"/>
  <c r="E311" i="3"/>
  <c r="M311" i="3" s="1"/>
  <c r="F311" i="3"/>
  <c r="E312" i="3"/>
  <c r="F312" i="3"/>
  <c r="E313" i="3"/>
  <c r="F313" i="3"/>
  <c r="O313" i="3"/>
  <c r="E314" i="3"/>
  <c r="F314" i="3"/>
  <c r="E315" i="3"/>
  <c r="F315" i="3"/>
  <c r="E316" i="3"/>
  <c r="F316" i="3"/>
  <c r="N316" i="3" s="1"/>
  <c r="E317" i="3"/>
  <c r="F317" i="3"/>
  <c r="E318" i="3"/>
  <c r="F318" i="3"/>
  <c r="E319" i="3"/>
  <c r="M319" i="3" s="1"/>
  <c r="F319" i="3"/>
  <c r="E320" i="3"/>
  <c r="F320" i="3"/>
  <c r="E321" i="3"/>
  <c r="F321" i="3"/>
  <c r="O321" i="3"/>
  <c r="E322" i="3"/>
  <c r="F322" i="3"/>
  <c r="E323" i="3"/>
  <c r="F323" i="3"/>
  <c r="E324" i="3"/>
  <c r="F324" i="3"/>
  <c r="N324" i="3" s="1"/>
  <c r="E325" i="3"/>
  <c r="F325" i="3"/>
  <c r="E326" i="3"/>
  <c r="F326" i="3"/>
  <c r="E327" i="3"/>
  <c r="M327" i="3" s="1"/>
  <c r="F327" i="3"/>
  <c r="E328" i="3"/>
  <c r="F328" i="3"/>
  <c r="E329" i="3"/>
  <c r="F329" i="3"/>
  <c r="O329" i="3"/>
  <c r="E330" i="3"/>
  <c r="F330" i="3"/>
  <c r="E331" i="3"/>
  <c r="F331" i="3"/>
  <c r="E332" i="3"/>
  <c r="F332" i="3"/>
  <c r="N332" i="3" s="1"/>
  <c r="E333" i="3"/>
  <c r="F333" i="3"/>
  <c r="E334" i="3"/>
  <c r="F334" i="3"/>
  <c r="E335" i="3"/>
  <c r="M335" i="3" s="1"/>
  <c r="F335" i="3"/>
  <c r="E336" i="3"/>
  <c r="F336" i="3"/>
  <c r="E337" i="3"/>
  <c r="F337" i="3"/>
  <c r="O337" i="3"/>
  <c r="E338" i="3"/>
  <c r="F338" i="3"/>
  <c r="E339" i="3"/>
  <c r="F339" i="3"/>
  <c r="E340" i="3"/>
  <c r="F340" i="3"/>
  <c r="N340" i="3" s="1"/>
  <c r="E341" i="3"/>
  <c r="F341" i="3"/>
  <c r="E342" i="3"/>
  <c r="F342" i="3"/>
  <c r="E343" i="3"/>
  <c r="M343" i="3" s="1"/>
  <c r="F343" i="3"/>
  <c r="E344" i="3"/>
  <c r="F344" i="3"/>
  <c r="E345" i="3"/>
  <c r="F345" i="3"/>
  <c r="O345" i="3"/>
  <c r="E346" i="3"/>
  <c r="F346" i="3"/>
  <c r="E347" i="3"/>
  <c r="F347" i="3"/>
  <c r="E348" i="3"/>
  <c r="F348" i="3"/>
  <c r="N348" i="3" s="1"/>
  <c r="E349" i="3"/>
  <c r="F349" i="3"/>
  <c r="E350" i="3"/>
  <c r="F350" i="3"/>
  <c r="E351" i="3"/>
  <c r="M351" i="3" s="1"/>
  <c r="F351" i="3"/>
  <c r="E352" i="3"/>
  <c r="F352" i="3"/>
  <c r="E353" i="3"/>
  <c r="F353" i="3"/>
  <c r="O353" i="3"/>
  <c r="E354" i="3"/>
  <c r="F354" i="3"/>
  <c r="E355" i="3"/>
  <c r="F355" i="3"/>
  <c r="E356" i="3"/>
  <c r="F356" i="3"/>
  <c r="N356" i="3" s="1"/>
  <c r="E357" i="3"/>
  <c r="F357" i="3"/>
  <c r="E358" i="3"/>
  <c r="F358" i="3"/>
  <c r="E359" i="3"/>
  <c r="M359" i="3" s="1"/>
  <c r="F359" i="3"/>
  <c r="E360" i="3"/>
  <c r="F360" i="3"/>
  <c r="E361" i="3"/>
  <c r="F361" i="3"/>
  <c r="O361" i="3"/>
  <c r="E362" i="3"/>
  <c r="F362" i="3"/>
  <c r="E363" i="3"/>
  <c r="F363" i="3"/>
  <c r="E364" i="3"/>
  <c r="F364" i="3"/>
  <c r="N364" i="3" s="1"/>
  <c r="E365" i="3"/>
  <c r="F365" i="3"/>
  <c r="E366" i="3"/>
  <c r="F366" i="3"/>
  <c r="E367" i="3"/>
  <c r="M367" i="3" s="1"/>
  <c r="F367" i="3"/>
  <c r="E368" i="3"/>
  <c r="F368" i="3"/>
  <c r="E369" i="3"/>
  <c r="F369" i="3"/>
  <c r="O369" i="3"/>
  <c r="E370" i="3"/>
  <c r="F370" i="3"/>
  <c r="E371" i="3"/>
  <c r="F371" i="3"/>
  <c r="E372" i="3"/>
  <c r="F372" i="3"/>
  <c r="N372" i="3" s="1"/>
  <c r="E373" i="3"/>
  <c r="F373" i="3"/>
  <c r="E374" i="3"/>
  <c r="F374" i="3"/>
  <c r="E375" i="3"/>
  <c r="M375" i="3" s="1"/>
  <c r="F375" i="3"/>
  <c r="E376" i="3"/>
  <c r="F376" i="3"/>
  <c r="E377" i="3"/>
  <c r="F377" i="3"/>
  <c r="O377" i="3"/>
  <c r="E378" i="3"/>
  <c r="F378" i="3"/>
  <c r="E379" i="3"/>
  <c r="F379" i="3"/>
  <c r="E380" i="3"/>
  <c r="F380" i="3"/>
  <c r="N380" i="3" s="1"/>
  <c r="E381" i="3"/>
  <c r="F381" i="3"/>
  <c r="E382" i="3"/>
  <c r="F382" i="3"/>
  <c r="E383" i="3"/>
  <c r="M383" i="3" s="1"/>
  <c r="F383" i="3"/>
  <c r="E384" i="3"/>
  <c r="F384" i="3"/>
  <c r="E385" i="3"/>
  <c r="F385" i="3"/>
  <c r="O385" i="3"/>
  <c r="E386" i="3"/>
  <c r="F386" i="3"/>
  <c r="E387" i="3"/>
  <c r="F387" i="3"/>
  <c r="E388" i="3"/>
  <c r="F388" i="3"/>
  <c r="N388" i="3" s="1"/>
  <c r="E389" i="3"/>
  <c r="F389" i="3"/>
  <c r="E390" i="3"/>
  <c r="F390" i="3"/>
  <c r="E391" i="3"/>
  <c r="M391" i="3" s="1"/>
  <c r="F391" i="3"/>
  <c r="E392" i="3"/>
  <c r="F392" i="3"/>
  <c r="E393" i="3"/>
  <c r="F393" i="3"/>
  <c r="O393" i="3"/>
  <c r="E394" i="3"/>
  <c r="F394" i="3"/>
  <c r="E395" i="3"/>
  <c r="F395" i="3"/>
  <c r="E396" i="3"/>
  <c r="F396" i="3"/>
  <c r="N396" i="3" s="1"/>
  <c r="E397" i="3"/>
  <c r="F397" i="3"/>
  <c r="E398" i="3"/>
  <c r="F398" i="3"/>
  <c r="E399" i="3"/>
  <c r="M399" i="3" s="1"/>
  <c r="F399" i="3"/>
  <c r="E400" i="3"/>
  <c r="F400" i="3"/>
  <c r="E401" i="3"/>
  <c r="F401" i="3"/>
  <c r="O401" i="3"/>
  <c r="E402" i="3"/>
  <c r="F402" i="3"/>
  <c r="E403" i="3"/>
  <c r="F403" i="3"/>
  <c r="E404" i="3"/>
  <c r="F404" i="3"/>
  <c r="N404" i="3" s="1"/>
  <c r="E405" i="3"/>
  <c r="F405" i="3"/>
  <c r="E406" i="3"/>
  <c r="F406" i="3"/>
  <c r="E407" i="3"/>
  <c r="M407" i="3" s="1"/>
  <c r="F407" i="3"/>
  <c r="E408" i="3"/>
  <c r="F408" i="3"/>
  <c r="E409" i="3"/>
  <c r="F409" i="3"/>
  <c r="O409" i="3"/>
  <c r="E410" i="3"/>
  <c r="F410" i="3"/>
  <c r="E411" i="3"/>
  <c r="F411" i="3"/>
  <c r="E412" i="3"/>
  <c r="F412" i="3"/>
  <c r="N412" i="3" s="1"/>
  <c r="E413" i="3"/>
  <c r="F413" i="3"/>
  <c r="E414" i="3"/>
  <c r="F414" i="3"/>
  <c r="E415" i="3"/>
  <c r="M415" i="3" s="1"/>
  <c r="F415" i="3"/>
  <c r="E416" i="3"/>
  <c r="F416" i="3"/>
  <c r="E417" i="3"/>
  <c r="F417" i="3"/>
  <c r="O417" i="3"/>
  <c r="E418" i="3"/>
  <c r="F418" i="3"/>
  <c r="E419" i="3"/>
  <c r="F419" i="3"/>
  <c r="E420" i="3"/>
  <c r="F420" i="3"/>
  <c r="N420" i="3" s="1"/>
  <c r="E421" i="3"/>
  <c r="F421" i="3"/>
  <c r="E422" i="3"/>
  <c r="F422" i="3"/>
  <c r="E423" i="3"/>
  <c r="M423" i="3" s="1"/>
  <c r="F423" i="3"/>
  <c r="E424" i="3"/>
  <c r="F424" i="3"/>
  <c r="E425" i="3"/>
  <c r="F425" i="3"/>
  <c r="O425" i="3"/>
  <c r="E426" i="3"/>
  <c r="F426" i="3"/>
  <c r="E427" i="3"/>
  <c r="F427" i="3"/>
  <c r="E428" i="3"/>
  <c r="F428" i="3"/>
  <c r="N428" i="3" s="1"/>
  <c r="E429" i="3"/>
  <c r="F429" i="3"/>
  <c r="E430" i="3"/>
  <c r="F430" i="3"/>
  <c r="E431" i="3"/>
  <c r="M431" i="3" s="1"/>
  <c r="F431" i="3"/>
  <c r="E432" i="3"/>
  <c r="F432" i="3"/>
  <c r="E433" i="3"/>
  <c r="F433" i="3"/>
  <c r="O433" i="3"/>
  <c r="E434" i="3"/>
  <c r="F434" i="3"/>
  <c r="E435" i="3"/>
  <c r="F435" i="3"/>
  <c r="E436" i="3"/>
  <c r="F436" i="3"/>
  <c r="N436" i="3" s="1"/>
  <c r="E437" i="3"/>
  <c r="F437" i="3"/>
  <c r="E438" i="3"/>
  <c r="F438" i="3"/>
  <c r="E439" i="3"/>
  <c r="M439" i="3" s="1"/>
  <c r="F439" i="3"/>
  <c r="E440" i="3"/>
  <c r="F440" i="3"/>
  <c r="E441" i="3"/>
  <c r="F441" i="3"/>
  <c r="O441" i="3"/>
  <c r="E442" i="3"/>
  <c r="F442" i="3"/>
  <c r="E443" i="3"/>
  <c r="F443" i="3"/>
  <c r="E444" i="3"/>
  <c r="F444" i="3"/>
  <c r="E445" i="3"/>
  <c r="F445" i="3"/>
  <c r="E446" i="3"/>
  <c r="F446" i="3"/>
  <c r="E72" i="3"/>
  <c r="F72" i="3"/>
  <c r="E73" i="3"/>
  <c r="F73" i="3"/>
  <c r="E74" i="3"/>
  <c r="F74" i="3"/>
  <c r="N74" i="3" s="1"/>
  <c r="E75" i="3"/>
  <c r="F75" i="3"/>
  <c r="E76" i="3"/>
  <c r="F76" i="3"/>
  <c r="E77" i="3"/>
  <c r="M77" i="3" s="1"/>
  <c r="F77" i="3"/>
  <c r="E78" i="3"/>
  <c r="F78" i="3"/>
  <c r="E79" i="3"/>
  <c r="F79" i="3"/>
  <c r="O79" i="3"/>
  <c r="E80" i="3"/>
  <c r="F80" i="3"/>
  <c r="E81" i="3"/>
  <c r="F81" i="3"/>
  <c r="E82" i="3"/>
  <c r="F82" i="3"/>
  <c r="N82" i="3" s="1"/>
  <c r="E83" i="3"/>
  <c r="F83" i="3"/>
  <c r="E84" i="3"/>
  <c r="F84" i="3"/>
  <c r="E85" i="3"/>
  <c r="M85" i="3" s="1"/>
  <c r="F85" i="3"/>
  <c r="E86" i="3"/>
  <c r="F86" i="3"/>
  <c r="E87" i="3"/>
  <c r="F87" i="3"/>
  <c r="O87" i="3"/>
  <c r="E88" i="3"/>
  <c r="F88" i="3"/>
  <c r="E89" i="3"/>
  <c r="F89" i="3"/>
  <c r="E90" i="3"/>
  <c r="F90" i="3"/>
  <c r="N90" i="3" s="1"/>
  <c r="E91" i="3"/>
  <c r="F91" i="3"/>
  <c r="E92" i="3"/>
  <c r="F92" i="3"/>
  <c r="E93" i="3"/>
  <c r="M93" i="3" s="1"/>
  <c r="F93" i="3"/>
  <c r="E94" i="3"/>
  <c r="F94" i="3"/>
  <c r="E95" i="3"/>
  <c r="F95" i="3"/>
  <c r="O95" i="3"/>
  <c r="E96" i="3"/>
  <c r="F96" i="3"/>
  <c r="E97" i="3"/>
  <c r="F97" i="3"/>
  <c r="E98" i="3"/>
  <c r="F98" i="3"/>
  <c r="N98" i="3" s="1"/>
  <c r="E99" i="3"/>
  <c r="F99" i="3"/>
  <c r="E100" i="3"/>
  <c r="F100" i="3"/>
  <c r="E101" i="3"/>
  <c r="M101" i="3" s="1"/>
  <c r="F101" i="3"/>
  <c r="E102" i="3"/>
  <c r="F102" i="3"/>
  <c r="E103" i="3"/>
  <c r="F103" i="3"/>
  <c r="O103" i="3"/>
  <c r="E104" i="3"/>
  <c r="F104" i="3"/>
  <c r="E105" i="3"/>
  <c r="F105" i="3"/>
  <c r="E106" i="3"/>
  <c r="F106" i="3"/>
  <c r="N106" i="3" s="1"/>
  <c r="E107" i="3"/>
  <c r="F107" i="3"/>
  <c r="E108" i="3"/>
  <c r="F108" i="3"/>
  <c r="E109" i="3"/>
  <c r="M109" i="3" s="1"/>
  <c r="F109" i="3"/>
  <c r="E110" i="3"/>
  <c r="F110" i="3"/>
  <c r="E111" i="3"/>
  <c r="F111" i="3"/>
  <c r="O111" i="3"/>
  <c r="E112" i="3"/>
  <c r="F112" i="3"/>
  <c r="E113" i="3"/>
  <c r="F113" i="3"/>
  <c r="E114" i="3"/>
  <c r="F114" i="3"/>
  <c r="N114" i="3" s="1"/>
  <c r="E115" i="3"/>
  <c r="F115" i="3"/>
  <c r="E116" i="3"/>
  <c r="F116" i="3"/>
  <c r="E117" i="3"/>
  <c r="M117" i="3" s="1"/>
  <c r="F117" i="3"/>
  <c r="E118" i="3"/>
  <c r="F118" i="3"/>
  <c r="E119" i="3"/>
  <c r="F119" i="3"/>
  <c r="O119" i="3"/>
  <c r="E120" i="3"/>
  <c r="F120" i="3"/>
  <c r="E121" i="3"/>
  <c r="F121" i="3"/>
  <c r="E122" i="3"/>
  <c r="F122" i="3"/>
  <c r="N122" i="3" s="1"/>
  <c r="E123" i="3"/>
  <c r="F123" i="3"/>
  <c r="E124" i="3"/>
  <c r="F124" i="3"/>
  <c r="E125" i="3"/>
  <c r="M125" i="3" s="1"/>
  <c r="F125" i="3"/>
  <c r="E126" i="3"/>
  <c r="F126" i="3"/>
  <c r="E127" i="3"/>
  <c r="F127" i="3"/>
  <c r="O127" i="3"/>
  <c r="E128" i="3"/>
  <c r="F128" i="3"/>
  <c r="E129" i="3"/>
  <c r="F129" i="3"/>
  <c r="E130" i="3"/>
  <c r="F130" i="3"/>
  <c r="N130" i="3" s="1"/>
  <c r="E131" i="3"/>
  <c r="F131" i="3"/>
  <c r="E132" i="3"/>
  <c r="F132" i="3"/>
  <c r="E133" i="3"/>
  <c r="M133" i="3" s="1"/>
  <c r="F133" i="3"/>
  <c r="E134" i="3"/>
  <c r="F134" i="3"/>
  <c r="E135" i="3"/>
  <c r="F135" i="3"/>
  <c r="O135" i="3"/>
  <c r="E136" i="3"/>
  <c r="F136" i="3"/>
  <c r="E137" i="3"/>
  <c r="F137" i="3"/>
  <c r="E138" i="3"/>
  <c r="F138" i="3"/>
  <c r="N138" i="3" s="1"/>
  <c r="E139" i="3"/>
  <c r="F139" i="3"/>
  <c r="E140" i="3"/>
  <c r="F140" i="3"/>
  <c r="E141" i="3"/>
  <c r="M141" i="3" s="1"/>
  <c r="F141" i="3"/>
  <c r="E142" i="3"/>
  <c r="F142" i="3"/>
  <c r="E143" i="3"/>
  <c r="F143" i="3"/>
  <c r="O143" i="3"/>
  <c r="E144" i="3"/>
  <c r="F144" i="3"/>
  <c r="E145" i="3"/>
  <c r="F145" i="3"/>
  <c r="E146" i="3"/>
  <c r="F146" i="3"/>
  <c r="N146" i="3" s="1"/>
  <c r="E147" i="3"/>
  <c r="F147" i="3"/>
  <c r="E148" i="3"/>
  <c r="F148" i="3"/>
  <c r="E149" i="3"/>
  <c r="M149" i="3" s="1"/>
  <c r="F149" i="3"/>
  <c r="E150" i="3"/>
  <c r="F150" i="3"/>
  <c r="E151" i="3"/>
  <c r="F151" i="3"/>
  <c r="O151" i="3"/>
  <c r="E152" i="3"/>
  <c r="F152" i="3"/>
  <c r="E153" i="3"/>
  <c r="F153" i="3"/>
  <c r="E154" i="3"/>
  <c r="F154" i="3"/>
  <c r="N154" i="3" s="1"/>
  <c r="E155" i="3"/>
  <c r="F155" i="3"/>
  <c r="E156" i="3"/>
  <c r="F156" i="3"/>
  <c r="E157" i="3"/>
  <c r="M157" i="3" s="1"/>
  <c r="F157" i="3"/>
  <c r="E158" i="3"/>
  <c r="F158" i="3"/>
  <c r="E159" i="3"/>
  <c r="F159" i="3"/>
  <c r="O159" i="3"/>
  <c r="E160" i="3"/>
  <c r="F160" i="3"/>
  <c r="E161" i="3"/>
  <c r="F161" i="3"/>
  <c r="E162" i="3"/>
  <c r="F162" i="3"/>
  <c r="N162" i="3" s="1"/>
  <c r="E163" i="3"/>
  <c r="F163" i="3"/>
  <c r="E164" i="3"/>
  <c r="F164" i="3"/>
  <c r="E165" i="3"/>
  <c r="M165" i="3" s="1"/>
  <c r="F165" i="3"/>
  <c r="E166" i="3"/>
  <c r="F166" i="3"/>
  <c r="E167" i="3"/>
  <c r="F167" i="3"/>
  <c r="O167" i="3"/>
  <c r="E168" i="3"/>
  <c r="F168" i="3"/>
  <c r="E169" i="3"/>
  <c r="F169" i="3"/>
  <c r="E170" i="3"/>
  <c r="F170" i="3"/>
  <c r="N170" i="3" s="1"/>
  <c r="E171" i="3"/>
  <c r="F171" i="3"/>
  <c r="E172" i="3"/>
  <c r="F172" i="3"/>
  <c r="E173" i="3"/>
  <c r="M173" i="3" s="1"/>
  <c r="F173" i="3"/>
  <c r="E174" i="3"/>
  <c r="F174" i="3"/>
  <c r="E175" i="3"/>
  <c r="F175" i="3"/>
  <c r="O175" i="3"/>
  <c r="E176" i="3"/>
  <c r="F176" i="3"/>
  <c r="E177" i="3"/>
  <c r="F177" i="3"/>
  <c r="E178" i="3"/>
  <c r="F178" i="3"/>
  <c r="N178" i="3" s="1"/>
  <c r="E179" i="3"/>
  <c r="F179" i="3"/>
  <c r="E180" i="3"/>
  <c r="F180" i="3"/>
  <c r="E181" i="3"/>
  <c r="M181" i="3" s="1"/>
  <c r="F181" i="3"/>
  <c r="E182" i="3"/>
  <c r="F182" i="3"/>
  <c r="E183" i="3"/>
  <c r="F183" i="3"/>
  <c r="O183" i="3"/>
  <c r="E184" i="3"/>
  <c r="F184" i="3"/>
  <c r="E185" i="3"/>
  <c r="F185" i="3"/>
  <c r="E186" i="3"/>
  <c r="F186" i="3"/>
  <c r="N186" i="3" s="1"/>
  <c r="E187" i="3"/>
  <c r="F187" i="3"/>
  <c r="E188" i="3"/>
  <c r="F188" i="3"/>
  <c r="E189" i="3"/>
  <c r="M189" i="3" s="1"/>
  <c r="F189" i="3"/>
  <c r="E190" i="3"/>
  <c r="F190" i="3"/>
  <c r="E191" i="3"/>
  <c r="F191" i="3"/>
  <c r="O191" i="3"/>
  <c r="E192" i="3"/>
  <c r="F192" i="3"/>
  <c r="E193" i="3"/>
  <c r="F193" i="3"/>
  <c r="E194" i="3"/>
  <c r="F194" i="3"/>
  <c r="N194" i="3" s="1"/>
  <c r="E195" i="3"/>
  <c r="F195" i="3"/>
  <c r="E196" i="3"/>
  <c r="F196" i="3"/>
  <c r="E197" i="3"/>
  <c r="M197" i="3" s="1"/>
  <c r="F197" i="3"/>
  <c r="E198" i="3"/>
  <c r="F198" i="3"/>
  <c r="E199" i="3"/>
  <c r="F199" i="3"/>
  <c r="O199" i="3"/>
  <c r="E200" i="3"/>
  <c r="F200" i="3"/>
  <c r="E201" i="3"/>
  <c r="F201" i="3"/>
  <c r="E202" i="3"/>
  <c r="F202" i="3"/>
  <c r="N202" i="3" s="1"/>
  <c r="E203" i="3"/>
  <c r="F203" i="3"/>
  <c r="E204" i="3"/>
  <c r="F204" i="3"/>
  <c r="E205" i="3"/>
  <c r="M205" i="3" s="1"/>
  <c r="F205" i="3"/>
  <c r="N205" i="3" s="1"/>
  <c r="O23" i="5"/>
  <c r="D15" i="5"/>
  <c r="D16" i="5" s="1"/>
  <c r="O43" i="3"/>
  <c r="O71" i="3"/>
  <c r="F6" i="3"/>
  <c r="F7" i="3"/>
  <c r="F8" i="3"/>
  <c r="F9" i="3"/>
  <c r="F10" i="3"/>
  <c r="F11" i="3"/>
  <c r="F12" i="3"/>
  <c r="F13" i="3"/>
  <c r="F14" i="3"/>
  <c r="F15" i="3"/>
  <c r="N23" i="5" s="1"/>
  <c r="F16" i="3"/>
  <c r="F17" i="3"/>
  <c r="F18" i="3"/>
  <c r="F19" i="3"/>
  <c r="F20" i="3"/>
  <c r="F21" i="3"/>
  <c r="F22" i="3"/>
  <c r="F23" i="3"/>
  <c r="F24" i="3"/>
  <c r="F25" i="3"/>
  <c r="C15" i="5" s="1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5" i="3"/>
  <c r="E6" i="3"/>
  <c r="E7" i="3"/>
  <c r="E8" i="3"/>
  <c r="E9" i="3"/>
  <c r="E10" i="3"/>
  <c r="E11" i="3"/>
  <c r="E12" i="3"/>
  <c r="E13" i="3"/>
  <c r="E14" i="3"/>
  <c r="E15" i="3"/>
  <c r="M23" i="5" s="1"/>
  <c r="E16" i="3"/>
  <c r="E17" i="3"/>
  <c r="E18" i="3"/>
  <c r="E19" i="3"/>
  <c r="E20" i="3"/>
  <c r="E21" i="3"/>
  <c r="E22" i="3"/>
  <c r="E23" i="3"/>
  <c r="E24" i="3"/>
  <c r="E25" i="3"/>
  <c r="B15" i="5" s="1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M71" i="3" s="1"/>
  <c r="E5" i="3"/>
  <c r="F7" i="2"/>
  <c r="H6" i="1"/>
  <c r="E12" i="8"/>
  <c r="B7" i="2"/>
  <c r="BA12" i="3" l="1"/>
  <c r="BA13" i="3"/>
  <c r="M66" i="3"/>
  <c r="M50" i="3"/>
  <c r="M34" i="3"/>
  <c r="M10" i="3"/>
  <c r="N61" i="3"/>
  <c r="N45" i="3"/>
  <c r="N21" i="3"/>
  <c r="M58" i="3"/>
  <c r="M42" i="3"/>
  <c r="M26" i="3"/>
  <c r="M18" i="3"/>
  <c r="N69" i="3"/>
  <c r="N53" i="3"/>
  <c r="N37" i="3"/>
  <c r="N29" i="3"/>
  <c r="N13" i="3"/>
  <c r="E10" i="7"/>
  <c r="O205" i="3"/>
  <c r="BA19" i="3"/>
  <c r="BA8" i="3"/>
  <c r="P418" i="3"/>
  <c r="P410" i="3"/>
  <c r="P402" i="3"/>
  <c r="P394" i="3"/>
  <c r="P386" i="3"/>
  <c r="P378" i="3"/>
  <c r="P370" i="3"/>
  <c r="P362" i="3"/>
  <c r="P354" i="3"/>
  <c r="P346" i="3"/>
  <c r="P338" i="3"/>
  <c r="P330" i="3"/>
  <c r="P322" i="3"/>
  <c r="P314" i="3"/>
  <c r="P306" i="3"/>
  <c r="P298" i="3"/>
  <c r="P290" i="3"/>
  <c r="P282" i="3"/>
  <c r="P274" i="3"/>
  <c r="P258" i="3"/>
  <c r="P250" i="3"/>
  <c r="P242" i="3"/>
  <c r="P234" i="3"/>
  <c r="P226" i="3"/>
  <c r="P218" i="3"/>
  <c r="P210" i="3"/>
  <c r="P202" i="3"/>
  <c r="P194" i="3"/>
  <c r="P186" i="3"/>
  <c r="P178" i="3"/>
  <c r="P170" i="3"/>
  <c r="P162" i="3"/>
  <c r="P154" i="3"/>
  <c r="P146" i="3"/>
  <c r="P138" i="3"/>
  <c r="P130" i="3"/>
  <c r="P122" i="3"/>
  <c r="P114" i="3"/>
  <c r="P106" i="3"/>
  <c r="P98" i="3"/>
  <c r="P90" i="3"/>
  <c r="P74" i="3"/>
  <c r="P66" i="3"/>
  <c r="P58" i="3"/>
  <c r="P50" i="3"/>
  <c r="P42" i="3"/>
  <c r="P34" i="3"/>
  <c r="P26" i="3"/>
  <c r="P18" i="3"/>
  <c r="P10" i="3"/>
  <c r="E23" i="7"/>
  <c r="BA6" i="3"/>
  <c r="E22" i="7" s="1"/>
  <c r="BA24" i="3"/>
  <c r="N5" i="3"/>
  <c r="O243" i="3"/>
  <c r="N238" i="3"/>
  <c r="N206" i="3"/>
  <c r="P5" i="3"/>
  <c r="P438" i="3"/>
  <c r="P430" i="3"/>
  <c r="P422" i="3"/>
  <c r="P414" i="3"/>
  <c r="P406" i="3"/>
  <c r="P390" i="3"/>
  <c r="P374" i="3"/>
  <c r="P358" i="3"/>
  <c r="P342" i="3"/>
  <c r="P326" i="3"/>
  <c r="P310" i="3"/>
  <c r="P294" i="3"/>
  <c r="P278" i="3"/>
  <c r="P262" i="3"/>
  <c r="P246" i="3"/>
  <c r="P230" i="3"/>
  <c r="P148" i="3"/>
  <c r="P140" i="3"/>
  <c r="P132" i="3"/>
  <c r="P124" i="3"/>
  <c r="P116" i="3"/>
  <c r="E16" i="7"/>
  <c r="BA11" i="3"/>
  <c r="E17" i="7" s="1"/>
  <c r="BA20" i="3"/>
  <c r="E8" i="7" s="1"/>
  <c r="P429" i="3"/>
  <c r="P421" i="3"/>
  <c r="P413" i="3"/>
  <c r="P405" i="3"/>
  <c r="P397" i="3"/>
  <c r="P389" i="3"/>
  <c r="P381" i="3"/>
  <c r="P373" i="3"/>
  <c r="P365" i="3"/>
  <c r="P357" i="3"/>
  <c r="P349" i="3"/>
  <c r="P341" i="3"/>
  <c r="P333" i="3"/>
  <c r="P325" i="3"/>
  <c r="P317" i="3"/>
  <c r="P309" i="3"/>
  <c r="P301" i="3"/>
  <c r="P293" i="3"/>
  <c r="P285" i="3"/>
  <c r="P277" i="3"/>
  <c r="P269" i="3"/>
  <c r="P261" i="3"/>
  <c r="P253" i="3"/>
  <c r="P245" i="3"/>
  <c r="P237" i="3"/>
  <c r="P229" i="3"/>
  <c r="P221" i="3"/>
  <c r="P213" i="3"/>
  <c r="P205" i="3"/>
  <c r="P197" i="3"/>
  <c r="P189" i="3"/>
  <c r="P181" i="3"/>
  <c r="P165" i="3"/>
  <c r="P157" i="3"/>
  <c r="P149" i="3"/>
  <c r="P133" i="3"/>
  <c r="P125" i="3"/>
  <c r="P117" i="3"/>
  <c r="P109" i="3"/>
  <c r="P101" i="3"/>
  <c r="P93" i="3"/>
  <c r="P85" i="3"/>
  <c r="P77" i="3"/>
  <c r="P69" i="3"/>
  <c r="P61" i="3"/>
  <c r="P45" i="3"/>
  <c r="P37" i="3"/>
  <c r="P29" i="3"/>
  <c r="P13" i="3"/>
  <c r="BA14" i="3"/>
  <c r="O244" i="3"/>
  <c r="BA21" i="3"/>
  <c r="E7" i="7" s="1"/>
  <c r="BA16" i="3"/>
  <c r="P440" i="3"/>
  <c r="P424" i="3"/>
  <c r="P416" i="3"/>
  <c r="P408" i="3"/>
  <c r="P392" i="3"/>
  <c r="P376" i="3"/>
  <c r="P368" i="3"/>
  <c r="P360" i="3"/>
  <c r="P344" i="3"/>
  <c r="P336" i="3"/>
  <c r="P328" i="3"/>
  <c r="P312" i="3"/>
  <c r="P304" i="3"/>
  <c r="P296" i="3"/>
  <c r="P280" i="3"/>
  <c r="P272" i="3"/>
  <c r="P264" i="3"/>
  <c r="P248" i="3"/>
  <c r="P240" i="3"/>
  <c r="P224" i="3"/>
  <c r="P216" i="3"/>
  <c r="P208" i="3"/>
  <c r="P200" i="3"/>
  <c r="P184" i="3"/>
  <c r="P176" i="3"/>
  <c r="P168" i="3"/>
  <c r="P152" i="3"/>
  <c r="P144" i="3"/>
  <c r="P136" i="3"/>
  <c r="P120" i="3"/>
  <c r="P112" i="3"/>
  <c r="P104" i="3"/>
  <c r="P88" i="3"/>
  <c r="P80" i="3"/>
  <c r="P72" i="3"/>
  <c r="P56" i="3"/>
  <c r="P48" i="3"/>
  <c r="P40" i="3"/>
  <c r="P24" i="3"/>
  <c r="E15" i="5"/>
  <c r="P16" i="3"/>
  <c r="BA7" i="3"/>
  <c r="E21" i="7" s="1"/>
  <c r="E4" i="7"/>
  <c r="E15" i="7"/>
  <c r="O64" i="3"/>
  <c r="O56" i="3"/>
  <c r="O48" i="3"/>
  <c r="O39" i="3"/>
  <c r="O31" i="3"/>
  <c r="O23" i="3"/>
  <c r="O7" i="3"/>
  <c r="E6" i="7"/>
  <c r="E5" i="7"/>
  <c r="BA9" i="3"/>
  <c r="E19" i="7" s="1"/>
  <c r="O439" i="3"/>
  <c r="M261" i="3"/>
  <c r="M253" i="3"/>
  <c r="O239" i="3"/>
  <c r="E12" i="7"/>
  <c r="BA17" i="3"/>
  <c r="E11" i="7" s="1"/>
  <c r="E18" i="7"/>
  <c r="P295" i="3"/>
  <c r="P108" i="3"/>
  <c r="P8" i="3"/>
  <c r="V47" i="3"/>
  <c r="E45" i="4" s="1"/>
  <c r="X14" i="7"/>
  <c r="AK13" i="7"/>
  <c r="S24" i="7" s="1"/>
  <c r="P223" i="3"/>
  <c r="P215" i="3"/>
  <c r="P207" i="3"/>
  <c r="P199" i="3"/>
  <c r="P191" i="3"/>
  <c r="P183" i="3"/>
  <c r="P175" i="3"/>
  <c r="P167" i="3"/>
  <c r="P159" i="3"/>
  <c r="P151" i="3"/>
  <c r="P143" i="3"/>
  <c r="P135" i="3"/>
  <c r="P127" i="3"/>
  <c r="P119" i="3"/>
  <c r="P111" i="3"/>
  <c r="P103" i="3"/>
  <c r="P95" i="3"/>
  <c r="P87" i="3"/>
  <c r="P79" i="3"/>
  <c r="P71" i="3"/>
  <c r="P63" i="3"/>
  <c r="P55" i="3"/>
  <c r="P47" i="3"/>
  <c r="P39" i="3"/>
  <c r="P31" i="3"/>
  <c r="P23" i="3"/>
  <c r="P7" i="3"/>
  <c r="O204" i="3"/>
  <c r="O188" i="3"/>
  <c r="O172" i="3"/>
  <c r="M162" i="3"/>
  <c r="O148" i="3"/>
  <c r="O132" i="3"/>
  <c r="M130" i="3"/>
  <c r="M122" i="3"/>
  <c r="N119" i="3"/>
  <c r="O108" i="3"/>
  <c r="N71" i="3"/>
  <c r="M202" i="3"/>
  <c r="M194" i="3"/>
  <c r="M186" i="3"/>
  <c r="M178" i="3"/>
  <c r="O164" i="3"/>
  <c r="M154" i="3"/>
  <c r="O140" i="3"/>
  <c r="O124" i="3"/>
  <c r="O116" i="3"/>
  <c r="M114" i="3"/>
  <c r="M106" i="3"/>
  <c r="N199" i="3"/>
  <c r="N191" i="3"/>
  <c r="N183" i="3"/>
  <c r="N175" i="3"/>
  <c r="N167" i="3"/>
  <c r="N159" i="3"/>
  <c r="N151" i="3"/>
  <c r="N143" i="3"/>
  <c r="N135" i="3"/>
  <c r="N127" i="3"/>
  <c r="O196" i="3"/>
  <c r="O180" i="3"/>
  <c r="M170" i="3"/>
  <c r="O156" i="3"/>
  <c r="M146" i="3"/>
  <c r="M138" i="3"/>
  <c r="N111" i="3"/>
  <c r="M63" i="3"/>
  <c r="M55" i="3"/>
  <c r="M47" i="3"/>
  <c r="M39" i="3"/>
  <c r="M31" i="3"/>
  <c r="M23" i="3"/>
  <c r="M7" i="3"/>
  <c r="N66" i="3"/>
  <c r="N58" i="3"/>
  <c r="N50" i="3"/>
  <c r="N42" i="3"/>
  <c r="N34" i="3"/>
  <c r="N26" i="3"/>
  <c r="N18" i="3"/>
  <c r="N10" i="3"/>
  <c r="O69" i="3"/>
  <c r="O61" i="3"/>
  <c r="O53" i="3"/>
  <c r="O45" i="3"/>
  <c r="O36" i="3"/>
  <c r="O28" i="3"/>
  <c r="O20" i="3"/>
  <c r="O12" i="3"/>
  <c r="O202" i="3"/>
  <c r="M200" i="3"/>
  <c r="N197" i="3"/>
  <c r="O194" i="3"/>
  <c r="M192" i="3"/>
  <c r="N189" i="3"/>
  <c r="O186" i="3"/>
  <c r="M184" i="3"/>
  <c r="N181" i="3"/>
  <c r="O178" i="3"/>
  <c r="M176" i="3"/>
  <c r="N173" i="3"/>
  <c r="O170" i="3"/>
  <c r="E14" i="7"/>
  <c r="N103" i="3"/>
  <c r="O100" i="3"/>
  <c r="M98" i="3"/>
  <c r="N95" i="3"/>
  <c r="O92" i="3"/>
  <c r="M90" i="3"/>
  <c r="N87" i="3"/>
  <c r="O84" i="3"/>
  <c r="M82" i="3"/>
  <c r="N79" i="3"/>
  <c r="O76" i="3"/>
  <c r="M74" i="3"/>
  <c r="N441" i="3"/>
  <c r="O438" i="3"/>
  <c r="M436" i="3"/>
  <c r="N433" i="3"/>
  <c r="O430" i="3"/>
  <c r="M428" i="3"/>
  <c r="N425" i="3"/>
  <c r="O422" i="3"/>
  <c r="M420" i="3"/>
  <c r="N417" i="3"/>
  <c r="O414" i="3"/>
  <c r="M412" i="3"/>
  <c r="N409" i="3"/>
  <c r="O406" i="3"/>
  <c r="M404" i="3"/>
  <c r="N401" i="3"/>
  <c r="O398" i="3"/>
  <c r="M396" i="3"/>
  <c r="N393" i="3"/>
  <c r="O390" i="3"/>
  <c r="M388" i="3"/>
  <c r="N385" i="3"/>
  <c r="O382" i="3"/>
  <c r="M380" i="3"/>
  <c r="N377" i="3"/>
  <c r="O374" i="3"/>
  <c r="M372" i="3"/>
  <c r="N369" i="3"/>
  <c r="O366" i="3"/>
  <c r="M364" i="3"/>
  <c r="N361" i="3"/>
  <c r="O358" i="3"/>
  <c r="M356" i="3"/>
  <c r="N353" i="3"/>
  <c r="O350" i="3"/>
  <c r="M348" i="3"/>
  <c r="N345" i="3"/>
  <c r="O342" i="3"/>
  <c r="M340" i="3"/>
  <c r="N337" i="3"/>
  <c r="O334" i="3"/>
  <c r="M332" i="3"/>
  <c r="N329" i="3"/>
  <c r="O326" i="3"/>
  <c r="M324" i="3"/>
  <c r="N321" i="3"/>
  <c r="O318" i="3"/>
  <c r="M316" i="3"/>
  <c r="N313" i="3"/>
  <c r="O310" i="3"/>
  <c r="M308" i="3"/>
  <c r="N305" i="3"/>
  <c r="O302" i="3"/>
  <c r="M300" i="3"/>
  <c r="N297" i="3"/>
  <c r="O294" i="3"/>
  <c r="M292" i="3"/>
  <c r="N289" i="3"/>
  <c r="O286" i="3"/>
  <c r="M284" i="3"/>
  <c r="N281" i="3"/>
  <c r="O278" i="3"/>
  <c r="M276" i="3"/>
  <c r="N273" i="3"/>
  <c r="N265" i="3"/>
  <c r="M252" i="3"/>
  <c r="N249" i="3"/>
  <c r="N233" i="3"/>
  <c r="N217" i="3"/>
  <c r="E20" i="7"/>
  <c r="BA15" i="3"/>
  <c r="E13" i="7" s="1"/>
  <c r="N288" i="3"/>
  <c r="O285" i="3"/>
  <c r="M283" i="3"/>
  <c r="N280" i="3"/>
  <c r="O277" i="3"/>
  <c r="M275" i="3"/>
  <c r="N272" i="3"/>
  <c r="O269" i="3"/>
  <c r="M267" i="3"/>
  <c r="N264" i="3"/>
  <c r="O261" i="3"/>
  <c r="M259" i="3"/>
  <c r="N256" i="3"/>
  <c r="O253" i="3"/>
  <c r="M251" i="3"/>
  <c r="N248" i="3"/>
  <c r="O245" i="3"/>
  <c r="M243" i="3"/>
  <c r="E9" i="7"/>
  <c r="P334" i="3"/>
  <c r="P335" i="3"/>
  <c r="P286" i="3"/>
  <c r="P287" i="3"/>
  <c r="P238" i="3"/>
  <c r="P239" i="3"/>
  <c r="P15" i="3"/>
  <c r="P343" i="3"/>
  <c r="P174" i="3"/>
  <c r="P110" i="3"/>
  <c r="P46" i="3"/>
  <c r="M67" i="3"/>
  <c r="M59" i="3"/>
  <c r="M51" i="3"/>
  <c r="M43" i="3"/>
  <c r="M35" i="3"/>
  <c r="M27" i="3"/>
  <c r="M19" i="3"/>
  <c r="M11" i="3"/>
  <c r="N70" i="3"/>
  <c r="N62" i="3"/>
  <c r="N54" i="3"/>
  <c r="N46" i="3"/>
  <c r="N38" i="3"/>
  <c r="N30" i="3"/>
  <c r="N22" i="3"/>
  <c r="N14" i="3"/>
  <c r="N6" i="3"/>
  <c r="O65" i="3"/>
  <c r="O57" i="3"/>
  <c r="O49" i="3"/>
  <c r="O40" i="3"/>
  <c r="O32" i="3"/>
  <c r="O24" i="3"/>
  <c r="O16" i="3"/>
  <c r="O8" i="3"/>
  <c r="P391" i="3"/>
  <c r="P263" i="3"/>
  <c r="P214" i="3"/>
  <c r="P150" i="3"/>
  <c r="P86" i="3"/>
  <c r="W21" i="3" s="1"/>
  <c r="F19" i="4" s="1"/>
  <c r="P22" i="3"/>
  <c r="P382" i="3"/>
  <c r="P383" i="3"/>
  <c r="P311" i="3"/>
  <c r="P190" i="3"/>
  <c r="P126" i="3"/>
  <c r="P62" i="3"/>
  <c r="P398" i="3"/>
  <c r="P399" i="3"/>
  <c r="P350" i="3"/>
  <c r="P351" i="3"/>
  <c r="M57" i="3"/>
  <c r="M41" i="3"/>
  <c r="N68" i="3"/>
  <c r="N52" i="3"/>
  <c r="N36" i="3"/>
  <c r="N20" i="3"/>
  <c r="O55" i="3"/>
  <c r="O38" i="3"/>
  <c r="O22" i="3"/>
  <c r="O200" i="3"/>
  <c r="O192" i="3"/>
  <c r="N187" i="3"/>
  <c r="O184" i="3"/>
  <c r="M182" i="3"/>
  <c r="N179" i="3"/>
  <c r="O176" i="3"/>
  <c r="M174" i="3"/>
  <c r="N171" i="3"/>
  <c r="O168" i="3"/>
  <c r="M166" i="3"/>
  <c r="N163" i="3"/>
  <c r="O160" i="3"/>
  <c r="M158" i="3"/>
  <c r="N155" i="3"/>
  <c r="O152" i="3"/>
  <c r="M150" i="3"/>
  <c r="N147" i="3"/>
  <c r="O144" i="3"/>
  <c r="M142" i="3"/>
  <c r="N139" i="3"/>
  <c r="O136" i="3"/>
  <c r="M134" i="3"/>
  <c r="N131" i="3"/>
  <c r="O128" i="3"/>
  <c r="M126" i="3"/>
  <c r="N123" i="3"/>
  <c r="O120" i="3"/>
  <c r="M118" i="3"/>
  <c r="N115" i="3"/>
  <c r="O112" i="3"/>
  <c r="M110" i="3"/>
  <c r="N107" i="3"/>
  <c r="O104" i="3"/>
  <c r="M102" i="3"/>
  <c r="N99" i="3"/>
  <c r="O96" i="3"/>
  <c r="M94" i="3"/>
  <c r="N91" i="3"/>
  <c r="O88" i="3"/>
  <c r="M86" i="3"/>
  <c r="N83" i="3"/>
  <c r="O80" i="3"/>
  <c r="M78" i="3"/>
  <c r="N75" i="3"/>
  <c r="O72" i="3"/>
  <c r="M440" i="3"/>
  <c r="N437" i="3"/>
  <c r="O434" i="3"/>
  <c r="M432" i="3"/>
  <c r="N429" i="3"/>
  <c r="O426" i="3"/>
  <c r="M424" i="3"/>
  <c r="N421" i="3"/>
  <c r="O418" i="3"/>
  <c r="M416" i="3"/>
  <c r="N413" i="3"/>
  <c r="O410" i="3"/>
  <c r="M408" i="3"/>
  <c r="N405" i="3"/>
  <c r="O402" i="3"/>
  <c r="M400" i="3"/>
  <c r="N397" i="3"/>
  <c r="O394" i="3"/>
  <c r="M392" i="3"/>
  <c r="N389" i="3"/>
  <c r="P359" i="3"/>
  <c r="P231" i="3"/>
  <c r="P166" i="3"/>
  <c r="P102" i="3"/>
  <c r="P38" i="3"/>
  <c r="P366" i="3"/>
  <c r="P367" i="3"/>
  <c r="P318" i="3"/>
  <c r="P319" i="3"/>
  <c r="P270" i="3"/>
  <c r="W61" i="3" s="1"/>
  <c r="F59" i="4" s="1"/>
  <c r="P271" i="3"/>
  <c r="M65" i="3"/>
  <c r="M49" i="3"/>
  <c r="M33" i="3"/>
  <c r="M17" i="3"/>
  <c r="M9" i="3"/>
  <c r="N60" i="3"/>
  <c r="N44" i="3"/>
  <c r="N28" i="3"/>
  <c r="N12" i="3"/>
  <c r="O63" i="3"/>
  <c r="O47" i="3"/>
  <c r="O30" i="3"/>
  <c r="O14" i="3"/>
  <c r="O6" i="3"/>
  <c r="N203" i="3"/>
  <c r="M198" i="3"/>
  <c r="N195" i="3"/>
  <c r="M190" i="3"/>
  <c r="P407" i="3"/>
  <c r="P279" i="3"/>
  <c r="P206" i="3"/>
  <c r="P142" i="3"/>
  <c r="P78" i="3"/>
  <c r="P14" i="3"/>
  <c r="P302" i="3"/>
  <c r="P303" i="3"/>
  <c r="P254" i="3"/>
  <c r="P255" i="3"/>
  <c r="M168" i="3"/>
  <c r="N165" i="3"/>
  <c r="O162" i="3"/>
  <c r="M160" i="3"/>
  <c r="N157" i="3"/>
  <c r="O154" i="3"/>
  <c r="M152" i="3"/>
  <c r="N149" i="3"/>
  <c r="O146" i="3"/>
  <c r="M144" i="3"/>
  <c r="N141" i="3"/>
  <c r="O138" i="3"/>
  <c r="M136" i="3"/>
  <c r="N133" i="3"/>
  <c r="O130" i="3"/>
  <c r="M128" i="3"/>
  <c r="N125" i="3"/>
  <c r="O122" i="3"/>
  <c r="M120" i="3"/>
  <c r="N117" i="3"/>
  <c r="O114" i="3"/>
  <c r="M112" i="3"/>
  <c r="N109" i="3"/>
  <c r="O106" i="3"/>
  <c r="M104" i="3"/>
  <c r="N101" i="3"/>
  <c r="O98" i="3"/>
  <c r="M96" i="3"/>
  <c r="N93" i="3"/>
  <c r="O90" i="3"/>
  <c r="M88" i="3"/>
  <c r="N85" i="3"/>
  <c r="O82" i="3"/>
  <c r="M80" i="3"/>
  <c r="N77" i="3"/>
  <c r="O74" i="3"/>
  <c r="M72" i="3"/>
  <c r="N439" i="3"/>
  <c r="O436" i="3"/>
  <c r="M434" i="3"/>
  <c r="N431" i="3"/>
  <c r="O428" i="3"/>
  <c r="M426" i="3"/>
  <c r="N423" i="3"/>
  <c r="O420" i="3"/>
  <c r="M418" i="3"/>
  <c r="N415" i="3"/>
  <c r="O412" i="3"/>
  <c r="M410" i="3"/>
  <c r="N407" i="3"/>
  <c r="O404" i="3"/>
  <c r="M402" i="3"/>
  <c r="N399" i="3"/>
  <c r="O396" i="3"/>
  <c r="M394" i="3"/>
  <c r="N391" i="3"/>
  <c r="O388" i="3"/>
  <c r="M386" i="3"/>
  <c r="N383" i="3"/>
  <c r="O380" i="3"/>
  <c r="M378" i="3"/>
  <c r="N375" i="3"/>
  <c r="O372" i="3"/>
  <c r="M370" i="3"/>
  <c r="N367" i="3"/>
  <c r="P327" i="3"/>
  <c r="P182" i="3"/>
  <c r="P118" i="3"/>
  <c r="P54" i="3"/>
  <c r="P433" i="3"/>
  <c r="P401" i="3"/>
  <c r="P385" i="3"/>
  <c r="P375" i="3"/>
  <c r="P247" i="3"/>
  <c r="P222" i="3"/>
  <c r="P158" i="3"/>
  <c r="P94" i="3"/>
  <c r="P30" i="3"/>
  <c r="O386" i="3"/>
  <c r="O364" i="3"/>
  <c r="M362" i="3"/>
  <c r="N359" i="3"/>
  <c r="O356" i="3"/>
  <c r="M354" i="3"/>
  <c r="N351" i="3"/>
  <c r="O348" i="3"/>
  <c r="M346" i="3"/>
  <c r="N343" i="3"/>
  <c r="O340" i="3"/>
  <c r="M338" i="3"/>
  <c r="N335" i="3"/>
  <c r="O332" i="3"/>
  <c r="M330" i="3"/>
  <c r="N327" i="3"/>
  <c r="O324" i="3"/>
  <c r="M322" i="3"/>
  <c r="N319" i="3"/>
  <c r="O316" i="3"/>
  <c r="M314" i="3"/>
  <c r="N311" i="3"/>
  <c r="O308" i="3"/>
  <c r="M306" i="3"/>
  <c r="N303" i="3"/>
  <c r="O300" i="3"/>
  <c r="M298" i="3"/>
  <c r="N295" i="3"/>
  <c r="O292" i="3"/>
  <c r="M290" i="3"/>
  <c r="N287" i="3"/>
  <c r="O284" i="3"/>
  <c r="M282" i="3"/>
  <c r="N279" i="3"/>
  <c r="O276" i="3"/>
  <c r="M274" i="3"/>
  <c r="N271" i="3"/>
  <c r="O268" i="3"/>
  <c r="M266" i="3"/>
  <c r="N263" i="3"/>
  <c r="O260" i="3"/>
  <c r="M258" i="3"/>
  <c r="N255" i="3"/>
  <c r="O252" i="3"/>
  <c r="M250" i="3"/>
  <c r="N247" i="3"/>
  <c r="M242" i="3"/>
  <c r="N239" i="3"/>
  <c r="O236" i="3"/>
  <c r="M234" i="3"/>
  <c r="N231" i="3"/>
  <c r="O228" i="3"/>
  <c r="M226" i="3"/>
  <c r="N223" i="3"/>
  <c r="O220" i="3"/>
  <c r="M218" i="3"/>
  <c r="N215" i="3"/>
  <c r="O212" i="3"/>
  <c r="M210" i="3"/>
  <c r="N207" i="3"/>
  <c r="P353" i="3"/>
  <c r="P321" i="3"/>
  <c r="P289" i="3"/>
  <c r="P257" i="3"/>
  <c r="P233" i="3"/>
  <c r="P225" i="3"/>
  <c r="P193" i="3"/>
  <c r="P161" i="3"/>
  <c r="P129" i="3"/>
  <c r="P97" i="3"/>
  <c r="P65" i="3"/>
  <c r="P33" i="3"/>
  <c r="M15" i="3"/>
  <c r="M61" i="3"/>
  <c r="M53" i="3"/>
  <c r="M45" i="3"/>
  <c r="M37" i="3"/>
  <c r="M29" i="3"/>
  <c r="M21" i="3"/>
  <c r="M13" i="3"/>
  <c r="N64" i="3"/>
  <c r="N56" i="3"/>
  <c r="N48" i="3"/>
  <c r="N40" i="3"/>
  <c r="N32" i="3"/>
  <c r="N24" i="3"/>
  <c r="N16" i="3"/>
  <c r="N8" i="3"/>
  <c r="O67" i="3"/>
  <c r="O59" i="3"/>
  <c r="O51" i="3"/>
  <c r="O42" i="3"/>
  <c r="O34" i="3"/>
  <c r="O26" i="3"/>
  <c r="O18" i="3"/>
  <c r="O10" i="3"/>
  <c r="O5" i="3"/>
  <c r="O15" i="3"/>
  <c r="O203" i="3"/>
  <c r="M201" i="3"/>
  <c r="N198" i="3"/>
  <c r="O195" i="3"/>
  <c r="M193" i="3"/>
  <c r="N190" i="3"/>
  <c r="O187" i="3"/>
  <c r="M185" i="3"/>
  <c r="N182" i="3"/>
  <c r="O179" i="3"/>
  <c r="M177" i="3"/>
  <c r="N174" i="3"/>
  <c r="O171" i="3"/>
  <c r="M169" i="3"/>
  <c r="N166" i="3"/>
  <c r="O163" i="3"/>
  <c r="M161" i="3"/>
  <c r="N158" i="3"/>
  <c r="O155" i="3"/>
  <c r="M153" i="3"/>
  <c r="N150" i="3"/>
  <c r="O147" i="3"/>
  <c r="M145" i="3"/>
  <c r="N142" i="3"/>
  <c r="M70" i="3"/>
  <c r="M46" i="3"/>
  <c r="M22" i="3"/>
  <c r="M6" i="3"/>
  <c r="N33" i="3"/>
  <c r="M62" i="3"/>
  <c r="M38" i="3"/>
  <c r="M14" i="3"/>
  <c r="N57" i="3"/>
  <c r="N41" i="3"/>
  <c r="O68" i="3"/>
  <c r="O52" i="3"/>
  <c r="O35" i="3"/>
  <c r="O19" i="3"/>
  <c r="M25" i="3"/>
  <c r="B16" i="5"/>
  <c r="B17" i="5" s="1"/>
  <c r="M69" i="3"/>
  <c r="O44" i="3"/>
  <c r="O427" i="3"/>
  <c r="M54" i="3"/>
  <c r="M30" i="3"/>
  <c r="N65" i="3"/>
  <c r="N49" i="3"/>
  <c r="C16" i="5"/>
  <c r="C17" i="5" s="1"/>
  <c r="N25" i="3"/>
  <c r="N17" i="3"/>
  <c r="N9" i="3"/>
  <c r="O60" i="3"/>
  <c r="O27" i="3"/>
  <c r="O11" i="3"/>
  <c r="O139" i="3"/>
  <c r="M137" i="3"/>
  <c r="N134" i="3"/>
  <c r="O131" i="3"/>
  <c r="M129" i="3"/>
  <c r="N126" i="3"/>
  <c r="O123" i="3"/>
  <c r="M121" i="3"/>
  <c r="N118" i="3"/>
  <c r="O115" i="3"/>
  <c r="M113" i="3"/>
  <c r="N110" i="3"/>
  <c r="O107" i="3"/>
  <c r="M105" i="3"/>
  <c r="N102" i="3"/>
  <c r="O99" i="3"/>
  <c r="M97" i="3"/>
  <c r="N94" i="3"/>
  <c r="O91" i="3"/>
  <c r="M89" i="3"/>
  <c r="N86" i="3"/>
  <c r="O83" i="3"/>
  <c r="M81" i="3"/>
  <c r="N78" i="3"/>
  <c r="O75" i="3"/>
  <c r="M73" i="3"/>
  <c r="N440" i="3"/>
  <c r="O437" i="3"/>
  <c r="M435" i="3"/>
  <c r="N432" i="3"/>
  <c r="O429" i="3"/>
  <c r="M427" i="3"/>
  <c r="N424" i="3"/>
  <c r="O421" i="3"/>
  <c r="M419" i="3"/>
  <c r="N416" i="3"/>
  <c r="O413" i="3"/>
  <c r="M411" i="3"/>
  <c r="N408" i="3"/>
  <c r="O405" i="3"/>
  <c r="M403" i="3"/>
  <c r="N400" i="3"/>
  <c r="O397" i="3"/>
  <c r="M395" i="3"/>
  <c r="N392" i="3"/>
  <c r="O389" i="3"/>
  <c r="M387" i="3"/>
  <c r="N384" i="3"/>
  <c r="O381" i="3"/>
  <c r="M379" i="3"/>
  <c r="N376" i="3"/>
  <c r="O373" i="3"/>
  <c r="M371" i="3"/>
  <c r="N368" i="3"/>
  <c r="O365" i="3"/>
  <c r="M363" i="3"/>
  <c r="N360" i="3"/>
  <c r="O357" i="3"/>
  <c r="M355" i="3"/>
  <c r="N352" i="3"/>
  <c r="O349" i="3"/>
  <c r="M347" i="3"/>
  <c r="N344" i="3"/>
  <c r="O341" i="3"/>
  <c r="M339" i="3"/>
  <c r="N336" i="3"/>
  <c r="O333" i="3"/>
  <c r="M331" i="3"/>
  <c r="N328" i="3"/>
  <c r="O325" i="3"/>
  <c r="M323" i="3"/>
  <c r="N320" i="3"/>
  <c r="O317" i="3"/>
  <c r="M315" i="3"/>
  <c r="N312" i="3"/>
  <c r="O309" i="3"/>
  <c r="M307" i="3"/>
  <c r="N304" i="3"/>
  <c r="O301" i="3"/>
  <c r="M299" i="3"/>
  <c r="N296" i="3"/>
  <c r="M5" i="3"/>
  <c r="M64" i="3"/>
  <c r="M56" i="3"/>
  <c r="M48" i="3"/>
  <c r="M40" i="3"/>
  <c r="M32" i="3"/>
  <c r="M24" i="3"/>
  <c r="M16" i="3"/>
  <c r="M8" i="3"/>
  <c r="N67" i="3"/>
  <c r="N59" i="3"/>
  <c r="N51" i="3"/>
  <c r="N43" i="3"/>
  <c r="N35" i="3"/>
  <c r="N27" i="3"/>
  <c r="N19" i="3"/>
  <c r="N11" i="3"/>
  <c r="O70" i="3"/>
  <c r="O62" i="3"/>
  <c r="O54" i="3"/>
  <c r="O46" i="3"/>
  <c r="V13" i="3" s="1"/>
  <c r="E11" i="4" s="1"/>
  <c r="O37" i="3"/>
  <c r="O29" i="3"/>
  <c r="O21" i="3"/>
  <c r="O13" i="3"/>
  <c r="M203" i="3"/>
  <c r="N200" i="3"/>
  <c r="O197" i="3"/>
  <c r="M195" i="3"/>
  <c r="N192" i="3"/>
  <c r="O189" i="3"/>
  <c r="M187" i="3"/>
  <c r="N184" i="3"/>
  <c r="O181" i="3"/>
  <c r="M179" i="3"/>
  <c r="N176" i="3"/>
  <c r="O173" i="3"/>
  <c r="M171" i="3"/>
  <c r="N168" i="3"/>
  <c r="O165" i="3"/>
  <c r="M163" i="3"/>
  <c r="N160" i="3"/>
  <c r="O157" i="3"/>
  <c r="M155" i="3"/>
  <c r="N152" i="3"/>
  <c r="O149" i="3"/>
  <c r="M147" i="3"/>
  <c r="N144" i="3"/>
  <c r="O141" i="3"/>
  <c r="M139" i="3"/>
  <c r="N136" i="3"/>
  <c r="O133" i="3"/>
  <c r="M131" i="3"/>
  <c r="N128" i="3"/>
  <c r="O125" i="3"/>
  <c r="M123" i="3"/>
  <c r="N120" i="3"/>
  <c r="O117" i="3"/>
  <c r="M115" i="3"/>
  <c r="N112" i="3"/>
  <c r="O109" i="3"/>
  <c r="M107" i="3"/>
  <c r="N104" i="3"/>
  <c r="O101" i="3"/>
  <c r="M99" i="3"/>
  <c r="N96" i="3"/>
  <c r="O93" i="3"/>
  <c r="M91" i="3"/>
  <c r="N88" i="3"/>
  <c r="O85" i="3"/>
  <c r="M83" i="3"/>
  <c r="N80" i="3"/>
  <c r="O77" i="3"/>
  <c r="M75" i="3"/>
  <c r="N72" i="3"/>
  <c r="M437" i="3"/>
  <c r="N434" i="3"/>
  <c r="O431" i="3"/>
  <c r="M429" i="3"/>
  <c r="N426" i="3"/>
  <c r="O423" i="3"/>
  <c r="M421" i="3"/>
  <c r="N418" i="3"/>
  <c r="O415" i="3"/>
  <c r="M413" i="3"/>
  <c r="N410" i="3"/>
  <c r="O407" i="3"/>
  <c r="M405" i="3"/>
  <c r="N402" i="3"/>
  <c r="O399" i="3"/>
  <c r="M397" i="3"/>
  <c r="N394" i="3"/>
  <c r="O391" i="3"/>
  <c r="M389" i="3"/>
  <c r="N386" i="3"/>
  <c r="M68" i="3"/>
  <c r="T17" i="3" s="1"/>
  <c r="C15" i="4" s="1"/>
  <c r="M60" i="3"/>
  <c r="M52" i="3"/>
  <c r="M44" i="3"/>
  <c r="M36" i="3"/>
  <c r="M28" i="3"/>
  <c r="M20" i="3"/>
  <c r="M12" i="3"/>
  <c r="N63" i="3"/>
  <c r="U16" i="3" s="1"/>
  <c r="D14" i="4" s="1"/>
  <c r="N55" i="3"/>
  <c r="N47" i="3"/>
  <c r="N39" i="3"/>
  <c r="N31" i="3"/>
  <c r="N23" i="3"/>
  <c r="U8" i="3" s="1"/>
  <c r="D6" i="4" s="1"/>
  <c r="N15" i="3"/>
  <c r="N7" i="3"/>
  <c r="O66" i="3"/>
  <c r="O58" i="3"/>
  <c r="O50" i="3"/>
  <c r="O41" i="3"/>
  <c r="O33" i="3"/>
  <c r="D17" i="5"/>
  <c r="O25" i="3"/>
  <c r="O17" i="3"/>
  <c r="O9" i="3"/>
  <c r="N204" i="3"/>
  <c r="O201" i="3"/>
  <c r="M199" i="3"/>
  <c r="N196" i="3"/>
  <c r="U44" i="3" s="1"/>
  <c r="D42" i="4" s="1"/>
  <c r="O193" i="3"/>
  <c r="M191" i="3"/>
  <c r="N188" i="3"/>
  <c r="O185" i="3"/>
  <c r="M183" i="3"/>
  <c r="N180" i="3"/>
  <c r="U41" i="3" s="1"/>
  <c r="D39" i="4" s="1"/>
  <c r="O177" i="3"/>
  <c r="M175" i="3"/>
  <c r="T40" i="3" s="1"/>
  <c r="C38" i="4" s="1"/>
  <c r="N172" i="3"/>
  <c r="O169" i="3"/>
  <c r="M167" i="3"/>
  <c r="N164" i="3"/>
  <c r="O161" i="3"/>
  <c r="M159" i="3"/>
  <c r="N156" i="3"/>
  <c r="O153" i="3"/>
  <c r="M151" i="3"/>
  <c r="N148" i="3"/>
  <c r="O145" i="3"/>
  <c r="V34" i="3" s="1"/>
  <c r="E32" i="4" s="1"/>
  <c r="M143" i="3"/>
  <c r="N140" i="3"/>
  <c r="O137" i="3"/>
  <c r="M135" i="3"/>
  <c r="N132" i="3"/>
  <c r="O129" i="3"/>
  <c r="V30" i="3" s="1"/>
  <c r="E28" i="4" s="1"/>
  <c r="M127" i="3"/>
  <c r="N124" i="3"/>
  <c r="U29" i="3" s="1"/>
  <c r="D27" i="4" s="1"/>
  <c r="O121" i="3"/>
  <c r="M119" i="3"/>
  <c r="N116" i="3"/>
  <c r="U27" i="3" s="1"/>
  <c r="D25" i="4" s="1"/>
  <c r="O113" i="3"/>
  <c r="M111" i="3"/>
  <c r="N108" i="3"/>
  <c r="O105" i="3"/>
  <c r="M103" i="3"/>
  <c r="N100" i="3"/>
  <c r="U24" i="3" s="1"/>
  <c r="D22" i="4" s="1"/>
  <c r="O97" i="3"/>
  <c r="M95" i="3"/>
  <c r="N92" i="3"/>
  <c r="O89" i="3"/>
  <c r="M87" i="3"/>
  <c r="T21" i="3" s="1"/>
  <c r="C19" i="4" s="1"/>
  <c r="N84" i="3"/>
  <c r="O81" i="3"/>
  <c r="M79" i="3"/>
  <c r="N76" i="3"/>
  <c r="O73" i="3"/>
  <c r="M441" i="3"/>
  <c r="N438" i="3"/>
  <c r="U96" i="3" s="1"/>
  <c r="O435" i="3"/>
  <c r="M433" i="3"/>
  <c r="N430" i="3"/>
  <c r="M425" i="3"/>
  <c r="N422" i="3"/>
  <c r="O419" i="3"/>
  <c r="M417" i="3"/>
  <c r="N414" i="3"/>
  <c r="U91" i="3" s="1"/>
  <c r="D89" i="4" s="1"/>
  <c r="O411" i="3"/>
  <c r="M409" i="3"/>
  <c r="T90" i="3" s="1"/>
  <c r="C88" i="4" s="1"/>
  <c r="N406" i="3"/>
  <c r="O403" i="3"/>
  <c r="M401" i="3"/>
  <c r="N398" i="3"/>
  <c r="O395" i="3"/>
  <c r="M393" i="3"/>
  <c r="T87" i="3" s="1"/>
  <c r="C85" i="4" s="1"/>
  <c r="N390" i="3"/>
  <c r="O387" i="3"/>
  <c r="M385" i="3"/>
  <c r="N382" i="3"/>
  <c r="O379" i="3"/>
  <c r="N262" i="3"/>
  <c r="N259" i="3"/>
  <c r="V17" i="3"/>
  <c r="E15" i="4" s="1"/>
  <c r="M204" i="3"/>
  <c r="N201" i="3"/>
  <c r="O198" i="3"/>
  <c r="M196" i="3"/>
  <c r="N193" i="3"/>
  <c r="O190" i="3"/>
  <c r="M188" i="3"/>
  <c r="N185" i="3"/>
  <c r="O182" i="3"/>
  <c r="M180" i="3"/>
  <c r="N177" i="3"/>
  <c r="O174" i="3"/>
  <c r="M172" i="3"/>
  <c r="N169" i="3"/>
  <c r="O166" i="3"/>
  <c r="M164" i="3"/>
  <c r="N161" i="3"/>
  <c r="O158" i="3"/>
  <c r="M156" i="3"/>
  <c r="N153" i="3"/>
  <c r="O150" i="3"/>
  <c r="M148" i="3"/>
  <c r="N145" i="3"/>
  <c r="O142" i="3"/>
  <c r="M140" i="3"/>
  <c r="N137" i="3"/>
  <c r="O134" i="3"/>
  <c r="M132" i="3"/>
  <c r="N129" i="3"/>
  <c r="O126" i="3"/>
  <c r="M124" i="3"/>
  <c r="T29" i="3" s="1"/>
  <c r="C27" i="4" s="1"/>
  <c r="N121" i="3"/>
  <c r="O118" i="3"/>
  <c r="M116" i="3"/>
  <c r="T27" i="3" s="1"/>
  <c r="C25" i="4" s="1"/>
  <c r="N113" i="3"/>
  <c r="O110" i="3"/>
  <c r="M108" i="3"/>
  <c r="N105" i="3"/>
  <c r="O102" i="3"/>
  <c r="M100" i="3"/>
  <c r="N97" i="3"/>
  <c r="O94" i="3"/>
  <c r="M92" i="3"/>
  <c r="N89" i="3"/>
  <c r="O86" i="3"/>
  <c r="M84" i="3"/>
  <c r="N81" i="3"/>
  <c r="O78" i="3"/>
  <c r="M76" i="3"/>
  <c r="N73" i="3"/>
  <c r="U18" i="3" s="1"/>
  <c r="D16" i="4" s="1"/>
  <c r="O440" i="3"/>
  <c r="M438" i="3"/>
  <c r="N435" i="3"/>
  <c r="O432" i="3"/>
  <c r="M430" i="3"/>
  <c r="N427" i="3"/>
  <c r="O424" i="3"/>
  <c r="M422" i="3"/>
  <c r="N419" i="3"/>
  <c r="O416" i="3"/>
  <c r="M414" i="3"/>
  <c r="N411" i="3"/>
  <c r="O408" i="3"/>
  <c r="M406" i="3"/>
  <c r="N403" i="3"/>
  <c r="O400" i="3"/>
  <c r="M398" i="3"/>
  <c r="N395" i="3"/>
  <c r="O392" i="3"/>
  <c r="M390" i="3"/>
  <c r="N387" i="3"/>
  <c r="O384" i="3"/>
  <c r="M382" i="3"/>
  <c r="N379" i="3"/>
  <c r="O376" i="3"/>
  <c r="M374" i="3"/>
  <c r="N371" i="3"/>
  <c r="O368" i="3"/>
  <c r="M366" i="3"/>
  <c r="N363" i="3"/>
  <c r="O360" i="3"/>
  <c r="M358" i="3"/>
  <c r="N355" i="3"/>
  <c r="O352" i="3"/>
  <c r="M350" i="3"/>
  <c r="N347" i="3"/>
  <c r="O344" i="3"/>
  <c r="M342" i="3"/>
  <c r="N339" i="3"/>
  <c r="O336" i="3"/>
  <c r="M334" i="3"/>
  <c r="N331" i="3"/>
  <c r="O328" i="3"/>
  <c r="M326" i="3"/>
  <c r="N323" i="3"/>
  <c r="O320" i="3"/>
  <c r="M318" i="3"/>
  <c r="N315" i="3"/>
  <c r="O312" i="3"/>
  <c r="M310" i="3"/>
  <c r="N307" i="3"/>
  <c r="O304" i="3"/>
  <c r="M302" i="3"/>
  <c r="N299" i="3"/>
  <c r="O296" i="3"/>
  <c r="M294" i="3"/>
  <c r="N291" i="3"/>
  <c r="O288" i="3"/>
  <c r="M286" i="3"/>
  <c r="N283" i="3"/>
  <c r="O280" i="3"/>
  <c r="M278" i="3"/>
  <c r="N275" i="3"/>
  <c r="O272" i="3"/>
  <c r="M270" i="3"/>
  <c r="N267" i="3"/>
  <c r="M230" i="3"/>
  <c r="O224" i="3"/>
  <c r="O270" i="3"/>
  <c r="M268" i="3"/>
  <c r="O262" i="3"/>
  <c r="M260" i="3"/>
  <c r="N257" i="3"/>
  <c r="O254" i="3"/>
  <c r="O246" i="3"/>
  <c r="M244" i="3"/>
  <c r="N241" i="3"/>
  <c r="O238" i="3"/>
  <c r="M236" i="3"/>
  <c r="O230" i="3"/>
  <c r="M228" i="3"/>
  <c r="N225" i="3"/>
  <c r="O222" i="3"/>
  <c r="M220" i="3"/>
  <c r="O214" i="3"/>
  <c r="M212" i="3"/>
  <c r="N209" i="3"/>
  <c r="U47" i="3" s="1"/>
  <c r="D45" i="4" s="1"/>
  <c r="O206" i="3"/>
  <c r="M377" i="3"/>
  <c r="N374" i="3"/>
  <c r="O371" i="3"/>
  <c r="V82" i="3" s="1"/>
  <c r="E80" i="4" s="1"/>
  <c r="M369" i="3"/>
  <c r="N366" i="3"/>
  <c r="O363" i="3"/>
  <c r="M361" i="3"/>
  <c r="N358" i="3"/>
  <c r="O355" i="3"/>
  <c r="M353" i="3"/>
  <c r="N350" i="3"/>
  <c r="O347" i="3"/>
  <c r="M345" i="3"/>
  <c r="N342" i="3"/>
  <c r="O339" i="3"/>
  <c r="M337" i="3"/>
  <c r="N334" i="3"/>
  <c r="O331" i="3"/>
  <c r="M329" i="3"/>
  <c r="N326" i="3"/>
  <c r="O323" i="3"/>
  <c r="M321" i="3"/>
  <c r="N318" i="3"/>
  <c r="O315" i="3"/>
  <c r="M313" i="3"/>
  <c r="N310" i="3"/>
  <c r="O307" i="3"/>
  <c r="M305" i="3"/>
  <c r="N302" i="3"/>
  <c r="O299" i="3"/>
  <c r="M297" i="3"/>
  <c r="N294" i="3"/>
  <c r="U66" i="3" s="1"/>
  <c r="D64" i="4" s="1"/>
  <c r="O291" i="3"/>
  <c r="M289" i="3"/>
  <c r="N286" i="3"/>
  <c r="O283" i="3"/>
  <c r="M281" i="3"/>
  <c r="N278" i="3"/>
  <c r="O275" i="3"/>
  <c r="M273" i="3"/>
  <c r="N270" i="3"/>
  <c r="O267" i="3"/>
  <c r="M265" i="3"/>
  <c r="O259" i="3"/>
  <c r="M257" i="3"/>
  <c r="N254" i="3"/>
  <c r="O251" i="3"/>
  <c r="M249" i="3"/>
  <c r="N246" i="3"/>
  <c r="M241" i="3"/>
  <c r="O235" i="3"/>
  <c r="M233" i="3"/>
  <c r="N230" i="3"/>
  <c r="O227" i="3"/>
  <c r="M225" i="3"/>
  <c r="N222" i="3"/>
  <c r="O219" i="3"/>
  <c r="M217" i="3"/>
  <c r="N214" i="3"/>
  <c r="O211" i="3"/>
  <c r="M209" i="3"/>
  <c r="T47" i="3" s="1"/>
  <c r="C45" i="4" s="1"/>
  <c r="O264" i="3"/>
  <c r="M262" i="3"/>
  <c r="O256" i="3"/>
  <c r="M254" i="3"/>
  <c r="N251" i="3"/>
  <c r="O248" i="3"/>
  <c r="M246" i="3"/>
  <c r="N243" i="3"/>
  <c r="O240" i="3"/>
  <c r="M238" i="3"/>
  <c r="N235" i="3"/>
  <c r="O232" i="3"/>
  <c r="N227" i="3"/>
  <c r="M222" i="3"/>
  <c r="N219" i="3"/>
  <c r="O216" i="3"/>
  <c r="M214" i="3"/>
  <c r="N211" i="3"/>
  <c r="O208" i="3"/>
  <c r="M206" i="3"/>
  <c r="O293" i="3"/>
  <c r="M291" i="3"/>
  <c r="N240" i="3"/>
  <c r="O237" i="3"/>
  <c r="M235" i="3"/>
  <c r="N232" i="3"/>
  <c r="O229" i="3"/>
  <c r="M227" i="3"/>
  <c r="N224" i="3"/>
  <c r="O221" i="3"/>
  <c r="M219" i="3"/>
  <c r="N216" i="3"/>
  <c r="O213" i="3"/>
  <c r="V49" i="3" s="1"/>
  <c r="E47" i="4" s="1"/>
  <c r="M211" i="3"/>
  <c r="T48" i="3" s="1"/>
  <c r="C46" i="4" s="1"/>
  <c r="N208" i="3"/>
  <c r="M384" i="3"/>
  <c r="N381" i="3"/>
  <c r="O378" i="3"/>
  <c r="M376" i="3"/>
  <c r="N373" i="3"/>
  <c r="O370" i="3"/>
  <c r="M368" i="3"/>
  <c r="N365" i="3"/>
  <c r="O362" i="3"/>
  <c r="M360" i="3"/>
  <c r="N357" i="3"/>
  <c r="O354" i="3"/>
  <c r="M352" i="3"/>
  <c r="N349" i="3"/>
  <c r="O346" i="3"/>
  <c r="M344" i="3"/>
  <c r="N341" i="3"/>
  <c r="O338" i="3"/>
  <c r="M336" i="3"/>
  <c r="N333" i="3"/>
  <c r="O330" i="3"/>
  <c r="M328" i="3"/>
  <c r="T73" i="3" s="1"/>
  <c r="C71" i="4" s="1"/>
  <c r="N325" i="3"/>
  <c r="O322" i="3"/>
  <c r="M320" i="3"/>
  <c r="N317" i="3"/>
  <c r="O314" i="3"/>
  <c r="M312" i="3"/>
  <c r="N309" i="3"/>
  <c r="O306" i="3"/>
  <c r="M304" i="3"/>
  <c r="N301" i="3"/>
  <c r="O298" i="3"/>
  <c r="M296" i="3"/>
  <c r="N293" i="3"/>
  <c r="O290" i="3"/>
  <c r="M288" i="3"/>
  <c r="N285" i="3"/>
  <c r="U64" i="3" s="1"/>
  <c r="D62" i="4" s="1"/>
  <c r="O282" i="3"/>
  <c r="M280" i="3"/>
  <c r="N277" i="3"/>
  <c r="O274" i="3"/>
  <c r="M272" i="3"/>
  <c r="N269" i="3"/>
  <c r="O266" i="3"/>
  <c r="M264" i="3"/>
  <c r="T60" i="3" s="1"/>
  <c r="C58" i="4" s="1"/>
  <c r="N261" i="3"/>
  <c r="O258" i="3"/>
  <c r="M256" i="3"/>
  <c r="N253" i="3"/>
  <c r="O250" i="3"/>
  <c r="M248" i="3"/>
  <c r="N245" i="3"/>
  <c r="O242" i="3"/>
  <c r="M240" i="3"/>
  <c r="N237" i="3"/>
  <c r="O234" i="3"/>
  <c r="M232" i="3"/>
  <c r="N229" i="3"/>
  <c r="O226" i="3"/>
  <c r="M224" i="3"/>
  <c r="N221" i="3"/>
  <c r="O218" i="3"/>
  <c r="M216" i="3"/>
  <c r="N213" i="3"/>
  <c r="U49" i="3" s="1"/>
  <c r="D47" i="4" s="1"/>
  <c r="O210" i="3"/>
  <c r="M208" i="3"/>
  <c r="O383" i="3"/>
  <c r="M381" i="3"/>
  <c r="N378" i="3"/>
  <c r="O375" i="3"/>
  <c r="M373" i="3"/>
  <c r="N370" i="3"/>
  <c r="O367" i="3"/>
  <c r="M365" i="3"/>
  <c r="N362" i="3"/>
  <c r="O359" i="3"/>
  <c r="M357" i="3"/>
  <c r="T79" i="3" s="1"/>
  <c r="C77" i="4" s="1"/>
  <c r="N354" i="3"/>
  <c r="O351" i="3"/>
  <c r="M349" i="3"/>
  <c r="N346" i="3"/>
  <c r="O343" i="3"/>
  <c r="M341" i="3"/>
  <c r="N338" i="3"/>
  <c r="O335" i="3"/>
  <c r="M333" i="3"/>
  <c r="T74" i="3" s="1"/>
  <c r="C72" i="4" s="1"/>
  <c r="N330" i="3"/>
  <c r="O327" i="3"/>
  <c r="M325" i="3"/>
  <c r="N322" i="3"/>
  <c r="O319" i="3"/>
  <c r="M317" i="3"/>
  <c r="N314" i="3"/>
  <c r="O311" i="3"/>
  <c r="M309" i="3"/>
  <c r="N306" i="3"/>
  <c r="O303" i="3"/>
  <c r="M301" i="3"/>
  <c r="N298" i="3"/>
  <c r="O295" i="3"/>
  <c r="M293" i="3"/>
  <c r="N290" i="3"/>
  <c r="O287" i="3"/>
  <c r="M285" i="3"/>
  <c r="N282" i="3"/>
  <c r="U63" i="3" s="1"/>
  <c r="D61" i="4" s="1"/>
  <c r="O279" i="3"/>
  <c r="M277" i="3"/>
  <c r="N274" i="3"/>
  <c r="O271" i="3"/>
  <c r="M269" i="3"/>
  <c r="N266" i="3"/>
  <c r="U60" i="3" s="1"/>
  <c r="D58" i="4" s="1"/>
  <c r="O263" i="3"/>
  <c r="N258" i="3"/>
  <c r="O255" i="3"/>
  <c r="N250" i="3"/>
  <c r="O247" i="3"/>
  <c r="M245" i="3"/>
  <c r="N242" i="3"/>
  <c r="M237" i="3"/>
  <c r="N234" i="3"/>
  <c r="O231" i="3"/>
  <c r="M229" i="3"/>
  <c r="N226" i="3"/>
  <c r="O223" i="3"/>
  <c r="M221" i="3"/>
  <c r="N218" i="3"/>
  <c r="O215" i="3"/>
  <c r="M213" i="3"/>
  <c r="N210" i="3"/>
  <c r="O207" i="3"/>
  <c r="K5" i="6"/>
  <c r="S5" i="6" s="1"/>
  <c r="L7" i="6"/>
  <c r="T7" i="6" s="1"/>
  <c r="M7" i="6"/>
  <c r="U7" i="6" s="1"/>
  <c r="P256" i="3"/>
  <c r="P192" i="3"/>
  <c r="W43" i="3" s="1"/>
  <c r="F41" i="4" s="1"/>
  <c r="P160" i="3"/>
  <c r="P417" i="3"/>
  <c r="P384" i="3"/>
  <c r="P128" i="3"/>
  <c r="P352" i="3"/>
  <c r="P96" i="3"/>
  <c r="P432" i="3"/>
  <c r="P320" i="3"/>
  <c r="W71" i="3" s="1"/>
  <c r="F69" i="4" s="1"/>
  <c r="P64" i="3"/>
  <c r="P395" i="3"/>
  <c r="P387" i="3"/>
  <c r="P288" i="3"/>
  <c r="P32" i="3"/>
  <c r="W10" i="3" s="1"/>
  <c r="F8" i="4" s="1"/>
  <c r="O7" i="6"/>
  <c r="P137" i="3"/>
  <c r="P105" i="3"/>
  <c r="P73" i="3"/>
  <c r="P41" i="3"/>
  <c r="P9" i="3"/>
  <c r="W85" i="3"/>
  <c r="F83" i="4" s="1"/>
  <c r="P361" i="3"/>
  <c r="P297" i="3"/>
  <c r="W66" i="3" s="1"/>
  <c r="P201" i="3"/>
  <c r="P169" i="3"/>
  <c r="E16" i="5"/>
  <c r="E17" i="5" s="1"/>
  <c r="P305" i="3"/>
  <c r="W68" i="3" s="1"/>
  <c r="F66" i="4" s="1"/>
  <c r="P273" i="3"/>
  <c r="P241" i="3"/>
  <c r="P209" i="3"/>
  <c r="W47" i="3" s="1"/>
  <c r="F45" i="4" s="1"/>
  <c r="P177" i="3"/>
  <c r="W40" i="3" s="1"/>
  <c r="F38" i="4" s="1"/>
  <c r="P145" i="3"/>
  <c r="P113" i="3"/>
  <c r="P81" i="3"/>
  <c r="P49" i="3"/>
  <c r="P17" i="3"/>
  <c r="W58" i="3"/>
  <c r="F56" i="4" s="1"/>
  <c r="P232" i="3"/>
  <c r="P441" i="3"/>
  <c r="P425" i="3"/>
  <c r="P369" i="3"/>
  <c r="W81" i="3" s="1"/>
  <c r="F79" i="4" s="1"/>
  <c r="P337" i="3"/>
  <c r="P400" i="3"/>
  <c r="P439" i="3"/>
  <c r="P431" i="3"/>
  <c r="P423" i="3"/>
  <c r="P415" i="3"/>
  <c r="P345" i="3"/>
  <c r="W76" i="3" s="1"/>
  <c r="F74" i="4" s="1"/>
  <c r="P313" i="3"/>
  <c r="P281" i="3"/>
  <c r="P249" i="3"/>
  <c r="P217" i="3"/>
  <c r="W50" i="3" s="1"/>
  <c r="F48" i="4" s="1"/>
  <c r="P185" i="3"/>
  <c r="P153" i="3"/>
  <c r="P121" i="3"/>
  <c r="P89" i="3"/>
  <c r="P57" i="3"/>
  <c r="P25" i="3"/>
  <c r="P436" i="3"/>
  <c r="P428" i="3"/>
  <c r="P420" i="3"/>
  <c r="P412" i="3"/>
  <c r="P404" i="3"/>
  <c r="P380" i="3"/>
  <c r="P372" i="3"/>
  <c r="P364" i="3"/>
  <c r="P356" i="3"/>
  <c r="P348" i="3"/>
  <c r="P340" i="3"/>
  <c r="P332" i="3"/>
  <c r="P324" i="3"/>
  <c r="P316" i="3"/>
  <c r="P308" i="3"/>
  <c r="P300" i="3"/>
  <c r="P292" i="3"/>
  <c r="P284" i="3"/>
  <c r="P276" i="3"/>
  <c r="P268" i="3"/>
  <c r="P260" i="3"/>
  <c r="P252" i="3"/>
  <c r="P244" i="3"/>
  <c r="W56" i="3" s="1"/>
  <c r="F54" i="4" s="1"/>
  <c r="P236" i="3"/>
  <c r="P228" i="3"/>
  <c r="P220" i="3"/>
  <c r="P212" i="3"/>
  <c r="W49" i="3" s="1"/>
  <c r="F47" i="4" s="1"/>
  <c r="P204" i="3"/>
  <c r="W46" i="3" s="1"/>
  <c r="F44" i="4" s="1"/>
  <c r="P196" i="3"/>
  <c r="P188" i="3"/>
  <c r="P180" i="3"/>
  <c r="P172" i="3"/>
  <c r="P164" i="3"/>
  <c r="W38" i="3" s="1"/>
  <c r="F36" i="4" s="1"/>
  <c r="P156" i="3"/>
  <c r="P100" i="3"/>
  <c r="P92" i="3"/>
  <c r="P84" i="3"/>
  <c r="P76" i="3"/>
  <c r="P68" i="3"/>
  <c r="P60" i="3"/>
  <c r="W16" i="3" s="1"/>
  <c r="F14" i="4" s="1"/>
  <c r="P52" i="3"/>
  <c r="P44" i="3"/>
  <c r="P36" i="3"/>
  <c r="P28" i="3"/>
  <c r="P20" i="3"/>
  <c r="P12" i="3"/>
  <c r="P393" i="3"/>
  <c r="P329" i="3"/>
  <c r="P265" i="3"/>
  <c r="P409" i="3"/>
  <c r="P377" i="3"/>
  <c r="W83" i="3" s="1"/>
  <c r="F81" i="4" s="1"/>
  <c r="P434" i="3"/>
  <c r="P426" i="3"/>
  <c r="W93" i="3" s="1"/>
  <c r="F91" i="4" s="1"/>
  <c r="N6" i="6"/>
  <c r="V6" i="6" s="1"/>
  <c r="N25" i="6"/>
  <c r="V25" i="6" s="1"/>
  <c r="AD6" i="7" s="1"/>
  <c r="O14" i="6"/>
  <c r="M18" i="6"/>
  <c r="U18" i="6" s="1"/>
  <c r="O22" i="6"/>
  <c r="M16" i="6"/>
  <c r="U16" i="6" s="1"/>
  <c r="M14" i="6"/>
  <c r="U14" i="6" s="1"/>
  <c r="O6" i="6"/>
  <c r="L5" i="6"/>
  <c r="T5" i="6" s="1"/>
  <c r="M12" i="6"/>
  <c r="U12" i="6" s="1"/>
  <c r="M10" i="6"/>
  <c r="U10" i="6" s="1"/>
  <c r="M24" i="6"/>
  <c r="U24" i="6" s="1"/>
  <c r="M8" i="6"/>
  <c r="U8" i="6" s="1"/>
  <c r="M22" i="6"/>
  <c r="U22" i="6" s="1"/>
  <c r="M6" i="6"/>
  <c r="U6" i="6" s="1"/>
  <c r="M20" i="6"/>
  <c r="U20" i="6" s="1"/>
  <c r="M5" i="6"/>
  <c r="U5" i="6" s="1"/>
  <c r="Y4" i="7" s="1"/>
  <c r="L24" i="6"/>
  <c r="T24" i="6" s="1"/>
  <c r="L22" i="6"/>
  <c r="T22" i="6" s="1"/>
  <c r="L20" i="6"/>
  <c r="T20" i="6" s="1"/>
  <c r="L18" i="6"/>
  <c r="T18" i="6" s="1"/>
  <c r="L16" i="6"/>
  <c r="T16" i="6" s="1"/>
  <c r="L14" i="6"/>
  <c r="T14" i="6" s="1"/>
  <c r="L12" i="6"/>
  <c r="T12" i="6" s="1"/>
  <c r="L10" i="6"/>
  <c r="T10" i="6" s="1"/>
  <c r="L8" i="6"/>
  <c r="T8" i="6" s="1"/>
  <c r="L6" i="6"/>
  <c r="T6" i="6" s="1"/>
  <c r="O21" i="6"/>
  <c r="O13" i="6"/>
  <c r="N5" i="6"/>
  <c r="V5" i="6" s="1"/>
  <c r="AD4" i="7" s="1"/>
  <c r="K24" i="6"/>
  <c r="S24" i="6" s="1"/>
  <c r="K22" i="6"/>
  <c r="S22" i="6" s="1"/>
  <c r="K20" i="6"/>
  <c r="S20" i="6" s="1"/>
  <c r="K18" i="6"/>
  <c r="S18" i="6" s="1"/>
  <c r="K16" i="6"/>
  <c r="S16" i="6" s="1"/>
  <c r="K14" i="6"/>
  <c r="S14" i="6" s="1"/>
  <c r="K12" i="6"/>
  <c r="S12" i="6" s="1"/>
  <c r="K10" i="6"/>
  <c r="S10" i="6" s="1"/>
  <c r="K8" i="6"/>
  <c r="S8" i="6" s="1"/>
  <c r="K6" i="6"/>
  <c r="S6" i="6" s="1"/>
  <c r="O20" i="6"/>
  <c r="O12" i="6"/>
  <c r="N23" i="6"/>
  <c r="V23" i="6" s="1"/>
  <c r="N21" i="6"/>
  <c r="V21" i="6" s="1"/>
  <c r="N19" i="6"/>
  <c r="V19" i="6" s="1"/>
  <c r="N17" i="6"/>
  <c r="V17" i="6" s="1"/>
  <c r="N15" i="6"/>
  <c r="V15" i="6" s="1"/>
  <c r="P6" i="5" s="1"/>
  <c r="N13" i="6"/>
  <c r="V13" i="6" s="1"/>
  <c r="N11" i="6"/>
  <c r="V11" i="6" s="1"/>
  <c r="N9" i="6"/>
  <c r="V9" i="6" s="1"/>
  <c r="N7" i="6"/>
  <c r="V7" i="6" s="1"/>
  <c r="O19" i="6"/>
  <c r="O11" i="6"/>
  <c r="M25" i="6"/>
  <c r="U25" i="6" s="1"/>
  <c r="Y6" i="7" s="1"/>
  <c r="M23" i="6"/>
  <c r="U23" i="6" s="1"/>
  <c r="M21" i="6"/>
  <c r="U21" i="6" s="1"/>
  <c r="M19" i="6"/>
  <c r="U19" i="6" s="1"/>
  <c r="M17" i="6"/>
  <c r="U17" i="6" s="1"/>
  <c r="M15" i="6"/>
  <c r="U15" i="6" s="1"/>
  <c r="O6" i="5" s="1"/>
  <c r="M13" i="6"/>
  <c r="U13" i="6" s="1"/>
  <c r="M11" i="6"/>
  <c r="U11" i="6" s="1"/>
  <c r="M9" i="6"/>
  <c r="U9" i="6" s="1"/>
  <c r="O5" i="6"/>
  <c r="O18" i="6"/>
  <c r="O10" i="6"/>
  <c r="L25" i="6"/>
  <c r="T25" i="6" s="1"/>
  <c r="L23" i="6"/>
  <c r="T23" i="6" s="1"/>
  <c r="L21" i="6"/>
  <c r="T21" i="6" s="1"/>
  <c r="L19" i="6"/>
  <c r="T19" i="6" s="1"/>
  <c r="L17" i="6"/>
  <c r="T17" i="6" s="1"/>
  <c r="L15" i="6"/>
  <c r="T15" i="6" s="1"/>
  <c r="N6" i="5" s="1"/>
  <c r="L13" i="6"/>
  <c r="T13" i="6" s="1"/>
  <c r="L11" i="6"/>
  <c r="T11" i="6" s="1"/>
  <c r="L9" i="6"/>
  <c r="T9" i="6" s="1"/>
  <c r="O25" i="6"/>
  <c r="O17" i="6"/>
  <c r="O9" i="6"/>
  <c r="K25" i="6"/>
  <c r="S25" i="6" s="1"/>
  <c r="K23" i="6"/>
  <c r="S23" i="6" s="1"/>
  <c r="K21" i="6"/>
  <c r="S21" i="6" s="1"/>
  <c r="K19" i="6"/>
  <c r="S19" i="6" s="1"/>
  <c r="K17" i="6"/>
  <c r="S17" i="6" s="1"/>
  <c r="K15" i="6"/>
  <c r="S15" i="6" s="1"/>
  <c r="M6" i="5" s="1"/>
  <c r="K13" i="6"/>
  <c r="S13" i="6" s="1"/>
  <c r="K11" i="6"/>
  <c r="S11" i="6" s="1"/>
  <c r="K9" i="6"/>
  <c r="S9" i="6" s="1"/>
  <c r="K7" i="6"/>
  <c r="S7" i="6" s="1"/>
  <c r="O24" i="6"/>
  <c r="O16" i="6"/>
  <c r="O8" i="6"/>
  <c r="N24" i="6"/>
  <c r="V24" i="6" s="1"/>
  <c r="N22" i="6"/>
  <c r="V22" i="6" s="1"/>
  <c r="N20" i="6"/>
  <c r="V20" i="6" s="1"/>
  <c r="N18" i="6"/>
  <c r="V18" i="6" s="1"/>
  <c r="N16" i="6"/>
  <c r="V16" i="6" s="1"/>
  <c r="N14" i="6"/>
  <c r="V14" i="6" s="1"/>
  <c r="N12" i="6"/>
  <c r="V12" i="6" s="1"/>
  <c r="N10" i="6"/>
  <c r="V10" i="6" s="1"/>
  <c r="N8" i="6"/>
  <c r="V8" i="6" s="1"/>
  <c r="O23" i="6"/>
  <c r="O15" i="6"/>
  <c r="W79" i="3"/>
  <c r="W33" i="3"/>
  <c r="F31" i="4" s="1"/>
  <c r="W29" i="3"/>
  <c r="F27" i="4" s="1"/>
  <c r="P435" i="3"/>
  <c r="P427" i="3"/>
  <c r="P419" i="3"/>
  <c r="P403" i="3"/>
  <c r="P379" i="3"/>
  <c r="P371" i="3"/>
  <c r="P363" i="3"/>
  <c r="P355" i="3"/>
  <c r="P347" i="3"/>
  <c r="P339" i="3"/>
  <c r="P331" i="3"/>
  <c r="P323" i="3"/>
  <c r="P315" i="3"/>
  <c r="P307" i="3"/>
  <c r="P299" i="3"/>
  <c r="W67" i="3" s="1"/>
  <c r="P291" i="3"/>
  <c r="P283" i="3"/>
  <c r="P275" i="3"/>
  <c r="P267" i="3"/>
  <c r="P259" i="3"/>
  <c r="P251" i="3"/>
  <c r="P243" i="3"/>
  <c r="P235" i="3"/>
  <c r="W54" i="3" s="1"/>
  <c r="P227" i="3"/>
  <c r="P219" i="3"/>
  <c r="P211" i="3"/>
  <c r="W48" i="3" s="1"/>
  <c r="F46" i="4" s="1"/>
  <c r="P203" i="3"/>
  <c r="W45" i="3" s="1"/>
  <c r="P195" i="3"/>
  <c r="P187" i="3"/>
  <c r="W42" i="3" s="1"/>
  <c r="P179" i="3"/>
  <c r="P171" i="3"/>
  <c r="P163" i="3"/>
  <c r="W37" i="3" s="1"/>
  <c r="P155" i="3"/>
  <c r="P147" i="3"/>
  <c r="W34" i="3" s="1"/>
  <c r="P139" i="3"/>
  <c r="W32" i="3" s="1"/>
  <c r="P131" i="3"/>
  <c r="W31" i="3" s="1"/>
  <c r="P123" i="3"/>
  <c r="P115" i="3"/>
  <c r="W27" i="3" s="1"/>
  <c r="P107" i="3"/>
  <c r="P99" i="3"/>
  <c r="P91" i="3"/>
  <c r="P83" i="3"/>
  <c r="P75" i="3"/>
  <c r="P67" i="3"/>
  <c r="P59" i="3"/>
  <c r="P51" i="3"/>
  <c r="P43" i="3"/>
  <c r="P35" i="3"/>
  <c r="P27" i="3"/>
  <c r="P19" i="3"/>
  <c r="P11" i="3"/>
  <c r="P411" i="3"/>
  <c r="W90" i="3" s="1"/>
  <c r="P396" i="3"/>
  <c r="W87" i="3" s="1"/>
  <c r="P388" i="3"/>
  <c r="W86" i="3" s="1"/>
  <c r="T5" i="3"/>
  <c r="C3" i="4" s="1"/>
  <c r="V64" i="3" l="1"/>
  <c r="E62" i="4" s="1"/>
  <c r="V66" i="3"/>
  <c r="E64" i="4" s="1"/>
  <c r="V32" i="3"/>
  <c r="E30" i="4" s="1"/>
  <c r="V8" i="3"/>
  <c r="E6" i="4" s="1"/>
  <c r="W74" i="3"/>
  <c r="F72" i="4" s="1"/>
  <c r="W35" i="3"/>
  <c r="F33" i="4" s="1"/>
  <c r="W53" i="3"/>
  <c r="F51" i="4" s="1"/>
  <c r="U75" i="3"/>
  <c r="D73" i="4" s="1"/>
  <c r="W30" i="3"/>
  <c r="F28" i="4" s="1"/>
  <c r="U57" i="3"/>
  <c r="D55" i="4" s="1"/>
  <c r="T62" i="3"/>
  <c r="C60" i="4" s="1"/>
  <c r="V85" i="3"/>
  <c r="E83" i="4" s="1"/>
  <c r="T37" i="3"/>
  <c r="C35" i="4" s="1"/>
  <c r="V14" i="3"/>
  <c r="E12" i="4" s="1"/>
  <c r="U13" i="3"/>
  <c r="D11" i="4" s="1"/>
  <c r="W24" i="3"/>
  <c r="F22" i="4" s="1"/>
  <c r="W12" i="3"/>
  <c r="W25" i="3"/>
  <c r="W39" i="3"/>
  <c r="W80" i="3"/>
  <c r="F78" i="4" s="1"/>
  <c r="W5" i="3"/>
  <c r="F3" i="4" s="1"/>
  <c r="U19" i="3"/>
  <c r="D17" i="4" s="1"/>
  <c r="V23" i="3"/>
  <c r="E21" i="4" s="1"/>
  <c r="V37" i="3"/>
  <c r="E35" i="4" s="1"/>
  <c r="W88" i="3"/>
  <c r="F86" i="4" s="1"/>
  <c r="W13" i="3"/>
  <c r="F11" i="4" s="1"/>
  <c r="V89" i="3"/>
  <c r="E87" i="4" s="1"/>
  <c r="V28" i="3"/>
  <c r="E26" i="4" s="1"/>
  <c r="T33" i="3"/>
  <c r="C31" i="4" s="1"/>
  <c r="U33" i="3"/>
  <c r="D31" i="4" s="1"/>
  <c r="W15" i="3"/>
  <c r="W28" i="3"/>
  <c r="W57" i="3"/>
  <c r="W70" i="3"/>
  <c r="W84" i="3"/>
  <c r="F82" i="4" s="1"/>
  <c r="W18" i="3"/>
  <c r="F16" i="4" s="1"/>
  <c r="U68" i="3"/>
  <c r="D66" i="4" s="1"/>
  <c r="V20" i="3"/>
  <c r="E18" i="4" s="1"/>
  <c r="U5" i="3"/>
  <c r="D3" i="4" s="1"/>
  <c r="W44" i="3"/>
  <c r="W26" i="3"/>
  <c r="F24" i="4" s="1"/>
  <c r="T57" i="3"/>
  <c r="C55" i="4" s="1"/>
  <c r="V86" i="3"/>
  <c r="E84" i="4" s="1"/>
  <c r="T95" i="3"/>
  <c r="C93" i="4" s="1"/>
  <c r="V25" i="3"/>
  <c r="E23" i="4" s="1"/>
  <c r="T30" i="3"/>
  <c r="C28" i="4" s="1"/>
  <c r="T8" i="3"/>
  <c r="C6" i="4" s="1"/>
  <c r="W6" i="3"/>
  <c r="W19" i="3"/>
  <c r="AL14" i="7" a="1"/>
  <c r="T52" i="3"/>
  <c r="C50" i="4" s="1"/>
  <c r="U56" i="3"/>
  <c r="D54" i="4" s="1"/>
  <c r="AL13" i="7" a="1"/>
  <c r="W14" i="3"/>
  <c r="W41" i="3"/>
  <c r="W55" i="3"/>
  <c r="W69" i="3"/>
  <c r="W96" i="3"/>
  <c r="T28" i="3"/>
  <c r="C26" i="4" s="1"/>
  <c r="W59" i="3"/>
  <c r="W72" i="3"/>
  <c r="W89" i="3"/>
  <c r="S21" i="7"/>
  <c r="W36" i="3"/>
  <c r="W77" i="3"/>
  <c r="F75" i="4" s="1"/>
  <c r="W22" i="3"/>
  <c r="W51" i="3"/>
  <c r="F49" i="4" s="1"/>
  <c r="W95" i="3"/>
  <c r="T55" i="3"/>
  <c r="C53" i="4" s="1"/>
  <c r="T64" i="3"/>
  <c r="C62" i="4" s="1"/>
  <c r="T78" i="3"/>
  <c r="C76" i="4" s="1"/>
  <c r="U81" i="3"/>
  <c r="D79" i="4" s="1"/>
  <c r="U34" i="3"/>
  <c r="D32" i="4" s="1"/>
  <c r="U80" i="3"/>
  <c r="D78" i="4" s="1"/>
  <c r="AL14" i="7"/>
  <c r="AM14" i="7" s="1"/>
  <c r="AK15" i="7"/>
  <c r="G4" i="7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AL13" i="7"/>
  <c r="T54" i="3"/>
  <c r="C52" i="4" s="1"/>
  <c r="U94" i="3"/>
  <c r="D92" i="4" s="1"/>
  <c r="V39" i="3"/>
  <c r="E37" i="4" s="1"/>
  <c r="V9" i="3"/>
  <c r="E7" i="4" s="1"/>
  <c r="T6" i="3"/>
  <c r="C4" i="4" s="1"/>
  <c r="U6" i="3"/>
  <c r="D4" i="4" s="1"/>
  <c r="V65" i="3"/>
  <c r="E63" i="4" s="1"/>
  <c r="U74" i="3"/>
  <c r="D72" i="4" s="1"/>
  <c r="V59" i="3"/>
  <c r="E57" i="4" s="1"/>
  <c r="U61" i="3"/>
  <c r="D59" i="4" s="1"/>
  <c r="T70" i="3"/>
  <c r="C68" i="4" s="1"/>
  <c r="T83" i="3"/>
  <c r="C81" i="4" s="1"/>
  <c r="V57" i="3"/>
  <c r="E55" i="4" s="1"/>
  <c r="T63" i="3"/>
  <c r="C61" i="4" s="1"/>
  <c r="T59" i="3"/>
  <c r="C57" i="4" s="1"/>
  <c r="U38" i="3"/>
  <c r="D36" i="4" s="1"/>
  <c r="V42" i="3"/>
  <c r="E40" i="4" s="1"/>
  <c r="U15" i="3"/>
  <c r="D13" i="4" s="1"/>
  <c r="W8" i="3"/>
  <c r="F6" i="4" s="1"/>
  <c r="T4" i="7"/>
  <c r="T6" i="7"/>
  <c r="W91" i="3"/>
  <c r="F89" i="4" s="1"/>
  <c r="U23" i="3"/>
  <c r="D21" i="4" s="1"/>
  <c r="U37" i="3"/>
  <c r="D35" i="4" s="1"/>
  <c r="T5" i="7"/>
  <c r="Y5" i="7"/>
  <c r="T43" i="3"/>
  <c r="C41" i="4" s="1"/>
  <c r="T35" i="3"/>
  <c r="C33" i="4" s="1"/>
  <c r="T24" i="7"/>
  <c r="V77" i="3"/>
  <c r="E75" i="4" s="1"/>
  <c r="U53" i="3"/>
  <c r="D51" i="4" s="1"/>
  <c r="U65" i="3"/>
  <c r="D63" i="4" s="1"/>
  <c r="V69" i="3"/>
  <c r="E67" i="4" s="1"/>
  <c r="V95" i="3"/>
  <c r="E93" i="4" s="1"/>
  <c r="AF6" i="7"/>
  <c r="W17" i="6"/>
  <c r="X17" i="6" s="1"/>
  <c r="W25" i="6"/>
  <c r="X25" i="6" s="1"/>
  <c r="AR6" i="7" s="1"/>
  <c r="W18" i="6"/>
  <c r="W16" i="6"/>
  <c r="W20" i="6"/>
  <c r="X20" i="6" s="1"/>
  <c r="W19" i="6"/>
  <c r="X19" i="6" s="1"/>
  <c r="W21" i="6"/>
  <c r="X21" i="6" s="1"/>
  <c r="W22" i="6"/>
  <c r="X22" i="6" s="1"/>
  <c r="W23" i="6"/>
  <c r="W24" i="6"/>
  <c r="X24" i="6" s="1"/>
  <c r="U48" i="3"/>
  <c r="D46" i="4" s="1"/>
  <c r="V62" i="3"/>
  <c r="E60" i="4" s="1"/>
  <c r="U71" i="3"/>
  <c r="D69" i="4" s="1"/>
  <c r="V75" i="3"/>
  <c r="E73" i="4" s="1"/>
  <c r="V87" i="3"/>
  <c r="E85" i="4" s="1"/>
  <c r="U22" i="3"/>
  <c r="D20" i="4" s="1"/>
  <c r="T85" i="3"/>
  <c r="C83" i="4" s="1"/>
  <c r="U11" i="3"/>
  <c r="D9" i="4" s="1"/>
  <c r="T21" i="7"/>
  <c r="AF5" i="7"/>
  <c r="AD5" i="7"/>
  <c r="T44" i="3"/>
  <c r="C42" i="4" s="1"/>
  <c r="V44" i="3"/>
  <c r="E42" i="4" s="1"/>
  <c r="W82" i="3"/>
  <c r="F80" i="4" s="1"/>
  <c r="U55" i="3"/>
  <c r="D53" i="4" s="1"/>
  <c r="V61" i="3"/>
  <c r="E59" i="4" s="1"/>
  <c r="U7" i="3"/>
  <c r="D5" i="4" s="1"/>
  <c r="V93" i="3"/>
  <c r="E91" i="4" s="1"/>
  <c r="U45" i="3"/>
  <c r="D43" i="4" s="1"/>
  <c r="T15" i="3"/>
  <c r="C13" i="4" s="1"/>
  <c r="T18" i="3"/>
  <c r="C16" i="4" s="1"/>
  <c r="V36" i="3"/>
  <c r="E34" i="4" s="1"/>
  <c r="V74" i="3"/>
  <c r="E72" i="4" s="1"/>
  <c r="P72" i="4" s="1"/>
  <c r="U83" i="3"/>
  <c r="D81" i="4" s="1"/>
  <c r="V22" i="3"/>
  <c r="E20" i="4" s="1"/>
  <c r="T53" i="3"/>
  <c r="C51" i="4" s="1"/>
  <c r="V63" i="3"/>
  <c r="E61" i="4" s="1"/>
  <c r="T67" i="3"/>
  <c r="C65" i="4" s="1"/>
  <c r="U72" i="3"/>
  <c r="D70" i="4" s="1"/>
  <c r="V76" i="3"/>
  <c r="E74" i="4" s="1"/>
  <c r="V56" i="3"/>
  <c r="E54" i="4" s="1"/>
  <c r="V52" i="3"/>
  <c r="E50" i="4" s="1"/>
  <c r="T92" i="3"/>
  <c r="C90" i="4" s="1"/>
  <c r="T26" i="3"/>
  <c r="C24" i="4" s="1"/>
  <c r="U31" i="3"/>
  <c r="D29" i="4" s="1"/>
  <c r="V10" i="3"/>
  <c r="E8" i="4" s="1"/>
  <c r="U28" i="3"/>
  <c r="D26" i="4" s="1"/>
  <c r="V27" i="3"/>
  <c r="E25" i="4" s="1"/>
  <c r="T32" i="3"/>
  <c r="C30" i="4" s="1"/>
  <c r="W60" i="3"/>
  <c r="W73" i="3"/>
  <c r="W92" i="3"/>
  <c r="F90" i="4" s="1"/>
  <c r="V81" i="3"/>
  <c r="E79" i="4" s="1"/>
  <c r="V48" i="3"/>
  <c r="E46" i="4" s="1"/>
  <c r="U25" i="3"/>
  <c r="D23" i="4" s="1"/>
  <c r="U39" i="3"/>
  <c r="D37" i="4" s="1"/>
  <c r="U88" i="3"/>
  <c r="D86" i="4" s="1"/>
  <c r="V92" i="3"/>
  <c r="E90" i="4" s="1"/>
  <c r="V97" i="3"/>
  <c r="U36" i="3"/>
  <c r="D34" i="4" s="1"/>
  <c r="T45" i="3"/>
  <c r="C43" i="4" s="1"/>
  <c r="V12" i="3"/>
  <c r="E10" i="4" s="1"/>
  <c r="U10" i="3"/>
  <c r="D8" i="4" s="1"/>
  <c r="T11" i="3"/>
  <c r="C9" i="4" s="1"/>
  <c r="V24" i="3"/>
  <c r="E22" i="4" s="1"/>
  <c r="V38" i="3"/>
  <c r="E36" i="4" s="1"/>
  <c r="T42" i="3"/>
  <c r="C40" i="4" s="1"/>
  <c r="V71" i="3"/>
  <c r="E69" i="4" s="1"/>
  <c r="T89" i="3"/>
  <c r="C87" i="4" s="1"/>
  <c r="V19" i="3"/>
  <c r="E17" i="4" s="1"/>
  <c r="W17" i="3"/>
  <c r="F15" i="4" s="1"/>
  <c r="W7" i="3"/>
  <c r="W20" i="3"/>
  <c r="F18" i="4" s="1"/>
  <c r="W62" i="3"/>
  <c r="F60" i="4" s="1"/>
  <c r="W75" i="3"/>
  <c r="F73" i="4" s="1"/>
  <c r="W94" i="3"/>
  <c r="F92" i="4" s="1"/>
  <c r="V67" i="3"/>
  <c r="E65" i="4" s="1"/>
  <c r="V80" i="3"/>
  <c r="E78" i="4" s="1"/>
  <c r="V45" i="3"/>
  <c r="E43" i="4" s="1"/>
  <c r="T91" i="3"/>
  <c r="C89" i="4" s="1"/>
  <c r="V29" i="3"/>
  <c r="E27" i="4" s="1"/>
  <c r="P27" i="4" s="1"/>
  <c r="U85" i="3"/>
  <c r="D83" i="4" s="1"/>
  <c r="W9" i="3"/>
  <c r="F7" i="4" s="1"/>
  <c r="W63" i="3"/>
  <c r="F61" i="4" s="1"/>
  <c r="T75" i="3"/>
  <c r="C73" i="4" s="1"/>
  <c r="V46" i="3"/>
  <c r="E44" i="4" s="1"/>
  <c r="V15" i="3"/>
  <c r="E13" i="4" s="1"/>
  <c r="T14" i="3"/>
  <c r="C12" i="4" s="1"/>
  <c r="T96" i="3"/>
  <c r="V21" i="3"/>
  <c r="E19" i="4" s="1"/>
  <c r="U30" i="3"/>
  <c r="D28" i="4" s="1"/>
  <c r="P28" i="4" s="1"/>
  <c r="V35" i="3"/>
  <c r="E33" i="4" s="1"/>
  <c r="T72" i="3"/>
  <c r="C70" i="4" s="1"/>
  <c r="U90" i="3"/>
  <c r="D88" i="4" s="1"/>
  <c r="T20" i="3"/>
  <c r="C18" i="4" s="1"/>
  <c r="U43" i="3"/>
  <c r="D41" i="4" s="1"/>
  <c r="W11" i="3"/>
  <c r="F9" i="4" s="1"/>
  <c r="W23" i="3"/>
  <c r="F21" i="4" s="1"/>
  <c r="W52" i="3"/>
  <c r="F50" i="4" s="1"/>
  <c r="W65" i="3"/>
  <c r="F63" i="4" s="1"/>
  <c r="W78" i="3"/>
  <c r="F76" i="4" s="1"/>
  <c r="W97" i="3"/>
  <c r="W64" i="3"/>
  <c r="F62" i="4" s="1"/>
  <c r="P62" i="4" s="1"/>
  <c r="T68" i="3"/>
  <c r="C66" i="4" s="1"/>
  <c r="T93" i="3"/>
  <c r="C91" i="4" s="1"/>
  <c r="T16" i="3"/>
  <c r="C14" i="4" s="1"/>
  <c r="U92" i="3"/>
  <c r="D90" i="4" s="1"/>
  <c r="U35" i="3"/>
  <c r="D33" i="4" s="1"/>
  <c r="P33" i="4" s="1"/>
  <c r="T50" i="3"/>
  <c r="C48" i="4" s="1"/>
  <c r="V55" i="3"/>
  <c r="E53" i="4" s="1"/>
  <c r="T97" i="3"/>
  <c r="T22" i="3"/>
  <c r="C20" i="4" s="1"/>
  <c r="T36" i="3"/>
  <c r="C34" i="4" s="1"/>
  <c r="U14" i="3"/>
  <c r="D12" i="4" s="1"/>
  <c r="U73" i="3"/>
  <c r="D71" i="4" s="1"/>
  <c r="V91" i="3"/>
  <c r="E89" i="4" s="1"/>
  <c r="U21" i="3"/>
  <c r="D19" i="4" s="1"/>
  <c r="V68" i="3"/>
  <c r="E66" i="4" s="1"/>
  <c r="U52" i="3"/>
  <c r="D50" i="4" s="1"/>
  <c r="U51" i="3"/>
  <c r="D49" i="4" s="1"/>
  <c r="U54" i="3"/>
  <c r="D52" i="4" s="1"/>
  <c r="V54" i="3"/>
  <c r="E52" i="4" s="1"/>
  <c r="P45" i="4"/>
  <c r="T61" i="3"/>
  <c r="C59" i="4" s="1"/>
  <c r="V83" i="3"/>
  <c r="E81" i="4" s="1"/>
  <c r="P81" i="4" s="1"/>
  <c r="T58" i="3"/>
  <c r="C56" i="4" s="1"/>
  <c r="V51" i="3"/>
  <c r="E49" i="4" s="1"/>
  <c r="T66" i="3"/>
  <c r="C64" i="4" s="1"/>
  <c r="U84" i="3"/>
  <c r="D82" i="4" s="1"/>
  <c r="U59" i="3"/>
  <c r="D57" i="4" s="1"/>
  <c r="V43" i="3"/>
  <c r="E41" i="4" s="1"/>
  <c r="V79" i="3"/>
  <c r="E77" i="4" s="1"/>
  <c r="T84" i="3"/>
  <c r="C82" i="4" s="1"/>
  <c r="T34" i="3"/>
  <c r="C32" i="4" s="1"/>
  <c r="V7" i="3"/>
  <c r="E5" i="4" s="1"/>
  <c r="V6" i="3"/>
  <c r="E4" i="4" s="1"/>
  <c r="T39" i="3"/>
  <c r="C37" i="4" s="1"/>
  <c r="V5" i="3"/>
  <c r="E3" i="4" s="1"/>
  <c r="P3" i="4" s="1"/>
  <c r="U62" i="3"/>
  <c r="D60" i="4" s="1"/>
  <c r="T80" i="3"/>
  <c r="C78" i="4" s="1"/>
  <c r="T76" i="3"/>
  <c r="C74" i="4" s="1"/>
  <c r="T46" i="3"/>
  <c r="C44" i="4" s="1"/>
  <c r="V84" i="3"/>
  <c r="E82" i="4" s="1"/>
  <c r="U93" i="3"/>
  <c r="D91" i="4" s="1"/>
  <c r="P91" i="4" s="1"/>
  <c r="T23" i="3"/>
  <c r="C21" i="4" s="1"/>
  <c r="T88" i="3"/>
  <c r="C86" i="4" s="1"/>
  <c r="U97" i="3"/>
  <c r="T31" i="3"/>
  <c r="C29" i="4" s="1"/>
  <c r="T12" i="3"/>
  <c r="C10" i="4" s="1"/>
  <c r="T94" i="3"/>
  <c r="C92" i="4" s="1"/>
  <c r="U17" i="3"/>
  <c r="D15" i="4" s="1"/>
  <c r="T9" i="3"/>
  <c r="C7" i="4" s="1"/>
  <c r="T71" i="3"/>
  <c r="C69" i="4" s="1"/>
  <c r="P69" i="4" s="1"/>
  <c r="U67" i="3"/>
  <c r="D65" i="4" s="1"/>
  <c r="T51" i="3"/>
  <c r="C49" i="4" s="1"/>
  <c r="V60" i="3"/>
  <c r="E58" i="4" s="1"/>
  <c r="U58" i="3"/>
  <c r="D56" i="4" s="1"/>
  <c r="U76" i="3"/>
  <c r="D74" i="4" s="1"/>
  <c r="T49" i="3"/>
  <c r="C47" i="4" s="1"/>
  <c r="P47" i="4" s="1"/>
  <c r="T81" i="3"/>
  <c r="C79" i="4" s="1"/>
  <c r="P79" i="4" s="1"/>
  <c r="U86" i="3"/>
  <c r="D84" i="4" s="1"/>
  <c r="T24" i="3"/>
  <c r="C22" i="4" s="1"/>
  <c r="P22" i="4" s="1"/>
  <c r="T38" i="3"/>
  <c r="C36" i="4" s="1"/>
  <c r="U46" i="3"/>
  <c r="D44" i="4" s="1"/>
  <c r="T86" i="3"/>
  <c r="C84" i="4" s="1"/>
  <c r="T10" i="3"/>
  <c r="C8" i="4" s="1"/>
  <c r="P8" i="4" s="1"/>
  <c r="U40" i="3"/>
  <c r="D38" i="4" s="1"/>
  <c r="U79" i="3"/>
  <c r="D77" i="4" s="1"/>
  <c r="U77" i="3"/>
  <c r="D75" i="4" s="1"/>
  <c r="U89" i="3"/>
  <c r="D87" i="4" s="1"/>
  <c r="U32" i="3"/>
  <c r="D30" i="4" s="1"/>
  <c r="T41" i="3"/>
  <c r="C39" i="4" s="1"/>
  <c r="T77" i="3"/>
  <c r="C75" i="4" s="1"/>
  <c r="U95" i="3"/>
  <c r="D93" i="4" s="1"/>
  <c r="T25" i="3"/>
  <c r="C23" i="4" s="1"/>
  <c r="V16" i="3"/>
  <c r="E14" i="4" s="1"/>
  <c r="U12" i="3"/>
  <c r="D10" i="4" s="1"/>
  <c r="T56" i="3"/>
  <c r="C54" i="4" s="1"/>
  <c r="P54" i="4" s="1"/>
  <c r="T19" i="3"/>
  <c r="C17" i="4" s="1"/>
  <c r="V18" i="3"/>
  <c r="E16" i="4" s="1"/>
  <c r="P16" i="4" s="1"/>
  <c r="T69" i="3"/>
  <c r="C67" i="4" s="1"/>
  <c r="T82" i="3"/>
  <c r="C80" i="4" s="1"/>
  <c r="U87" i="3"/>
  <c r="D85" i="4" s="1"/>
  <c r="V41" i="3"/>
  <c r="E39" i="4" s="1"/>
  <c r="T13" i="3"/>
  <c r="C11" i="4" s="1"/>
  <c r="P11" i="4" s="1"/>
  <c r="U82" i="3"/>
  <c r="D80" i="4" s="1"/>
  <c r="U50" i="3"/>
  <c r="D48" i="4" s="1"/>
  <c r="V90" i="3"/>
  <c r="E88" i="4" s="1"/>
  <c r="V33" i="3"/>
  <c r="E31" i="4" s="1"/>
  <c r="P31" i="4" s="1"/>
  <c r="U42" i="3"/>
  <c r="D40" i="4" s="1"/>
  <c r="U78" i="3"/>
  <c r="D76" i="4" s="1"/>
  <c r="V96" i="3"/>
  <c r="U26" i="3"/>
  <c r="D24" i="4" s="1"/>
  <c r="V31" i="3"/>
  <c r="E29" i="4" s="1"/>
  <c r="V94" i="3"/>
  <c r="E92" i="4" s="1"/>
  <c r="V11" i="3"/>
  <c r="E9" i="4" s="1"/>
  <c r="T7" i="3"/>
  <c r="C5" i="4" s="1"/>
  <c r="V50" i="3"/>
  <c r="E48" i="4" s="1"/>
  <c r="U69" i="3"/>
  <c r="D67" i="4" s="1"/>
  <c r="V73" i="3"/>
  <c r="E71" i="4" s="1"/>
  <c r="V78" i="3"/>
  <c r="E76" i="4" s="1"/>
  <c r="V72" i="3"/>
  <c r="E70" i="4" s="1"/>
  <c r="V53" i="3"/>
  <c r="E51" i="4" s="1"/>
  <c r="T65" i="3"/>
  <c r="C63" i="4" s="1"/>
  <c r="V58" i="3"/>
  <c r="E56" i="4" s="1"/>
  <c r="V70" i="3"/>
  <c r="E68" i="4" s="1"/>
  <c r="V26" i="3"/>
  <c r="E24" i="4" s="1"/>
  <c r="V40" i="3"/>
  <c r="E38" i="4" s="1"/>
  <c r="U20" i="3"/>
  <c r="D18" i="4" s="1"/>
  <c r="U70" i="3"/>
  <c r="D68" i="4" s="1"/>
  <c r="V88" i="3"/>
  <c r="E86" i="4" s="1"/>
  <c r="U9" i="3"/>
  <c r="D7" i="4" s="1"/>
  <c r="F43" i="4"/>
  <c r="F32" i="4"/>
  <c r="P32" i="4" s="1"/>
  <c r="F64" i="4"/>
  <c r="F71" i="4"/>
  <c r="F34" i="4"/>
  <c r="F93" i="4"/>
  <c r="F17" i="4"/>
  <c r="F35" i="4"/>
  <c r="F58" i="4"/>
  <c r="F20" i="4"/>
  <c r="F10" i="4"/>
  <c r="F23" i="4"/>
  <c r="F37" i="4"/>
  <c r="F52" i="4"/>
  <c r="F65" i="4"/>
  <c r="F77" i="4"/>
  <c r="P77" i="4" s="1"/>
  <c r="F5" i="4"/>
  <c r="F84" i="4"/>
  <c r="P84" i="4" s="1"/>
  <c r="F12" i="4"/>
  <c r="F25" i="4"/>
  <c r="P25" i="4" s="1"/>
  <c r="F39" i="4"/>
  <c r="F53" i="4"/>
  <c r="F67" i="4"/>
  <c r="F30" i="4"/>
  <c r="P30" i="4" s="1"/>
  <c r="F85" i="4"/>
  <c r="F13" i="4"/>
  <c r="F26" i="4"/>
  <c r="P26" i="4" s="1"/>
  <c r="F40" i="4"/>
  <c r="F55" i="4"/>
  <c r="F68" i="4"/>
  <c r="X23" i="6"/>
  <c r="X18" i="6"/>
  <c r="X16" i="6"/>
  <c r="F4" i="4"/>
  <c r="F88" i="4"/>
  <c r="F29" i="4"/>
  <c r="F42" i="4"/>
  <c r="F57" i="4"/>
  <c r="F70" i="4"/>
  <c r="F87" i="4"/>
  <c r="B20" i="5"/>
  <c r="C20" i="5"/>
  <c r="P35" i="4" l="1"/>
  <c r="P6" i="4"/>
  <c r="P53" i="4"/>
  <c r="P43" i="4"/>
  <c r="P42" i="4"/>
  <c r="P36" i="4"/>
  <c r="P46" i="4"/>
  <c r="P55" i="4"/>
  <c r="P78" i="4"/>
  <c r="P59" i="4"/>
  <c r="P13" i="4"/>
  <c r="P66" i="4"/>
  <c r="P57" i="4"/>
  <c r="P65" i="4"/>
  <c r="P86" i="4"/>
  <c r="P61" i="4"/>
  <c r="P37" i="4"/>
  <c r="P34" i="4"/>
  <c r="P41" i="4"/>
  <c r="P87" i="4"/>
  <c r="P83" i="4"/>
  <c r="P29" i="4"/>
  <c r="AL15" i="7"/>
  <c r="AM15" i="7" s="1"/>
  <c r="AM13" i="7"/>
  <c r="P50" i="4"/>
  <c r="P73" i="4"/>
  <c r="P49" i="4"/>
  <c r="P17" i="4"/>
  <c r="P51" i="4"/>
  <c r="P40" i="4"/>
  <c r="P23" i="4"/>
  <c r="P12" i="4"/>
  <c r="P20" i="4"/>
  <c r="P85" i="4"/>
  <c r="P5" i="4"/>
  <c r="P58" i="4"/>
  <c r="P14" i="4"/>
  <c r="P90" i="4"/>
  <c r="P4" i="4"/>
  <c r="P21" i="4"/>
  <c r="P60" i="4"/>
  <c r="P75" i="4"/>
  <c r="P10" i="4"/>
  <c r="P15" i="4"/>
  <c r="P89" i="4"/>
  <c r="P19" i="4"/>
  <c r="P18" i="4"/>
  <c r="P63" i="4"/>
  <c r="P38" i="4"/>
  <c r="AA5" i="7"/>
  <c r="AB5" i="7" s="1"/>
  <c r="S32" i="7" s="1"/>
  <c r="P39" i="4"/>
  <c r="P71" i="4"/>
  <c r="V5" i="7"/>
  <c r="AG5" i="7"/>
  <c r="AH5" i="7" s="1"/>
  <c r="S31" i="7" s="1"/>
  <c r="P9" i="4"/>
  <c r="P64" i="4"/>
  <c r="P88" i="4"/>
  <c r="Y20" i="6"/>
  <c r="D18" i="7" s="1"/>
  <c r="P52" i="4"/>
  <c r="P24" i="4"/>
  <c r="P93" i="4"/>
  <c r="P92" i="4"/>
  <c r="P44" i="4"/>
  <c r="P56" i="4"/>
  <c r="P80" i="4"/>
  <c r="P74" i="4"/>
  <c r="P82" i="4"/>
  <c r="P76" i="4"/>
  <c r="P68" i="4"/>
  <c r="P7" i="4"/>
  <c r="P48" i="4"/>
  <c r="P67" i="4"/>
  <c r="P70" i="4"/>
  <c r="Y24" i="6"/>
  <c r="D22" i="7" s="1"/>
  <c r="Y19" i="6"/>
  <c r="D17" i="7" s="1"/>
  <c r="Y22" i="6"/>
  <c r="D20" i="7" s="1"/>
  <c r="Y17" i="6"/>
  <c r="D15" i="7" s="1"/>
  <c r="Y23" i="6"/>
  <c r="D21" i="7" s="1"/>
  <c r="Y18" i="6"/>
  <c r="D16" i="7" s="1"/>
  <c r="Y21" i="6"/>
  <c r="D19" i="7" s="1"/>
  <c r="Y25" i="6"/>
  <c r="D23" i="7" s="1"/>
  <c r="H15" i="6"/>
  <c r="W15" i="6" s="1"/>
  <c r="Q6" i="5" s="1"/>
  <c r="R6" i="5" s="1"/>
  <c r="H9" i="6"/>
  <c r="W9" i="6" s="1"/>
  <c r="X9" i="6" s="1"/>
  <c r="H10" i="6"/>
  <c r="W10" i="6" s="1"/>
  <c r="X10" i="6" s="1"/>
  <c r="H11" i="6"/>
  <c r="W11" i="6" s="1"/>
  <c r="X11" i="6" s="1"/>
  <c r="H12" i="6"/>
  <c r="W12" i="6" s="1"/>
  <c r="X12" i="6" s="1"/>
  <c r="H13" i="6"/>
  <c r="W13" i="6" s="1"/>
  <c r="X13" i="6" s="1"/>
  <c r="H6" i="6"/>
  <c r="W6" i="6" s="1"/>
  <c r="X6" i="6" s="1"/>
  <c r="H14" i="6"/>
  <c r="H7" i="6"/>
  <c r="W7" i="6" s="1"/>
  <c r="X7" i="6" s="1"/>
  <c r="H5" i="6"/>
  <c r="W5" i="6" s="1"/>
  <c r="X5" i="6" s="1"/>
  <c r="AR4" i="7" s="1"/>
  <c r="AC5" i="7" s="1"/>
  <c r="H8" i="6"/>
  <c r="W8" i="6" s="1"/>
  <c r="X8" i="6" s="1"/>
  <c r="W14" i="6" l="1"/>
  <c r="X14" i="6" s="1"/>
  <c r="Y14" i="6" s="1"/>
  <c r="D12" i="7" s="1"/>
  <c r="Q5" i="5"/>
  <c r="Y10" i="6"/>
  <c r="D8" i="7" s="1"/>
  <c r="X5" i="7"/>
  <c r="S5" i="7"/>
  <c r="AU6" i="7"/>
  <c r="W5" i="7"/>
  <c r="S29" i="7" s="1"/>
  <c r="Y12" i="6"/>
  <c r="D10" i="7" s="1"/>
  <c r="U2" i="4"/>
  <c r="Y8" i="6"/>
  <c r="D6" i="7" s="1"/>
  <c r="U3" i="4"/>
  <c r="Y13" i="6"/>
  <c r="D11" i="7" s="1"/>
  <c r="Y7" i="6"/>
  <c r="D5" i="7" s="1"/>
  <c r="Y9" i="6"/>
  <c r="D7" i="7" s="1"/>
  <c r="Y6" i="6"/>
  <c r="D4" i="7" s="1"/>
  <c r="Y11" i="6"/>
  <c r="D9" i="7" s="1"/>
  <c r="X15" i="6"/>
  <c r="AR5" i="7" s="1"/>
  <c r="F4" i="7" l="1"/>
  <c r="F5" i="7" s="1"/>
  <c r="F6" i="7" s="1"/>
  <c r="F7" i="7" s="1"/>
  <c r="F8" i="7" s="1"/>
  <c r="F9" i="7" s="1"/>
  <c r="F10" i="7" s="1"/>
  <c r="F11" i="7" s="1"/>
  <c r="F12" i="7" s="1"/>
  <c r="S34" i="7"/>
  <c r="S23" i="7"/>
  <c r="S41" i="7"/>
  <c r="S20" i="7"/>
  <c r="AK5" i="7"/>
  <c r="S38" i="7"/>
  <c r="S22" i="7"/>
  <c r="S40" i="7"/>
  <c r="M15" i="5"/>
  <c r="M18" i="5" s="1"/>
  <c r="M19" i="5" s="1"/>
  <c r="Y15" i="6"/>
  <c r="D13" i="7" s="1"/>
  <c r="AO5" i="7" s="1" a="1"/>
  <c r="AO5" i="7" s="1"/>
  <c r="Y16" i="6"/>
  <c r="D14" i="7" s="1"/>
  <c r="AO6" i="7" l="1" a="1"/>
  <c r="AO6" i="7" s="1"/>
  <c r="AP5" i="7"/>
  <c r="V33" i="7"/>
  <c r="V30" i="7"/>
  <c r="V39" i="7"/>
  <c r="V42" i="7"/>
  <c r="V21" i="7"/>
  <c r="V24" i="7"/>
  <c r="S43" i="7"/>
  <c r="AL5" i="7"/>
  <c r="S25" i="7"/>
  <c r="F13" i="7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N7" i="5"/>
  <c r="M7" i="5"/>
  <c r="N18" i="5"/>
  <c r="N19" i="5" s="1"/>
  <c r="N26" i="5" s="1"/>
  <c r="O18" i="5"/>
  <c r="O19" i="5" s="1"/>
  <c r="O7" i="5"/>
  <c r="P18" i="5"/>
  <c r="P19" i="5" s="1"/>
  <c r="P24" i="5" s="1"/>
  <c r="Q7" i="5"/>
  <c r="P7" i="5"/>
  <c r="M24" i="5"/>
  <c r="M26" i="5"/>
  <c r="O26" i="5" l="1"/>
  <c r="O29" i="5" s="1"/>
  <c r="O32" i="5" s="1"/>
  <c r="O24" i="5"/>
  <c r="S45" i="7"/>
  <c r="AN5" i="7" s="1"/>
  <c r="M27" i="5"/>
  <c r="N24" i="5"/>
  <c r="N27" i="5" s="1"/>
  <c r="P26" i="5"/>
  <c r="M29" i="5"/>
  <c r="N29" i="5"/>
  <c r="N32" i="5" s="1"/>
  <c r="O27" i="5" l="1"/>
  <c r="M32" i="5"/>
  <c r="P27" i="5"/>
  <c r="P29" i="5"/>
  <c r="P32" i="5" s="1"/>
  <c r="O30" i="5"/>
  <c r="Z6" i="7" s="1"/>
  <c r="X6" i="7" s="1"/>
  <c r="O33" i="5"/>
  <c r="N30" i="5"/>
  <c r="N33" i="5"/>
  <c r="M30" i="5"/>
  <c r="M33" i="5"/>
  <c r="R27" i="5" l="1"/>
  <c r="T30" i="5" a="1"/>
  <c r="T30" i="5" s="1"/>
  <c r="U6" i="7"/>
  <c r="S6" i="7" s="1"/>
  <c r="AA6" i="7"/>
  <c r="AB6" i="7" s="1"/>
  <c r="T32" i="7" s="1"/>
  <c r="V32" i="7" s="1"/>
  <c r="T23" i="7"/>
  <c r="V23" i="7" s="1"/>
  <c r="P30" i="5"/>
  <c r="P33" i="5"/>
  <c r="M37" i="5" s="1"/>
  <c r="V6" i="7" l="1"/>
  <c r="W6" i="7" s="1"/>
  <c r="T29" i="7" s="1"/>
  <c r="V29" i="7" s="1"/>
  <c r="T41" i="7"/>
  <c r="V41" i="7" s="1"/>
  <c r="R30" i="5"/>
  <c r="N37" i="5" s="1"/>
  <c r="O37" i="5" s="1"/>
  <c r="P37" i="5" s="1"/>
  <c r="Q37" i="5" s="1"/>
  <c r="AE6" i="7"/>
  <c r="AG6" i="7" s="1"/>
  <c r="AH6" i="7" s="1"/>
  <c r="T31" i="7" s="1"/>
  <c r="V31" i="7" s="1"/>
  <c r="T20" i="7"/>
  <c r="V20" i="7" s="1"/>
  <c r="AC6" i="7" l="1"/>
  <c r="Y20" i="7" s="1"/>
  <c r="AA20" i="7" s="1"/>
  <c r="AU5" i="7"/>
  <c r="AU7" i="7" s="1"/>
  <c r="T34" i="7"/>
  <c r="V34" i="7" s="1"/>
  <c r="T38" i="7"/>
  <c r="V38" i="7" s="1"/>
  <c r="T40" i="7" l="1"/>
  <c r="V40" i="7" s="1"/>
  <c r="T22" i="7"/>
  <c r="V22" i="7" s="1"/>
  <c r="AK6" i="7"/>
  <c r="AP6" i="7" s="1"/>
  <c r="T25" i="7"/>
  <c r="V25" i="7" s="1"/>
  <c r="AK7" i="7" l="1"/>
  <c r="AL7" i="7" s="1"/>
  <c r="AL6" i="7"/>
  <c r="T43" i="7"/>
  <c r="T45" i="7" s="1"/>
  <c r="AN6" i="7" s="1"/>
  <c r="V43" i="7" l="1"/>
  <c r="V45" i="7" s="1"/>
  <c r="AN7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MG</author>
  </authors>
  <commentList>
    <comment ref="S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MG:</t>
        </r>
        <r>
          <rPr>
            <sz val="9"/>
            <color indexed="81"/>
            <rFont val="Tahoma"/>
            <family val="2"/>
          </rPr>
          <t xml:space="preserve">
approssimazione: numero di rendimenti per settimana può essere minore di 5!</t>
        </r>
      </text>
    </comment>
    <comment ref="AE5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MG:</t>
        </r>
        <r>
          <rPr>
            <sz val="9"/>
            <color indexed="81"/>
            <rFont val="Tahoma"/>
            <family val="2"/>
          </rPr>
          <t xml:space="preserve">
dati mancanti integrati con giorno precedente</t>
        </r>
      </text>
    </comment>
    <comment ref="G44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MG:</t>
        </r>
        <r>
          <rPr>
            <sz val="9"/>
            <color indexed="81"/>
            <rFont val="Tahoma"/>
            <family val="2"/>
          </rPr>
          <t xml:space="preserve">
cambio del giorno, prezzo giorno precedente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MG</author>
  </authors>
  <commentList>
    <comment ref="R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MG:</t>
        </r>
        <r>
          <rPr>
            <sz val="9"/>
            <color indexed="81"/>
            <rFont val="Tahoma"/>
            <family val="2"/>
          </rPr>
          <t xml:space="preserve">
Costi di transazione considerati nel rendimento di ciascuna classe: escluderli dal calcolo può dare interessanti info sull'impatto dei costi sul rendimento</t>
        </r>
      </text>
    </comment>
    <comment ref="R9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MG:</t>
        </r>
        <r>
          <rPr>
            <sz val="9"/>
            <color indexed="81"/>
            <rFont val="Tahoma"/>
            <family val="2"/>
          </rPr>
          <t xml:space="preserve">
calcolo approssimato: il bmk esatto ha pesi costanti (ribilanciamento giornaliero)</t>
        </r>
      </text>
    </comment>
    <comment ref="X18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MG:</t>
        </r>
        <r>
          <rPr>
            <sz val="9"/>
            <color indexed="81"/>
            <rFont val="Tahoma"/>
            <family val="2"/>
          </rPr>
          <t xml:space="preserve">
Trascurabile.
Alternative: ignorare il contributo; usare il modello di PA base; attribuire il peso della liquidità a un'altra classe, p.e. all'obbligazionario; creare una classe "monetario" fittizia nel benchmark con peso 0</t>
        </r>
      </text>
    </comment>
  </commentList>
</comments>
</file>

<file path=xl/sharedStrings.xml><?xml version="1.0" encoding="utf-8"?>
<sst xmlns="http://schemas.openxmlformats.org/spreadsheetml/2006/main" count="386" uniqueCount="217">
  <si>
    <t>LYMIB.PA</t>
  </si>
  <si>
    <t>lyxor ftse mib</t>
  </si>
  <si>
    <t>WLD.PA</t>
  </si>
  <si>
    <t>lyxor msci world</t>
  </si>
  <si>
    <t>IT510770=</t>
  </si>
  <si>
    <t>Timestamp</t>
  </si>
  <si>
    <t>Trade Close</t>
  </si>
  <si>
    <t>CMCIL.L</t>
  </si>
  <si>
    <t>UBS ETC CMCI composite</t>
  </si>
  <si>
    <t>EUR=</t>
  </si>
  <si>
    <t>EUR USD</t>
  </si>
  <si>
    <t>Bid Close</t>
  </si>
  <si>
    <t>DATE</t>
  </si>
  <si>
    <t>Accrued Interest</t>
  </si>
  <si>
    <t>USD</t>
  </si>
  <si>
    <t>WD</t>
  </si>
  <si>
    <t>Date</t>
  </si>
  <si>
    <t>CMCIL.L EUR</t>
  </si>
  <si>
    <t>Cedole</t>
  </si>
  <si>
    <t>IT453694=</t>
  </si>
  <si>
    <t>ITGV 4.250 01-MAR-2020</t>
  </si>
  <si>
    <t>Prezzi</t>
  </si>
  <si>
    <t>201543</t>
  </si>
  <si>
    <t>201542</t>
  </si>
  <si>
    <t>201541</t>
  </si>
  <si>
    <t>201540</t>
  </si>
  <si>
    <t>201539</t>
  </si>
  <si>
    <t>201538</t>
  </si>
  <si>
    <t>201537</t>
  </si>
  <si>
    <t>201536</t>
  </si>
  <si>
    <t>201535</t>
  </si>
  <si>
    <t>201534</t>
  </si>
  <si>
    <t>201533</t>
  </si>
  <si>
    <t>201532</t>
  </si>
  <si>
    <t>201531</t>
  </si>
  <si>
    <t>201530</t>
  </si>
  <si>
    <t>201529</t>
  </si>
  <si>
    <t>201528</t>
  </si>
  <si>
    <t>201527</t>
  </si>
  <si>
    <t>201526</t>
  </si>
  <si>
    <t>201525</t>
  </si>
  <si>
    <t>201524</t>
  </si>
  <si>
    <t>201523</t>
  </si>
  <si>
    <t>201522</t>
  </si>
  <si>
    <t>201521</t>
  </si>
  <si>
    <t>201520</t>
  </si>
  <si>
    <t>201519</t>
  </si>
  <si>
    <t>201518</t>
  </si>
  <si>
    <t>201517</t>
  </si>
  <si>
    <t>201516</t>
  </si>
  <si>
    <t>201515</t>
  </si>
  <si>
    <t>201514</t>
  </si>
  <si>
    <t>201513</t>
  </si>
  <si>
    <t>201512</t>
  </si>
  <si>
    <t>201511</t>
  </si>
  <si>
    <t>201510</t>
  </si>
  <si>
    <t>20159</t>
  </si>
  <si>
    <t>20158</t>
  </si>
  <si>
    <t>20157</t>
  </si>
  <si>
    <t>20156</t>
  </si>
  <si>
    <t>20155</t>
  </si>
  <si>
    <t>20154</t>
  </si>
  <si>
    <t>20153</t>
  </si>
  <si>
    <t>20152</t>
  </si>
  <si>
    <t>20151</t>
  </si>
  <si>
    <t>201453</t>
  </si>
  <si>
    <t>201452</t>
  </si>
  <si>
    <t>201451</t>
  </si>
  <si>
    <t>201450</t>
  </si>
  <si>
    <t>201449</t>
  </si>
  <si>
    <t>201448</t>
  </si>
  <si>
    <t>201447</t>
  </si>
  <si>
    <t>201446</t>
  </si>
  <si>
    <t>201445</t>
  </si>
  <si>
    <t>201444</t>
  </si>
  <si>
    <t>201443</t>
  </si>
  <si>
    <t>201442</t>
  </si>
  <si>
    <t>201441</t>
  </si>
  <si>
    <t>201440</t>
  </si>
  <si>
    <t>201439</t>
  </si>
  <si>
    <t>201438</t>
  </si>
  <si>
    <t>201437</t>
  </si>
  <si>
    <t>201436</t>
  </si>
  <si>
    <t>201435</t>
  </si>
  <si>
    <t>201434</t>
  </si>
  <si>
    <t>201433</t>
  </si>
  <si>
    <t>201432</t>
  </si>
  <si>
    <t>201431</t>
  </si>
  <si>
    <t>201430</t>
  </si>
  <si>
    <t>201429</t>
  </si>
  <si>
    <t>201428</t>
  </si>
  <si>
    <t>201427</t>
  </si>
  <si>
    <t>201426</t>
  </si>
  <si>
    <t>201425</t>
  </si>
  <si>
    <t>201424</t>
  </si>
  <si>
    <t>201423</t>
  </si>
  <si>
    <t>201422</t>
  </si>
  <si>
    <t>201421</t>
  </si>
  <si>
    <t>201420</t>
  </si>
  <si>
    <t>201419</t>
  </si>
  <si>
    <t>201418</t>
  </si>
  <si>
    <t>201417</t>
  </si>
  <si>
    <t>201416</t>
  </si>
  <si>
    <t>201415</t>
  </si>
  <si>
    <t>201414</t>
  </si>
  <si>
    <t>201413</t>
  </si>
  <si>
    <t>201412</t>
  </si>
  <si>
    <t>201411</t>
  </si>
  <si>
    <t>201410</t>
  </si>
  <si>
    <t>20149</t>
  </si>
  <si>
    <t>20148</t>
  </si>
  <si>
    <t>20147</t>
  </si>
  <si>
    <t>20146</t>
  </si>
  <si>
    <t>20145</t>
  </si>
  <si>
    <t>20144</t>
  </si>
  <si>
    <t>Rendimenti logaritmici</t>
  </si>
  <si>
    <t>Rendimenti settimanali logaritmici</t>
  </si>
  <si>
    <t>Perf ptf</t>
  </si>
  <si>
    <t>Pesi</t>
  </si>
  <si>
    <t>Rendimenti (da foglio precedente)</t>
  </si>
  <si>
    <t>rendimento medio</t>
  </si>
  <si>
    <t>deviazione standard</t>
  </si>
  <si>
    <t>Pesi ottimi</t>
  </si>
  <si>
    <t>Pesi implementati</t>
  </si>
  <si>
    <t>Controvalore da investire</t>
  </si>
  <si>
    <t>Controvalore strumenti</t>
  </si>
  <si>
    <t>costi di transazione</t>
  </si>
  <si>
    <t>prezzo</t>
  </si>
  <si>
    <t>prezzo maggiorato</t>
  </si>
  <si>
    <t>Investito</t>
  </si>
  <si>
    <t>Saldi</t>
  </si>
  <si>
    <t>Controvalore</t>
  </si>
  <si>
    <t>Liquidità</t>
  </si>
  <si>
    <t>Liquidità iniziale</t>
  </si>
  <si>
    <t>TOT</t>
  </si>
  <si>
    <t xml:space="preserve">Situazione al </t>
  </si>
  <si>
    <t>controvalore</t>
  </si>
  <si>
    <t>peso</t>
  </si>
  <si>
    <t>Acq/Ven</t>
  </si>
  <si>
    <t>Saldo strumenti al 2015-09-25</t>
  </si>
  <si>
    <t>prezzo con costi</t>
  </si>
  <si>
    <t>&lt;&lt;-- i costi dell'operazione superano la liquidità disponibile</t>
  </si>
  <si>
    <t>Controvalore Acquisti/Vendite</t>
  </si>
  <si>
    <t>Quantità Acq/Ven</t>
  </si>
  <si>
    <t>&lt;&lt;-- OK</t>
  </si>
  <si>
    <t>Saldi finali</t>
  </si>
  <si>
    <t>saldo</t>
  </si>
  <si>
    <t>Nuovi pesi</t>
  </si>
  <si>
    <t>Stima approssimata finanziamento costi operazioni</t>
  </si>
  <si>
    <t>Finanziamento costi operazioni</t>
  </si>
  <si>
    <t>Fabbisogno netto</t>
  </si>
  <si>
    <t>Costi</t>
  </si>
  <si>
    <t>Totale</t>
  </si>
  <si>
    <t>check</t>
  </si>
  <si>
    <t>Rendimento</t>
  </si>
  <si>
    <t>Code</t>
  </si>
  <si>
    <t>.MIWD00000NEU</t>
  </si>
  <si>
    <t>.HFRXEWE</t>
  </si>
  <si>
    <t>XBAC.S</t>
  </si>
  <si>
    <t>.CMCETR</t>
  </si>
  <si>
    <t>REZ</t>
  </si>
  <si>
    <t>Nome</t>
  </si>
  <si>
    <t>MSCI International ACWI Net Return Index Realtime EURO</t>
  </si>
  <si>
    <t>HFRX Wtged St EUR Index</t>
  </si>
  <si>
    <t>Barclays Capital Global Aggregate - ETF</t>
  </si>
  <si>
    <t>Bloomberg CMCI Composite EUR TR Index</t>
  </si>
  <si>
    <t>iShares Residential Real Estate Capped ETF</t>
  </si>
  <si>
    <t>Asset Class</t>
  </si>
  <si>
    <t>Azionario globale</t>
  </si>
  <si>
    <t>Hedge funds</t>
  </si>
  <si>
    <t>Obbligazionario globale</t>
  </si>
  <si>
    <t>Materie prime</t>
  </si>
  <si>
    <t>Immobiliare</t>
  </si>
  <si>
    <t>Peso</t>
  </si>
  <si>
    <t>Prezzi bmk</t>
  </si>
  <si>
    <t xml:space="preserve">Data </t>
  </si>
  <si>
    <t>Performance (da fogli precedenti)</t>
  </si>
  <si>
    <t>portafoglio</t>
  </si>
  <si>
    <t>benchmark</t>
  </si>
  <si>
    <t>Performance cumulate</t>
  </si>
  <si>
    <t>Performance azionario</t>
  </si>
  <si>
    <t>Risultato</t>
  </si>
  <si>
    <t>Valorizzazione operazioni</t>
  </si>
  <si>
    <t>Performance commodities</t>
  </si>
  <si>
    <t>Azionario</t>
  </si>
  <si>
    <t>Obbligazionario</t>
  </si>
  <si>
    <t>Hedge</t>
  </si>
  <si>
    <t>Commodities</t>
  </si>
  <si>
    <t>Real Estate</t>
  </si>
  <si>
    <t>check risultato</t>
  </si>
  <si>
    <t>Controvalore portafoglio</t>
  </si>
  <si>
    <t>Peso iniziale</t>
  </si>
  <si>
    <t>Asset allocation</t>
  </si>
  <si>
    <t>Performance Obbligazionario</t>
  </si>
  <si>
    <t>W1</t>
  </si>
  <si>
    <t>W2</t>
  </si>
  <si>
    <t>Stock  Picking</t>
  </si>
  <si>
    <t>Interaction Effect</t>
  </si>
  <si>
    <t>Valore</t>
  </si>
  <si>
    <t>Rendimento portafoglio</t>
  </si>
  <si>
    <t>Rendimento relativo</t>
  </si>
  <si>
    <t>Tot</t>
  </si>
  <si>
    <t>nome</t>
  </si>
  <si>
    <t>RIC Code</t>
  </si>
  <si>
    <t>Prezzi e cash flows</t>
  </si>
  <si>
    <t>CALCOLO RENDIMENTI COMPONENTI PORTAFOGLIO</t>
  </si>
  <si>
    <t>CALCOLO RENDIMENTO BMK</t>
  </si>
  <si>
    <t>Rendimenti aritmetici componenti bmk</t>
  </si>
  <si>
    <t>INCEPTION</t>
  </si>
  <si>
    <t>BILANCIAMENTO</t>
  </si>
  <si>
    <t>Quantità Acq/Ven rettificata</t>
  </si>
  <si>
    <t>Calcoli per i controlli</t>
  </si>
  <si>
    <t>rendimento ptf da valo</t>
  </si>
  <si>
    <t>check rendimento</t>
  </si>
  <si>
    <t>Rendimento bmk - verifica approssimazione</t>
  </si>
  <si>
    <t>check PA</t>
  </si>
  <si>
    <t>Strategic Asset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</si>
</sst>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00_-;\-* #,##0.000_-;_-* &quot;-&quot;??_-;_-@_-"/>
    <numFmt numFmtId="167" formatCode="0.0000%"/>
    <numFmt numFmtId="168" formatCode="0.000000%"/>
    <numFmt numFmtId="169" formatCode="0.0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8">
    <xf numFmtId="0" fontId="0" fillId="0" borderId="0" xfId="0"/>
    <xf numFmtId="0" fontId="2" fillId="3" borderId="2" xfId="0" applyFont="1" applyFill="1" applyBorder="1"/>
    <xf numFmtId="49" fontId="2" fillId="3" borderId="3" xfId="0" applyNumberFormat="1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vertical="center" wrapText="1"/>
    </xf>
    <xf numFmtId="0" fontId="0" fillId="3" borderId="0" xfId="0" applyFill="1"/>
    <xf numFmtId="43" fontId="0" fillId="3" borderId="0" xfId="1" applyFont="1" applyFill="1"/>
    <xf numFmtId="0" fontId="2" fillId="3" borderId="5" xfId="0" applyFont="1" applyFill="1" applyBorder="1" applyAlignment="1">
      <alignment vertical="center"/>
    </xf>
    <xf numFmtId="49" fontId="0" fillId="3" borderId="6" xfId="0" applyNumberFormat="1" applyFill="1" applyBorder="1" applyAlignment="1">
      <alignment vertical="center" wrapText="1"/>
    </xf>
    <xf numFmtId="49" fontId="0" fillId="3" borderId="7" xfId="0" applyNumberFormat="1" applyFill="1" applyBorder="1" applyAlignment="1">
      <alignment vertical="center" wrapText="1"/>
    </xf>
    <xf numFmtId="49" fontId="0" fillId="3" borderId="8" xfId="0" applyNumberFormat="1" applyFill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0" fontId="0" fillId="4" borderId="9" xfId="0" applyFill="1" applyBorder="1"/>
    <xf numFmtId="0" fontId="0" fillId="4" borderId="0" xfId="0" applyFill="1" applyBorder="1"/>
    <xf numFmtId="0" fontId="0" fillId="4" borderId="10" xfId="0" applyFill="1" applyBorder="1"/>
    <xf numFmtId="14" fontId="0" fillId="3" borderId="0" xfId="0" applyNumberFormat="1" applyFill="1"/>
    <xf numFmtId="0" fontId="2" fillId="3" borderId="11" xfId="0" applyFont="1" applyFill="1" applyBorder="1" applyAlignment="1">
      <alignment vertical="center"/>
    </xf>
    <xf numFmtId="9" fontId="0" fillId="3" borderId="12" xfId="0" applyNumberFormat="1" applyFill="1" applyBorder="1" applyAlignment="1">
      <alignment horizontal="left"/>
    </xf>
    <xf numFmtId="9" fontId="0" fillId="3" borderId="1" xfId="0" applyNumberFormat="1" applyFill="1" applyBorder="1" applyAlignment="1">
      <alignment horizontal="left"/>
    </xf>
    <xf numFmtId="9" fontId="0" fillId="3" borderId="13" xfId="0" applyNumberFormat="1" applyFill="1" applyBorder="1" applyAlignment="1">
      <alignment horizontal="left"/>
    </xf>
    <xf numFmtId="0" fontId="0" fillId="3" borderId="15" xfId="0" applyFill="1" applyBorder="1"/>
    <xf numFmtId="0" fontId="0" fillId="3" borderId="16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2" xfId="0" applyFill="1" applyBorder="1"/>
    <xf numFmtId="0" fontId="0" fillId="3" borderId="26" xfId="0" applyFill="1" applyBorder="1"/>
    <xf numFmtId="0" fontId="4" fillId="3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NumberFormat="1" applyFill="1"/>
    <xf numFmtId="49" fontId="2" fillId="3" borderId="23" xfId="0" applyNumberFormat="1" applyFont="1" applyFill="1" applyBorder="1" applyAlignment="1">
      <alignment vertical="center" wrapText="1"/>
    </xf>
    <xf numFmtId="49" fontId="2" fillId="3" borderId="24" xfId="0" applyNumberFormat="1" applyFont="1" applyFill="1" applyBorder="1" applyAlignment="1">
      <alignment vertical="center" wrapText="1"/>
    </xf>
    <xf numFmtId="49" fontId="2" fillId="3" borderId="25" xfId="0" applyNumberFormat="1" applyFont="1" applyFill="1" applyBorder="1" applyAlignment="1">
      <alignment vertical="center" wrapText="1"/>
    </xf>
    <xf numFmtId="14" fontId="0" fillId="3" borderId="17" xfId="0" applyNumberFormat="1" applyFill="1" applyBorder="1"/>
    <xf numFmtId="0" fontId="0" fillId="3" borderId="0" xfId="0" applyFill="1" applyBorder="1"/>
    <xf numFmtId="0" fontId="0" fillId="3" borderId="18" xfId="0" applyFill="1" applyBorder="1"/>
    <xf numFmtId="0" fontId="2" fillId="3" borderId="0" xfId="0" applyFont="1" applyFill="1"/>
    <xf numFmtId="10" fontId="0" fillId="3" borderId="0" xfId="2" applyNumberFormat="1" applyFont="1" applyFill="1"/>
    <xf numFmtId="0" fontId="0" fillId="5" borderId="0" xfId="0" applyFill="1"/>
    <xf numFmtId="43" fontId="2" fillId="3" borderId="23" xfId="1" applyFont="1" applyFill="1" applyBorder="1"/>
    <xf numFmtId="43" fontId="2" fillId="3" borderId="24" xfId="1" applyFont="1" applyFill="1" applyBorder="1"/>
    <xf numFmtId="43" fontId="2" fillId="3" borderId="25" xfId="1" applyFont="1" applyFill="1" applyBorder="1"/>
    <xf numFmtId="0" fontId="2" fillId="3" borderId="0" xfId="0" applyFont="1" applyFill="1" applyBorder="1"/>
    <xf numFmtId="10" fontId="2" fillId="3" borderId="23" xfId="2" applyNumberFormat="1" applyFont="1" applyFill="1" applyBorder="1"/>
    <xf numFmtId="10" fontId="2" fillId="3" borderId="24" xfId="2" applyNumberFormat="1" applyFont="1" applyFill="1" applyBorder="1"/>
    <xf numFmtId="10" fontId="2" fillId="3" borderId="25" xfId="2" applyNumberFormat="1" applyFont="1" applyFill="1" applyBorder="1"/>
    <xf numFmtId="0" fontId="2" fillId="5" borderId="0" xfId="0" applyFont="1" applyFill="1"/>
    <xf numFmtId="43" fontId="2" fillId="3" borderId="23" xfId="1" applyFont="1" applyFill="1" applyBorder="1" applyAlignment="1">
      <alignment vertical="center" wrapText="1"/>
    </xf>
    <xf numFmtId="43" fontId="2" fillId="3" borderId="24" xfId="1" applyFont="1" applyFill="1" applyBorder="1" applyAlignment="1">
      <alignment vertical="center" wrapText="1"/>
    </xf>
    <xf numFmtId="43" fontId="2" fillId="3" borderId="25" xfId="1" applyFont="1" applyFill="1" applyBorder="1" applyAlignment="1">
      <alignment vertical="center" wrapText="1"/>
    </xf>
    <xf numFmtId="10" fontId="2" fillId="3" borderId="0" xfId="2" applyNumberFormat="1" applyFont="1" applyFill="1"/>
    <xf numFmtId="10" fontId="2" fillId="3" borderId="23" xfId="2" applyNumberFormat="1" applyFont="1" applyFill="1" applyBorder="1" applyAlignment="1">
      <alignment vertical="center" wrapText="1"/>
    </xf>
    <xf numFmtId="10" fontId="2" fillId="3" borderId="24" xfId="2" applyNumberFormat="1" applyFont="1" applyFill="1" applyBorder="1" applyAlignment="1">
      <alignment vertical="center" wrapText="1"/>
    </xf>
    <xf numFmtId="10" fontId="2" fillId="3" borderId="25" xfId="2" applyNumberFormat="1" applyFont="1" applyFill="1" applyBorder="1" applyAlignment="1">
      <alignment vertical="center" wrapText="1"/>
    </xf>
    <xf numFmtId="0" fontId="2" fillId="3" borderId="22" xfId="0" applyFont="1" applyFill="1" applyBorder="1"/>
    <xf numFmtId="10" fontId="2" fillId="3" borderId="22" xfId="2" applyNumberFormat="1" applyFont="1" applyFill="1" applyBorder="1"/>
    <xf numFmtId="14" fontId="7" fillId="2" borderId="0" xfId="0" applyNumberFormat="1" applyFont="1" applyFill="1"/>
    <xf numFmtId="0" fontId="7" fillId="2" borderId="0" xfId="0" applyFont="1" applyFill="1"/>
    <xf numFmtId="0" fontId="2" fillId="3" borderId="23" xfId="0" applyFont="1" applyFill="1" applyBorder="1"/>
    <xf numFmtId="0" fontId="2" fillId="3" borderId="24" xfId="0" applyFont="1" applyFill="1" applyBorder="1"/>
    <xf numFmtId="0" fontId="2" fillId="3" borderId="25" xfId="0" applyFont="1" applyFill="1" applyBorder="1"/>
    <xf numFmtId="165" fontId="0" fillId="3" borderId="0" xfId="1" applyNumberFormat="1" applyFont="1" applyFill="1"/>
    <xf numFmtId="43" fontId="0" fillId="3" borderId="0" xfId="1" applyFont="1" applyFill="1" applyBorder="1"/>
    <xf numFmtId="43" fontId="0" fillId="3" borderId="0" xfId="0" applyNumberFormat="1" applyFill="1"/>
    <xf numFmtId="43" fontId="0" fillId="3" borderId="0" xfId="0" applyNumberFormat="1" applyFill="1" applyBorder="1"/>
    <xf numFmtId="43" fontId="0" fillId="3" borderId="0" xfId="1" applyNumberFormat="1" applyFont="1" applyFill="1"/>
    <xf numFmtId="165" fontId="0" fillId="3" borderId="0" xfId="0" applyNumberFormat="1" applyFill="1"/>
    <xf numFmtId="166" fontId="0" fillId="3" borderId="0" xfId="0" applyNumberFormat="1" applyFill="1"/>
    <xf numFmtId="0" fontId="0" fillId="6" borderId="0" xfId="0" applyFill="1"/>
    <xf numFmtId="164" fontId="7" fillId="2" borderId="0" xfId="2" applyNumberFormat="1" applyFont="1" applyFill="1"/>
    <xf numFmtId="43" fontId="7" fillId="2" borderId="0" xfId="1" applyFont="1" applyFill="1"/>
    <xf numFmtId="14" fontId="8" fillId="2" borderId="0" xfId="0" applyNumberFormat="1" applyFont="1" applyFill="1"/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43" fontId="2" fillId="3" borderId="0" xfId="1" applyFont="1" applyFill="1" applyAlignment="1">
      <alignment horizontal="right"/>
    </xf>
    <xf numFmtId="0" fontId="0" fillId="3" borderId="1" xfId="0" applyFill="1" applyBorder="1"/>
    <xf numFmtId="14" fontId="0" fillId="3" borderId="1" xfId="0" applyNumberFormat="1" applyFill="1" applyBorder="1"/>
    <xf numFmtId="43" fontId="0" fillId="3" borderId="1" xfId="1" applyFont="1" applyFill="1" applyBorder="1"/>
    <xf numFmtId="10" fontId="0" fillId="3" borderId="1" xfId="2" applyNumberFormat="1" applyFont="1" applyFill="1" applyBorder="1"/>
    <xf numFmtId="165" fontId="7" fillId="2" borderId="0" xfId="1" applyNumberFormat="1" applyFont="1" applyFill="1"/>
    <xf numFmtId="14" fontId="7" fillId="2" borderId="1" xfId="0" applyNumberFormat="1" applyFont="1" applyFill="1" applyBorder="1"/>
    <xf numFmtId="165" fontId="7" fillId="2" borderId="1" xfId="1" applyNumberFormat="1" applyFont="1" applyFill="1" applyBorder="1"/>
    <xf numFmtId="14" fontId="0" fillId="3" borderId="0" xfId="0" applyNumberFormat="1" applyFill="1" applyAlignment="1">
      <alignment horizontal="right"/>
    </xf>
    <xf numFmtId="43" fontId="7" fillId="2" borderId="0" xfId="0" applyNumberFormat="1" applyFont="1" applyFill="1"/>
    <xf numFmtId="43" fontId="7" fillId="2" borderId="1" xfId="0" applyNumberFormat="1" applyFont="1" applyFill="1" applyBorder="1"/>
    <xf numFmtId="0" fontId="0" fillId="3" borderId="17" xfId="0" applyFill="1" applyBorder="1"/>
    <xf numFmtId="10" fontId="0" fillId="3" borderId="0" xfId="0" applyNumberFormat="1" applyFill="1"/>
    <xf numFmtId="10" fontId="0" fillId="3" borderId="17" xfId="2" applyNumberFormat="1" applyFont="1" applyFill="1" applyBorder="1"/>
    <xf numFmtId="10" fontId="0" fillId="3" borderId="18" xfId="2" applyNumberFormat="1" applyFont="1" applyFill="1" applyBorder="1"/>
    <xf numFmtId="10" fontId="0" fillId="3" borderId="0" xfId="2" applyNumberFormat="1" applyFont="1" applyFill="1" applyBorder="1"/>
    <xf numFmtId="10" fontId="0" fillId="3" borderId="19" xfId="2" applyNumberFormat="1" applyFont="1" applyFill="1" applyBorder="1"/>
    <xf numFmtId="10" fontId="0" fillId="3" borderId="21" xfId="2" applyNumberFormat="1" applyFont="1" applyFill="1" applyBorder="1"/>
    <xf numFmtId="9" fontId="0" fillId="3" borderId="17" xfId="0" applyNumberFormat="1" applyFill="1" applyBorder="1"/>
    <xf numFmtId="9" fontId="0" fillId="3" borderId="19" xfId="0" applyNumberForma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43" fontId="0" fillId="3" borderId="18" xfId="1" applyFont="1" applyFill="1" applyBorder="1"/>
    <xf numFmtId="43" fontId="0" fillId="3" borderId="20" xfId="1" applyFont="1" applyFill="1" applyBorder="1"/>
    <xf numFmtId="10" fontId="0" fillId="3" borderId="0" xfId="2" applyNumberFormat="1" applyFont="1" applyFill="1" applyAlignment="1">
      <alignment horizontal="left"/>
    </xf>
    <xf numFmtId="10" fontId="0" fillId="3" borderId="1" xfId="2" applyNumberFormat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25" xfId="0" applyFill="1" applyBorder="1" applyAlignment="1">
      <alignment horizontal="left"/>
    </xf>
    <xf numFmtId="0" fontId="0" fillId="3" borderId="24" xfId="0" applyFill="1" applyBorder="1" applyAlignment="1">
      <alignment horizontal="right"/>
    </xf>
    <xf numFmtId="10" fontId="0" fillId="3" borderId="0" xfId="2" applyNumberFormat="1" applyFont="1" applyFill="1" applyAlignment="1">
      <alignment horizontal="right"/>
    </xf>
    <xf numFmtId="10" fontId="0" fillId="3" borderId="1" xfId="2" applyNumberFormat="1" applyFont="1" applyFill="1" applyBorder="1" applyAlignment="1">
      <alignment horizontal="right"/>
    </xf>
    <xf numFmtId="10" fontId="0" fillId="3" borderId="0" xfId="0" applyNumberFormat="1" applyFill="1" applyAlignment="1">
      <alignment horizontal="right"/>
    </xf>
    <xf numFmtId="167" fontId="0" fillId="3" borderId="0" xfId="2" applyNumberFormat="1" applyFont="1" applyFill="1"/>
    <xf numFmtId="0" fontId="0" fillId="5" borderId="0" xfId="0" applyFill="1" applyBorder="1"/>
    <xf numFmtId="10" fontId="0" fillId="5" borderId="0" xfId="2" applyNumberFormat="1" applyFont="1" applyFill="1" applyBorder="1"/>
    <xf numFmtId="168" fontId="0" fillId="3" borderId="0" xfId="2" applyNumberFormat="1" applyFont="1" applyFill="1" applyBorder="1"/>
    <xf numFmtId="168" fontId="0" fillId="3" borderId="0" xfId="2" applyNumberFormat="1" applyFont="1" applyFill="1"/>
    <xf numFmtId="10" fontId="2" fillId="3" borderId="0" xfId="2" applyNumberFormat="1" applyFont="1" applyFill="1" applyAlignment="1">
      <alignment horizontal="right"/>
    </xf>
    <xf numFmtId="10" fontId="2" fillId="3" borderId="0" xfId="2" applyNumberFormat="1" applyFont="1" applyFill="1" applyAlignment="1">
      <alignment horizontal="left"/>
    </xf>
    <xf numFmtId="0" fontId="0" fillId="3" borderId="23" xfId="0" applyFill="1" applyBorder="1" applyAlignment="1">
      <alignment horizontal="right"/>
    </xf>
    <xf numFmtId="169" fontId="0" fillId="3" borderId="0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Performance</a:t>
            </a:r>
            <a:r>
              <a:rPr lang="it-IT" baseline="0"/>
              <a:t> cumulate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Performance!$F$2</c:f>
              <c:strCache>
                <c:ptCount val="1"/>
                <c:pt idx="0">
                  <c:v>portafoglio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Performance!$C$4:$C$23</c:f>
              <c:numCache>
                <c:formatCode>m/d/yyyy</c:formatCode>
                <c:ptCount val="20"/>
                <c:pt idx="0">
                  <c:v>42275</c:v>
                </c:pt>
                <c:pt idx="1">
                  <c:v>42276</c:v>
                </c:pt>
                <c:pt idx="2">
                  <c:v>42277</c:v>
                </c:pt>
                <c:pt idx="3">
                  <c:v>42278</c:v>
                </c:pt>
                <c:pt idx="4">
                  <c:v>42279</c:v>
                </c:pt>
                <c:pt idx="5">
                  <c:v>42282</c:v>
                </c:pt>
                <c:pt idx="6">
                  <c:v>42283</c:v>
                </c:pt>
                <c:pt idx="7">
                  <c:v>42284</c:v>
                </c:pt>
                <c:pt idx="8">
                  <c:v>42285</c:v>
                </c:pt>
                <c:pt idx="9">
                  <c:v>42286</c:v>
                </c:pt>
                <c:pt idx="10">
                  <c:v>42289</c:v>
                </c:pt>
                <c:pt idx="11">
                  <c:v>42290</c:v>
                </c:pt>
                <c:pt idx="12">
                  <c:v>42291</c:v>
                </c:pt>
                <c:pt idx="13">
                  <c:v>42292</c:v>
                </c:pt>
                <c:pt idx="14">
                  <c:v>42293</c:v>
                </c:pt>
                <c:pt idx="15">
                  <c:v>42296</c:v>
                </c:pt>
                <c:pt idx="16">
                  <c:v>42297</c:v>
                </c:pt>
                <c:pt idx="17">
                  <c:v>42298</c:v>
                </c:pt>
                <c:pt idx="18">
                  <c:v>42299</c:v>
                </c:pt>
                <c:pt idx="19">
                  <c:v>42300</c:v>
                </c:pt>
              </c:numCache>
            </c:numRef>
          </c:cat>
          <c:val>
            <c:numRef>
              <c:f>Performance!$F$3:$F$23</c:f>
              <c:numCache>
                <c:formatCode>0.00%</c:formatCode>
                <c:ptCount val="21"/>
                <c:pt idx="0">
                  <c:v>0</c:v>
                </c:pt>
                <c:pt idx="1">
                  <c:v>-1.4033855641578663E-3</c:v>
                </c:pt>
                <c:pt idx="2">
                  <c:v>-8.7966038567244276E-4</c:v>
                </c:pt>
                <c:pt idx="3">
                  <c:v>1.0235939000595717E-3</c:v>
                </c:pt>
                <c:pt idx="4">
                  <c:v>1.8565925840703379E-3</c:v>
                </c:pt>
                <c:pt idx="5">
                  <c:v>3.3658503781648363E-3</c:v>
                </c:pt>
                <c:pt idx="6">
                  <c:v>5.686411391316426E-3</c:v>
                </c:pt>
                <c:pt idx="7">
                  <c:v>5.4634362533223513E-3</c:v>
                </c:pt>
                <c:pt idx="8">
                  <c:v>5.3016362757609681E-3</c:v>
                </c:pt>
                <c:pt idx="9">
                  <c:v>5.9704460832832318E-3</c:v>
                </c:pt>
                <c:pt idx="10">
                  <c:v>6.8126630253986242E-3</c:v>
                </c:pt>
                <c:pt idx="11">
                  <c:v>6.3488288124269321E-3</c:v>
                </c:pt>
                <c:pt idx="12">
                  <c:v>5.6162290369903278E-3</c:v>
                </c:pt>
                <c:pt idx="13">
                  <c:v>4.3350817965237542E-3</c:v>
                </c:pt>
                <c:pt idx="14">
                  <c:v>6.0255216097446773E-3</c:v>
                </c:pt>
                <c:pt idx="15">
                  <c:v>7.7703125754848834E-3</c:v>
                </c:pt>
                <c:pt idx="16">
                  <c:v>8.2286512207374596E-3</c:v>
                </c:pt>
                <c:pt idx="17">
                  <c:v>6.3333925853390483E-3</c:v>
                </c:pt>
                <c:pt idx="18">
                  <c:v>7.0178708851780236E-3</c:v>
                </c:pt>
                <c:pt idx="19">
                  <c:v>1.4673641100695356E-2</c:v>
                </c:pt>
                <c:pt idx="20">
                  <c:v>1.614925614958973E-2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D-40BE-9E5E-643F2143D9AE}"/>
            </c:ext>
          </c:extLst>
        </c:ser>
        <c:ser>
          <c:idx val="1"/>
          <c:order val="1"/>
          <c:tx>
            <c:strRef>
              <c:f>Performance!$G$2</c:f>
              <c:strCache>
                <c:ptCount val="1"/>
                <c:pt idx="0">
                  <c:v>benchmark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Performance!$C$4:$C$23</c:f>
              <c:numCache>
                <c:formatCode>m/d/yyyy</c:formatCode>
                <c:ptCount val="20"/>
                <c:pt idx="0">
                  <c:v>42275</c:v>
                </c:pt>
                <c:pt idx="1">
                  <c:v>42276</c:v>
                </c:pt>
                <c:pt idx="2">
                  <c:v>42277</c:v>
                </c:pt>
                <c:pt idx="3">
                  <c:v>42278</c:v>
                </c:pt>
                <c:pt idx="4">
                  <c:v>42279</c:v>
                </c:pt>
                <c:pt idx="5">
                  <c:v>42282</c:v>
                </c:pt>
                <c:pt idx="6">
                  <c:v>42283</c:v>
                </c:pt>
                <c:pt idx="7">
                  <c:v>42284</c:v>
                </c:pt>
                <c:pt idx="8">
                  <c:v>42285</c:v>
                </c:pt>
                <c:pt idx="9">
                  <c:v>42286</c:v>
                </c:pt>
                <c:pt idx="10">
                  <c:v>42289</c:v>
                </c:pt>
                <c:pt idx="11">
                  <c:v>42290</c:v>
                </c:pt>
                <c:pt idx="12">
                  <c:v>42291</c:v>
                </c:pt>
                <c:pt idx="13">
                  <c:v>42292</c:v>
                </c:pt>
                <c:pt idx="14">
                  <c:v>42293</c:v>
                </c:pt>
                <c:pt idx="15">
                  <c:v>42296</c:v>
                </c:pt>
                <c:pt idx="16">
                  <c:v>42297</c:v>
                </c:pt>
                <c:pt idx="17">
                  <c:v>42298</c:v>
                </c:pt>
                <c:pt idx="18">
                  <c:v>42299</c:v>
                </c:pt>
                <c:pt idx="19">
                  <c:v>42300</c:v>
                </c:pt>
              </c:numCache>
            </c:numRef>
          </c:cat>
          <c:val>
            <c:numRef>
              <c:f>Performance!$G$3:$G$23</c:f>
              <c:numCache>
                <c:formatCode>0.00%</c:formatCode>
                <c:ptCount val="21"/>
                <c:pt idx="0">
                  <c:v>0</c:v>
                </c:pt>
                <c:pt idx="1">
                  <c:v>-5.7157253891805867E-3</c:v>
                </c:pt>
                <c:pt idx="2">
                  <c:v>-5.0590653309731115E-3</c:v>
                </c:pt>
                <c:pt idx="3">
                  <c:v>-1.1235030578604643E-4</c:v>
                </c:pt>
                <c:pt idx="4">
                  <c:v>1.8332864770231883E-3</c:v>
                </c:pt>
                <c:pt idx="5">
                  <c:v>2.508294420252799E-3</c:v>
                </c:pt>
                <c:pt idx="6">
                  <c:v>7.9453350423135394E-3</c:v>
                </c:pt>
                <c:pt idx="7">
                  <c:v>6.6355328829212912E-3</c:v>
                </c:pt>
                <c:pt idx="8">
                  <c:v>9.0652495103609176E-3</c:v>
                </c:pt>
                <c:pt idx="9">
                  <c:v>1.1199655679812404E-2</c:v>
                </c:pt>
                <c:pt idx="10">
                  <c:v>9.2066031217847843E-3</c:v>
                </c:pt>
                <c:pt idx="11">
                  <c:v>1.1315289343039936E-2</c:v>
                </c:pt>
                <c:pt idx="12">
                  <c:v>8.2429893480704397E-3</c:v>
                </c:pt>
                <c:pt idx="13">
                  <c:v>7.9423424167162082E-3</c:v>
                </c:pt>
                <c:pt idx="14">
                  <c:v>1.0913626363706186E-2</c:v>
                </c:pt>
                <c:pt idx="15">
                  <c:v>1.2747529243624101E-2</c:v>
                </c:pt>
                <c:pt idx="16">
                  <c:v>1.2149624819224103E-2</c:v>
                </c:pt>
                <c:pt idx="17">
                  <c:v>1.1804113537893235E-2</c:v>
                </c:pt>
                <c:pt idx="18">
                  <c:v>1.2324005231687529E-2</c:v>
                </c:pt>
                <c:pt idx="19">
                  <c:v>1.6413751321175729E-2</c:v>
                </c:pt>
                <c:pt idx="20">
                  <c:v>2.0685290226245545E-2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9D-40BE-9E5E-643F2143D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379720"/>
        <c:axId val="479375408"/>
      </c:lineChart>
      <c:dateAx>
        <c:axId val="4793797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75408"/>
        <c:crosses val="autoZero"/>
        <c:auto val="1"/>
        <c:lblOffset val="100"/>
        <c:baseTimeUnit val="days"/>
      </c:dateAx>
      <c:valAx>
        <c:axId val="4793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379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B20AD61-1CC6-4002-BE8D-AAD364F87E1B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FAC41E53-7DDD-4A92-87FE-1CD0D6A5F660}">
      <dgm:prSet phldrT="[Text]"/>
      <dgm:spPr/>
      <dgm:t>
        <a:bodyPr/>
        <a:lstStyle/>
        <a:p>
          <a:r>
            <a:rPr lang="it-IT"/>
            <a:t>Data download</a:t>
          </a:r>
        </a:p>
      </dgm:t>
    </dgm:pt>
    <dgm:pt modelId="{4A0A7231-1733-4F48-AE47-365178776039}" type="parTrans" cxnId="{C149F1BC-F29B-4EFA-A772-1B8BA840F97F}">
      <dgm:prSet/>
      <dgm:spPr/>
      <dgm:t>
        <a:bodyPr/>
        <a:lstStyle/>
        <a:p>
          <a:endParaRPr lang="it-IT"/>
        </a:p>
      </dgm:t>
    </dgm:pt>
    <dgm:pt modelId="{B4098C56-53EA-49B3-BC14-3EDB7F78B35A}" type="sibTrans" cxnId="{C149F1BC-F29B-4EFA-A772-1B8BA840F97F}">
      <dgm:prSet/>
      <dgm:spPr/>
      <dgm:t>
        <a:bodyPr/>
        <a:lstStyle/>
        <a:p>
          <a:endParaRPr lang="it-IT"/>
        </a:p>
      </dgm:t>
    </dgm:pt>
    <dgm:pt modelId="{D4E3DF96-4528-42B7-8347-9C6C065531CA}">
      <dgm:prSet phldrT="[Text]"/>
      <dgm:spPr/>
      <dgm:t>
        <a:bodyPr/>
        <a:lstStyle/>
        <a:p>
          <a:r>
            <a:rPr lang="it-IT"/>
            <a:t>Calcolo prezzi</a:t>
          </a:r>
        </a:p>
      </dgm:t>
    </dgm:pt>
    <dgm:pt modelId="{C8F781D0-4809-4676-9BAC-486D800EB09F}" type="parTrans" cxnId="{D2F00916-42CC-4263-AAD8-3AB9C55F625A}">
      <dgm:prSet/>
      <dgm:spPr/>
      <dgm:t>
        <a:bodyPr/>
        <a:lstStyle/>
        <a:p>
          <a:endParaRPr lang="it-IT"/>
        </a:p>
      </dgm:t>
    </dgm:pt>
    <dgm:pt modelId="{514361B5-814C-4B4E-87BA-0F67EED4089C}" type="sibTrans" cxnId="{D2F00916-42CC-4263-AAD8-3AB9C55F625A}">
      <dgm:prSet/>
      <dgm:spPr/>
      <dgm:t>
        <a:bodyPr/>
        <a:lstStyle/>
        <a:p>
          <a:endParaRPr lang="it-IT"/>
        </a:p>
      </dgm:t>
    </dgm:pt>
    <dgm:pt modelId="{502608BD-F1AD-4CC8-8BC2-DF5DD03BF7AD}" type="pres">
      <dgm:prSet presAssocID="{1B20AD61-1CC6-4002-BE8D-AAD364F87E1B}" presName="Name0" presStyleCnt="0">
        <dgm:presLayoutVars>
          <dgm:dir/>
          <dgm:resizeHandles val="exact"/>
        </dgm:presLayoutVars>
      </dgm:prSet>
      <dgm:spPr/>
    </dgm:pt>
    <dgm:pt modelId="{AC46BAAD-B40E-455D-BA93-7BBFD8FE974F}" type="pres">
      <dgm:prSet presAssocID="{FAC41E53-7DDD-4A92-87FE-1CD0D6A5F660}" presName="node" presStyleLbl="node1" presStyleIdx="0" presStyleCnt="2">
        <dgm:presLayoutVars>
          <dgm:bulletEnabled val="1"/>
        </dgm:presLayoutVars>
      </dgm:prSet>
      <dgm:spPr/>
    </dgm:pt>
    <dgm:pt modelId="{338A102D-D284-4EA3-AC14-CF445A59F9BA}" type="pres">
      <dgm:prSet presAssocID="{B4098C56-53EA-49B3-BC14-3EDB7F78B35A}" presName="sibTrans" presStyleLbl="sibTrans2D1" presStyleIdx="0" presStyleCnt="1"/>
      <dgm:spPr/>
    </dgm:pt>
    <dgm:pt modelId="{FE374265-24D0-4B74-9B74-D3C1FB92F349}" type="pres">
      <dgm:prSet presAssocID="{B4098C56-53EA-49B3-BC14-3EDB7F78B35A}" presName="connectorText" presStyleLbl="sibTrans2D1" presStyleIdx="0" presStyleCnt="1"/>
      <dgm:spPr/>
    </dgm:pt>
    <dgm:pt modelId="{DA56EC72-FBB1-458D-87C7-B8DFC3AE764D}" type="pres">
      <dgm:prSet presAssocID="{D4E3DF96-4528-42B7-8347-9C6C065531CA}" presName="node" presStyleLbl="node1" presStyleIdx="1" presStyleCnt="2">
        <dgm:presLayoutVars>
          <dgm:bulletEnabled val="1"/>
        </dgm:presLayoutVars>
      </dgm:prSet>
      <dgm:spPr/>
    </dgm:pt>
  </dgm:ptLst>
  <dgm:cxnLst>
    <dgm:cxn modelId="{1484F10E-33DF-4D3E-A08C-12E823DC4146}" type="presOf" srcId="{B4098C56-53EA-49B3-BC14-3EDB7F78B35A}" destId="{338A102D-D284-4EA3-AC14-CF445A59F9BA}" srcOrd="0" destOrd="0" presId="urn:microsoft.com/office/officeart/2005/8/layout/process1"/>
    <dgm:cxn modelId="{D2F00916-42CC-4263-AAD8-3AB9C55F625A}" srcId="{1B20AD61-1CC6-4002-BE8D-AAD364F87E1B}" destId="{D4E3DF96-4528-42B7-8347-9C6C065531CA}" srcOrd="1" destOrd="0" parTransId="{C8F781D0-4809-4676-9BAC-486D800EB09F}" sibTransId="{514361B5-814C-4B4E-87BA-0F67EED4089C}"/>
    <dgm:cxn modelId="{9603A641-4A2E-4345-AFF1-5087F8CCC805}" type="presOf" srcId="{1B20AD61-1CC6-4002-BE8D-AAD364F87E1B}" destId="{502608BD-F1AD-4CC8-8BC2-DF5DD03BF7AD}" srcOrd="0" destOrd="0" presId="urn:microsoft.com/office/officeart/2005/8/layout/process1"/>
    <dgm:cxn modelId="{62EBA17D-680E-46EB-8794-4602AC059D44}" type="presOf" srcId="{B4098C56-53EA-49B3-BC14-3EDB7F78B35A}" destId="{FE374265-24D0-4B74-9B74-D3C1FB92F349}" srcOrd="1" destOrd="0" presId="urn:microsoft.com/office/officeart/2005/8/layout/process1"/>
    <dgm:cxn modelId="{C149F1BC-F29B-4EFA-A772-1B8BA840F97F}" srcId="{1B20AD61-1CC6-4002-BE8D-AAD364F87E1B}" destId="{FAC41E53-7DDD-4A92-87FE-1CD0D6A5F660}" srcOrd="0" destOrd="0" parTransId="{4A0A7231-1733-4F48-AE47-365178776039}" sibTransId="{B4098C56-53EA-49B3-BC14-3EDB7F78B35A}"/>
    <dgm:cxn modelId="{8C5671EB-EFE3-4994-A588-0F163496A122}" type="presOf" srcId="{FAC41E53-7DDD-4A92-87FE-1CD0D6A5F660}" destId="{AC46BAAD-B40E-455D-BA93-7BBFD8FE974F}" srcOrd="0" destOrd="0" presId="urn:microsoft.com/office/officeart/2005/8/layout/process1"/>
    <dgm:cxn modelId="{E5142DF3-C7D2-4D4D-99BC-EBB766206CDA}" type="presOf" srcId="{D4E3DF96-4528-42B7-8347-9C6C065531CA}" destId="{DA56EC72-FBB1-458D-87C7-B8DFC3AE764D}" srcOrd="0" destOrd="0" presId="urn:microsoft.com/office/officeart/2005/8/layout/process1"/>
    <dgm:cxn modelId="{E89A77DE-C41D-4363-A1D3-ACC15225F3D4}" type="presParOf" srcId="{502608BD-F1AD-4CC8-8BC2-DF5DD03BF7AD}" destId="{AC46BAAD-B40E-455D-BA93-7BBFD8FE974F}" srcOrd="0" destOrd="0" presId="urn:microsoft.com/office/officeart/2005/8/layout/process1"/>
    <dgm:cxn modelId="{87562071-9E98-4EA0-B009-BBB90C39426D}" type="presParOf" srcId="{502608BD-F1AD-4CC8-8BC2-DF5DD03BF7AD}" destId="{338A102D-D284-4EA3-AC14-CF445A59F9BA}" srcOrd="1" destOrd="0" presId="urn:microsoft.com/office/officeart/2005/8/layout/process1"/>
    <dgm:cxn modelId="{A5B7B555-342A-4889-9F11-78B5C85DC38E}" type="presParOf" srcId="{338A102D-D284-4EA3-AC14-CF445A59F9BA}" destId="{FE374265-24D0-4B74-9B74-D3C1FB92F349}" srcOrd="0" destOrd="0" presId="urn:microsoft.com/office/officeart/2005/8/layout/process1"/>
    <dgm:cxn modelId="{247AE135-FA34-47E4-88DF-A731999C8A2E}" type="presParOf" srcId="{502608BD-F1AD-4CC8-8BC2-DF5DD03BF7AD}" destId="{DA56EC72-FBB1-458D-87C7-B8DFC3AE764D}" srcOrd="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023EB9A4-F235-427E-B6AF-778D500DA1F9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6FC663B9-A287-41C1-A986-EA55633ADA5C}">
      <dgm:prSet phldrT="[Text]"/>
      <dgm:spPr/>
      <dgm:t>
        <a:bodyPr/>
        <a:lstStyle/>
        <a:p>
          <a:r>
            <a:rPr lang="it-IT"/>
            <a:t>Calcolo rendimenti e aggregazione</a:t>
          </a:r>
        </a:p>
      </dgm:t>
    </dgm:pt>
    <dgm:pt modelId="{6035540F-7915-42DD-8D46-5745727A53E5}" type="parTrans" cxnId="{DBB15E97-BA2A-414C-8A07-5E469D3661FA}">
      <dgm:prSet/>
      <dgm:spPr/>
      <dgm:t>
        <a:bodyPr/>
        <a:lstStyle/>
        <a:p>
          <a:endParaRPr lang="it-IT"/>
        </a:p>
      </dgm:t>
    </dgm:pt>
    <dgm:pt modelId="{FE4A76B7-DD03-4995-8FE1-B64D964AE38B}" type="sibTrans" cxnId="{DBB15E97-BA2A-414C-8A07-5E469D3661FA}">
      <dgm:prSet/>
      <dgm:spPr/>
      <dgm:t>
        <a:bodyPr/>
        <a:lstStyle/>
        <a:p>
          <a:endParaRPr lang="it-IT"/>
        </a:p>
      </dgm:t>
    </dgm:pt>
    <dgm:pt modelId="{5DB7A330-3C53-4A6A-BB1D-DB5605DC8FAD}">
      <dgm:prSet phldrT="[Text]"/>
      <dgm:spPr/>
      <dgm:t>
        <a:bodyPr/>
        <a:lstStyle/>
        <a:p>
          <a:r>
            <a:rPr lang="it-IT"/>
            <a:t>Ottimizzazione</a:t>
          </a:r>
        </a:p>
      </dgm:t>
    </dgm:pt>
    <dgm:pt modelId="{9724131B-0288-4C0F-9300-81F7D5214207}" type="parTrans" cxnId="{52737652-9AA1-4F4A-8BBF-3722278FC44B}">
      <dgm:prSet/>
      <dgm:spPr/>
      <dgm:t>
        <a:bodyPr/>
        <a:lstStyle/>
        <a:p>
          <a:endParaRPr lang="it-IT"/>
        </a:p>
      </dgm:t>
    </dgm:pt>
    <dgm:pt modelId="{AA7989EA-5D9D-40D1-95AB-611858060031}" type="sibTrans" cxnId="{52737652-9AA1-4F4A-8BBF-3722278FC44B}">
      <dgm:prSet/>
      <dgm:spPr/>
      <dgm:t>
        <a:bodyPr/>
        <a:lstStyle/>
        <a:p>
          <a:endParaRPr lang="it-IT"/>
        </a:p>
      </dgm:t>
    </dgm:pt>
    <dgm:pt modelId="{F1D33FAB-AC94-462B-AAE2-CC7947D08186}">
      <dgm:prSet phldrT="[Text]"/>
      <dgm:spPr/>
      <dgm:t>
        <a:bodyPr/>
        <a:lstStyle/>
        <a:p>
          <a:r>
            <a:rPr lang="it-IT"/>
            <a:t>Calcolo operazioni Acq/Ven</a:t>
          </a:r>
        </a:p>
      </dgm:t>
    </dgm:pt>
    <dgm:pt modelId="{CA62A5B2-B2C0-4F1E-8216-A601F8D3CF34}" type="parTrans" cxnId="{A799E8E5-3303-4B39-9327-F8DA0C46EDFC}">
      <dgm:prSet/>
      <dgm:spPr/>
      <dgm:t>
        <a:bodyPr/>
        <a:lstStyle/>
        <a:p>
          <a:endParaRPr lang="it-IT"/>
        </a:p>
      </dgm:t>
    </dgm:pt>
    <dgm:pt modelId="{5028D2AE-F6D2-408B-9C91-673A98282CBC}" type="sibTrans" cxnId="{A799E8E5-3303-4B39-9327-F8DA0C46EDFC}">
      <dgm:prSet/>
      <dgm:spPr/>
      <dgm:t>
        <a:bodyPr/>
        <a:lstStyle/>
        <a:p>
          <a:endParaRPr lang="it-IT"/>
        </a:p>
      </dgm:t>
    </dgm:pt>
    <dgm:pt modelId="{49A92B6F-D24A-460F-A0DA-BB80301D875F}">
      <dgm:prSet phldrT="[Text]"/>
      <dgm:spPr/>
      <dgm:t>
        <a:bodyPr/>
        <a:lstStyle/>
        <a:p>
          <a:r>
            <a:rPr lang="it-IT"/>
            <a:t>Saldi</a:t>
          </a:r>
        </a:p>
      </dgm:t>
    </dgm:pt>
    <dgm:pt modelId="{1139FFC3-FF14-4331-A6EF-CACB4E0FCC4F}" type="parTrans" cxnId="{BE5F6FB9-850E-47C0-B2CF-C71B7C30BF87}">
      <dgm:prSet/>
      <dgm:spPr/>
      <dgm:t>
        <a:bodyPr/>
        <a:lstStyle/>
        <a:p>
          <a:endParaRPr lang="it-IT"/>
        </a:p>
      </dgm:t>
    </dgm:pt>
    <dgm:pt modelId="{DB38990E-6999-48EE-A830-500907D56D1A}" type="sibTrans" cxnId="{BE5F6FB9-850E-47C0-B2CF-C71B7C30BF87}">
      <dgm:prSet/>
      <dgm:spPr/>
      <dgm:t>
        <a:bodyPr/>
        <a:lstStyle/>
        <a:p>
          <a:endParaRPr lang="it-IT"/>
        </a:p>
      </dgm:t>
    </dgm:pt>
    <dgm:pt modelId="{4F3885B5-068E-417B-BC0A-C27826ECC128}" type="pres">
      <dgm:prSet presAssocID="{023EB9A4-F235-427E-B6AF-778D500DA1F9}" presName="Name0" presStyleCnt="0">
        <dgm:presLayoutVars>
          <dgm:dir/>
          <dgm:resizeHandles val="exact"/>
        </dgm:presLayoutVars>
      </dgm:prSet>
      <dgm:spPr/>
    </dgm:pt>
    <dgm:pt modelId="{591FDB16-047B-4161-BDFD-94650C87685F}" type="pres">
      <dgm:prSet presAssocID="{6FC663B9-A287-41C1-A986-EA55633ADA5C}" presName="node" presStyleLbl="node1" presStyleIdx="0" presStyleCnt="4">
        <dgm:presLayoutVars>
          <dgm:bulletEnabled val="1"/>
        </dgm:presLayoutVars>
      </dgm:prSet>
      <dgm:spPr/>
    </dgm:pt>
    <dgm:pt modelId="{FEE317D7-A6EA-4AFA-94F5-B411921AAE2D}" type="pres">
      <dgm:prSet presAssocID="{FE4A76B7-DD03-4995-8FE1-B64D964AE38B}" presName="sibTrans" presStyleLbl="sibTrans2D1" presStyleIdx="0" presStyleCnt="3"/>
      <dgm:spPr/>
    </dgm:pt>
    <dgm:pt modelId="{D0EFD297-E20A-4073-AC4E-E1DE155C3B7D}" type="pres">
      <dgm:prSet presAssocID="{FE4A76B7-DD03-4995-8FE1-B64D964AE38B}" presName="connectorText" presStyleLbl="sibTrans2D1" presStyleIdx="0" presStyleCnt="3"/>
      <dgm:spPr/>
    </dgm:pt>
    <dgm:pt modelId="{807B5676-0E76-4F0E-BDE8-192D082670B4}" type="pres">
      <dgm:prSet presAssocID="{5DB7A330-3C53-4A6A-BB1D-DB5605DC8FAD}" presName="node" presStyleLbl="node1" presStyleIdx="1" presStyleCnt="4">
        <dgm:presLayoutVars>
          <dgm:bulletEnabled val="1"/>
        </dgm:presLayoutVars>
      </dgm:prSet>
      <dgm:spPr/>
    </dgm:pt>
    <dgm:pt modelId="{610F13F3-2C23-45DE-ABCC-10EB6CDB4242}" type="pres">
      <dgm:prSet presAssocID="{AA7989EA-5D9D-40D1-95AB-611858060031}" presName="sibTrans" presStyleLbl="sibTrans2D1" presStyleIdx="1" presStyleCnt="3"/>
      <dgm:spPr/>
    </dgm:pt>
    <dgm:pt modelId="{514D763F-BB52-4C3B-B08C-0B2EFB607698}" type="pres">
      <dgm:prSet presAssocID="{AA7989EA-5D9D-40D1-95AB-611858060031}" presName="connectorText" presStyleLbl="sibTrans2D1" presStyleIdx="1" presStyleCnt="3"/>
      <dgm:spPr/>
    </dgm:pt>
    <dgm:pt modelId="{D1D86F2D-A41A-4085-8480-74D2F1B7D3AC}" type="pres">
      <dgm:prSet presAssocID="{F1D33FAB-AC94-462B-AAE2-CC7947D08186}" presName="node" presStyleLbl="node1" presStyleIdx="2" presStyleCnt="4">
        <dgm:presLayoutVars>
          <dgm:bulletEnabled val="1"/>
        </dgm:presLayoutVars>
      </dgm:prSet>
      <dgm:spPr/>
    </dgm:pt>
    <dgm:pt modelId="{DD1DEAF5-FD7B-406C-9457-1B6165B47BFE}" type="pres">
      <dgm:prSet presAssocID="{5028D2AE-F6D2-408B-9C91-673A98282CBC}" presName="sibTrans" presStyleLbl="sibTrans2D1" presStyleIdx="2" presStyleCnt="3"/>
      <dgm:spPr/>
    </dgm:pt>
    <dgm:pt modelId="{71A4D0F1-4075-4DAD-9A9F-01A09E8CCBF1}" type="pres">
      <dgm:prSet presAssocID="{5028D2AE-F6D2-408B-9C91-673A98282CBC}" presName="connectorText" presStyleLbl="sibTrans2D1" presStyleIdx="2" presStyleCnt="3"/>
      <dgm:spPr/>
    </dgm:pt>
    <dgm:pt modelId="{5EF266E4-4BFE-47C5-B8C1-DEEEA86474AB}" type="pres">
      <dgm:prSet presAssocID="{49A92B6F-D24A-460F-A0DA-BB80301D875F}" presName="node" presStyleLbl="node1" presStyleIdx="3" presStyleCnt="4">
        <dgm:presLayoutVars>
          <dgm:bulletEnabled val="1"/>
        </dgm:presLayoutVars>
      </dgm:prSet>
      <dgm:spPr/>
    </dgm:pt>
  </dgm:ptLst>
  <dgm:cxnLst>
    <dgm:cxn modelId="{1C42BB05-4A1D-4C6A-9EDF-1773D20620F2}" type="presOf" srcId="{5028D2AE-F6D2-408B-9C91-673A98282CBC}" destId="{DD1DEAF5-FD7B-406C-9457-1B6165B47BFE}" srcOrd="0" destOrd="0" presId="urn:microsoft.com/office/officeart/2005/8/layout/process1"/>
    <dgm:cxn modelId="{1318481D-611A-47CC-A6B9-400A4DD19ADD}" type="presOf" srcId="{6FC663B9-A287-41C1-A986-EA55633ADA5C}" destId="{591FDB16-047B-4161-BDFD-94650C87685F}" srcOrd="0" destOrd="0" presId="urn:microsoft.com/office/officeart/2005/8/layout/process1"/>
    <dgm:cxn modelId="{EFE00361-4E5F-4FC9-BF42-42FA02132756}" type="presOf" srcId="{AA7989EA-5D9D-40D1-95AB-611858060031}" destId="{610F13F3-2C23-45DE-ABCC-10EB6CDB4242}" srcOrd="0" destOrd="0" presId="urn:microsoft.com/office/officeart/2005/8/layout/process1"/>
    <dgm:cxn modelId="{891A2F47-E503-4063-99E5-D0519B9ACD98}" type="presOf" srcId="{5028D2AE-F6D2-408B-9C91-673A98282CBC}" destId="{71A4D0F1-4075-4DAD-9A9F-01A09E8CCBF1}" srcOrd="1" destOrd="0" presId="urn:microsoft.com/office/officeart/2005/8/layout/process1"/>
    <dgm:cxn modelId="{52737652-9AA1-4F4A-8BBF-3722278FC44B}" srcId="{023EB9A4-F235-427E-B6AF-778D500DA1F9}" destId="{5DB7A330-3C53-4A6A-BB1D-DB5605DC8FAD}" srcOrd="1" destOrd="0" parTransId="{9724131B-0288-4C0F-9300-81F7D5214207}" sibTransId="{AA7989EA-5D9D-40D1-95AB-611858060031}"/>
    <dgm:cxn modelId="{B7E92957-60BF-433F-9E19-8FA92A5A2211}" type="presOf" srcId="{FE4A76B7-DD03-4995-8FE1-B64D964AE38B}" destId="{D0EFD297-E20A-4073-AC4E-E1DE155C3B7D}" srcOrd="1" destOrd="0" presId="urn:microsoft.com/office/officeart/2005/8/layout/process1"/>
    <dgm:cxn modelId="{A0DEDC80-B814-4617-916B-05EF900069B2}" type="presOf" srcId="{5DB7A330-3C53-4A6A-BB1D-DB5605DC8FAD}" destId="{807B5676-0E76-4F0E-BDE8-192D082670B4}" srcOrd="0" destOrd="0" presId="urn:microsoft.com/office/officeart/2005/8/layout/process1"/>
    <dgm:cxn modelId="{CDE51993-EB4F-4366-AA9F-6CDABC29259C}" type="presOf" srcId="{F1D33FAB-AC94-462B-AAE2-CC7947D08186}" destId="{D1D86F2D-A41A-4085-8480-74D2F1B7D3AC}" srcOrd="0" destOrd="0" presId="urn:microsoft.com/office/officeart/2005/8/layout/process1"/>
    <dgm:cxn modelId="{DBB15E97-BA2A-414C-8A07-5E469D3661FA}" srcId="{023EB9A4-F235-427E-B6AF-778D500DA1F9}" destId="{6FC663B9-A287-41C1-A986-EA55633ADA5C}" srcOrd="0" destOrd="0" parTransId="{6035540F-7915-42DD-8D46-5745727A53E5}" sibTransId="{FE4A76B7-DD03-4995-8FE1-B64D964AE38B}"/>
    <dgm:cxn modelId="{F82A41B5-D7B1-4AB2-BE45-D57534E14504}" type="presOf" srcId="{FE4A76B7-DD03-4995-8FE1-B64D964AE38B}" destId="{FEE317D7-A6EA-4AFA-94F5-B411921AAE2D}" srcOrd="0" destOrd="0" presId="urn:microsoft.com/office/officeart/2005/8/layout/process1"/>
    <dgm:cxn modelId="{BE5F6FB9-850E-47C0-B2CF-C71B7C30BF87}" srcId="{023EB9A4-F235-427E-B6AF-778D500DA1F9}" destId="{49A92B6F-D24A-460F-A0DA-BB80301D875F}" srcOrd="3" destOrd="0" parTransId="{1139FFC3-FF14-4331-A6EF-CACB4E0FCC4F}" sibTransId="{DB38990E-6999-48EE-A830-500907D56D1A}"/>
    <dgm:cxn modelId="{E50EE8BB-B421-424A-8541-8B5E934CDE67}" type="presOf" srcId="{49A92B6F-D24A-460F-A0DA-BB80301D875F}" destId="{5EF266E4-4BFE-47C5-B8C1-DEEEA86474AB}" srcOrd="0" destOrd="0" presId="urn:microsoft.com/office/officeart/2005/8/layout/process1"/>
    <dgm:cxn modelId="{089069DF-402E-4031-91F1-4441E370E4C7}" type="presOf" srcId="{023EB9A4-F235-427E-B6AF-778D500DA1F9}" destId="{4F3885B5-068E-417B-BC0A-C27826ECC128}" srcOrd="0" destOrd="0" presId="urn:microsoft.com/office/officeart/2005/8/layout/process1"/>
    <dgm:cxn modelId="{A799E8E5-3303-4B39-9327-F8DA0C46EDFC}" srcId="{023EB9A4-F235-427E-B6AF-778D500DA1F9}" destId="{F1D33FAB-AC94-462B-AAE2-CC7947D08186}" srcOrd="2" destOrd="0" parTransId="{CA62A5B2-B2C0-4F1E-8216-A601F8D3CF34}" sibTransId="{5028D2AE-F6D2-408B-9C91-673A98282CBC}"/>
    <dgm:cxn modelId="{DECA16EF-CD87-490A-B15D-B22F9E88CF65}" type="presOf" srcId="{AA7989EA-5D9D-40D1-95AB-611858060031}" destId="{514D763F-BB52-4C3B-B08C-0B2EFB607698}" srcOrd="1" destOrd="0" presId="urn:microsoft.com/office/officeart/2005/8/layout/process1"/>
    <dgm:cxn modelId="{E0771068-1A16-4E92-A46E-8E320C1BAD42}" type="presParOf" srcId="{4F3885B5-068E-417B-BC0A-C27826ECC128}" destId="{591FDB16-047B-4161-BDFD-94650C87685F}" srcOrd="0" destOrd="0" presId="urn:microsoft.com/office/officeart/2005/8/layout/process1"/>
    <dgm:cxn modelId="{169DB19E-041B-4722-B83E-9E2183060728}" type="presParOf" srcId="{4F3885B5-068E-417B-BC0A-C27826ECC128}" destId="{FEE317D7-A6EA-4AFA-94F5-B411921AAE2D}" srcOrd="1" destOrd="0" presId="urn:microsoft.com/office/officeart/2005/8/layout/process1"/>
    <dgm:cxn modelId="{EA454771-D2AE-4C96-9B44-2E30F63147EF}" type="presParOf" srcId="{FEE317D7-A6EA-4AFA-94F5-B411921AAE2D}" destId="{D0EFD297-E20A-4073-AC4E-E1DE155C3B7D}" srcOrd="0" destOrd="0" presId="urn:microsoft.com/office/officeart/2005/8/layout/process1"/>
    <dgm:cxn modelId="{98BCF4C0-9681-458B-805C-3F208911C6A9}" type="presParOf" srcId="{4F3885B5-068E-417B-BC0A-C27826ECC128}" destId="{807B5676-0E76-4F0E-BDE8-192D082670B4}" srcOrd="2" destOrd="0" presId="urn:microsoft.com/office/officeart/2005/8/layout/process1"/>
    <dgm:cxn modelId="{2FCD280E-63AB-4B2C-8270-8397B141077B}" type="presParOf" srcId="{4F3885B5-068E-417B-BC0A-C27826ECC128}" destId="{610F13F3-2C23-45DE-ABCC-10EB6CDB4242}" srcOrd="3" destOrd="0" presId="urn:microsoft.com/office/officeart/2005/8/layout/process1"/>
    <dgm:cxn modelId="{27920200-EA93-4E9C-80B8-FE2F2920EBA0}" type="presParOf" srcId="{610F13F3-2C23-45DE-ABCC-10EB6CDB4242}" destId="{514D763F-BB52-4C3B-B08C-0B2EFB607698}" srcOrd="0" destOrd="0" presId="urn:microsoft.com/office/officeart/2005/8/layout/process1"/>
    <dgm:cxn modelId="{2262F746-74E0-43B0-B6E3-C59B9CF1EEE7}" type="presParOf" srcId="{4F3885B5-068E-417B-BC0A-C27826ECC128}" destId="{D1D86F2D-A41A-4085-8480-74D2F1B7D3AC}" srcOrd="4" destOrd="0" presId="urn:microsoft.com/office/officeart/2005/8/layout/process1"/>
    <dgm:cxn modelId="{637B862A-AA27-4468-9A4F-F9BED0B71904}" type="presParOf" srcId="{4F3885B5-068E-417B-BC0A-C27826ECC128}" destId="{DD1DEAF5-FD7B-406C-9457-1B6165B47BFE}" srcOrd="5" destOrd="0" presId="urn:microsoft.com/office/officeart/2005/8/layout/process1"/>
    <dgm:cxn modelId="{FF71732D-6DB4-4417-8981-E795AC998AF1}" type="presParOf" srcId="{DD1DEAF5-FD7B-406C-9457-1B6165B47BFE}" destId="{71A4D0F1-4075-4DAD-9A9F-01A09E8CCBF1}" srcOrd="0" destOrd="0" presId="urn:microsoft.com/office/officeart/2005/8/layout/process1"/>
    <dgm:cxn modelId="{7196B576-3A5B-4C89-8437-1A538C4C9A0E}" type="presParOf" srcId="{4F3885B5-068E-417B-BC0A-C27826ECC128}" destId="{5EF266E4-4BFE-47C5-B8C1-DEEEA86474AB}" srcOrd="6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023EB9A4-F235-427E-B6AF-778D500DA1F9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6FC663B9-A287-41C1-A986-EA55633ADA5C}">
      <dgm:prSet phldrT="[Text]"/>
      <dgm:spPr/>
      <dgm:t>
        <a:bodyPr/>
        <a:lstStyle/>
        <a:p>
          <a:r>
            <a:rPr lang="it-IT"/>
            <a:t>Valorizzazione del portafoglio</a:t>
          </a:r>
        </a:p>
      </dgm:t>
    </dgm:pt>
    <dgm:pt modelId="{6035540F-7915-42DD-8D46-5745727A53E5}" type="parTrans" cxnId="{DBB15E97-BA2A-414C-8A07-5E469D3661FA}">
      <dgm:prSet/>
      <dgm:spPr/>
      <dgm:t>
        <a:bodyPr/>
        <a:lstStyle/>
        <a:p>
          <a:endParaRPr lang="it-IT"/>
        </a:p>
      </dgm:t>
    </dgm:pt>
    <dgm:pt modelId="{FE4A76B7-DD03-4995-8FE1-B64D964AE38B}" type="sibTrans" cxnId="{DBB15E97-BA2A-414C-8A07-5E469D3661FA}">
      <dgm:prSet/>
      <dgm:spPr/>
      <dgm:t>
        <a:bodyPr/>
        <a:lstStyle/>
        <a:p>
          <a:endParaRPr lang="it-IT"/>
        </a:p>
      </dgm:t>
    </dgm:pt>
    <dgm:pt modelId="{5DB7A330-3C53-4A6A-BB1D-DB5605DC8FAD}">
      <dgm:prSet phldrT="[Text]"/>
      <dgm:spPr/>
      <dgm:t>
        <a:bodyPr/>
        <a:lstStyle/>
        <a:p>
          <a:r>
            <a:rPr lang="it-IT"/>
            <a:t>Risultato</a:t>
          </a:r>
        </a:p>
      </dgm:t>
    </dgm:pt>
    <dgm:pt modelId="{9724131B-0288-4C0F-9300-81F7D5214207}" type="parTrans" cxnId="{52737652-9AA1-4F4A-8BBF-3722278FC44B}">
      <dgm:prSet/>
      <dgm:spPr/>
      <dgm:t>
        <a:bodyPr/>
        <a:lstStyle/>
        <a:p>
          <a:endParaRPr lang="it-IT"/>
        </a:p>
      </dgm:t>
    </dgm:pt>
    <dgm:pt modelId="{AA7989EA-5D9D-40D1-95AB-611858060031}" type="sibTrans" cxnId="{52737652-9AA1-4F4A-8BBF-3722278FC44B}">
      <dgm:prSet/>
      <dgm:spPr/>
      <dgm:t>
        <a:bodyPr/>
        <a:lstStyle/>
        <a:p>
          <a:endParaRPr lang="it-IT"/>
        </a:p>
      </dgm:t>
    </dgm:pt>
    <dgm:pt modelId="{F1D33FAB-AC94-462B-AAE2-CC7947D08186}">
      <dgm:prSet phldrT="[Text]"/>
      <dgm:spPr/>
      <dgm:t>
        <a:bodyPr/>
        <a:lstStyle/>
        <a:p>
          <a:r>
            <a:rPr lang="it-IT"/>
            <a:t>Rendimento</a:t>
          </a:r>
        </a:p>
      </dgm:t>
    </dgm:pt>
    <dgm:pt modelId="{CA62A5B2-B2C0-4F1E-8216-A601F8D3CF34}" type="parTrans" cxnId="{A799E8E5-3303-4B39-9327-F8DA0C46EDFC}">
      <dgm:prSet/>
      <dgm:spPr/>
      <dgm:t>
        <a:bodyPr/>
        <a:lstStyle/>
        <a:p>
          <a:endParaRPr lang="it-IT"/>
        </a:p>
      </dgm:t>
    </dgm:pt>
    <dgm:pt modelId="{5028D2AE-F6D2-408B-9C91-673A98282CBC}" type="sibTrans" cxnId="{A799E8E5-3303-4B39-9327-F8DA0C46EDFC}">
      <dgm:prSet/>
      <dgm:spPr/>
      <dgm:t>
        <a:bodyPr/>
        <a:lstStyle/>
        <a:p>
          <a:endParaRPr lang="it-IT"/>
        </a:p>
      </dgm:t>
    </dgm:pt>
    <dgm:pt modelId="{4F3885B5-068E-417B-BC0A-C27826ECC128}" type="pres">
      <dgm:prSet presAssocID="{023EB9A4-F235-427E-B6AF-778D500DA1F9}" presName="Name0" presStyleCnt="0">
        <dgm:presLayoutVars>
          <dgm:dir/>
          <dgm:resizeHandles val="exact"/>
        </dgm:presLayoutVars>
      </dgm:prSet>
      <dgm:spPr/>
    </dgm:pt>
    <dgm:pt modelId="{591FDB16-047B-4161-BDFD-94650C87685F}" type="pres">
      <dgm:prSet presAssocID="{6FC663B9-A287-41C1-A986-EA55633ADA5C}" presName="node" presStyleLbl="node1" presStyleIdx="0" presStyleCnt="3">
        <dgm:presLayoutVars>
          <dgm:bulletEnabled val="1"/>
        </dgm:presLayoutVars>
      </dgm:prSet>
      <dgm:spPr/>
    </dgm:pt>
    <dgm:pt modelId="{FEE317D7-A6EA-4AFA-94F5-B411921AAE2D}" type="pres">
      <dgm:prSet presAssocID="{FE4A76B7-DD03-4995-8FE1-B64D964AE38B}" presName="sibTrans" presStyleLbl="sibTrans2D1" presStyleIdx="0" presStyleCnt="2"/>
      <dgm:spPr/>
    </dgm:pt>
    <dgm:pt modelId="{D0EFD297-E20A-4073-AC4E-E1DE155C3B7D}" type="pres">
      <dgm:prSet presAssocID="{FE4A76B7-DD03-4995-8FE1-B64D964AE38B}" presName="connectorText" presStyleLbl="sibTrans2D1" presStyleIdx="0" presStyleCnt="2"/>
      <dgm:spPr/>
    </dgm:pt>
    <dgm:pt modelId="{807B5676-0E76-4F0E-BDE8-192D082670B4}" type="pres">
      <dgm:prSet presAssocID="{5DB7A330-3C53-4A6A-BB1D-DB5605DC8FAD}" presName="node" presStyleLbl="node1" presStyleIdx="1" presStyleCnt="3">
        <dgm:presLayoutVars>
          <dgm:bulletEnabled val="1"/>
        </dgm:presLayoutVars>
      </dgm:prSet>
      <dgm:spPr/>
    </dgm:pt>
    <dgm:pt modelId="{610F13F3-2C23-45DE-ABCC-10EB6CDB4242}" type="pres">
      <dgm:prSet presAssocID="{AA7989EA-5D9D-40D1-95AB-611858060031}" presName="sibTrans" presStyleLbl="sibTrans2D1" presStyleIdx="1" presStyleCnt="2"/>
      <dgm:spPr/>
    </dgm:pt>
    <dgm:pt modelId="{514D763F-BB52-4C3B-B08C-0B2EFB607698}" type="pres">
      <dgm:prSet presAssocID="{AA7989EA-5D9D-40D1-95AB-611858060031}" presName="connectorText" presStyleLbl="sibTrans2D1" presStyleIdx="1" presStyleCnt="2"/>
      <dgm:spPr/>
    </dgm:pt>
    <dgm:pt modelId="{D1D86F2D-A41A-4085-8480-74D2F1B7D3AC}" type="pres">
      <dgm:prSet presAssocID="{F1D33FAB-AC94-462B-AAE2-CC7947D08186}" presName="node" presStyleLbl="node1" presStyleIdx="2" presStyleCnt="3">
        <dgm:presLayoutVars>
          <dgm:bulletEnabled val="1"/>
        </dgm:presLayoutVars>
      </dgm:prSet>
      <dgm:spPr/>
    </dgm:pt>
  </dgm:ptLst>
  <dgm:cxnLst>
    <dgm:cxn modelId="{F6A4DD06-0E6D-49D7-AB91-52985905B577}" type="presOf" srcId="{6FC663B9-A287-41C1-A986-EA55633ADA5C}" destId="{591FDB16-047B-4161-BDFD-94650C87685F}" srcOrd="0" destOrd="0" presId="urn:microsoft.com/office/officeart/2005/8/layout/process1"/>
    <dgm:cxn modelId="{B489ED24-940B-48C8-B5A7-0445D0AC3CFC}" type="presOf" srcId="{023EB9A4-F235-427E-B6AF-778D500DA1F9}" destId="{4F3885B5-068E-417B-BC0A-C27826ECC128}" srcOrd="0" destOrd="0" presId="urn:microsoft.com/office/officeart/2005/8/layout/process1"/>
    <dgm:cxn modelId="{52737652-9AA1-4F4A-8BBF-3722278FC44B}" srcId="{023EB9A4-F235-427E-B6AF-778D500DA1F9}" destId="{5DB7A330-3C53-4A6A-BB1D-DB5605DC8FAD}" srcOrd="1" destOrd="0" parTransId="{9724131B-0288-4C0F-9300-81F7D5214207}" sibTransId="{AA7989EA-5D9D-40D1-95AB-611858060031}"/>
    <dgm:cxn modelId="{4DD55A7A-56C6-4DF5-8B39-4FD94A080372}" type="presOf" srcId="{AA7989EA-5D9D-40D1-95AB-611858060031}" destId="{610F13F3-2C23-45DE-ABCC-10EB6CDB4242}" srcOrd="0" destOrd="0" presId="urn:microsoft.com/office/officeart/2005/8/layout/process1"/>
    <dgm:cxn modelId="{83DB7E85-C415-4B3D-9536-85E7ABE4AFDB}" type="presOf" srcId="{FE4A76B7-DD03-4995-8FE1-B64D964AE38B}" destId="{FEE317D7-A6EA-4AFA-94F5-B411921AAE2D}" srcOrd="0" destOrd="0" presId="urn:microsoft.com/office/officeart/2005/8/layout/process1"/>
    <dgm:cxn modelId="{88DD8688-26C9-4419-A7CB-453FF5829886}" type="presOf" srcId="{5DB7A330-3C53-4A6A-BB1D-DB5605DC8FAD}" destId="{807B5676-0E76-4F0E-BDE8-192D082670B4}" srcOrd="0" destOrd="0" presId="urn:microsoft.com/office/officeart/2005/8/layout/process1"/>
    <dgm:cxn modelId="{A1662D8B-43AB-4FA0-B557-0788D5281DDA}" type="presOf" srcId="{AA7989EA-5D9D-40D1-95AB-611858060031}" destId="{514D763F-BB52-4C3B-B08C-0B2EFB607698}" srcOrd="1" destOrd="0" presId="urn:microsoft.com/office/officeart/2005/8/layout/process1"/>
    <dgm:cxn modelId="{DBB15E97-BA2A-414C-8A07-5E469D3661FA}" srcId="{023EB9A4-F235-427E-B6AF-778D500DA1F9}" destId="{6FC663B9-A287-41C1-A986-EA55633ADA5C}" srcOrd="0" destOrd="0" parTransId="{6035540F-7915-42DD-8D46-5745727A53E5}" sibTransId="{FE4A76B7-DD03-4995-8FE1-B64D964AE38B}"/>
    <dgm:cxn modelId="{64445A99-DE30-4962-86E6-144D7208BB47}" type="presOf" srcId="{FE4A76B7-DD03-4995-8FE1-B64D964AE38B}" destId="{D0EFD297-E20A-4073-AC4E-E1DE155C3B7D}" srcOrd="1" destOrd="0" presId="urn:microsoft.com/office/officeart/2005/8/layout/process1"/>
    <dgm:cxn modelId="{62F933A1-5BEF-43B5-BA5A-34D918274D0D}" type="presOf" srcId="{F1D33FAB-AC94-462B-AAE2-CC7947D08186}" destId="{D1D86F2D-A41A-4085-8480-74D2F1B7D3AC}" srcOrd="0" destOrd="0" presId="urn:microsoft.com/office/officeart/2005/8/layout/process1"/>
    <dgm:cxn modelId="{A799E8E5-3303-4B39-9327-F8DA0C46EDFC}" srcId="{023EB9A4-F235-427E-B6AF-778D500DA1F9}" destId="{F1D33FAB-AC94-462B-AAE2-CC7947D08186}" srcOrd="2" destOrd="0" parTransId="{CA62A5B2-B2C0-4F1E-8216-A601F8D3CF34}" sibTransId="{5028D2AE-F6D2-408B-9C91-673A98282CBC}"/>
    <dgm:cxn modelId="{628B331B-5A68-422B-B8BE-CE4E3ACF535E}" type="presParOf" srcId="{4F3885B5-068E-417B-BC0A-C27826ECC128}" destId="{591FDB16-047B-4161-BDFD-94650C87685F}" srcOrd="0" destOrd="0" presId="urn:microsoft.com/office/officeart/2005/8/layout/process1"/>
    <dgm:cxn modelId="{EF2C5E23-1FB2-4C0F-B2FA-2808E9E533D5}" type="presParOf" srcId="{4F3885B5-068E-417B-BC0A-C27826ECC128}" destId="{FEE317D7-A6EA-4AFA-94F5-B411921AAE2D}" srcOrd="1" destOrd="0" presId="urn:microsoft.com/office/officeart/2005/8/layout/process1"/>
    <dgm:cxn modelId="{548CAE0B-AA30-4981-B5B6-81C4014F7FEA}" type="presParOf" srcId="{FEE317D7-A6EA-4AFA-94F5-B411921AAE2D}" destId="{D0EFD297-E20A-4073-AC4E-E1DE155C3B7D}" srcOrd="0" destOrd="0" presId="urn:microsoft.com/office/officeart/2005/8/layout/process1"/>
    <dgm:cxn modelId="{BD77F8FF-6822-4922-8A50-3ADB22892631}" type="presParOf" srcId="{4F3885B5-068E-417B-BC0A-C27826ECC128}" destId="{807B5676-0E76-4F0E-BDE8-192D082670B4}" srcOrd="2" destOrd="0" presId="urn:microsoft.com/office/officeart/2005/8/layout/process1"/>
    <dgm:cxn modelId="{787BDF4B-2810-46B3-A0EB-CA15F48DE3CE}" type="presParOf" srcId="{4F3885B5-068E-417B-BC0A-C27826ECC128}" destId="{610F13F3-2C23-45DE-ABCC-10EB6CDB4242}" srcOrd="3" destOrd="0" presId="urn:microsoft.com/office/officeart/2005/8/layout/process1"/>
    <dgm:cxn modelId="{CFA247F7-BAD0-4FC2-985B-C385BE070BF6}" type="presParOf" srcId="{610F13F3-2C23-45DE-ABCC-10EB6CDB4242}" destId="{514D763F-BB52-4C3B-B08C-0B2EFB607698}" srcOrd="0" destOrd="0" presId="urn:microsoft.com/office/officeart/2005/8/layout/process1"/>
    <dgm:cxn modelId="{12862B56-E543-4EBE-A2C9-1475417D835B}" type="presParOf" srcId="{4F3885B5-068E-417B-BC0A-C27826ECC128}" destId="{D1D86F2D-A41A-4085-8480-74D2F1B7D3AC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023EB9A4-F235-427E-B6AF-778D500DA1F9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6FC663B9-A287-41C1-A986-EA55633ADA5C}">
      <dgm:prSet phldrT="[Text]"/>
      <dgm:spPr/>
      <dgm:t>
        <a:bodyPr/>
        <a:lstStyle/>
        <a:p>
          <a:r>
            <a:rPr lang="it-IT"/>
            <a:t>Valorizzazione delle classi</a:t>
          </a:r>
        </a:p>
      </dgm:t>
    </dgm:pt>
    <dgm:pt modelId="{6035540F-7915-42DD-8D46-5745727A53E5}" type="parTrans" cxnId="{DBB15E97-BA2A-414C-8A07-5E469D3661FA}">
      <dgm:prSet/>
      <dgm:spPr/>
      <dgm:t>
        <a:bodyPr/>
        <a:lstStyle/>
        <a:p>
          <a:endParaRPr lang="it-IT"/>
        </a:p>
      </dgm:t>
    </dgm:pt>
    <dgm:pt modelId="{FE4A76B7-DD03-4995-8FE1-B64D964AE38B}" type="sibTrans" cxnId="{DBB15E97-BA2A-414C-8A07-5E469D3661FA}">
      <dgm:prSet/>
      <dgm:spPr/>
      <dgm:t>
        <a:bodyPr/>
        <a:lstStyle/>
        <a:p>
          <a:endParaRPr lang="it-IT"/>
        </a:p>
      </dgm:t>
    </dgm:pt>
    <dgm:pt modelId="{5DB7A330-3C53-4A6A-BB1D-DB5605DC8FAD}">
      <dgm:prSet phldrT="[Text]"/>
      <dgm:spPr/>
      <dgm:t>
        <a:bodyPr/>
        <a:lstStyle/>
        <a:p>
          <a:r>
            <a:rPr lang="it-IT"/>
            <a:t>Risultato</a:t>
          </a:r>
        </a:p>
      </dgm:t>
    </dgm:pt>
    <dgm:pt modelId="{9724131B-0288-4C0F-9300-81F7D5214207}" type="parTrans" cxnId="{52737652-9AA1-4F4A-8BBF-3722278FC44B}">
      <dgm:prSet/>
      <dgm:spPr/>
      <dgm:t>
        <a:bodyPr/>
        <a:lstStyle/>
        <a:p>
          <a:endParaRPr lang="it-IT"/>
        </a:p>
      </dgm:t>
    </dgm:pt>
    <dgm:pt modelId="{AA7989EA-5D9D-40D1-95AB-611858060031}" type="sibTrans" cxnId="{52737652-9AA1-4F4A-8BBF-3722278FC44B}">
      <dgm:prSet/>
      <dgm:spPr/>
      <dgm:t>
        <a:bodyPr/>
        <a:lstStyle/>
        <a:p>
          <a:endParaRPr lang="it-IT"/>
        </a:p>
      </dgm:t>
    </dgm:pt>
    <dgm:pt modelId="{F1D33FAB-AC94-462B-AAE2-CC7947D08186}">
      <dgm:prSet phldrT="[Text]"/>
      <dgm:spPr/>
      <dgm:t>
        <a:bodyPr/>
        <a:lstStyle/>
        <a:p>
          <a:r>
            <a:rPr lang="it-IT"/>
            <a:t>Rendimento</a:t>
          </a:r>
        </a:p>
      </dgm:t>
    </dgm:pt>
    <dgm:pt modelId="{CA62A5B2-B2C0-4F1E-8216-A601F8D3CF34}" type="parTrans" cxnId="{A799E8E5-3303-4B39-9327-F8DA0C46EDFC}">
      <dgm:prSet/>
      <dgm:spPr/>
      <dgm:t>
        <a:bodyPr/>
        <a:lstStyle/>
        <a:p>
          <a:endParaRPr lang="it-IT"/>
        </a:p>
      </dgm:t>
    </dgm:pt>
    <dgm:pt modelId="{5028D2AE-F6D2-408B-9C91-673A98282CBC}" type="sibTrans" cxnId="{A799E8E5-3303-4B39-9327-F8DA0C46EDFC}">
      <dgm:prSet/>
      <dgm:spPr/>
      <dgm:t>
        <a:bodyPr/>
        <a:lstStyle/>
        <a:p>
          <a:endParaRPr lang="it-IT"/>
        </a:p>
      </dgm:t>
    </dgm:pt>
    <dgm:pt modelId="{4F3885B5-068E-417B-BC0A-C27826ECC128}" type="pres">
      <dgm:prSet presAssocID="{023EB9A4-F235-427E-B6AF-778D500DA1F9}" presName="Name0" presStyleCnt="0">
        <dgm:presLayoutVars>
          <dgm:dir/>
          <dgm:resizeHandles val="exact"/>
        </dgm:presLayoutVars>
      </dgm:prSet>
      <dgm:spPr/>
    </dgm:pt>
    <dgm:pt modelId="{591FDB16-047B-4161-BDFD-94650C87685F}" type="pres">
      <dgm:prSet presAssocID="{6FC663B9-A287-41C1-A986-EA55633ADA5C}" presName="node" presStyleLbl="node1" presStyleIdx="0" presStyleCnt="3">
        <dgm:presLayoutVars>
          <dgm:bulletEnabled val="1"/>
        </dgm:presLayoutVars>
      </dgm:prSet>
      <dgm:spPr/>
    </dgm:pt>
    <dgm:pt modelId="{FEE317D7-A6EA-4AFA-94F5-B411921AAE2D}" type="pres">
      <dgm:prSet presAssocID="{FE4A76B7-DD03-4995-8FE1-B64D964AE38B}" presName="sibTrans" presStyleLbl="sibTrans2D1" presStyleIdx="0" presStyleCnt="2"/>
      <dgm:spPr/>
    </dgm:pt>
    <dgm:pt modelId="{D0EFD297-E20A-4073-AC4E-E1DE155C3B7D}" type="pres">
      <dgm:prSet presAssocID="{FE4A76B7-DD03-4995-8FE1-B64D964AE38B}" presName="connectorText" presStyleLbl="sibTrans2D1" presStyleIdx="0" presStyleCnt="2"/>
      <dgm:spPr/>
    </dgm:pt>
    <dgm:pt modelId="{807B5676-0E76-4F0E-BDE8-192D082670B4}" type="pres">
      <dgm:prSet presAssocID="{5DB7A330-3C53-4A6A-BB1D-DB5605DC8FAD}" presName="node" presStyleLbl="node1" presStyleIdx="1" presStyleCnt="3">
        <dgm:presLayoutVars>
          <dgm:bulletEnabled val="1"/>
        </dgm:presLayoutVars>
      </dgm:prSet>
      <dgm:spPr/>
    </dgm:pt>
    <dgm:pt modelId="{610F13F3-2C23-45DE-ABCC-10EB6CDB4242}" type="pres">
      <dgm:prSet presAssocID="{AA7989EA-5D9D-40D1-95AB-611858060031}" presName="sibTrans" presStyleLbl="sibTrans2D1" presStyleIdx="1" presStyleCnt="2"/>
      <dgm:spPr/>
    </dgm:pt>
    <dgm:pt modelId="{514D763F-BB52-4C3B-B08C-0B2EFB607698}" type="pres">
      <dgm:prSet presAssocID="{AA7989EA-5D9D-40D1-95AB-611858060031}" presName="connectorText" presStyleLbl="sibTrans2D1" presStyleIdx="1" presStyleCnt="2"/>
      <dgm:spPr/>
    </dgm:pt>
    <dgm:pt modelId="{D1D86F2D-A41A-4085-8480-74D2F1B7D3AC}" type="pres">
      <dgm:prSet presAssocID="{F1D33FAB-AC94-462B-AAE2-CC7947D08186}" presName="node" presStyleLbl="node1" presStyleIdx="2" presStyleCnt="3">
        <dgm:presLayoutVars>
          <dgm:bulletEnabled val="1"/>
        </dgm:presLayoutVars>
      </dgm:prSet>
      <dgm:spPr/>
    </dgm:pt>
  </dgm:ptLst>
  <dgm:cxnLst>
    <dgm:cxn modelId="{7B39B465-1BA6-4C44-ACAF-B4D7923FD968}" type="presOf" srcId="{5DB7A330-3C53-4A6A-BB1D-DB5605DC8FAD}" destId="{807B5676-0E76-4F0E-BDE8-192D082670B4}" srcOrd="0" destOrd="0" presId="urn:microsoft.com/office/officeart/2005/8/layout/process1"/>
    <dgm:cxn modelId="{BDB6B969-3E30-44AA-A230-1E55045C2645}" type="presOf" srcId="{AA7989EA-5D9D-40D1-95AB-611858060031}" destId="{514D763F-BB52-4C3B-B08C-0B2EFB607698}" srcOrd="1" destOrd="0" presId="urn:microsoft.com/office/officeart/2005/8/layout/process1"/>
    <dgm:cxn modelId="{01D4FA4B-901B-4A8F-BDA2-1CF21F2D9D21}" type="presOf" srcId="{F1D33FAB-AC94-462B-AAE2-CC7947D08186}" destId="{D1D86F2D-A41A-4085-8480-74D2F1B7D3AC}" srcOrd="0" destOrd="0" presId="urn:microsoft.com/office/officeart/2005/8/layout/process1"/>
    <dgm:cxn modelId="{52737652-9AA1-4F4A-8BBF-3722278FC44B}" srcId="{023EB9A4-F235-427E-B6AF-778D500DA1F9}" destId="{5DB7A330-3C53-4A6A-BB1D-DB5605DC8FAD}" srcOrd="1" destOrd="0" parTransId="{9724131B-0288-4C0F-9300-81F7D5214207}" sibTransId="{AA7989EA-5D9D-40D1-95AB-611858060031}"/>
    <dgm:cxn modelId="{DBB15E97-BA2A-414C-8A07-5E469D3661FA}" srcId="{023EB9A4-F235-427E-B6AF-778D500DA1F9}" destId="{6FC663B9-A287-41C1-A986-EA55633ADA5C}" srcOrd="0" destOrd="0" parTransId="{6035540F-7915-42DD-8D46-5745727A53E5}" sibTransId="{FE4A76B7-DD03-4995-8FE1-B64D964AE38B}"/>
    <dgm:cxn modelId="{553677A2-A340-4040-BC9B-6D59AC441DAF}" type="presOf" srcId="{023EB9A4-F235-427E-B6AF-778D500DA1F9}" destId="{4F3885B5-068E-417B-BC0A-C27826ECC128}" srcOrd="0" destOrd="0" presId="urn:microsoft.com/office/officeart/2005/8/layout/process1"/>
    <dgm:cxn modelId="{1F8F95B7-3622-4435-A10A-014953F68CCD}" type="presOf" srcId="{6FC663B9-A287-41C1-A986-EA55633ADA5C}" destId="{591FDB16-047B-4161-BDFD-94650C87685F}" srcOrd="0" destOrd="0" presId="urn:microsoft.com/office/officeart/2005/8/layout/process1"/>
    <dgm:cxn modelId="{2CDDF4BD-D978-4500-B971-ABB6AAAD7914}" type="presOf" srcId="{FE4A76B7-DD03-4995-8FE1-B64D964AE38B}" destId="{FEE317D7-A6EA-4AFA-94F5-B411921AAE2D}" srcOrd="0" destOrd="0" presId="urn:microsoft.com/office/officeart/2005/8/layout/process1"/>
    <dgm:cxn modelId="{E3B4F3C0-034C-4AEA-A588-F6A1728732B8}" type="presOf" srcId="{FE4A76B7-DD03-4995-8FE1-B64D964AE38B}" destId="{D0EFD297-E20A-4073-AC4E-E1DE155C3B7D}" srcOrd="1" destOrd="0" presId="urn:microsoft.com/office/officeart/2005/8/layout/process1"/>
    <dgm:cxn modelId="{6212A9CA-56DD-4997-9F05-8D6BF67D5B6E}" type="presOf" srcId="{AA7989EA-5D9D-40D1-95AB-611858060031}" destId="{610F13F3-2C23-45DE-ABCC-10EB6CDB4242}" srcOrd="0" destOrd="0" presId="urn:microsoft.com/office/officeart/2005/8/layout/process1"/>
    <dgm:cxn modelId="{A799E8E5-3303-4B39-9327-F8DA0C46EDFC}" srcId="{023EB9A4-F235-427E-B6AF-778D500DA1F9}" destId="{F1D33FAB-AC94-462B-AAE2-CC7947D08186}" srcOrd="2" destOrd="0" parTransId="{CA62A5B2-B2C0-4F1E-8216-A601F8D3CF34}" sibTransId="{5028D2AE-F6D2-408B-9C91-673A98282CBC}"/>
    <dgm:cxn modelId="{B006D400-2C6B-4606-979A-99A6A2DBD6E5}" type="presParOf" srcId="{4F3885B5-068E-417B-BC0A-C27826ECC128}" destId="{591FDB16-047B-4161-BDFD-94650C87685F}" srcOrd="0" destOrd="0" presId="urn:microsoft.com/office/officeart/2005/8/layout/process1"/>
    <dgm:cxn modelId="{0FEABDCF-2688-474B-A4ED-66865C039BDF}" type="presParOf" srcId="{4F3885B5-068E-417B-BC0A-C27826ECC128}" destId="{FEE317D7-A6EA-4AFA-94F5-B411921AAE2D}" srcOrd="1" destOrd="0" presId="urn:microsoft.com/office/officeart/2005/8/layout/process1"/>
    <dgm:cxn modelId="{433B8809-E68B-4FF2-9DD8-A8F5D8695AB5}" type="presParOf" srcId="{FEE317D7-A6EA-4AFA-94F5-B411921AAE2D}" destId="{D0EFD297-E20A-4073-AC4E-E1DE155C3B7D}" srcOrd="0" destOrd="0" presId="urn:microsoft.com/office/officeart/2005/8/layout/process1"/>
    <dgm:cxn modelId="{89D72AF1-7E52-488E-A7F2-315CC49847A6}" type="presParOf" srcId="{4F3885B5-068E-417B-BC0A-C27826ECC128}" destId="{807B5676-0E76-4F0E-BDE8-192D082670B4}" srcOrd="2" destOrd="0" presId="urn:microsoft.com/office/officeart/2005/8/layout/process1"/>
    <dgm:cxn modelId="{A5584874-7338-4016-8CDB-85D418FD35F5}" type="presParOf" srcId="{4F3885B5-068E-417B-BC0A-C27826ECC128}" destId="{610F13F3-2C23-45DE-ABCC-10EB6CDB4242}" srcOrd="3" destOrd="0" presId="urn:microsoft.com/office/officeart/2005/8/layout/process1"/>
    <dgm:cxn modelId="{698AD240-4B4D-4AAB-8048-FFDB224D492A}" type="presParOf" srcId="{610F13F3-2C23-45DE-ABCC-10EB6CDB4242}" destId="{514D763F-BB52-4C3B-B08C-0B2EFB607698}" srcOrd="0" destOrd="0" presId="urn:microsoft.com/office/officeart/2005/8/layout/process1"/>
    <dgm:cxn modelId="{E418E803-940F-45F5-B842-0921E178330E}" type="presParOf" srcId="{4F3885B5-068E-417B-BC0A-C27826ECC128}" destId="{D1D86F2D-A41A-4085-8480-74D2F1B7D3AC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46BAAD-B40E-455D-BA93-7BBFD8FE974F}">
      <dsp:nvSpPr>
        <dsp:cNvPr id="0" name=""/>
        <dsp:cNvSpPr/>
      </dsp:nvSpPr>
      <dsp:spPr>
        <a:xfrm>
          <a:off x="601" y="0"/>
          <a:ext cx="1282198" cy="65913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700" kern="1200"/>
            <a:t>Data download</a:t>
          </a:r>
        </a:p>
      </dsp:txBody>
      <dsp:txXfrm>
        <a:off x="19906" y="19305"/>
        <a:ext cx="1243588" cy="620520"/>
      </dsp:txXfrm>
    </dsp:sp>
    <dsp:sp modelId="{338A102D-D284-4EA3-AC14-CF445A59F9BA}">
      <dsp:nvSpPr>
        <dsp:cNvPr id="0" name=""/>
        <dsp:cNvSpPr/>
      </dsp:nvSpPr>
      <dsp:spPr>
        <a:xfrm>
          <a:off x="1411020" y="170572"/>
          <a:ext cx="271826" cy="317985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300" kern="1200"/>
        </a:p>
      </dsp:txBody>
      <dsp:txXfrm>
        <a:off x="1411020" y="234169"/>
        <a:ext cx="190278" cy="190791"/>
      </dsp:txXfrm>
    </dsp:sp>
    <dsp:sp modelId="{DA56EC72-FBB1-458D-87C7-B8DFC3AE764D}">
      <dsp:nvSpPr>
        <dsp:cNvPr id="0" name=""/>
        <dsp:cNvSpPr/>
      </dsp:nvSpPr>
      <dsp:spPr>
        <a:xfrm>
          <a:off x="1795679" y="0"/>
          <a:ext cx="1282198" cy="65913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700" kern="1200"/>
            <a:t>Calcolo prezzi</a:t>
          </a:r>
        </a:p>
      </dsp:txBody>
      <dsp:txXfrm>
        <a:off x="1814984" y="19305"/>
        <a:ext cx="1243588" cy="62052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91FDB16-047B-4161-BDFD-94650C87685F}">
      <dsp:nvSpPr>
        <dsp:cNvPr id="0" name=""/>
        <dsp:cNvSpPr/>
      </dsp:nvSpPr>
      <dsp:spPr>
        <a:xfrm>
          <a:off x="2682" y="1019777"/>
          <a:ext cx="1172741" cy="7036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300" kern="1200"/>
            <a:t>Calcolo rendimenti e aggregazione</a:t>
          </a:r>
        </a:p>
      </dsp:txBody>
      <dsp:txXfrm>
        <a:off x="23291" y="1040386"/>
        <a:ext cx="1131523" cy="662426"/>
      </dsp:txXfrm>
    </dsp:sp>
    <dsp:sp modelId="{FEE317D7-A6EA-4AFA-94F5-B411921AAE2D}">
      <dsp:nvSpPr>
        <dsp:cNvPr id="0" name=""/>
        <dsp:cNvSpPr/>
      </dsp:nvSpPr>
      <dsp:spPr>
        <a:xfrm>
          <a:off x="1292697" y="1226180"/>
          <a:ext cx="248621" cy="29083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1292697" y="1284348"/>
        <a:ext cx="174035" cy="174503"/>
      </dsp:txXfrm>
    </dsp:sp>
    <dsp:sp modelId="{807B5676-0E76-4F0E-BDE8-192D082670B4}">
      <dsp:nvSpPr>
        <dsp:cNvPr id="0" name=""/>
        <dsp:cNvSpPr/>
      </dsp:nvSpPr>
      <dsp:spPr>
        <a:xfrm>
          <a:off x="1644520" y="1019777"/>
          <a:ext cx="1172741" cy="7036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300" kern="1200"/>
            <a:t>Ottimizzazione</a:t>
          </a:r>
        </a:p>
      </dsp:txBody>
      <dsp:txXfrm>
        <a:off x="1665129" y="1040386"/>
        <a:ext cx="1131523" cy="662426"/>
      </dsp:txXfrm>
    </dsp:sp>
    <dsp:sp modelId="{610F13F3-2C23-45DE-ABCC-10EB6CDB4242}">
      <dsp:nvSpPr>
        <dsp:cNvPr id="0" name=""/>
        <dsp:cNvSpPr/>
      </dsp:nvSpPr>
      <dsp:spPr>
        <a:xfrm>
          <a:off x="2934535" y="1226180"/>
          <a:ext cx="248621" cy="29083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2934535" y="1284348"/>
        <a:ext cx="174035" cy="174503"/>
      </dsp:txXfrm>
    </dsp:sp>
    <dsp:sp modelId="{D1D86F2D-A41A-4085-8480-74D2F1B7D3AC}">
      <dsp:nvSpPr>
        <dsp:cNvPr id="0" name=""/>
        <dsp:cNvSpPr/>
      </dsp:nvSpPr>
      <dsp:spPr>
        <a:xfrm>
          <a:off x="3286358" y="1019777"/>
          <a:ext cx="1172741" cy="7036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300" kern="1200"/>
            <a:t>Calcolo operazioni Acq/Ven</a:t>
          </a:r>
        </a:p>
      </dsp:txBody>
      <dsp:txXfrm>
        <a:off x="3306967" y="1040386"/>
        <a:ext cx="1131523" cy="662426"/>
      </dsp:txXfrm>
    </dsp:sp>
    <dsp:sp modelId="{DD1DEAF5-FD7B-406C-9457-1B6165B47BFE}">
      <dsp:nvSpPr>
        <dsp:cNvPr id="0" name=""/>
        <dsp:cNvSpPr/>
      </dsp:nvSpPr>
      <dsp:spPr>
        <a:xfrm>
          <a:off x="4576373" y="1226180"/>
          <a:ext cx="248621" cy="290839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4576373" y="1284348"/>
        <a:ext cx="174035" cy="174503"/>
      </dsp:txXfrm>
    </dsp:sp>
    <dsp:sp modelId="{5EF266E4-4BFE-47C5-B8C1-DEEEA86474AB}">
      <dsp:nvSpPr>
        <dsp:cNvPr id="0" name=""/>
        <dsp:cNvSpPr/>
      </dsp:nvSpPr>
      <dsp:spPr>
        <a:xfrm>
          <a:off x="4928196" y="1019777"/>
          <a:ext cx="1172741" cy="7036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300" kern="1200"/>
            <a:t>Saldi</a:t>
          </a:r>
        </a:p>
      </dsp:txBody>
      <dsp:txXfrm>
        <a:off x="4948805" y="1040386"/>
        <a:ext cx="1131523" cy="662426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91FDB16-047B-4161-BDFD-94650C87685F}">
      <dsp:nvSpPr>
        <dsp:cNvPr id="0" name=""/>
        <dsp:cNvSpPr/>
      </dsp:nvSpPr>
      <dsp:spPr>
        <a:xfrm>
          <a:off x="4138" y="1000477"/>
          <a:ext cx="1237074" cy="7422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Valorizzazione del portafoglio</a:t>
          </a:r>
        </a:p>
      </dsp:txBody>
      <dsp:txXfrm>
        <a:off x="25878" y="1022217"/>
        <a:ext cx="1193594" cy="698764"/>
      </dsp:txXfrm>
    </dsp:sp>
    <dsp:sp modelId="{FEE317D7-A6EA-4AFA-94F5-B411921AAE2D}">
      <dsp:nvSpPr>
        <dsp:cNvPr id="0" name=""/>
        <dsp:cNvSpPr/>
      </dsp:nvSpPr>
      <dsp:spPr>
        <a:xfrm>
          <a:off x="1364920" y="1218202"/>
          <a:ext cx="262259" cy="30679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1364920" y="1279561"/>
        <a:ext cx="183581" cy="184076"/>
      </dsp:txXfrm>
    </dsp:sp>
    <dsp:sp modelId="{807B5676-0E76-4F0E-BDE8-192D082670B4}">
      <dsp:nvSpPr>
        <dsp:cNvPr id="0" name=""/>
        <dsp:cNvSpPr/>
      </dsp:nvSpPr>
      <dsp:spPr>
        <a:xfrm>
          <a:off x="1736042" y="1000477"/>
          <a:ext cx="1237074" cy="7422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Risultato</a:t>
          </a:r>
        </a:p>
      </dsp:txBody>
      <dsp:txXfrm>
        <a:off x="1757782" y="1022217"/>
        <a:ext cx="1193594" cy="698764"/>
      </dsp:txXfrm>
    </dsp:sp>
    <dsp:sp modelId="{610F13F3-2C23-45DE-ABCC-10EB6CDB4242}">
      <dsp:nvSpPr>
        <dsp:cNvPr id="0" name=""/>
        <dsp:cNvSpPr/>
      </dsp:nvSpPr>
      <dsp:spPr>
        <a:xfrm>
          <a:off x="3096824" y="1218202"/>
          <a:ext cx="262259" cy="30679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3096824" y="1279561"/>
        <a:ext cx="183581" cy="184076"/>
      </dsp:txXfrm>
    </dsp:sp>
    <dsp:sp modelId="{D1D86F2D-A41A-4085-8480-74D2F1B7D3AC}">
      <dsp:nvSpPr>
        <dsp:cNvPr id="0" name=""/>
        <dsp:cNvSpPr/>
      </dsp:nvSpPr>
      <dsp:spPr>
        <a:xfrm>
          <a:off x="3467946" y="1000477"/>
          <a:ext cx="1237074" cy="7422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Rendimento</a:t>
          </a:r>
        </a:p>
      </dsp:txBody>
      <dsp:txXfrm>
        <a:off x="3489686" y="1022217"/>
        <a:ext cx="1193594" cy="698764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91FDB16-047B-4161-BDFD-94650C87685F}">
      <dsp:nvSpPr>
        <dsp:cNvPr id="0" name=""/>
        <dsp:cNvSpPr/>
      </dsp:nvSpPr>
      <dsp:spPr>
        <a:xfrm>
          <a:off x="4138" y="1000477"/>
          <a:ext cx="1237074" cy="7422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Valorizzazione delle classi</a:t>
          </a:r>
        </a:p>
      </dsp:txBody>
      <dsp:txXfrm>
        <a:off x="25878" y="1022217"/>
        <a:ext cx="1193594" cy="698764"/>
      </dsp:txXfrm>
    </dsp:sp>
    <dsp:sp modelId="{FEE317D7-A6EA-4AFA-94F5-B411921AAE2D}">
      <dsp:nvSpPr>
        <dsp:cNvPr id="0" name=""/>
        <dsp:cNvSpPr/>
      </dsp:nvSpPr>
      <dsp:spPr>
        <a:xfrm>
          <a:off x="1364920" y="1218202"/>
          <a:ext cx="262259" cy="30679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1364920" y="1279561"/>
        <a:ext cx="183581" cy="184076"/>
      </dsp:txXfrm>
    </dsp:sp>
    <dsp:sp modelId="{807B5676-0E76-4F0E-BDE8-192D082670B4}">
      <dsp:nvSpPr>
        <dsp:cNvPr id="0" name=""/>
        <dsp:cNvSpPr/>
      </dsp:nvSpPr>
      <dsp:spPr>
        <a:xfrm>
          <a:off x="1736042" y="1000477"/>
          <a:ext cx="1237074" cy="7422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Risultato</a:t>
          </a:r>
        </a:p>
      </dsp:txBody>
      <dsp:txXfrm>
        <a:off x="1757782" y="1022217"/>
        <a:ext cx="1193594" cy="698764"/>
      </dsp:txXfrm>
    </dsp:sp>
    <dsp:sp modelId="{610F13F3-2C23-45DE-ABCC-10EB6CDB4242}">
      <dsp:nvSpPr>
        <dsp:cNvPr id="0" name=""/>
        <dsp:cNvSpPr/>
      </dsp:nvSpPr>
      <dsp:spPr>
        <a:xfrm>
          <a:off x="3096824" y="1218202"/>
          <a:ext cx="262259" cy="306794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it-IT" sz="1100" kern="1200"/>
        </a:p>
      </dsp:txBody>
      <dsp:txXfrm>
        <a:off x="3096824" y="1279561"/>
        <a:ext cx="183581" cy="184076"/>
      </dsp:txXfrm>
    </dsp:sp>
    <dsp:sp modelId="{D1D86F2D-A41A-4085-8480-74D2F1B7D3AC}">
      <dsp:nvSpPr>
        <dsp:cNvPr id="0" name=""/>
        <dsp:cNvSpPr/>
      </dsp:nvSpPr>
      <dsp:spPr>
        <a:xfrm>
          <a:off x="3467946" y="1000477"/>
          <a:ext cx="1237074" cy="74224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400" kern="1200"/>
            <a:t>Rendimento</a:t>
          </a:r>
        </a:p>
      </dsp:txBody>
      <dsp:txXfrm>
        <a:off x="3489686" y="1022217"/>
        <a:ext cx="1193594" cy="69876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9</xdr:row>
      <xdr:rowOff>148590</xdr:rowOff>
    </xdr:from>
    <xdr:to>
      <xdr:col>8</xdr:col>
      <xdr:colOff>518160</xdr:colOff>
      <xdr:row>13</xdr:row>
      <xdr:rowOff>76200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15240</xdr:colOff>
      <xdr:row>11</xdr:row>
      <xdr:rowOff>26670</xdr:rowOff>
    </xdr:from>
    <xdr:to>
      <xdr:col>19</xdr:col>
      <xdr:colOff>22860</xdr:colOff>
      <xdr:row>26</xdr:row>
      <xdr:rowOff>26670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19</xdr:col>
      <xdr:colOff>198120</xdr:colOff>
      <xdr:row>19</xdr:row>
      <xdr:rowOff>0</xdr:rowOff>
    </xdr:from>
    <xdr:to>
      <xdr:col>27</xdr:col>
      <xdr:colOff>30480</xdr:colOff>
      <xdr:row>34</xdr:row>
      <xdr:rowOff>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8</xdr:col>
      <xdr:colOff>41910</xdr:colOff>
      <xdr:row>13</xdr:row>
      <xdr:rowOff>102870</xdr:rowOff>
    </xdr:from>
    <xdr:to>
      <xdr:col>8</xdr:col>
      <xdr:colOff>537210</xdr:colOff>
      <xdr:row>19</xdr:row>
      <xdr:rowOff>68580</xdr:rowOff>
    </xdr:to>
    <xdr:sp macro="" textlink="">
      <xdr:nvSpPr>
        <xdr:cNvPr id="5" name="Bent-Up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5400000">
          <a:off x="4634865" y="2764155"/>
          <a:ext cx="1062990" cy="4953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251460</xdr:colOff>
      <xdr:row>13</xdr:row>
      <xdr:rowOff>99060</xdr:rowOff>
    </xdr:from>
    <xdr:to>
      <xdr:col>18</xdr:col>
      <xdr:colOff>571500</xdr:colOff>
      <xdr:row>28</xdr:row>
      <xdr:rowOff>60960</xdr:rowOff>
    </xdr:to>
    <xdr:sp macro="" textlink="">
      <xdr:nvSpPr>
        <xdr:cNvPr id="6" name="Bent-Up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5400000">
          <a:off x="6678930" y="316230"/>
          <a:ext cx="2705100" cy="7025640"/>
        </a:xfrm>
        <a:prstGeom prst="bentUpArrow">
          <a:avLst>
            <a:gd name="adj1" fmla="val 4953"/>
            <a:gd name="adj2" fmla="val 5071"/>
            <a:gd name="adj3" fmla="val 40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18</xdr:col>
      <xdr:colOff>72390</xdr:colOff>
      <xdr:row>20</xdr:row>
      <xdr:rowOff>125730</xdr:rowOff>
    </xdr:from>
    <xdr:to>
      <xdr:col>18</xdr:col>
      <xdr:colOff>567690</xdr:colOff>
      <xdr:row>26</xdr:row>
      <xdr:rowOff>91440</xdr:rowOff>
    </xdr:to>
    <xdr:sp macro="" textlink="">
      <xdr:nvSpPr>
        <xdr:cNvPr id="7" name="Bent-Up Arr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10761345" y="4067175"/>
          <a:ext cx="1062990" cy="4953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563880</xdr:colOff>
      <xdr:row>20</xdr:row>
      <xdr:rowOff>167640</xdr:rowOff>
    </xdr:from>
    <xdr:to>
      <xdr:col>30</xdr:col>
      <xdr:colOff>457200</xdr:colOff>
      <xdr:row>42</xdr:row>
      <xdr:rowOff>22860</xdr:rowOff>
    </xdr:to>
    <xdr:sp macro="" textlink="">
      <xdr:nvSpPr>
        <xdr:cNvPr id="8" name="Bent-Up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5400000">
          <a:off x="10458450" y="-582930"/>
          <a:ext cx="3878580" cy="12694920"/>
        </a:xfrm>
        <a:prstGeom prst="bentUpArrow">
          <a:avLst>
            <a:gd name="adj1" fmla="val 3292"/>
            <a:gd name="adj2" fmla="val 2901"/>
            <a:gd name="adj3" fmla="val 30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20</xdr:col>
      <xdr:colOff>80010</xdr:colOff>
      <xdr:row>28</xdr:row>
      <xdr:rowOff>156210</xdr:rowOff>
    </xdr:from>
    <xdr:to>
      <xdr:col>22</xdr:col>
      <xdr:colOff>121920</xdr:colOff>
      <xdr:row>33</xdr:row>
      <xdr:rowOff>45720</xdr:rowOff>
    </xdr:to>
    <xdr:sp macro="" textlink="">
      <xdr:nvSpPr>
        <xdr:cNvPr id="9" name="Bent-Up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12500610" y="5048250"/>
          <a:ext cx="803910" cy="1261110"/>
        </a:xfrm>
        <a:prstGeom prst="bentUpArrow">
          <a:avLst>
            <a:gd name="adj1" fmla="val 14247"/>
            <a:gd name="adj2" fmla="val 13172"/>
            <a:gd name="adj3" fmla="val 113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22</xdr:col>
      <xdr:colOff>243840</xdr:colOff>
      <xdr:row>26</xdr:row>
      <xdr:rowOff>22860</xdr:rowOff>
    </xdr:from>
    <xdr:to>
      <xdr:col>30</xdr:col>
      <xdr:colOff>76200</xdr:colOff>
      <xdr:row>41</xdr:row>
      <xdr:rowOff>22860</xdr:rowOff>
    </xdr:to>
    <xdr:graphicFrame macro="">
      <xdr:nvGraphicFramePr>
        <xdr:cNvPr id="13" name="Diagram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28</xdr:col>
      <xdr:colOff>594360</xdr:colOff>
      <xdr:row>36</xdr:row>
      <xdr:rowOff>0</xdr:rowOff>
    </xdr:from>
    <xdr:to>
      <xdr:col>30</xdr:col>
      <xdr:colOff>426720</xdr:colOff>
      <xdr:row>40</xdr:row>
      <xdr:rowOff>72390</xdr:rowOff>
    </xdr:to>
    <xdr:sp macro="" textlink="">
      <xdr:nvSpPr>
        <xdr:cNvPr id="14" name="Bent-Up Arrow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5400000">
          <a:off x="17786985" y="6459855"/>
          <a:ext cx="803910" cy="1051560"/>
        </a:xfrm>
        <a:prstGeom prst="bentUpArrow">
          <a:avLst>
            <a:gd name="adj1" fmla="val 14247"/>
            <a:gd name="adj2" fmla="val 13172"/>
            <a:gd name="adj3" fmla="val 113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30</xdr:col>
      <xdr:colOff>525780</xdr:colOff>
      <xdr:row>38</xdr:row>
      <xdr:rowOff>121920</xdr:rowOff>
    </xdr:from>
    <xdr:to>
      <xdr:col>32</xdr:col>
      <xdr:colOff>543654</xdr:colOff>
      <xdr:row>42</xdr:row>
      <xdr:rowOff>132644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19099530" y="7240270"/>
          <a:ext cx="1256124" cy="760024"/>
          <a:chOff x="3467946" y="1000477"/>
          <a:chExt cx="1237074" cy="742244"/>
        </a:xfrm>
      </xdr:grpSpPr>
      <xdr:sp macro="" textlink="">
        <xdr:nvSpPr>
          <xdr:cNvPr id="16" name="Rounded Rectangle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467946" y="1000477"/>
            <a:ext cx="1237074" cy="742244"/>
          </a:xfrm>
          <a:prstGeom prst="roundRect">
            <a:avLst>
              <a:gd name="adj" fmla="val 10000"/>
            </a:avLst>
          </a:pr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7" name="Rounded Rectangle 4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489686" y="1022217"/>
            <a:ext cx="1193594" cy="69876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3340" tIns="53340" rIns="53340" bIns="53340" numCol="1" spcCol="1270" anchor="ctr" anchorCtr="0">
            <a:noAutofit/>
          </a:bodyPr>
          <a:lstStyle/>
          <a:p>
            <a:pPr lvl="0" algn="ctr" defTabSz="6223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it-IT" sz="1400" kern="1200"/>
              <a:t>Performance attribution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3</xdr:row>
      <xdr:rowOff>0</xdr:rowOff>
    </xdr:from>
    <xdr:to>
      <xdr:col>15</xdr:col>
      <xdr:colOff>320040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9" sqref="N9"/>
    </sheetView>
  </sheetViews>
  <sheetFormatPr defaultColWidth="8.86328125" defaultRowHeight="14.75" x14ac:dyDescent="0.75"/>
  <cols>
    <col min="1" max="16384" width="8.86328125" style="4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487"/>
  <sheetViews>
    <sheetView workbookViewId="0">
      <selection activeCell="H6" sqref="H6"/>
    </sheetView>
  </sheetViews>
  <sheetFormatPr defaultColWidth="8.86328125" defaultRowHeight="14.75" x14ac:dyDescent="0.75"/>
  <cols>
    <col min="1" max="2" width="8.86328125" style="4"/>
    <col min="3" max="3" width="12" style="4" bestFit="1" customWidth="1"/>
    <col min="4" max="4" width="14.36328125" style="4" bestFit="1" customWidth="1"/>
    <col min="5" max="5" width="22.1328125" style="4" bestFit="1" customWidth="1"/>
    <col min="6" max="6" width="8.36328125" style="4" bestFit="1" customWidth="1"/>
    <col min="7" max="8" width="8.86328125" style="4"/>
    <col min="9" max="13" width="10.54296875" style="4" bestFit="1" customWidth="1"/>
    <col min="14" max="14" width="12.6328125" style="4" bestFit="1" customWidth="1"/>
    <col min="15" max="17" width="10.54296875" style="4" bestFit="1" customWidth="1"/>
    <col min="18" max="18" width="8.40625" style="4" bestFit="1" customWidth="1"/>
    <col min="19" max="20" width="8.40625" style="4" customWidth="1"/>
    <col min="21" max="16384" width="8.86328125" style="4"/>
  </cols>
  <sheetData>
    <row r="2" spans="2:17" ht="15.5" thickBot="1" x14ac:dyDescent="0.9">
      <c r="E2" s="4" t="s">
        <v>14</v>
      </c>
    </row>
    <row r="3" spans="2:17" ht="15.5" thickBot="1" x14ac:dyDescent="0.9">
      <c r="B3" s="27" t="s">
        <v>202</v>
      </c>
      <c r="C3" s="25" t="s">
        <v>1</v>
      </c>
      <c r="D3" s="25" t="s">
        <v>3</v>
      </c>
      <c r="E3" s="25" t="s">
        <v>8</v>
      </c>
      <c r="F3" s="26" t="s">
        <v>10</v>
      </c>
    </row>
    <row r="4" spans="2:17" ht="15.5" thickBot="1" x14ac:dyDescent="0.9">
      <c r="B4" s="28" t="s">
        <v>203</v>
      </c>
      <c r="C4" s="22" t="s">
        <v>0</v>
      </c>
      <c r="D4" s="22" t="s">
        <v>2</v>
      </c>
      <c r="E4" s="22" t="s">
        <v>7</v>
      </c>
      <c r="F4" s="23" t="s">
        <v>9</v>
      </c>
      <c r="Q4" s="14"/>
    </row>
    <row r="6" spans="2:17" x14ac:dyDescent="0.75">
      <c r="H6" s="4" t="e">
        <f ca="1">_xll.RHistory($C$4:$F$4,".Timestamp;.Close","START:2013-12-31 INTERVAL:1D",,"CH:In;Fd",I7)</f>
        <v>#NAME?</v>
      </c>
    </row>
    <row r="7" spans="2:17" x14ac:dyDescent="0.75">
      <c r="I7" s="4" t="s">
        <v>0</v>
      </c>
      <c r="J7" s="4" t="s">
        <v>0</v>
      </c>
      <c r="K7" s="4" t="s">
        <v>2</v>
      </c>
      <c r="L7" s="4" t="s">
        <v>2</v>
      </c>
      <c r="M7" s="4" t="s">
        <v>7</v>
      </c>
      <c r="N7" s="4" t="s">
        <v>7</v>
      </c>
      <c r="O7" s="4" t="s">
        <v>9</v>
      </c>
      <c r="P7" s="4" t="s">
        <v>9</v>
      </c>
    </row>
    <row r="8" spans="2:17" x14ac:dyDescent="0.75">
      <c r="I8" s="4" t="s">
        <v>5</v>
      </c>
      <c r="J8" s="4" t="s">
        <v>6</v>
      </c>
      <c r="K8" s="4" t="s">
        <v>5</v>
      </c>
      <c r="L8" s="4" t="s">
        <v>6</v>
      </c>
      <c r="M8" s="4" t="s">
        <v>5</v>
      </c>
      <c r="N8" s="4" t="s">
        <v>6</v>
      </c>
      <c r="O8" s="4" t="s">
        <v>5</v>
      </c>
      <c r="P8" s="4" t="s">
        <v>11</v>
      </c>
    </row>
    <row r="9" spans="2:17" x14ac:dyDescent="0.75">
      <c r="I9" s="14">
        <v>42306</v>
      </c>
      <c r="J9" s="4">
        <v>22.274999999999999</v>
      </c>
      <c r="K9" s="14">
        <v>42306</v>
      </c>
      <c r="L9" s="4">
        <v>155.41</v>
      </c>
      <c r="M9" s="14">
        <v>42306</v>
      </c>
      <c r="N9" s="4">
        <v>804.31</v>
      </c>
      <c r="O9" s="14">
        <v>42307</v>
      </c>
      <c r="P9" s="4">
        <v>1.0992999999999999</v>
      </c>
      <c r="Q9" s="14"/>
    </row>
    <row r="10" spans="2:17" x14ac:dyDescent="0.75">
      <c r="I10" s="14">
        <v>42305</v>
      </c>
      <c r="J10" s="4">
        <v>22.475000000000001</v>
      </c>
      <c r="K10" s="14">
        <v>42305</v>
      </c>
      <c r="L10" s="4">
        <v>154.41999999999999</v>
      </c>
      <c r="M10" s="14">
        <v>42305</v>
      </c>
      <c r="N10" s="4">
        <v>806.64499999999998</v>
      </c>
      <c r="O10" s="14">
        <v>42306</v>
      </c>
      <c r="P10" s="4">
        <v>1.0975999999999999</v>
      </c>
      <c r="Q10" s="14"/>
    </row>
    <row r="11" spans="2:17" x14ac:dyDescent="0.75">
      <c r="I11" s="14">
        <v>42304</v>
      </c>
      <c r="J11" s="4">
        <v>22.17</v>
      </c>
      <c r="K11" s="14">
        <v>42304</v>
      </c>
      <c r="L11" s="4">
        <v>153.08000000000001</v>
      </c>
      <c r="M11" s="14">
        <v>42304</v>
      </c>
      <c r="N11" s="4">
        <v>793.98500000000001</v>
      </c>
      <c r="O11" s="14">
        <v>42305</v>
      </c>
      <c r="P11" s="4">
        <v>1.0920000000000001</v>
      </c>
      <c r="Q11" s="14"/>
    </row>
    <row r="12" spans="2:17" x14ac:dyDescent="0.75">
      <c r="I12" s="14">
        <v>42303</v>
      </c>
      <c r="J12" s="4">
        <v>22.445</v>
      </c>
      <c r="K12" s="14">
        <v>42303</v>
      </c>
      <c r="L12" s="4">
        <v>154.13999999999999</v>
      </c>
      <c r="M12" s="14">
        <v>42303</v>
      </c>
      <c r="N12" s="4">
        <v>800.08500000000004</v>
      </c>
      <c r="O12" s="14">
        <v>42304</v>
      </c>
      <c r="P12" s="4">
        <v>1.1048</v>
      </c>
      <c r="Q12" s="14"/>
    </row>
    <row r="13" spans="2:17" x14ac:dyDescent="0.75">
      <c r="I13" s="14">
        <v>42300</v>
      </c>
      <c r="J13" s="4">
        <v>22.555</v>
      </c>
      <c r="K13" s="14">
        <v>42300</v>
      </c>
      <c r="L13" s="4">
        <v>154.63999999999999</v>
      </c>
      <c r="M13" s="14">
        <v>42300</v>
      </c>
      <c r="N13" s="4">
        <v>799.33</v>
      </c>
      <c r="O13" s="14">
        <v>42303</v>
      </c>
      <c r="P13" s="4">
        <v>1.1055999999999999</v>
      </c>
      <c r="Q13" s="14"/>
    </row>
    <row r="14" spans="2:17" x14ac:dyDescent="0.75">
      <c r="I14" s="14">
        <v>42299</v>
      </c>
      <c r="J14" s="4">
        <v>22.4</v>
      </c>
      <c r="K14" s="14">
        <v>42299</v>
      </c>
      <c r="L14" s="4">
        <v>151.11000000000001</v>
      </c>
      <c r="M14" s="14">
        <v>42299</v>
      </c>
      <c r="N14" s="4">
        <v>806.20500000000004</v>
      </c>
      <c r="O14" s="14">
        <v>42300</v>
      </c>
      <c r="P14" s="4">
        <v>1.1013999999999999</v>
      </c>
      <c r="Q14" s="14"/>
    </row>
    <row r="15" spans="2:17" x14ac:dyDescent="0.75">
      <c r="I15" s="14">
        <v>42298</v>
      </c>
      <c r="J15" s="4">
        <v>22.01</v>
      </c>
      <c r="K15" s="14">
        <v>42298</v>
      </c>
      <c r="L15" s="4">
        <v>147.99</v>
      </c>
      <c r="M15" s="14">
        <v>42298</v>
      </c>
      <c r="N15" s="4">
        <v>805.255</v>
      </c>
      <c r="O15" s="14">
        <v>42299</v>
      </c>
      <c r="P15" s="4">
        <v>1.1106</v>
      </c>
      <c r="Q15" s="14"/>
    </row>
    <row r="16" spans="2:17" x14ac:dyDescent="0.75">
      <c r="I16" s="14">
        <v>42297</v>
      </c>
      <c r="J16" s="4">
        <v>22.085000000000001</v>
      </c>
      <c r="K16" s="14">
        <v>42297</v>
      </c>
      <c r="L16" s="4">
        <v>147.66</v>
      </c>
      <c r="M16" s="14">
        <v>42297</v>
      </c>
      <c r="N16" s="4">
        <v>808.97</v>
      </c>
      <c r="O16" s="14">
        <v>42298</v>
      </c>
      <c r="P16" s="4">
        <v>1.1335999999999999</v>
      </c>
      <c r="Q16" s="14"/>
    </row>
    <row r="17" spans="9:17" x14ac:dyDescent="0.75">
      <c r="I17" s="14">
        <v>42296</v>
      </c>
      <c r="J17" s="4">
        <v>22.23</v>
      </c>
      <c r="K17" s="14">
        <v>42296</v>
      </c>
      <c r="L17" s="4">
        <v>148.12</v>
      </c>
      <c r="M17" s="14">
        <v>42296</v>
      </c>
      <c r="N17" s="4">
        <v>809.26</v>
      </c>
      <c r="O17" s="14">
        <v>42297</v>
      </c>
      <c r="P17" s="4">
        <v>1.1344000000000001</v>
      </c>
      <c r="Q17" s="14"/>
    </row>
    <row r="18" spans="9:17" x14ac:dyDescent="0.75">
      <c r="I18" s="14">
        <v>42293</v>
      </c>
      <c r="J18" s="4">
        <v>22.13</v>
      </c>
      <c r="K18" s="14">
        <v>42293</v>
      </c>
      <c r="L18" s="4">
        <v>147.84</v>
      </c>
      <c r="M18" s="14">
        <v>42293</v>
      </c>
      <c r="N18" s="4">
        <v>817.76</v>
      </c>
      <c r="O18" s="14">
        <v>42296</v>
      </c>
      <c r="P18" s="4">
        <v>1.1324000000000001</v>
      </c>
      <c r="Q18" s="14"/>
    </row>
    <row r="19" spans="9:17" x14ac:dyDescent="0.75">
      <c r="I19" s="14">
        <v>42292</v>
      </c>
      <c r="J19" s="4">
        <v>22.03</v>
      </c>
      <c r="K19" s="14">
        <v>42292</v>
      </c>
      <c r="L19" s="4">
        <v>145.75</v>
      </c>
      <c r="M19" s="14">
        <v>42292</v>
      </c>
      <c r="N19" s="4">
        <v>815.83500000000004</v>
      </c>
      <c r="O19" s="14">
        <v>42293</v>
      </c>
      <c r="P19" s="4">
        <v>1.1346000000000001</v>
      </c>
      <c r="Q19" s="14"/>
    </row>
    <row r="20" spans="9:17" x14ac:dyDescent="0.75">
      <c r="I20" s="14">
        <v>42291</v>
      </c>
      <c r="J20" s="4">
        <v>21.65</v>
      </c>
      <c r="K20" s="14">
        <v>42291</v>
      </c>
      <c r="L20" s="4">
        <v>144.36000000000001</v>
      </c>
      <c r="M20" s="14">
        <v>42291</v>
      </c>
      <c r="N20" s="4">
        <v>820.59500000000003</v>
      </c>
      <c r="O20" s="14">
        <v>42292</v>
      </c>
      <c r="P20" s="4">
        <v>1.1382000000000001</v>
      </c>
      <c r="Q20" s="14"/>
    </row>
    <row r="21" spans="9:17" x14ac:dyDescent="0.75">
      <c r="I21" s="14">
        <v>42290</v>
      </c>
      <c r="J21" s="4">
        <v>21.864999999999998</v>
      </c>
      <c r="K21" s="14">
        <v>42290</v>
      </c>
      <c r="L21" s="4">
        <v>146.19999999999999</v>
      </c>
      <c r="M21" s="14">
        <v>42290</v>
      </c>
      <c r="N21" s="4">
        <v>824.37</v>
      </c>
      <c r="O21" s="14">
        <v>42291</v>
      </c>
      <c r="P21" s="4">
        <v>1.1473</v>
      </c>
      <c r="Q21" s="14"/>
    </row>
    <row r="22" spans="9:17" x14ac:dyDescent="0.75">
      <c r="I22" s="14">
        <v>42289</v>
      </c>
      <c r="J22" s="4">
        <v>21.88</v>
      </c>
      <c r="K22" s="14">
        <v>42289</v>
      </c>
      <c r="L22" s="4">
        <v>146.66</v>
      </c>
      <c r="M22" s="14">
        <v>42289</v>
      </c>
      <c r="N22" s="4">
        <v>830.88499999999999</v>
      </c>
      <c r="O22" s="14">
        <v>42290</v>
      </c>
      <c r="P22" s="4">
        <v>1.1375999999999999</v>
      </c>
      <c r="Q22" s="14"/>
    </row>
    <row r="23" spans="9:17" x14ac:dyDescent="0.75">
      <c r="I23" s="14">
        <v>42286</v>
      </c>
      <c r="J23" s="4">
        <v>22.1</v>
      </c>
      <c r="K23" s="14">
        <v>42286</v>
      </c>
      <c r="L23" s="4">
        <v>147.1</v>
      </c>
      <c r="M23" s="14">
        <v>42286</v>
      </c>
      <c r="N23" s="4">
        <v>835.71</v>
      </c>
      <c r="O23" s="14">
        <v>42289</v>
      </c>
      <c r="P23" s="4">
        <v>1.1355</v>
      </c>
      <c r="Q23" s="14"/>
    </row>
    <row r="24" spans="9:17" x14ac:dyDescent="0.75">
      <c r="I24" s="14">
        <v>42285</v>
      </c>
      <c r="J24" s="4">
        <v>21.975000000000001</v>
      </c>
      <c r="K24" s="14">
        <v>42285</v>
      </c>
      <c r="L24" s="4">
        <v>146.74</v>
      </c>
      <c r="M24" s="14">
        <v>42285</v>
      </c>
      <c r="N24" s="4">
        <v>823.74</v>
      </c>
      <c r="O24" s="14">
        <v>42286</v>
      </c>
      <c r="P24" s="4">
        <v>1.1354</v>
      </c>
      <c r="Q24" s="14"/>
    </row>
    <row r="25" spans="9:17" x14ac:dyDescent="0.75">
      <c r="I25" s="14">
        <v>42284</v>
      </c>
      <c r="J25" s="4">
        <v>21.87</v>
      </c>
      <c r="K25" s="14">
        <v>42284</v>
      </c>
      <c r="L25" s="4">
        <v>146</v>
      </c>
      <c r="M25" s="14">
        <v>42284</v>
      </c>
      <c r="N25" s="4">
        <v>824.3</v>
      </c>
      <c r="O25" s="14">
        <v>42285</v>
      </c>
      <c r="P25" s="4">
        <v>1.1277999999999999</v>
      </c>
      <c r="Q25" s="14"/>
    </row>
    <row r="26" spans="9:17" x14ac:dyDescent="0.75">
      <c r="I26" s="14">
        <v>42283</v>
      </c>
      <c r="J26" s="4">
        <v>21.925000000000001</v>
      </c>
      <c r="K26" s="14">
        <v>42283</v>
      </c>
      <c r="L26" s="4">
        <v>145.59</v>
      </c>
      <c r="M26" s="14">
        <v>42283</v>
      </c>
      <c r="N26" s="4">
        <v>823.27</v>
      </c>
      <c r="O26" s="14">
        <v>42284</v>
      </c>
      <c r="P26" s="4">
        <v>1.1234999999999999</v>
      </c>
      <c r="Q26" s="14"/>
    </row>
    <row r="27" spans="9:17" x14ac:dyDescent="0.75">
      <c r="I27" s="14">
        <v>42282</v>
      </c>
      <c r="J27" s="4">
        <v>21.785</v>
      </c>
      <c r="K27" s="14">
        <v>42282</v>
      </c>
      <c r="L27" s="4">
        <v>145.49</v>
      </c>
      <c r="M27" s="14">
        <v>42282</v>
      </c>
      <c r="N27" s="4">
        <v>811.04</v>
      </c>
      <c r="O27" s="14">
        <v>42283</v>
      </c>
      <c r="P27" s="4">
        <v>1.1268</v>
      </c>
      <c r="Q27" s="14"/>
    </row>
    <row r="28" spans="9:17" x14ac:dyDescent="0.75">
      <c r="I28" s="14">
        <v>42279</v>
      </c>
      <c r="J28" s="4">
        <v>21.234999999999999</v>
      </c>
      <c r="K28" s="14">
        <v>42279</v>
      </c>
      <c r="L28" s="4">
        <v>140.59</v>
      </c>
      <c r="M28" s="14">
        <v>42279</v>
      </c>
      <c r="N28" s="4">
        <v>792.11500000000001</v>
      </c>
      <c r="O28" s="14">
        <v>42282</v>
      </c>
      <c r="P28" s="4">
        <v>1.1185</v>
      </c>
      <c r="Q28" s="14"/>
    </row>
    <row r="29" spans="9:17" x14ac:dyDescent="0.75">
      <c r="I29" s="14">
        <v>42278</v>
      </c>
      <c r="J29" s="4">
        <v>20.984999999999999</v>
      </c>
      <c r="K29" s="14">
        <v>42278</v>
      </c>
      <c r="L29" s="4">
        <v>140.82</v>
      </c>
      <c r="M29" s="14">
        <v>42278</v>
      </c>
      <c r="N29" s="4">
        <v>803.19</v>
      </c>
      <c r="O29" s="14">
        <v>42279</v>
      </c>
      <c r="P29" s="4">
        <v>1.1209</v>
      </c>
      <c r="Q29" s="14"/>
    </row>
    <row r="30" spans="9:17" x14ac:dyDescent="0.75">
      <c r="I30" s="14">
        <v>42277</v>
      </c>
      <c r="J30" s="4">
        <v>21.105</v>
      </c>
      <c r="K30" s="14">
        <v>42277</v>
      </c>
      <c r="L30" s="4">
        <v>141</v>
      </c>
      <c r="M30" s="14">
        <v>42277</v>
      </c>
      <c r="N30" s="4">
        <v>801.54</v>
      </c>
      <c r="O30" s="14">
        <v>42278</v>
      </c>
      <c r="P30" s="4">
        <v>1.1194</v>
      </c>
      <c r="Q30" s="14"/>
    </row>
    <row r="31" spans="9:17" x14ac:dyDescent="0.75">
      <c r="I31" s="14">
        <v>42276</v>
      </c>
      <c r="J31" s="4">
        <v>20.515000000000001</v>
      </c>
      <c r="K31" s="14">
        <v>42276</v>
      </c>
      <c r="L31" s="4">
        <v>137.85</v>
      </c>
      <c r="M31" s="14">
        <v>42276</v>
      </c>
      <c r="N31" s="4">
        <v>795.64499999999998</v>
      </c>
      <c r="O31" s="14">
        <v>42277</v>
      </c>
      <c r="P31" s="4">
        <v>1.1175999999999999</v>
      </c>
      <c r="Q31" s="14"/>
    </row>
    <row r="32" spans="9:17" x14ac:dyDescent="0.75">
      <c r="I32" s="14">
        <v>42275</v>
      </c>
      <c r="J32" s="4">
        <v>20.59</v>
      </c>
      <c r="K32" s="14">
        <v>42275</v>
      </c>
      <c r="L32" s="4">
        <v>139.21</v>
      </c>
      <c r="M32" s="14">
        <v>42275</v>
      </c>
      <c r="N32" s="4">
        <v>788.42499999999995</v>
      </c>
      <c r="O32" s="14">
        <v>42276</v>
      </c>
      <c r="P32" s="4">
        <v>1.1245000000000001</v>
      </c>
      <c r="Q32" s="14"/>
    </row>
    <row r="33" spans="9:17" x14ac:dyDescent="0.75">
      <c r="I33" s="14">
        <v>42272</v>
      </c>
      <c r="J33" s="4">
        <v>21.125</v>
      </c>
      <c r="K33" s="14">
        <v>42272</v>
      </c>
      <c r="L33" s="4">
        <v>142.88</v>
      </c>
      <c r="M33" s="14">
        <v>42272</v>
      </c>
      <c r="N33" s="4">
        <v>799.29499999999996</v>
      </c>
      <c r="O33" s="14">
        <v>42275</v>
      </c>
      <c r="P33" s="4">
        <v>1.1243000000000001</v>
      </c>
      <c r="Q33" s="14"/>
    </row>
    <row r="34" spans="9:17" x14ac:dyDescent="0.75">
      <c r="I34" s="14">
        <v>42271</v>
      </c>
      <c r="J34" s="4">
        <v>20.445</v>
      </c>
      <c r="K34" s="14">
        <v>42271</v>
      </c>
      <c r="L34" s="4">
        <v>139.29</v>
      </c>
      <c r="M34" s="14">
        <v>42271</v>
      </c>
      <c r="N34" s="4">
        <v>791.06</v>
      </c>
      <c r="O34" s="14">
        <v>42272</v>
      </c>
      <c r="P34" s="4">
        <v>1.1194</v>
      </c>
      <c r="Q34" s="14"/>
    </row>
    <row r="35" spans="9:17" x14ac:dyDescent="0.75">
      <c r="I35" s="14">
        <v>42270</v>
      </c>
      <c r="J35" s="4">
        <v>20.864999999999998</v>
      </c>
      <c r="K35" s="14">
        <v>42270</v>
      </c>
      <c r="L35" s="4">
        <v>142.41</v>
      </c>
      <c r="M35" s="14">
        <v>42270</v>
      </c>
      <c r="N35" s="4">
        <v>799.90499999999997</v>
      </c>
      <c r="O35" s="14">
        <v>42271</v>
      </c>
      <c r="P35" s="4">
        <v>1.1229</v>
      </c>
      <c r="Q35" s="14"/>
    </row>
    <row r="36" spans="9:17" x14ac:dyDescent="0.75">
      <c r="I36" s="14">
        <v>42269</v>
      </c>
      <c r="J36" s="4">
        <v>20.92</v>
      </c>
      <c r="K36" s="14">
        <v>42269</v>
      </c>
      <c r="L36" s="4">
        <v>142.59</v>
      </c>
      <c r="M36" s="14">
        <v>42269</v>
      </c>
      <c r="N36" s="4">
        <v>790.31</v>
      </c>
      <c r="O36" s="14">
        <v>42270</v>
      </c>
      <c r="P36" s="4">
        <v>1.1185</v>
      </c>
      <c r="Q36" s="14"/>
    </row>
    <row r="37" spans="9:17" x14ac:dyDescent="0.75">
      <c r="I37" s="14">
        <v>42268</v>
      </c>
      <c r="J37" s="4">
        <v>21.53</v>
      </c>
      <c r="K37" s="14">
        <v>42268</v>
      </c>
      <c r="L37" s="4">
        <v>145.30000000000001</v>
      </c>
      <c r="M37" s="14">
        <v>42268</v>
      </c>
      <c r="N37" s="4">
        <v>800.83</v>
      </c>
      <c r="O37" s="14">
        <v>42269</v>
      </c>
      <c r="P37" s="4">
        <v>1.1117999999999999</v>
      </c>
      <c r="Q37" s="14"/>
    </row>
    <row r="38" spans="9:17" x14ac:dyDescent="0.75">
      <c r="I38" s="14">
        <v>42265</v>
      </c>
      <c r="J38" s="4">
        <v>21.31</v>
      </c>
      <c r="K38" s="14">
        <v>42265</v>
      </c>
      <c r="L38" s="4">
        <v>143.44</v>
      </c>
      <c r="M38" s="14">
        <v>42265</v>
      </c>
      <c r="N38" s="4">
        <v>797.66</v>
      </c>
      <c r="O38" s="14">
        <v>42268</v>
      </c>
      <c r="P38" s="4">
        <v>1.1186</v>
      </c>
      <c r="Q38" s="14"/>
    </row>
    <row r="39" spans="9:17" x14ac:dyDescent="0.75">
      <c r="I39" s="14">
        <v>42264</v>
      </c>
      <c r="J39" s="4">
        <v>21.85</v>
      </c>
      <c r="K39" s="14">
        <v>42264</v>
      </c>
      <c r="L39" s="4">
        <v>145.83000000000001</v>
      </c>
      <c r="M39" s="14">
        <v>42264</v>
      </c>
      <c r="N39" s="4">
        <v>816.93</v>
      </c>
      <c r="O39" s="14">
        <v>42265</v>
      </c>
      <c r="P39" s="4">
        <v>1.1305000000000001</v>
      </c>
      <c r="Q39" s="14"/>
    </row>
    <row r="40" spans="9:17" x14ac:dyDescent="0.75">
      <c r="I40" s="14">
        <v>42263</v>
      </c>
      <c r="J40" s="4">
        <v>21.8</v>
      </c>
      <c r="K40" s="14">
        <v>42263</v>
      </c>
      <c r="L40" s="4">
        <v>145.77000000000001</v>
      </c>
      <c r="M40" s="14">
        <v>42263</v>
      </c>
      <c r="N40" s="4">
        <v>816.93</v>
      </c>
      <c r="O40" s="14">
        <v>42264</v>
      </c>
      <c r="P40" s="4">
        <v>1.1435</v>
      </c>
      <c r="Q40" s="14"/>
    </row>
    <row r="41" spans="9:17" x14ac:dyDescent="0.75">
      <c r="I41" s="14">
        <v>42262</v>
      </c>
      <c r="J41" s="4">
        <v>21.62</v>
      </c>
      <c r="K41" s="14">
        <v>42262</v>
      </c>
      <c r="L41" s="4">
        <v>144.13999999999999</v>
      </c>
      <c r="M41" s="14">
        <v>42262</v>
      </c>
      <c r="N41" s="4">
        <v>802.07500000000005</v>
      </c>
      <c r="O41" s="14">
        <v>42263</v>
      </c>
      <c r="P41" s="4">
        <v>1.1289</v>
      </c>
      <c r="Q41" s="14"/>
    </row>
    <row r="42" spans="9:17" x14ac:dyDescent="0.75">
      <c r="I42" s="14">
        <v>42261</v>
      </c>
      <c r="J42" s="4">
        <v>21.28</v>
      </c>
      <c r="K42" s="14">
        <v>42261</v>
      </c>
      <c r="L42" s="4">
        <v>142.72999999999999</v>
      </c>
      <c r="M42" s="14">
        <v>42261</v>
      </c>
      <c r="N42" s="4">
        <v>802.51</v>
      </c>
      <c r="O42" s="14">
        <v>42262</v>
      </c>
      <c r="P42" s="4">
        <v>1.1266</v>
      </c>
      <c r="Q42" s="14"/>
    </row>
    <row r="43" spans="9:17" x14ac:dyDescent="0.75">
      <c r="I43" s="14">
        <v>42258</v>
      </c>
      <c r="J43" s="4">
        <v>21.515000000000001</v>
      </c>
      <c r="K43" s="14">
        <v>42258</v>
      </c>
      <c r="L43" s="4">
        <v>142.26</v>
      </c>
      <c r="M43" s="14">
        <v>42258</v>
      </c>
      <c r="N43" s="4">
        <v>805.63499999999999</v>
      </c>
      <c r="O43" s="14">
        <v>42261</v>
      </c>
      <c r="P43" s="4">
        <v>1.1317999999999999</v>
      </c>
      <c r="Q43" s="14"/>
    </row>
    <row r="44" spans="9:17" x14ac:dyDescent="0.75">
      <c r="I44" s="14">
        <v>42257</v>
      </c>
      <c r="J44" s="4">
        <v>21.7</v>
      </c>
      <c r="K44" s="14">
        <v>42257</v>
      </c>
      <c r="L44" s="4">
        <v>143.56</v>
      </c>
      <c r="M44" s="14">
        <v>42257</v>
      </c>
      <c r="N44" s="4">
        <v>812.86500000000001</v>
      </c>
      <c r="O44" s="14">
        <v>42258</v>
      </c>
      <c r="P44" s="4">
        <v>1.1338999999999999</v>
      </c>
      <c r="Q44" s="14"/>
    </row>
    <row r="45" spans="9:17" x14ac:dyDescent="0.75">
      <c r="I45" s="14">
        <v>42256</v>
      </c>
      <c r="J45" s="4">
        <v>21.885000000000002</v>
      </c>
      <c r="K45" s="14">
        <v>42256</v>
      </c>
      <c r="L45" s="4">
        <v>146.52000000000001</v>
      </c>
      <c r="M45" s="14">
        <v>42256</v>
      </c>
      <c r="N45" s="4">
        <v>810.59500000000003</v>
      </c>
      <c r="O45" s="14">
        <v>42257</v>
      </c>
      <c r="P45" s="4">
        <v>1.1275999999999999</v>
      </c>
      <c r="Q45" s="14"/>
    </row>
    <row r="46" spans="9:17" x14ac:dyDescent="0.75">
      <c r="I46" s="14">
        <v>42255</v>
      </c>
      <c r="J46" s="4">
        <v>21.66</v>
      </c>
      <c r="K46" s="14">
        <v>42255</v>
      </c>
      <c r="L46" s="4">
        <v>144.41</v>
      </c>
      <c r="M46" s="14">
        <v>42255</v>
      </c>
      <c r="N46" s="4">
        <v>814.06500000000005</v>
      </c>
      <c r="O46" s="14">
        <v>42256</v>
      </c>
      <c r="P46" s="4">
        <v>1.1204000000000001</v>
      </c>
      <c r="Q46" s="14"/>
    </row>
    <row r="47" spans="9:17" x14ac:dyDescent="0.75">
      <c r="I47" s="14">
        <v>42254</v>
      </c>
      <c r="J47" s="4">
        <v>21.38</v>
      </c>
      <c r="K47" s="14">
        <v>42254</v>
      </c>
      <c r="L47" s="4">
        <v>143.28</v>
      </c>
      <c r="M47" s="14">
        <v>42254</v>
      </c>
      <c r="N47" s="4">
        <v>797.54</v>
      </c>
      <c r="O47" s="14">
        <v>42255</v>
      </c>
      <c r="P47" s="4">
        <v>1.1198999999999999</v>
      </c>
      <c r="Q47" s="14"/>
    </row>
    <row r="48" spans="9:17" x14ac:dyDescent="0.75">
      <c r="I48" s="14">
        <v>42251</v>
      </c>
      <c r="J48" s="4">
        <v>21.23</v>
      </c>
      <c r="K48" s="14">
        <v>42251</v>
      </c>
      <c r="L48" s="4">
        <v>142.88</v>
      </c>
      <c r="M48" s="14">
        <v>42251</v>
      </c>
      <c r="N48" s="4">
        <v>808.63499999999999</v>
      </c>
      <c r="O48" s="14">
        <v>42254</v>
      </c>
      <c r="P48" s="4">
        <v>1.1167</v>
      </c>
      <c r="Q48" s="14"/>
    </row>
    <row r="49" spans="9:17" x14ac:dyDescent="0.75">
      <c r="I49" s="14">
        <v>42250</v>
      </c>
      <c r="J49" s="4">
        <v>21.91</v>
      </c>
      <c r="K49" s="14">
        <v>42250</v>
      </c>
      <c r="L49" s="4">
        <v>146.26</v>
      </c>
      <c r="M49" s="14">
        <v>42250</v>
      </c>
      <c r="N49" s="4">
        <v>821.79499999999996</v>
      </c>
      <c r="O49" s="14">
        <v>42251</v>
      </c>
      <c r="P49" s="4">
        <v>1.1146</v>
      </c>
      <c r="Q49" s="14"/>
    </row>
    <row r="50" spans="9:17" x14ac:dyDescent="0.75">
      <c r="I50" s="14">
        <v>42249</v>
      </c>
      <c r="J50" s="4">
        <v>21.34</v>
      </c>
      <c r="K50" s="14">
        <v>42249</v>
      </c>
      <c r="L50" s="4">
        <v>142.16999999999999</v>
      </c>
      <c r="M50" s="14">
        <v>42249</v>
      </c>
      <c r="N50" s="4">
        <v>798.93499999999995</v>
      </c>
      <c r="O50" s="14">
        <v>42250</v>
      </c>
      <c r="P50" s="4">
        <v>1.1121000000000001</v>
      </c>
      <c r="Q50" s="14"/>
    </row>
    <row r="51" spans="9:17" x14ac:dyDescent="0.75">
      <c r="I51" s="14">
        <v>42248</v>
      </c>
      <c r="J51" s="4">
        <v>21.26</v>
      </c>
      <c r="K51" s="14">
        <v>42248</v>
      </c>
      <c r="L51" s="4">
        <v>142.41</v>
      </c>
      <c r="M51" s="14">
        <v>42248</v>
      </c>
      <c r="N51" s="4">
        <v>808.93</v>
      </c>
      <c r="O51" s="14">
        <v>42249</v>
      </c>
      <c r="P51" s="4">
        <v>1.1226</v>
      </c>
      <c r="Q51" s="14"/>
    </row>
    <row r="52" spans="9:17" x14ac:dyDescent="0.75">
      <c r="I52" s="14">
        <v>42247</v>
      </c>
      <c r="J52" s="4">
        <v>21.745000000000001</v>
      </c>
      <c r="K52" s="14">
        <v>42247</v>
      </c>
      <c r="L52" s="4">
        <v>146.43</v>
      </c>
      <c r="M52" s="14">
        <v>42244</v>
      </c>
      <c r="N52" s="4">
        <v>811.625</v>
      </c>
      <c r="O52" s="14">
        <v>42248</v>
      </c>
      <c r="P52" s="4">
        <v>1.1316999999999999</v>
      </c>
      <c r="Q52" s="14"/>
    </row>
    <row r="53" spans="9:17" x14ac:dyDescent="0.75">
      <c r="I53" s="14">
        <v>42244</v>
      </c>
      <c r="J53" s="4">
        <v>21.83</v>
      </c>
      <c r="K53" s="14">
        <v>42244</v>
      </c>
      <c r="L53" s="4">
        <v>147.80000000000001</v>
      </c>
      <c r="M53" s="14">
        <v>42243</v>
      </c>
      <c r="N53" s="4">
        <v>789.18499999999995</v>
      </c>
      <c r="O53" s="14">
        <v>42247</v>
      </c>
      <c r="P53" s="4">
        <v>1.1211</v>
      </c>
      <c r="Q53" s="14"/>
    </row>
    <row r="54" spans="9:17" x14ac:dyDescent="0.75">
      <c r="I54" s="14">
        <v>42243</v>
      </c>
      <c r="J54" s="4">
        <v>21.875</v>
      </c>
      <c r="K54" s="14">
        <v>42243</v>
      </c>
      <c r="L54" s="4">
        <v>146.18</v>
      </c>
      <c r="M54" s="14">
        <v>42242</v>
      </c>
      <c r="N54" s="4">
        <v>767.65499999999997</v>
      </c>
      <c r="O54" s="14">
        <v>42244</v>
      </c>
      <c r="P54" s="4">
        <v>1.1178999999999999</v>
      </c>
      <c r="Q54" s="14"/>
    </row>
    <row r="55" spans="9:17" x14ac:dyDescent="0.75">
      <c r="I55" s="14">
        <v>42242</v>
      </c>
      <c r="J55" s="4">
        <v>21.19</v>
      </c>
      <c r="K55" s="14">
        <v>42242</v>
      </c>
      <c r="L55" s="4">
        <v>138.83000000000001</v>
      </c>
      <c r="M55" s="14">
        <v>42241</v>
      </c>
      <c r="N55" s="4">
        <v>775.98</v>
      </c>
      <c r="O55" s="14">
        <v>42243</v>
      </c>
      <c r="P55" s="4">
        <v>1.1243000000000001</v>
      </c>
      <c r="Q55" s="14"/>
    </row>
    <row r="56" spans="9:17" x14ac:dyDescent="0.75">
      <c r="I56" s="14">
        <v>42241</v>
      </c>
      <c r="J56" s="4">
        <v>21.315000000000001</v>
      </c>
      <c r="K56" s="14">
        <v>42241</v>
      </c>
      <c r="L56" s="4">
        <v>141.78</v>
      </c>
      <c r="M56" s="14">
        <v>42240</v>
      </c>
      <c r="N56" s="4">
        <v>767.63499999999999</v>
      </c>
      <c r="O56" s="14">
        <v>42242</v>
      </c>
      <c r="P56" s="4">
        <v>1.1315</v>
      </c>
      <c r="Q56" s="14"/>
    </row>
    <row r="57" spans="9:17" x14ac:dyDescent="0.75">
      <c r="I57" s="14">
        <v>42240</v>
      </c>
      <c r="J57" s="4">
        <v>20.28</v>
      </c>
      <c r="K57" s="14">
        <v>42240</v>
      </c>
      <c r="L57" s="4">
        <v>136.47</v>
      </c>
      <c r="M57" s="14">
        <v>42237</v>
      </c>
      <c r="N57" s="4">
        <v>787.39</v>
      </c>
      <c r="O57" s="14">
        <v>42241</v>
      </c>
      <c r="P57" s="4">
        <v>1.1514</v>
      </c>
      <c r="Q57" s="14"/>
    </row>
    <row r="58" spans="9:17" x14ac:dyDescent="0.75">
      <c r="I58" s="14">
        <v>42237</v>
      </c>
      <c r="J58" s="4">
        <v>21.475000000000001</v>
      </c>
      <c r="K58" s="14">
        <v>42237</v>
      </c>
      <c r="L58" s="4">
        <v>145.44</v>
      </c>
      <c r="M58" s="14">
        <v>42236</v>
      </c>
      <c r="N58" s="4">
        <v>803.875</v>
      </c>
      <c r="O58" s="14">
        <v>42240</v>
      </c>
      <c r="P58" s="4">
        <v>1.1617999999999999</v>
      </c>
      <c r="Q58" s="14"/>
    </row>
    <row r="59" spans="9:17" x14ac:dyDescent="0.75">
      <c r="I59" s="14">
        <v>42236</v>
      </c>
      <c r="J59" s="4">
        <v>22.13</v>
      </c>
      <c r="K59" s="14">
        <v>42236</v>
      </c>
      <c r="L59" s="4">
        <v>151.44</v>
      </c>
      <c r="M59" s="14">
        <v>42235</v>
      </c>
      <c r="N59" s="4">
        <v>799.59500000000003</v>
      </c>
      <c r="O59" s="14">
        <v>42237</v>
      </c>
      <c r="P59" s="4">
        <v>1.1387</v>
      </c>
      <c r="Q59" s="14"/>
    </row>
    <row r="60" spans="9:17" x14ac:dyDescent="0.75">
      <c r="I60" s="14">
        <v>42235</v>
      </c>
      <c r="J60" s="4">
        <v>22.704999999999998</v>
      </c>
      <c r="K60" s="14">
        <v>42235</v>
      </c>
      <c r="L60" s="4">
        <v>154.85</v>
      </c>
      <c r="M60" s="14">
        <v>42234</v>
      </c>
      <c r="N60" s="4">
        <v>807.45500000000004</v>
      </c>
      <c r="O60" s="14">
        <v>42236</v>
      </c>
      <c r="P60" s="4">
        <v>1.1241000000000001</v>
      </c>
      <c r="Q60" s="14"/>
    </row>
    <row r="61" spans="9:17" x14ac:dyDescent="0.75">
      <c r="I61" s="14">
        <v>42234</v>
      </c>
      <c r="J61" s="4">
        <v>23.12</v>
      </c>
      <c r="K61" s="14">
        <v>42234</v>
      </c>
      <c r="L61" s="4">
        <v>157.29</v>
      </c>
      <c r="M61" s="14">
        <v>42233</v>
      </c>
      <c r="N61" s="4">
        <v>815.94</v>
      </c>
      <c r="O61" s="14">
        <v>42235</v>
      </c>
      <c r="P61" s="4">
        <v>1.1116999999999999</v>
      </c>
      <c r="Q61" s="14"/>
    </row>
    <row r="62" spans="9:17" x14ac:dyDescent="0.75">
      <c r="I62" s="14">
        <v>42233</v>
      </c>
      <c r="J62" s="4">
        <v>23.13</v>
      </c>
      <c r="K62" s="14">
        <v>42233</v>
      </c>
      <c r="L62" s="4">
        <v>156.80000000000001</v>
      </c>
      <c r="M62" s="14">
        <v>42230</v>
      </c>
      <c r="N62" s="4">
        <v>818.91499999999996</v>
      </c>
      <c r="O62" s="14">
        <v>42234</v>
      </c>
      <c r="P62" s="4">
        <v>1.1017999999999999</v>
      </c>
      <c r="Q62" s="14"/>
    </row>
    <row r="63" spans="9:17" x14ac:dyDescent="0.75">
      <c r="I63" s="14">
        <v>42230</v>
      </c>
      <c r="J63" s="4">
        <v>22.984999999999999</v>
      </c>
      <c r="K63" s="14">
        <v>42230</v>
      </c>
      <c r="L63" s="4">
        <v>155.76</v>
      </c>
      <c r="M63" s="14">
        <v>42229</v>
      </c>
      <c r="N63" s="4">
        <v>817.91499999999996</v>
      </c>
      <c r="O63" s="14">
        <v>42233</v>
      </c>
      <c r="P63" s="4">
        <v>1.1080000000000001</v>
      </c>
      <c r="Q63" s="14"/>
    </row>
    <row r="64" spans="9:17" x14ac:dyDescent="0.75">
      <c r="I64" s="14">
        <v>42229</v>
      </c>
      <c r="J64" s="4">
        <v>23.125</v>
      </c>
      <c r="K64" s="14">
        <v>42229</v>
      </c>
      <c r="L64" s="4">
        <v>155.56</v>
      </c>
      <c r="M64" s="14">
        <v>42228</v>
      </c>
      <c r="N64" s="4">
        <v>827.64</v>
      </c>
      <c r="O64" s="14">
        <v>42230</v>
      </c>
      <c r="P64" s="4">
        <v>1.1106</v>
      </c>
      <c r="Q64" s="14"/>
    </row>
    <row r="65" spans="9:17" x14ac:dyDescent="0.75">
      <c r="I65" s="14">
        <v>42228</v>
      </c>
      <c r="J65" s="4">
        <v>22.765000000000001</v>
      </c>
      <c r="K65" s="14">
        <v>42228</v>
      </c>
      <c r="L65" s="4">
        <v>153.30000000000001</v>
      </c>
      <c r="M65" s="14">
        <v>42227</v>
      </c>
      <c r="N65" s="4">
        <v>821.18499999999995</v>
      </c>
      <c r="O65" s="14">
        <v>42229</v>
      </c>
      <c r="P65" s="4">
        <v>1.1148</v>
      </c>
      <c r="Q65" s="14"/>
    </row>
    <row r="66" spans="9:17" x14ac:dyDescent="0.75">
      <c r="I66" s="14">
        <v>42227</v>
      </c>
      <c r="J66" s="4">
        <v>23.46</v>
      </c>
      <c r="K66" s="14">
        <v>42227</v>
      </c>
      <c r="L66" s="4">
        <v>156.88999999999999</v>
      </c>
      <c r="M66" s="14">
        <v>42226</v>
      </c>
      <c r="N66" s="4">
        <v>834.48500000000001</v>
      </c>
      <c r="O66" s="14">
        <v>42228</v>
      </c>
      <c r="P66" s="4">
        <v>1.1155999999999999</v>
      </c>
      <c r="Q66" s="14"/>
    </row>
    <row r="67" spans="9:17" x14ac:dyDescent="0.75">
      <c r="I67" s="14">
        <v>42226</v>
      </c>
      <c r="J67" s="4">
        <v>23.7</v>
      </c>
      <c r="K67" s="14">
        <v>42226</v>
      </c>
      <c r="L67" s="4">
        <v>159.66999999999999</v>
      </c>
      <c r="M67" s="14">
        <v>42223</v>
      </c>
      <c r="N67" s="4">
        <v>821.22500000000002</v>
      </c>
      <c r="O67" s="14">
        <v>42227</v>
      </c>
      <c r="P67" s="4">
        <v>1.1040000000000001</v>
      </c>
      <c r="Q67" s="14"/>
    </row>
    <row r="68" spans="9:17" x14ac:dyDescent="0.75">
      <c r="I68" s="14">
        <v>42223</v>
      </c>
      <c r="J68" s="4">
        <v>23.43</v>
      </c>
      <c r="K68" s="14">
        <v>42223</v>
      </c>
      <c r="L68" s="4">
        <v>158.22</v>
      </c>
      <c r="M68" s="14">
        <v>42222</v>
      </c>
      <c r="N68" s="4">
        <v>818.91</v>
      </c>
      <c r="O68" s="14">
        <v>42226</v>
      </c>
      <c r="P68" s="4">
        <v>1.1015999999999999</v>
      </c>
      <c r="Q68" s="14"/>
    </row>
    <row r="69" spans="9:17" x14ac:dyDescent="0.75">
      <c r="I69" s="14">
        <v>42222</v>
      </c>
      <c r="J69" s="4">
        <v>23.51</v>
      </c>
      <c r="K69" s="14">
        <v>42222</v>
      </c>
      <c r="L69" s="4">
        <v>159.59</v>
      </c>
      <c r="M69" s="14">
        <v>42221</v>
      </c>
      <c r="N69" s="4">
        <v>828.10500000000002</v>
      </c>
      <c r="O69" s="14">
        <v>42223</v>
      </c>
      <c r="P69" s="4">
        <v>1.0965</v>
      </c>
      <c r="Q69" s="14"/>
    </row>
    <row r="70" spans="9:17" x14ac:dyDescent="0.75">
      <c r="I70" s="14">
        <v>42221</v>
      </c>
      <c r="J70" s="4">
        <v>23.62</v>
      </c>
      <c r="K70" s="14">
        <v>42221</v>
      </c>
      <c r="L70" s="4">
        <v>161.80000000000001</v>
      </c>
      <c r="M70" s="14">
        <v>42220</v>
      </c>
      <c r="N70" s="4">
        <v>830.38</v>
      </c>
      <c r="O70" s="14">
        <v>42222</v>
      </c>
      <c r="P70" s="4">
        <v>1.0923</v>
      </c>
      <c r="Q70" s="14"/>
    </row>
    <row r="71" spans="9:17" x14ac:dyDescent="0.75">
      <c r="I71" s="14">
        <v>42220</v>
      </c>
      <c r="J71" s="4">
        <v>23.225000000000001</v>
      </c>
      <c r="K71" s="14">
        <v>42220</v>
      </c>
      <c r="L71" s="4">
        <v>159.68</v>
      </c>
      <c r="M71" s="14">
        <v>42219</v>
      </c>
      <c r="N71" s="4">
        <v>826.63499999999999</v>
      </c>
      <c r="O71" s="14">
        <v>42221</v>
      </c>
      <c r="P71" s="4">
        <v>1.0904</v>
      </c>
      <c r="Q71" s="14"/>
    </row>
    <row r="72" spans="9:17" x14ac:dyDescent="0.75">
      <c r="I72" s="14">
        <v>42219</v>
      </c>
      <c r="J72" s="4">
        <v>23.46</v>
      </c>
      <c r="K72" s="14">
        <v>42219</v>
      </c>
      <c r="L72" s="4">
        <v>159.93</v>
      </c>
      <c r="M72" s="14">
        <v>42216</v>
      </c>
      <c r="N72" s="4">
        <v>844.17</v>
      </c>
      <c r="O72" s="14">
        <v>42220</v>
      </c>
      <c r="P72" s="4">
        <v>1.0880000000000001</v>
      </c>
      <c r="Q72" s="14"/>
    </row>
    <row r="73" spans="9:17" x14ac:dyDescent="0.75">
      <c r="I73" s="14">
        <v>42216</v>
      </c>
      <c r="J73" s="4">
        <v>23.274999999999999</v>
      </c>
      <c r="K73" s="14">
        <v>42216</v>
      </c>
      <c r="L73" s="4">
        <v>159.41</v>
      </c>
      <c r="M73" s="14">
        <v>42215</v>
      </c>
      <c r="N73" s="4">
        <v>850.37</v>
      </c>
      <c r="O73" s="14">
        <v>42219</v>
      </c>
      <c r="P73" s="4">
        <v>1.0949</v>
      </c>
      <c r="Q73" s="14"/>
    </row>
    <row r="74" spans="9:17" x14ac:dyDescent="0.75">
      <c r="I74" s="14">
        <v>42215</v>
      </c>
      <c r="J74" s="4">
        <v>23.14</v>
      </c>
      <c r="K74" s="14">
        <v>42215</v>
      </c>
      <c r="L74" s="4">
        <v>159.94</v>
      </c>
      <c r="M74" s="14">
        <v>42214</v>
      </c>
      <c r="N74" s="4">
        <v>854.57500000000005</v>
      </c>
      <c r="O74" s="14">
        <v>42216</v>
      </c>
      <c r="P74" s="4">
        <v>1.0987</v>
      </c>
      <c r="Q74" s="14"/>
    </row>
    <row r="75" spans="9:17" x14ac:dyDescent="0.75">
      <c r="I75" s="14">
        <v>42214</v>
      </c>
      <c r="J75" s="4">
        <v>23.015000000000001</v>
      </c>
      <c r="K75" s="14">
        <v>42214</v>
      </c>
      <c r="L75" s="4">
        <v>158.44</v>
      </c>
      <c r="M75" s="14">
        <v>42213</v>
      </c>
      <c r="N75" s="4">
        <v>850.80499999999995</v>
      </c>
      <c r="O75" s="14">
        <v>42215</v>
      </c>
      <c r="P75" s="4">
        <v>1.0931</v>
      </c>
      <c r="Q75" s="14"/>
    </row>
    <row r="76" spans="9:17" x14ac:dyDescent="0.75">
      <c r="I76" s="14">
        <v>42213</v>
      </c>
      <c r="J76" s="4">
        <v>23.05</v>
      </c>
      <c r="K76" s="14">
        <v>42213</v>
      </c>
      <c r="L76" s="4">
        <v>156.57</v>
      </c>
      <c r="M76" s="14">
        <v>42212</v>
      </c>
      <c r="N76" s="4">
        <v>845.45500000000004</v>
      </c>
      <c r="O76" s="14">
        <v>42214</v>
      </c>
      <c r="P76" s="4">
        <v>1.0984</v>
      </c>
      <c r="Q76" s="14"/>
    </row>
    <row r="77" spans="9:17" x14ac:dyDescent="0.75">
      <c r="I77" s="14">
        <v>42212</v>
      </c>
      <c r="J77" s="4">
        <v>22.59</v>
      </c>
      <c r="K77" s="14">
        <v>42212</v>
      </c>
      <c r="L77" s="4">
        <v>155</v>
      </c>
      <c r="M77" s="14">
        <v>42209</v>
      </c>
      <c r="N77" s="4">
        <v>854.42499999999995</v>
      </c>
      <c r="O77" s="14">
        <v>42213</v>
      </c>
      <c r="P77" s="4">
        <v>1.1057999999999999</v>
      </c>
      <c r="Q77" s="14"/>
    </row>
    <row r="78" spans="9:17" x14ac:dyDescent="0.75">
      <c r="I78" s="14">
        <v>42209</v>
      </c>
      <c r="J78" s="4">
        <v>23.29</v>
      </c>
      <c r="K78" s="14">
        <v>42209</v>
      </c>
      <c r="L78" s="4">
        <v>158.71</v>
      </c>
      <c r="M78" s="14">
        <v>42208</v>
      </c>
      <c r="N78" s="4">
        <v>865.91</v>
      </c>
      <c r="O78" s="14">
        <v>42212</v>
      </c>
      <c r="P78" s="4">
        <v>1.1091</v>
      </c>
      <c r="Q78" s="14"/>
    </row>
    <row r="79" spans="9:17" x14ac:dyDescent="0.75">
      <c r="I79" s="14">
        <v>42208</v>
      </c>
      <c r="J79" s="4">
        <v>23.405000000000001</v>
      </c>
      <c r="K79" s="14">
        <v>42208</v>
      </c>
      <c r="L79" s="4">
        <v>159.87</v>
      </c>
      <c r="M79" s="14">
        <v>42207</v>
      </c>
      <c r="N79" s="4">
        <v>875.46</v>
      </c>
      <c r="O79" s="14">
        <v>42209</v>
      </c>
      <c r="P79" s="4">
        <v>1.0982000000000001</v>
      </c>
      <c r="Q79" s="14"/>
    </row>
    <row r="80" spans="9:17" x14ac:dyDescent="0.75">
      <c r="I80" s="14">
        <v>42207</v>
      </c>
      <c r="J80" s="4">
        <v>23.45</v>
      </c>
      <c r="K80" s="14">
        <v>42207</v>
      </c>
      <c r="L80" s="4">
        <v>160.94999999999999</v>
      </c>
      <c r="M80" s="14">
        <v>42206</v>
      </c>
      <c r="N80" s="4">
        <v>880.44500000000005</v>
      </c>
      <c r="O80" s="14">
        <v>42208</v>
      </c>
      <c r="P80" s="4">
        <v>1.0981000000000001</v>
      </c>
      <c r="Q80" s="14"/>
    </row>
    <row r="81" spans="9:17" x14ac:dyDescent="0.75">
      <c r="I81" s="14">
        <v>42206</v>
      </c>
      <c r="J81" s="4">
        <v>23.465</v>
      </c>
      <c r="K81" s="14">
        <v>42206</v>
      </c>
      <c r="L81" s="4">
        <v>161.46</v>
      </c>
      <c r="M81" s="14">
        <v>42205</v>
      </c>
      <c r="N81" s="4">
        <v>882.12</v>
      </c>
      <c r="O81" s="14">
        <v>42207</v>
      </c>
      <c r="P81" s="4">
        <v>1.0932999999999999</v>
      </c>
      <c r="Q81" s="14"/>
    </row>
    <row r="82" spans="9:17" x14ac:dyDescent="0.75">
      <c r="I82" s="14">
        <v>42205</v>
      </c>
      <c r="J82" s="4">
        <v>23.765000000000001</v>
      </c>
      <c r="K82" s="14">
        <v>42205</v>
      </c>
      <c r="L82" s="4">
        <v>163.29</v>
      </c>
      <c r="M82" s="14">
        <v>42202</v>
      </c>
      <c r="N82" s="4">
        <v>887.51499999999999</v>
      </c>
      <c r="O82" s="14">
        <v>42206</v>
      </c>
      <c r="P82" s="4">
        <v>1.0935999999999999</v>
      </c>
      <c r="Q82" s="14"/>
    </row>
    <row r="83" spans="9:17" x14ac:dyDescent="0.75">
      <c r="I83" s="14">
        <v>42202</v>
      </c>
      <c r="J83" s="4">
        <v>23.495000000000001</v>
      </c>
      <c r="K83" s="14">
        <v>42202</v>
      </c>
      <c r="L83" s="4">
        <v>162.91</v>
      </c>
      <c r="M83" s="14">
        <v>42201</v>
      </c>
      <c r="N83" s="4">
        <v>898.005</v>
      </c>
      <c r="O83" s="14">
        <v>42205</v>
      </c>
      <c r="P83" s="4">
        <v>1.0825</v>
      </c>
      <c r="Q83" s="14"/>
    </row>
    <row r="84" spans="9:17" x14ac:dyDescent="0.75">
      <c r="I84" s="14">
        <v>42201</v>
      </c>
      <c r="J84" s="4">
        <v>23.535</v>
      </c>
      <c r="K84" s="14">
        <v>42201</v>
      </c>
      <c r="L84" s="4">
        <v>162.41999999999999</v>
      </c>
      <c r="M84" s="14">
        <v>42200</v>
      </c>
      <c r="N84" s="4">
        <v>900.92499999999995</v>
      </c>
      <c r="O84" s="14">
        <v>42202</v>
      </c>
      <c r="P84" s="4">
        <v>1.0828</v>
      </c>
      <c r="Q84" s="14"/>
    </row>
    <row r="85" spans="9:17" x14ac:dyDescent="0.75">
      <c r="I85" s="14">
        <v>42200</v>
      </c>
      <c r="J85" s="4">
        <v>23.114999999999998</v>
      </c>
      <c r="K85" s="14">
        <v>42200</v>
      </c>
      <c r="L85" s="4">
        <v>160.79</v>
      </c>
      <c r="M85" s="14">
        <v>42199</v>
      </c>
      <c r="N85" s="4">
        <v>905.31500000000005</v>
      </c>
      <c r="O85" s="14">
        <v>42201</v>
      </c>
      <c r="P85" s="4">
        <v>1.0873999999999999</v>
      </c>
      <c r="Q85" s="14"/>
    </row>
    <row r="86" spans="9:17" x14ac:dyDescent="0.75">
      <c r="I86" s="14">
        <v>42199</v>
      </c>
      <c r="J86" s="4">
        <v>22.855</v>
      </c>
      <c r="K86" s="14">
        <v>42199</v>
      </c>
      <c r="L86" s="4">
        <v>159.66</v>
      </c>
      <c r="M86" s="14">
        <v>42198</v>
      </c>
      <c r="N86" s="4">
        <v>908.47500000000002</v>
      </c>
      <c r="O86" s="14">
        <v>42200</v>
      </c>
      <c r="P86" s="4">
        <v>1.0947</v>
      </c>
      <c r="Q86" s="14"/>
    </row>
    <row r="87" spans="9:17" x14ac:dyDescent="0.75">
      <c r="I87" s="14">
        <v>42198</v>
      </c>
      <c r="J87" s="4">
        <v>22.885000000000002</v>
      </c>
      <c r="K87" s="14">
        <v>42198</v>
      </c>
      <c r="L87" s="4">
        <v>158.66999999999999</v>
      </c>
      <c r="M87" s="14">
        <v>42195</v>
      </c>
      <c r="N87" s="4">
        <v>902.45</v>
      </c>
      <c r="O87" s="14">
        <v>42199</v>
      </c>
      <c r="P87" s="4">
        <v>1.1009</v>
      </c>
      <c r="Q87" s="14"/>
    </row>
    <row r="88" spans="9:17" x14ac:dyDescent="0.75">
      <c r="I88" s="14">
        <v>42195</v>
      </c>
      <c r="J88" s="4">
        <v>22.635000000000002</v>
      </c>
      <c r="K88" s="14">
        <v>42195</v>
      </c>
      <c r="L88" s="4">
        <v>155.53</v>
      </c>
      <c r="M88" s="14">
        <v>42194</v>
      </c>
      <c r="N88" s="4">
        <v>903.03</v>
      </c>
      <c r="O88" s="14">
        <v>42198</v>
      </c>
      <c r="P88" s="4">
        <v>1.1002000000000001</v>
      </c>
      <c r="Q88" s="14"/>
    </row>
    <row r="89" spans="9:17" x14ac:dyDescent="0.75">
      <c r="I89" s="14">
        <v>42194</v>
      </c>
      <c r="J89" s="4">
        <v>21.984999999999999</v>
      </c>
      <c r="K89" s="14">
        <v>42194</v>
      </c>
      <c r="L89" s="4">
        <v>155.13999999999999</v>
      </c>
      <c r="M89" s="14">
        <v>42193</v>
      </c>
      <c r="N89" s="4">
        <v>892.80499999999995</v>
      </c>
      <c r="O89" s="14">
        <v>42195</v>
      </c>
      <c r="P89" s="4">
        <v>1.1162000000000001</v>
      </c>
      <c r="Q89" s="14"/>
    </row>
    <row r="90" spans="9:17" x14ac:dyDescent="0.75">
      <c r="I90" s="14">
        <v>42193</v>
      </c>
      <c r="J90" s="4">
        <v>21.274999999999999</v>
      </c>
      <c r="K90" s="14">
        <v>42193</v>
      </c>
      <c r="L90" s="4">
        <v>153.47</v>
      </c>
      <c r="M90" s="14">
        <v>42192</v>
      </c>
      <c r="N90" s="4">
        <v>879.65499999999997</v>
      </c>
      <c r="O90" s="14">
        <v>42194</v>
      </c>
      <c r="P90" s="4">
        <v>1.1035999999999999</v>
      </c>
      <c r="Q90" s="14"/>
    </row>
    <row r="91" spans="9:17" x14ac:dyDescent="0.75">
      <c r="I91" s="14">
        <v>42192</v>
      </c>
      <c r="J91" s="4">
        <v>21.27</v>
      </c>
      <c r="K91" s="14">
        <v>42192</v>
      </c>
      <c r="L91" s="4">
        <v>157.09</v>
      </c>
      <c r="M91" s="14">
        <v>42191</v>
      </c>
      <c r="N91" s="4">
        <v>908.92</v>
      </c>
      <c r="O91" s="14">
        <v>42193</v>
      </c>
      <c r="P91" s="4">
        <v>1.1074999999999999</v>
      </c>
      <c r="Q91" s="14"/>
    </row>
    <row r="92" spans="9:17" x14ac:dyDescent="0.75">
      <c r="I92" s="14">
        <v>42191</v>
      </c>
      <c r="J92" s="4">
        <v>21.945</v>
      </c>
      <c r="K92" s="14">
        <v>42191</v>
      </c>
      <c r="L92" s="4">
        <v>158.09</v>
      </c>
      <c r="M92" s="14">
        <v>42188</v>
      </c>
      <c r="N92" s="4">
        <v>923.4</v>
      </c>
      <c r="O92" s="14">
        <v>42192</v>
      </c>
      <c r="P92" s="4">
        <v>1.101</v>
      </c>
      <c r="Q92" s="14"/>
    </row>
    <row r="93" spans="9:17" x14ac:dyDescent="0.75">
      <c r="I93" s="14">
        <v>42188</v>
      </c>
      <c r="J93" s="4">
        <v>22.87</v>
      </c>
      <c r="K93" s="14">
        <v>42188</v>
      </c>
      <c r="L93" s="4">
        <v>158.49</v>
      </c>
      <c r="M93" s="14">
        <v>42187</v>
      </c>
      <c r="N93" s="4">
        <v>935.28</v>
      </c>
      <c r="O93" s="14">
        <v>42191</v>
      </c>
      <c r="P93" s="4">
        <v>1.1054999999999999</v>
      </c>
      <c r="Q93" s="14"/>
    </row>
    <row r="94" spans="9:17" x14ac:dyDescent="0.75">
      <c r="I94" s="14">
        <v>42187</v>
      </c>
      <c r="J94" s="4">
        <v>22.99</v>
      </c>
      <c r="K94" s="14">
        <v>42187</v>
      </c>
      <c r="L94" s="4">
        <v>158.72999999999999</v>
      </c>
      <c r="M94" s="14">
        <v>42186</v>
      </c>
      <c r="N94" s="4">
        <v>935.28</v>
      </c>
      <c r="O94" s="14">
        <v>42188</v>
      </c>
      <c r="P94" s="4">
        <v>1.1112</v>
      </c>
      <c r="Q94" s="14"/>
    </row>
    <row r="95" spans="9:17" x14ac:dyDescent="0.75">
      <c r="I95" s="14">
        <v>42186</v>
      </c>
      <c r="J95" s="4">
        <v>23.274999999999999</v>
      </c>
      <c r="K95" s="14">
        <v>42186</v>
      </c>
      <c r="L95" s="4">
        <v>159.33000000000001</v>
      </c>
      <c r="M95" s="14">
        <v>42185</v>
      </c>
      <c r="N95" s="4">
        <v>926.57500000000005</v>
      </c>
      <c r="O95" s="14">
        <v>42187</v>
      </c>
      <c r="P95" s="4">
        <v>1.1083000000000001</v>
      </c>
      <c r="Q95" s="14"/>
    </row>
    <row r="96" spans="9:17" x14ac:dyDescent="0.75">
      <c r="I96" s="14">
        <v>42185</v>
      </c>
      <c r="J96" s="4">
        <v>22.864999999999998</v>
      </c>
      <c r="K96" s="14">
        <v>42185</v>
      </c>
      <c r="L96" s="4">
        <v>157.11000000000001</v>
      </c>
      <c r="M96" s="14">
        <v>42184</v>
      </c>
      <c r="N96" s="4">
        <v>924.58</v>
      </c>
      <c r="O96" s="14">
        <v>42186</v>
      </c>
      <c r="P96" s="4">
        <v>1.1052</v>
      </c>
      <c r="Q96" s="14"/>
    </row>
    <row r="97" spans="9:17" x14ac:dyDescent="0.75">
      <c r="I97" s="14">
        <v>42184</v>
      </c>
      <c r="J97" s="4">
        <v>22.88</v>
      </c>
      <c r="K97" s="14">
        <v>42184</v>
      </c>
      <c r="L97" s="4">
        <v>157.72</v>
      </c>
      <c r="M97" s="14">
        <v>42181</v>
      </c>
      <c r="N97" s="4">
        <v>928.08</v>
      </c>
      <c r="O97" s="14">
        <v>42185</v>
      </c>
      <c r="P97" s="4">
        <v>1.1134999999999999</v>
      </c>
      <c r="Q97" s="14"/>
    </row>
    <row r="98" spans="9:17" x14ac:dyDescent="0.75">
      <c r="I98" s="14">
        <v>42181</v>
      </c>
      <c r="J98" s="4">
        <v>24.175000000000001</v>
      </c>
      <c r="K98" s="14">
        <v>42181</v>
      </c>
      <c r="L98" s="4">
        <v>161.16999999999999</v>
      </c>
      <c r="M98" s="14">
        <v>42180</v>
      </c>
      <c r="N98" s="4">
        <v>922.67</v>
      </c>
      <c r="O98" s="14">
        <v>42184</v>
      </c>
      <c r="P98" s="4">
        <v>1.1234999999999999</v>
      </c>
      <c r="Q98" s="14"/>
    </row>
    <row r="99" spans="9:17" x14ac:dyDescent="0.75">
      <c r="I99" s="14">
        <v>42180</v>
      </c>
      <c r="J99" s="4">
        <v>24.024999999999999</v>
      </c>
      <c r="K99" s="14">
        <v>42180</v>
      </c>
      <c r="L99" s="4">
        <v>161.21</v>
      </c>
      <c r="M99" s="14">
        <v>42179</v>
      </c>
      <c r="N99" s="4">
        <v>928.37</v>
      </c>
      <c r="O99" s="14">
        <v>42181</v>
      </c>
      <c r="P99" s="4">
        <v>1.1164000000000001</v>
      </c>
      <c r="Q99" s="14"/>
    </row>
    <row r="100" spans="9:17" x14ac:dyDescent="0.75">
      <c r="I100" s="14">
        <v>42179</v>
      </c>
      <c r="J100" s="4">
        <v>23.81</v>
      </c>
      <c r="K100" s="14">
        <v>42179</v>
      </c>
      <c r="L100" s="4">
        <v>161.71</v>
      </c>
      <c r="M100" s="14">
        <v>42178</v>
      </c>
      <c r="N100" s="4">
        <v>927.18499999999995</v>
      </c>
      <c r="O100" s="14">
        <v>42180</v>
      </c>
      <c r="P100" s="4">
        <v>1.1204000000000001</v>
      </c>
      <c r="Q100" s="14"/>
    </row>
    <row r="101" spans="9:17" x14ac:dyDescent="0.75">
      <c r="I101" s="14">
        <v>42178</v>
      </c>
      <c r="J101" s="4">
        <v>23.945</v>
      </c>
      <c r="K101" s="14">
        <v>42178</v>
      </c>
      <c r="L101" s="4">
        <v>162.03</v>
      </c>
      <c r="M101" s="14">
        <v>42177</v>
      </c>
      <c r="N101" s="4">
        <v>914.16499999999996</v>
      </c>
      <c r="O101" s="14">
        <v>42179</v>
      </c>
      <c r="P101" s="4">
        <v>1.1205000000000001</v>
      </c>
      <c r="Q101" s="14"/>
    </row>
    <row r="102" spans="9:17" x14ac:dyDescent="0.75">
      <c r="I102" s="14">
        <v>42177</v>
      </c>
      <c r="J102" s="4">
        <v>23.855</v>
      </c>
      <c r="K102" s="14">
        <v>42177</v>
      </c>
      <c r="L102" s="4">
        <v>159.65</v>
      </c>
      <c r="M102" s="14">
        <v>42174</v>
      </c>
      <c r="N102" s="4">
        <v>911.85</v>
      </c>
      <c r="O102" s="14">
        <v>42178</v>
      </c>
      <c r="P102" s="4">
        <v>1.1169</v>
      </c>
      <c r="Q102" s="14"/>
    </row>
    <row r="103" spans="9:17" x14ac:dyDescent="0.75">
      <c r="I103" s="14">
        <v>42174</v>
      </c>
      <c r="J103" s="4">
        <v>22.92</v>
      </c>
      <c r="K103" s="14">
        <v>42174</v>
      </c>
      <c r="L103" s="4">
        <v>158.43</v>
      </c>
      <c r="M103" s="14">
        <v>42173</v>
      </c>
      <c r="N103" s="4">
        <v>926.16499999999996</v>
      </c>
      <c r="O103" s="14">
        <v>42177</v>
      </c>
      <c r="P103" s="4">
        <v>1.1339999999999999</v>
      </c>
      <c r="Q103" s="14"/>
    </row>
    <row r="104" spans="9:17" x14ac:dyDescent="0.75">
      <c r="I104" s="14">
        <v>42173</v>
      </c>
      <c r="J104" s="4">
        <v>22.725000000000001</v>
      </c>
      <c r="K104" s="14">
        <v>42173</v>
      </c>
      <c r="L104" s="4">
        <v>157.80000000000001</v>
      </c>
      <c r="M104" s="14">
        <v>42172</v>
      </c>
      <c r="N104" s="4">
        <v>924.31</v>
      </c>
      <c r="O104" s="14">
        <v>42174</v>
      </c>
      <c r="P104" s="4">
        <v>1.1352</v>
      </c>
      <c r="Q104" s="14"/>
    </row>
    <row r="105" spans="9:17" x14ac:dyDescent="0.75">
      <c r="I105" s="14">
        <v>42172</v>
      </c>
      <c r="J105" s="4">
        <v>22.475000000000001</v>
      </c>
      <c r="K105" s="14">
        <v>42172</v>
      </c>
      <c r="L105" s="4">
        <v>158.04</v>
      </c>
      <c r="M105" s="14">
        <v>42171</v>
      </c>
      <c r="N105" s="4">
        <v>918.29</v>
      </c>
      <c r="O105" s="14">
        <v>42173</v>
      </c>
      <c r="P105" s="4">
        <v>1.1357999999999999</v>
      </c>
      <c r="Q105" s="14"/>
    </row>
    <row r="106" spans="9:17" x14ac:dyDescent="0.75">
      <c r="I106" s="14">
        <v>42171</v>
      </c>
      <c r="J106" s="4">
        <v>22.64</v>
      </c>
      <c r="K106" s="14">
        <v>42171</v>
      </c>
      <c r="L106" s="4">
        <v>158.07</v>
      </c>
      <c r="M106" s="14">
        <v>42170</v>
      </c>
      <c r="N106" s="4">
        <v>919.51499999999999</v>
      </c>
      <c r="O106" s="14">
        <v>42172</v>
      </c>
      <c r="P106" s="4">
        <v>1.1335</v>
      </c>
      <c r="Q106" s="14"/>
    </row>
    <row r="107" spans="9:17" x14ac:dyDescent="0.75">
      <c r="I107" s="14">
        <v>42170</v>
      </c>
      <c r="J107" s="4">
        <v>22.585000000000001</v>
      </c>
      <c r="K107" s="14">
        <v>42170</v>
      </c>
      <c r="L107" s="4">
        <v>157.37</v>
      </c>
      <c r="M107" s="14">
        <v>42167</v>
      </c>
      <c r="N107" s="4">
        <v>929.04</v>
      </c>
      <c r="O107" s="14">
        <v>42171</v>
      </c>
      <c r="P107" s="4">
        <v>1.1246</v>
      </c>
      <c r="Q107" s="14"/>
    </row>
    <row r="108" spans="9:17" x14ac:dyDescent="0.75">
      <c r="I108" s="14">
        <v>42167</v>
      </c>
      <c r="J108" s="4">
        <v>23.15</v>
      </c>
      <c r="K108" s="14">
        <v>42167</v>
      </c>
      <c r="L108" s="4">
        <v>158.51</v>
      </c>
      <c r="M108" s="14">
        <v>42166</v>
      </c>
      <c r="N108" s="4">
        <v>932.79499999999996</v>
      </c>
      <c r="O108" s="14">
        <v>42170</v>
      </c>
      <c r="P108" s="4">
        <v>1.1283000000000001</v>
      </c>
      <c r="Q108" s="14"/>
    </row>
    <row r="109" spans="9:17" x14ac:dyDescent="0.75">
      <c r="I109" s="14">
        <v>42166</v>
      </c>
      <c r="J109" s="4">
        <v>23.465</v>
      </c>
      <c r="K109" s="14">
        <v>42166</v>
      </c>
      <c r="L109" s="4">
        <v>159.71</v>
      </c>
      <c r="M109" s="14">
        <v>42165</v>
      </c>
      <c r="N109" s="4">
        <v>945.23</v>
      </c>
      <c r="O109" s="14">
        <v>42167</v>
      </c>
      <c r="P109" s="4">
        <v>1.1268</v>
      </c>
      <c r="Q109" s="14"/>
    </row>
    <row r="110" spans="9:17" x14ac:dyDescent="0.75">
      <c r="I110" s="14">
        <v>42165</v>
      </c>
      <c r="J110" s="4">
        <v>23.34</v>
      </c>
      <c r="K110" s="14">
        <v>42165</v>
      </c>
      <c r="L110" s="4">
        <v>158.65</v>
      </c>
      <c r="M110" s="14">
        <v>42164</v>
      </c>
      <c r="N110" s="4">
        <v>940.56500000000005</v>
      </c>
      <c r="O110" s="14">
        <v>42166</v>
      </c>
      <c r="P110" s="4">
        <v>1.1256999999999999</v>
      </c>
      <c r="Q110" s="14"/>
    </row>
    <row r="111" spans="9:17" x14ac:dyDescent="0.75">
      <c r="I111" s="14">
        <v>42164</v>
      </c>
      <c r="J111" s="4">
        <v>22.835000000000001</v>
      </c>
      <c r="K111" s="14">
        <v>42164</v>
      </c>
      <c r="L111" s="4">
        <v>156.87</v>
      </c>
      <c r="M111" s="14">
        <v>42163</v>
      </c>
      <c r="N111" s="4">
        <v>928.01499999999999</v>
      </c>
      <c r="O111" s="14">
        <v>42165</v>
      </c>
      <c r="P111" s="4">
        <v>1.1324000000000001</v>
      </c>
      <c r="Q111" s="14"/>
    </row>
    <row r="112" spans="9:17" x14ac:dyDescent="0.75">
      <c r="I112" s="14">
        <v>42163</v>
      </c>
      <c r="J112" s="4">
        <v>22.885000000000002</v>
      </c>
      <c r="K112" s="14">
        <v>42163</v>
      </c>
      <c r="L112" s="4">
        <v>157.75</v>
      </c>
      <c r="M112" s="14">
        <v>42160</v>
      </c>
      <c r="N112" s="4">
        <v>921.71500000000003</v>
      </c>
      <c r="O112" s="14">
        <v>42164</v>
      </c>
      <c r="P112" s="4">
        <v>1.1283000000000001</v>
      </c>
      <c r="Q112" s="14"/>
    </row>
    <row r="113" spans="9:17" x14ac:dyDescent="0.75">
      <c r="I113" s="14">
        <v>42160</v>
      </c>
      <c r="J113" s="4">
        <v>23.074999999999999</v>
      </c>
      <c r="K113" s="14">
        <v>42160</v>
      </c>
      <c r="L113" s="4">
        <v>159.65</v>
      </c>
      <c r="M113" s="14">
        <v>42159</v>
      </c>
      <c r="N113" s="4">
        <v>922.85</v>
      </c>
      <c r="O113" s="14">
        <v>42163</v>
      </c>
      <c r="P113" s="4">
        <v>1.1291</v>
      </c>
      <c r="Q113" s="14"/>
    </row>
    <row r="114" spans="9:17" x14ac:dyDescent="0.75">
      <c r="I114" s="14">
        <v>42159</v>
      </c>
      <c r="J114" s="4">
        <v>23.6</v>
      </c>
      <c r="K114" s="14">
        <v>42159</v>
      </c>
      <c r="L114" s="4">
        <v>159.06</v>
      </c>
      <c r="M114" s="14">
        <v>42158</v>
      </c>
      <c r="N114" s="4">
        <v>937.11</v>
      </c>
      <c r="O114" s="14">
        <v>42160</v>
      </c>
      <c r="P114" s="4">
        <v>1.1111</v>
      </c>
      <c r="Q114" s="14"/>
    </row>
    <row r="115" spans="9:17" x14ac:dyDescent="0.75">
      <c r="I115" s="14">
        <v>42158</v>
      </c>
      <c r="J115" s="4">
        <v>23.875</v>
      </c>
      <c r="K115" s="14">
        <v>42158</v>
      </c>
      <c r="L115" s="4">
        <v>160.54</v>
      </c>
      <c r="M115" s="14">
        <v>42157</v>
      </c>
      <c r="N115" s="4">
        <v>936.91</v>
      </c>
      <c r="O115" s="14">
        <v>42159</v>
      </c>
      <c r="P115" s="4">
        <v>1.1236999999999999</v>
      </c>
      <c r="Q115" s="14"/>
    </row>
    <row r="116" spans="9:17" x14ac:dyDescent="0.75">
      <c r="I116" s="14">
        <v>42157</v>
      </c>
      <c r="J116" s="4">
        <v>23.84</v>
      </c>
      <c r="K116" s="14">
        <v>42157</v>
      </c>
      <c r="L116" s="4">
        <v>161.32</v>
      </c>
      <c r="M116" s="14">
        <v>42156</v>
      </c>
      <c r="N116" s="4">
        <v>928.47</v>
      </c>
      <c r="O116" s="14">
        <v>42158</v>
      </c>
      <c r="P116" s="4">
        <v>1.1274</v>
      </c>
      <c r="Q116" s="14"/>
    </row>
    <row r="117" spans="9:17" x14ac:dyDescent="0.75">
      <c r="I117" s="14">
        <v>42156</v>
      </c>
      <c r="J117" s="4">
        <v>23.715</v>
      </c>
      <c r="K117" s="14">
        <v>42156</v>
      </c>
      <c r="L117" s="4">
        <v>164.07</v>
      </c>
      <c r="M117" s="14">
        <v>42153</v>
      </c>
      <c r="N117" s="4">
        <v>929.13499999999999</v>
      </c>
      <c r="O117" s="14">
        <v>42157</v>
      </c>
      <c r="P117" s="4">
        <v>1.1152</v>
      </c>
      <c r="Q117" s="14"/>
    </row>
    <row r="118" spans="9:17" x14ac:dyDescent="0.75">
      <c r="I118" s="14">
        <v>42153</v>
      </c>
      <c r="J118" s="4">
        <v>23.77</v>
      </c>
      <c r="K118" s="14">
        <v>42153</v>
      </c>
      <c r="L118" s="4">
        <v>163.19999999999999</v>
      </c>
      <c r="M118" s="14">
        <v>42152</v>
      </c>
      <c r="N118" s="4">
        <v>921.29499999999996</v>
      </c>
      <c r="O118" s="14">
        <v>42156</v>
      </c>
      <c r="P118" s="4">
        <v>1.0925</v>
      </c>
      <c r="Q118" s="14"/>
    </row>
    <row r="119" spans="9:17" x14ac:dyDescent="0.75">
      <c r="I119" s="14">
        <v>42152</v>
      </c>
      <c r="J119" s="4">
        <v>24.04</v>
      </c>
      <c r="K119" s="14">
        <v>42152</v>
      </c>
      <c r="L119" s="4">
        <v>165.42</v>
      </c>
      <c r="M119" s="14">
        <v>42151</v>
      </c>
      <c r="N119" s="4">
        <v>924.23500000000001</v>
      </c>
      <c r="O119" s="14">
        <v>42153</v>
      </c>
      <c r="P119" s="4">
        <v>1.0987</v>
      </c>
      <c r="Q119" s="14"/>
    </row>
    <row r="120" spans="9:17" x14ac:dyDescent="0.75">
      <c r="I120" s="14">
        <v>42151</v>
      </c>
      <c r="J120" s="4">
        <v>24.11</v>
      </c>
      <c r="K120" s="14">
        <v>42151</v>
      </c>
      <c r="L120" s="4">
        <v>165.89</v>
      </c>
      <c r="M120" s="14">
        <v>42150</v>
      </c>
      <c r="N120" s="4">
        <v>930.11</v>
      </c>
      <c r="O120" s="14">
        <v>42152</v>
      </c>
      <c r="P120" s="4">
        <v>1.0946</v>
      </c>
      <c r="Q120" s="14"/>
    </row>
    <row r="121" spans="9:17" x14ac:dyDescent="0.75">
      <c r="I121" s="14">
        <v>42150</v>
      </c>
      <c r="J121" s="4">
        <v>23.63</v>
      </c>
      <c r="K121" s="14">
        <v>42150</v>
      </c>
      <c r="L121" s="4">
        <v>165.05</v>
      </c>
      <c r="M121" s="14">
        <v>42146</v>
      </c>
      <c r="N121" s="4">
        <v>945.39</v>
      </c>
      <c r="O121" s="14">
        <v>42151</v>
      </c>
      <c r="P121" s="4">
        <v>1.0903</v>
      </c>
      <c r="Q121" s="14"/>
    </row>
    <row r="122" spans="9:17" x14ac:dyDescent="0.75">
      <c r="I122" s="14">
        <v>42146</v>
      </c>
      <c r="J122" s="4">
        <v>24.07</v>
      </c>
      <c r="K122" s="14">
        <v>42146</v>
      </c>
      <c r="L122" s="4">
        <v>164.82</v>
      </c>
      <c r="M122" s="14">
        <v>42145</v>
      </c>
      <c r="N122" s="4">
        <v>957.48</v>
      </c>
      <c r="O122" s="14">
        <v>42150</v>
      </c>
      <c r="P122" s="4">
        <v>1.0872999999999999</v>
      </c>
      <c r="Q122" s="14"/>
    </row>
    <row r="123" spans="9:17" x14ac:dyDescent="0.75">
      <c r="I123" s="14">
        <v>42145</v>
      </c>
      <c r="J123" s="4">
        <v>24.024999999999999</v>
      </c>
      <c r="K123" s="14">
        <v>42145</v>
      </c>
      <c r="L123" s="4">
        <v>164.17</v>
      </c>
      <c r="M123" s="14">
        <v>42144</v>
      </c>
      <c r="N123" s="4">
        <v>945.67499999999995</v>
      </c>
      <c r="O123" s="14">
        <v>42149</v>
      </c>
      <c r="P123" s="4">
        <v>1.0974999999999999</v>
      </c>
      <c r="Q123" s="14"/>
    </row>
    <row r="124" spans="9:17" x14ac:dyDescent="0.75">
      <c r="I124" s="14">
        <v>42144</v>
      </c>
      <c r="J124" s="4">
        <v>24.055</v>
      </c>
      <c r="K124" s="14">
        <v>42144</v>
      </c>
      <c r="L124" s="4">
        <v>164.02</v>
      </c>
      <c r="M124" s="14">
        <v>42143</v>
      </c>
      <c r="N124" s="4">
        <v>948.14</v>
      </c>
      <c r="O124" s="14">
        <v>42146</v>
      </c>
      <c r="P124" s="4">
        <v>1.1014999999999999</v>
      </c>
      <c r="Q124" s="14"/>
    </row>
    <row r="125" spans="9:17" x14ac:dyDescent="0.75">
      <c r="I125" s="14">
        <v>42143</v>
      </c>
      <c r="J125" s="4">
        <v>23.96</v>
      </c>
      <c r="K125" s="14">
        <v>42143</v>
      </c>
      <c r="L125" s="4">
        <v>163.26</v>
      </c>
      <c r="M125" s="14">
        <v>42142</v>
      </c>
      <c r="N125" s="4">
        <v>965.81500000000005</v>
      </c>
      <c r="O125" s="14">
        <v>42145</v>
      </c>
      <c r="P125" s="4">
        <v>1.1112</v>
      </c>
      <c r="Q125" s="14"/>
    </row>
    <row r="126" spans="9:17" x14ac:dyDescent="0.75">
      <c r="I126" s="14">
        <v>42142</v>
      </c>
      <c r="J126" s="4">
        <v>23.484999999999999</v>
      </c>
      <c r="K126" s="14">
        <v>42142</v>
      </c>
      <c r="L126" s="4">
        <v>160.27000000000001</v>
      </c>
      <c r="M126" s="14">
        <v>42139</v>
      </c>
      <c r="N126" s="4">
        <v>968.22</v>
      </c>
      <c r="O126" s="14">
        <v>42144</v>
      </c>
      <c r="P126" s="4">
        <v>1.1091</v>
      </c>
      <c r="Q126" s="14"/>
    </row>
    <row r="127" spans="9:17" x14ac:dyDescent="0.75">
      <c r="I127" s="14">
        <v>42139</v>
      </c>
      <c r="J127" s="4">
        <v>23.4</v>
      </c>
      <c r="K127" s="14">
        <v>42139</v>
      </c>
      <c r="L127" s="4">
        <v>158.88</v>
      </c>
      <c r="M127" s="14">
        <v>42138</v>
      </c>
      <c r="N127" s="4">
        <v>970.72</v>
      </c>
      <c r="O127" s="14">
        <v>42143</v>
      </c>
      <c r="P127" s="4">
        <v>1.1147</v>
      </c>
      <c r="Q127" s="14"/>
    </row>
    <row r="128" spans="9:17" x14ac:dyDescent="0.75">
      <c r="I128" s="14">
        <v>42138</v>
      </c>
      <c r="J128" s="4">
        <v>23.465</v>
      </c>
      <c r="K128" s="14">
        <v>42138</v>
      </c>
      <c r="L128" s="4">
        <v>159.63999999999999</v>
      </c>
      <c r="M128" s="14">
        <v>42137</v>
      </c>
      <c r="N128" s="4">
        <v>970.495</v>
      </c>
      <c r="O128" s="14">
        <v>42142</v>
      </c>
      <c r="P128" s="4">
        <v>1.1314</v>
      </c>
      <c r="Q128" s="14"/>
    </row>
    <row r="129" spans="9:17" x14ac:dyDescent="0.75">
      <c r="I129" s="14">
        <v>42137</v>
      </c>
      <c r="J129" s="4">
        <v>23.155000000000001</v>
      </c>
      <c r="K129" s="14">
        <v>42137</v>
      </c>
      <c r="L129" s="4">
        <v>158.59</v>
      </c>
      <c r="M129" s="14">
        <v>42136</v>
      </c>
      <c r="N129" s="4">
        <v>970.92</v>
      </c>
      <c r="O129" s="14">
        <v>42139</v>
      </c>
      <c r="P129" s="4">
        <v>1.1451</v>
      </c>
      <c r="Q129" s="14"/>
    </row>
    <row r="130" spans="9:17" x14ac:dyDescent="0.75">
      <c r="I130" s="14">
        <v>42136</v>
      </c>
      <c r="J130" s="4">
        <v>23.05</v>
      </c>
      <c r="K130" s="14">
        <v>42136</v>
      </c>
      <c r="L130" s="4">
        <v>159.72</v>
      </c>
      <c r="M130" s="14">
        <v>42135</v>
      </c>
      <c r="N130" s="4">
        <v>958.26499999999999</v>
      </c>
      <c r="O130" s="14">
        <v>42138</v>
      </c>
      <c r="P130" s="4">
        <v>1.1408</v>
      </c>
      <c r="Q130" s="14"/>
    </row>
    <row r="131" spans="9:17" x14ac:dyDescent="0.75">
      <c r="I131" s="14">
        <v>42135</v>
      </c>
      <c r="J131" s="4">
        <v>23.31</v>
      </c>
      <c r="K131" s="14">
        <v>42135</v>
      </c>
      <c r="L131" s="4">
        <v>161.72999999999999</v>
      </c>
      <c r="M131" s="14">
        <v>42132</v>
      </c>
      <c r="N131" s="4">
        <v>963.90499999999997</v>
      </c>
      <c r="O131" s="14">
        <v>42137</v>
      </c>
      <c r="P131" s="4">
        <v>1.1355</v>
      </c>
      <c r="Q131" s="14"/>
    </row>
    <row r="132" spans="9:17" x14ac:dyDescent="0.75">
      <c r="I132" s="14">
        <v>42132</v>
      </c>
      <c r="J132" s="4">
        <v>23.29</v>
      </c>
      <c r="K132" s="14">
        <v>42132</v>
      </c>
      <c r="L132" s="4">
        <v>161.19</v>
      </c>
      <c r="M132" s="14">
        <v>42131</v>
      </c>
      <c r="N132" s="4">
        <v>963.36</v>
      </c>
      <c r="O132" s="14">
        <v>42136</v>
      </c>
      <c r="P132" s="4">
        <v>1.1213</v>
      </c>
      <c r="Q132" s="14"/>
    </row>
    <row r="133" spans="9:17" x14ac:dyDescent="0.75">
      <c r="I133" s="14">
        <v>42131</v>
      </c>
      <c r="J133" s="4">
        <v>22.795000000000002</v>
      </c>
      <c r="K133" s="14">
        <v>42131</v>
      </c>
      <c r="L133" s="4">
        <v>157.54</v>
      </c>
      <c r="M133" s="14">
        <v>42130</v>
      </c>
      <c r="N133" s="4">
        <v>975.04</v>
      </c>
      <c r="O133" s="14">
        <v>42135</v>
      </c>
      <c r="P133" s="4">
        <v>1.1153999999999999</v>
      </c>
      <c r="Q133" s="14"/>
    </row>
    <row r="134" spans="9:17" x14ac:dyDescent="0.75">
      <c r="I134" s="14">
        <v>42130</v>
      </c>
      <c r="J134" s="4">
        <v>22.65</v>
      </c>
      <c r="K134" s="14">
        <v>42130</v>
      </c>
      <c r="L134" s="4">
        <v>157.11000000000001</v>
      </c>
      <c r="M134" s="14">
        <v>42129</v>
      </c>
      <c r="N134" s="4">
        <v>974.65499999999997</v>
      </c>
      <c r="O134" s="14">
        <v>42132</v>
      </c>
      <c r="P134" s="4">
        <v>1.1203000000000001</v>
      </c>
      <c r="Q134" s="14"/>
    </row>
    <row r="135" spans="9:17" x14ac:dyDescent="0.75">
      <c r="I135" s="14">
        <v>42129</v>
      </c>
      <c r="J135" s="4">
        <v>22.545000000000002</v>
      </c>
      <c r="K135" s="14">
        <v>42129</v>
      </c>
      <c r="L135" s="4">
        <v>159.15</v>
      </c>
      <c r="M135" s="14">
        <v>42125</v>
      </c>
      <c r="N135" s="4">
        <v>961.36</v>
      </c>
      <c r="O135" s="14">
        <v>42131</v>
      </c>
      <c r="P135" s="4">
        <v>1.1265000000000001</v>
      </c>
      <c r="Q135" s="14"/>
    </row>
    <row r="136" spans="9:17" x14ac:dyDescent="0.75">
      <c r="I136" s="14">
        <v>42128</v>
      </c>
      <c r="J136" s="4">
        <v>23.17</v>
      </c>
      <c r="K136" s="14">
        <v>42128</v>
      </c>
      <c r="L136" s="4">
        <v>161.59</v>
      </c>
      <c r="M136" s="14">
        <v>42124</v>
      </c>
      <c r="N136" s="4">
        <v>963.52</v>
      </c>
      <c r="O136" s="14">
        <v>42130</v>
      </c>
      <c r="P136" s="4">
        <v>1.1351</v>
      </c>
      <c r="Q136" s="14"/>
    </row>
    <row r="137" spans="9:17" x14ac:dyDescent="0.75">
      <c r="I137" s="14">
        <v>42124</v>
      </c>
      <c r="J137" s="4">
        <v>23.004999999999999</v>
      </c>
      <c r="K137" s="14">
        <v>42124</v>
      </c>
      <c r="L137" s="4">
        <v>160.38</v>
      </c>
      <c r="M137" s="14">
        <v>42123</v>
      </c>
      <c r="N137" s="4">
        <v>957.11</v>
      </c>
      <c r="O137" s="14">
        <v>42129</v>
      </c>
      <c r="P137" s="4">
        <v>1.1184000000000001</v>
      </c>
      <c r="Q137" s="14"/>
    </row>
    <row r="138" spans="9:17" x14ac:dyDescent="0.75">
      <c r="I138" s="14">
        <v>42123</v>
      </c>
      <c r="J138" s="4">
        <v>22.93</v>
      </c>
      <c r="K138" s="14">
        <v>42123</v>
      </c>
      <c r="L138" s="4">
        <v>161.55000000000001</v>
      </c>
      <c r="M138" s="14">
        <v>42122</v>
      </c>
      <c r="N138" s="4">
        <v>950.67499999999995</v>
      </c>
      <c r="O138" s="14">
        <v>42128</v>
      </c>
      <c r="P138" s="4">
        <v>1.1144000000000001</v>
      </c>
      <c r="Q138" s="14"/>
    </row>
    <row r="139" spans="9:17" x14ac:dyDescent="0.75">
      <c r="I139" s="14">
        <v>42122</v>
      </c>
      <c r="J139" s="4">
        <v>23.524999999999999</v>
      </c>
      <c r="K139" s="14">
        <v>42122</v>
      </c>
      <c r="L139" s="4">
        <v>164.89</v>
      </c>
      <c r="M139" s="14">
        <v>42121</v>
      </c>
      <c r="N139" s="4">
        <v>950.66</v>
      </c>
      <c r="O139" s="14">
        <v>42125</v>
      </c>
      <c r="P139" s="4">
        <v>1.1200000000000001</v>
      </c>
      <c r="Q139" s="14"/>
    </row>
    <row r="140" spans="9:17" x14ac:dyDescent="0.75">
      <c r="I140" s="14">
        <v>42121</v>
      </c>
      <c r="J140" s="4">
        <v>23.77</v>
      </c>
      <c r="K140" s="14">
        <v>42121</v>
      </c>
      <c r="L140" s="4">
        <v>166.93</v>
      </c>
      <c r="M140" s="14">
        <v>42118</v>
      </c>
      <c r="N140" s="4">
        <v>948.66</v>
      </c>
      <c r="O140" s="14">
        <v>42124</v>
      </c>
      <c r="P140" s="4">
        <v>1.1222000000000001</v>
      </c>
      <c r="Q140" s="14"/>
    </row>
    <row r="141" spans="9:17" x14ac:dyDescent="0.75">
      <c r="I141" s="14">
        <v>42118</v>
      </c>
      <c r="J141" s="4">
        <v>23.385000000000002</v>
      </c>
      <c r="K141" s="14">
        <v>42118</v>
      </c>
      <c r="L141" s="4">
        <v>166.4</v>
      </c>
      <c r="M141" s="14">
        <v>42117</v>
      </c>
      <c r="N141" s="4">
        <v>946.58500000000004</v>
      </c>
      <c r="O141" s="14">
        <v>42123</v>
      </c>
      <c r="P141" s="4">
        <v>1.1129</v>
      </c>
      <c r="Q141" s="14"/>
    </row>
    <row r="142" spans="9:17" x14ac:dyDescent="0.75">
      <c r="I142" s="14">
        <v>42117</v>
      </c>
      <c r="J142" s="4">
        <v>23.19</v>
      </c>
      <c r="K142" s="14">
        <v>42117</v>
      </c>
      <c r="L142" s="4">
        <v>166.42</v>
      </c>
      <c r="M142" s="14">
        <v>42116</v>
      </c>
      <c r="N142" s="4">
        <v>935.5</v>
      </c>
      <c r="O142" s="14">
        <v>42122</v>
      </c>
      <c r="P142" s="4">
        <v>1.0980000000000001</v>
      </c>
      <c r="Q142" s="14"/>
    </row>
    <row r="143" spans="9:17" x14ac:dyDescent="0.75">
      <c r="I143" s="14">
        <v>42116</v>
      </c>
      <c r="J143" s="4">
        <v>23.28</v>
      </c>
      <c r="K143" s="14">
        <v>42116</v>
      </c>
      <c r="L143" s="4">
        <v>167.03</v>
      </c>
      <c r="M143" s="14">
        <v>42115</v>
      </c>
      <c r="N143" s="4">
        <v>934.85500000000002</v>
      </c>
      <c r="O143" s="14">
        <v>42121</v>
      </c>
      <c r="P143" s="4">
        <v>1.0886</v>
      </c>
      <c r="Q143" s="14"/>
    </row>
    <row r="144" spans="9:17" x14ac:dyDescent="0.75">
      <c r="I144" s="14">
        <v>42115</v>
      </c>
      <c r="J144" s="4">
        <v>23.19</v>
      </c>
      <c r="K144" s="14">
        <v>42115</v>
      </c>
      <c r="L144" s="4">
        <v>166.64</v>
      </c>
      <c r="M144" s="14">
        <v>42114</v>
      </c>
      <c r="N144" s="4">
        <v>938.37</v>
      </c>
      <c r="O144" s="14">
        <v>42118</v>
      </c>
      <c r="P144" s="4">
        <v>1.0871999999999999</v>
      </c>
      <c r="Q144" s="14"/>
    </row>
    <row r="145" spans="9:17" x14ac:dyDescent="0.75">
      <c r="I145" s="14">
        <v>42114</v>
      </c>
      <c r="J145" s="4">
        <v>23.295000000000002</v>
      </c>
      <c r="K145" s="14">
        <v>42114</v>
      </c>
      <c r="L145" s="4">
        <v>166.39</v>
      </c>
      <c r="M145" s="14">
        <v>42111</v>
      </c>
      <c r="N145" s="4">
        <v>946.19500000000005</v>
      </c>
      <c r="O145" s="14">
        <v>42117</v>
      </c>
      <c r="P145" s="4">
        <v>1.0824</v>
      </c>
      <c r="Q145" s="14"/>
    </row>
    <row r="146" spans="9:17" x14ac:dyDescent="0.75">
      <c r="I146" s="14">
        <v>42111</v>
      </c>
      <c r="J146" s="4">
        <v>22.984999999999999</v>
      </c>
      <c r="K146" s="14">
        <v>42111</v>
      </c>
      <c r="L146" s="4">
        <v>164.74</v>
      </c>
      <c r="M146" s="14">
        <v>42110</v>
      </c>
      <c r="N146" s="4">
        <v>940.51</v>
      </c>
      <c r="O146" s="14">
        <v>42116</v>
      </c>
      <c r="P146" s="4">
        <v>1.0725</v>
      </c>
      <c r="Q146" s="14"/>
    </row>
    <row r="147" spans="9:17" x14ac:dyDescent="0.75">
      <c r="I147" s="14">
        <v>42110</v>
      </c>
      <c r="J147" s="4">
        <v>23.57</v>
      </c>
      <c r="K147" s="14">
        <v>42110</v>
      </c>
      <c r="L147" s="4">
        <v>167.12</v>
      </c>
      <c r="M147" s="14">
        <v>42109</v>
      </c>
      <c r="N147" s="4">
        <v>929.89</v>
      </c>
      <c r="O147" s="14">
        <v>42115</v>
      </c>
      <c r="P147" s="4">
        <v>1.0732999999999999</v>
      </c>
      <c r="Q147" s="14"/>
    </row>
    <row r="148" spans="9:17" x14ac:dyDescent="0.75">
      <c r="I148" s="14">
        <v>42109</v>
      </c>
      <c r="J148" s="4">
        <v>23.975000000000001</v>
      </c>
      <c r="K148" s="14">
        <v>42109</v>
      </c>
      <c r="L148" s="4">
        <v>168.81</v>
      </c>
      <c r="M148" s="14">
        <v>42108</v>
      </c>
      <c r="N148" s="4">
        <v>919.48500000000001</v>
      </c>
      <c r="O148" s="14">
        <v>42114</v>
      </c>
      <c r="P148" s="4">
        <v>1.0736000000000001</v>
      </c>
      <c r="Q148" s="14"/>
    </row>
    <row r="149" spans="9:17" x14ac:dyDescent="0.75">
      <c r="I149" s="14">
        <v>42108</v>
      </c>
      <c r="J149" s="4">
        <v>23.72</v>
      </c>
      <c r="K149" s="14">
        <v>42108</v>
      </c>
      <c r="L149" s="4">
        <v>167.27</v>
      </c>
      <c r="M149" s="14">
        <v>42107</v>
      </c>
      <c r="N149" s="4">
        <v>918.11</v>
      </c>
      <c r="O149" s="14">
        <v>42111</v>
      </c>
      <c r="P149" s="4">
        <v>1.0805</v>
      </c>
      <c r="Q149" s="14"/>
    </row>
    <row r="150" spans="9:17" x14ac:dyDescent="0.75">
      <c r="I150" s="14">
        <v>42107</v>
      </c>
      <c r="J150" s="4">
        <v>23.95</v>
      </c>
      <c r="K150" s="14">
        <v>42107</v>
      </c>
      <c r="L150" s="4">
        <v>168.82</v>
      </c>
      <c r="M150" s="14">
        <v>42104</v>
      </c>
      <c r="N150" s="4">
        <v>918.21</v>
      </c>
      <c r="O150" s="14">
        <v>42110</v>
      </c>
      <c r="P150" s="4">
        <v>1.0760000000000001</v>
      </c>
      <c r="Q150" s="14"/>
    </row>
    <row r="151" spans="9:17" x14ac:dyDescent="0.75">
      <c r="I151" s="14">
        <v>42104</v>
      </c>
      <c r="J151" s="4">
        <v>23.824999999999999</v>
      </c>
      <c r="K151" s="14">
        <v>42104</v>
      </c>
      <c r="L151" s="4">
        <v>168.33</v>
      </c>
      <c r="M151" s="14">
        <v>42103</v>
      </c>
      <c r="N151" s="4">
        <v>911.23500000000001</v>
      </c>
      <c r="O151" s="14">
        <v>42109</v>
      </c>
      <c r="P151" s="4">
        <v>1.0684</v>
      </c>
      <c r="Q151" s="14"/>
    </row>
    <row r="152" spans="9:17" x14ac:dyDescent="0.75">
      <c r="I152" s="14">
        <v>42103</v>
      </c>
      <c r="J152" s="4">
        <v>23.76</v>
      </c>
      <c r="K152" s="14">
        <v>42103</v>
      </c>
      <c r="L152" s="4">
        <v>165.9</v>
      </c>
      <c r="M152" s="14">
        <v>42102</v>
      </c>
      <c r="N152" s="4">
        <v>917.24</v>
      </c>
      <c r="O152" s="14">
        <v>42108</v>
      </c>
      <c r="P152" s="4">
        <v>1.0651999999999999</v>
      </c>
      <c r="Q152" s="14"/>
    </row>
    <row r="153" spans="9:17" x14ac:dyDescent="0.75">
      <c r="I153" s="14">
        <v>42102</v>
      </c>
      <c r="J153" s="4">
        <v>23.535</v>
      </c>
      <c r="K153" s="14">
        <v>42102</v>
      </c>
      <c r="L153" s="4">
        <v>164.31</v>
      </c>
      <c r="M153" s="14">
        <v>42101</v>
      </c>
      <c r="N153" s="4">
        <v>927.78499999999997</v>
      </c>
      <c r="O153" s="14">
        <v>42107</v>
      </c>
      <c r="P153" s="4">
        <v>1.0566</v>
      </c>
      <c r="Q153" s="14"/>
    </row>
    <row r="154" spans="9:17" x14ac:dyDescent="0.75">
      <c r="I154" s="14">
        <v>42101</v>
      </c>
      <c r="J154" s="4">
        <v>23.675000000000001</v>
      </c>
      <c r="K154" s="14">
        <v>42101</v>
      </c>
      <c r="L154" s="4">
        <v>163.82</v>
      </c>
      <c r="M154" s="14">
        <v>42096</v>
      </c>
      <c r="N154" s="4">
        <v>910.47</v>
      </c>
      <c r="O154" s="14">
        <v>42104</v>
      </c>
      <c r="P154" s="4">
        <v>1.0602</v>
      </c>
      <c r="Q154" s="14"/>
    </row>
    <row r="155" spans="9:17" x14ac:dyDescent="0.75">
      <c r="I155" s="14">
        <v>42096</v>
      </c>
      <c r="J155" s="4">
        <v>23.28</v>
      </c>
      <c r="K155" s="14">
        <v>42096</v>
      </c>
      <c r="L155" s="4">
        <v>161.41</v>
      </c>
      <c r="M155" s="14">
        <v>42095</v>
      </c>
      <c r="N155" s="4">
        <v>913.625</v>
      </c>
      <c r="O155" s="14">
        <v>42103</v>
      </c>
      <c r="P155" s="4">
        <v>1.0658000000000001</v>
      </c>
      <c r="Q155" s="14"/>
    </row>
    <row r="156" spans="9:17" x14ac:dyDescent="0.75">
      <c r="I156" s="14">
        <v>42095</v>
      </c>
      <c r="J156" s="4">
        <v>23.295000000000002</v>
      </c>
      <c r="K156" s="14">
        <v>42095</v>
      </c>
      <c r="L156" s="4">
        <v>161.74</v>
      </c>
      <c r="M156" s="14">
        <v>42094</v>
      </c>
      <c r="N156" s="4">
        <v>909.97</v>
      </c>
      <c r="O156" s="14">
        <v>42102</v>
      </c>
      <c r="P156" s="4">
        <v>1.0779000000000001</v>
      </c>
      <c r="Q156" s="14"/>
    </row>
    <row r="157" spans="9:17" x14ac:dyDescent="0.75">
      <c r="I157" s="14">
        <v>42094</v>
      </c>
      <c r="J157" s="4">
        <v>23.12</v>
      </c>
      <c r="K157" s="14">
        <v>42094</v>
      </c>
      <c r="L157" s="4">
        <v>163.13999999999999</v>
      </c>
      <c r="M157" s="14">
        <v>42093</v>
      </c>
      <c r="N157" s="4">
        <v>910.59</v>
      </c>
      <c r="O157" s="14">
        <v>42101</v>
      </c>
      <c r="P157" s="4">
        <v>1.0812999999999999</v>
      </c>
      <c r="Q157" s="14"/>
    </row>
    <row r="158" spans="9:17" x14ac:dyDescent="0.75">
      <c r="I158" s="14">
        <v>42093</v>
      </c>
      <c r="J158" s="4">
        <v>23.215</v>
      </c>
      <c r="K158" s="14">
        <v>42093</v>
      </c>
      <c r="L158" s="4">
        <v>162.76</v>
      </c>
      <c r="M158" s="14">
        <v>42090</v>
      </c>
      <c r="N158" s="4">
        <v>918.33500000000004</v>
      </c>
      <c r="O158" s="14">
        <v>42100</v>
      </c>
      <c r="P158" s="4">
        <v>1.0921000000000001</v>
      </c>
      <c r="Q158" s="14"/>
    </row>
    <row r="159" spans="9:17" x14ac:dyDescent="0.75">
      <c r="I159" s="14">
        <v>42090</v>
      </c>
      <c r="J159" s="4">
        <v>22.945</v>
      </c>
      <c r="K159" s="14">
        <v>42090</v>
      </c>
      <c r="L159" s="4">
        <v>160.13</v>
      </c>
      <c r="M159" s="14">
        <v>42089</v>
      </c>
      <c r="N159" s="4">
        <v>928.45</v>
      </c>
      <c r="O159" s="14">
        <v>42097</v>
      </c>
      <c r="P159" s="4">
        <v>1.0975999999999999</v>
      </c>
      <c r="Q159" s="14"/>
    </row>
    <row r="160" spans="9:17" x14ac:dyDescent="0.75">
      <c r="I160" s="14">
        <v>42089</v>
      </c>
      <c r="J160" s="4">
        <v>22.89</v>
      </c>
      <c r="K160" s="14">
        <v>42089</v>
      </c>
      <c r="L160" s="4">
        <v>160.31</v>
      </c>
      <c r="M160" s="14">
        <v>42088</v>
      </c>
      <c r="N160" s="4">
        <v>917.55</v>
      </c>
      <c r="O160" s="14">
        <v>42096</v>
      </c>
      <c r="P160" s="4">
        <v>1.0881000000000001</v>
      </c>
      <c r="Q160" s="14"/>
    </row>
    <row r="161" spans="9:17" x14ac:dyDescent="0.75">
      <c r="I161" s="14">
        <v>42088</v>
      </c>
      <c r="J161" s="4">
        <v>23.09</v>
      </c>
      <c r="K161" s="14">
        <v>42088</v>
      </c>
      <c r="L161" s="4">
        <v>160.52000000000001</v>
      </c>
      <c r="M161" s="14">
        <v>42087</v>
      </c>
      <c r="N161" s="4">
        <v>916.93</v>
      </c>
      <c r="O161" s="14">
        <v>42095</v>
      </c>
      <c r="P161" s="4">
        <v>1.0762</v>
      </c>
      <c r="Q161" s="14"/>
    </row>
    <row r="162" spans="9:17" x14ac:dyDescent="0.75">
      <c r="I162" s="14">
        <v>42087</v>
      </c>
      <c r="J162" s="4">
        <v>23.25</v>
      </c>
      <c r="K162" s="14">
        <v>42087</v>
      </c>
      <c r="L162" s="4">
        <v>163.31</v>
      </c>
      <c r="M162" s="14">
        <v>42086</v>
      </c>
      <c r="N162" s="4">
        <v>918.68499999999995</v>
      </c>
      <c r="O162" s="14">
        <v>42094</v>
      </c>
      <c r="P162" s="4">
        <v>1.073</v>
      </c>
      <c r="Q162" s="14"/>
    </row>
    <row r="163" spans="9:17" x14ac:dyDescent="0.75">
      <c r="I163" s="14">
        <v>42086</v>
      </c>
      <c r="J163" s="4">
        <v>23.04</v>
      </c>
      <c r="K163" s="14">
        <v>42086</v>
      </c>
      <c r="L163" s="4">
        <v>163.35</v>
      </c>
      <c r="M163" s="14">
        <v>42083</v>
      </c>
      <c r="N163" s="4">
        <v>913.505</v>
      </c>
      <c r="O163" s="14">
        <v>42093</v>
      </c>
      <c r="P163" s="4">
        <v>1.0831999999999999</v>
      </c>
      <c r="Q163" s="14"/>
    </row>
    <row r="164" spans="9:17" x14ac:dyDescent="0.75">
      <c r="I164" s="14">
        <v>42083</v>
      </c>
      <c r="J164" s="4">
        <v>23.114999999999998</v>
      </c>
      <c r="K164" s="14">
        <v>42083</v>
      </c>
      <c r="L164" s="4">
        <v>164.51</v>
      </c>
      <c r="M164" s="14">
        <v>42082</v>
      </c>
      <c r="N164" s="4">
        <v>896.69</v>
      </c>
      <c r="O164" s="14">
        <v>42090</v>
      </c>
      <c r="P164" s="4">
        <v>1.0887</v>
      </c>
      <c r="Q164" s="14"/>
    </row>
    <row r="165" spans="9:17" x14ac:dyDescent="0.75">
      <c r="I165" s="14">
        <v>42082</v>
      </c>
      <c r="J165" s="4">
        <v>22.78</v>
      </c>
      <c r="K165" s="14">
        <v>42082</v>
      </c>
      <c r="L165" s="4">
        <v>164.75</v>
      </c>
      <c r="M165" s="14">
        <v>42081</v>
      </c>
      <c r="N165" s="4">
        <v>887.92</v>
      </c>
      <c r="O165" s="14">
        <v>42089</v>
      </c>
      <c r="P165" s="4">
        <v>1.0883</v>
      </c>
      <c r="Q165" s="14"/>
    </row>
    <row r="166" spans="9:17" x14ac:dyDescent="0.75">
      <c r="I166" s="14">
        <v>42081</v>
      </c>
      <c r="J166" s="4">
        <v>22.515000000000001</v>
      </c>
      <c r="K166" s="14">
        <v>42081</v>
      </c>
      <c r="L166" s="4">
        <v>163.65</v>
      </c>
      <c r="M166" s="14">
        <v>42080</v>
      </c>
      <c r="N166" s="4">
        <v>887.85</v>
      </c>
      <c r="O166" s="14">
        <v>42088</v>
      </c>
      <c r="P166" s="4">
        <v>1.0969</v>
      </c>
      <c r="Q166" s="14"/>
    </row>
    <row r="167" spans="9:17" x14ac:dyDescent="0.75">
      <c r="I167" s="14">
        <v>42080</v>
      </c>
      <c r="J167" s="4">
        <v>22.71</v>
      </c>
      <c r="K167" s="14">
        <v>42080</v>
      </c>
      <c r="L167" s="4">
        <v>163.75</v>
      </c>
      <c r="M167" s="14">
        <v>42079</v>
      </c>
      <c r="N167" s="4">
        <v>892.82500000000005</v>
      </c>
      <c r="O167" s="14">
        <v>42087</v>
      </c>
      <c r="P167" s="4">
        <v>1.0924</v>
      </c>
      <c r="Q167" s="14"/>
    </row>
    <row r="168" spans="9:17" x14ac:dyDescent="0.75">
      <c r="I168" s="14">
        <v>42079</v>
      </c>
      <c r="J168" s="4">
        <v>22.864999999999998</v>
      </c>
      <c r="K168" s="14">
        <v>42079</v>
      </c>
      <c r="L168" s="4">
        <v>164.57</v>
      </c>
      <c r="M168" s="14">
        <v>42076</v>
      </c>
      <c r="N168" s="4">
        <v>900.73</v>
      </c>
      <c r="O168" s="14">
        <v>42086</v>
      </c>
      <c r="P168" s="4">
        <v>1.0945</v>
      </c>
      <c r="Q168" s="14"/>
    </row>
    <row r="169" spans="9:17" x14ac:dyDescent="0.75">
      <c r="I169" s="14">
        <v>42076</v>
      </c>
      <c r="J169" s="4">
        <v>22.71</v>
      </c>
      <c r="K169" s="14">
        <v>42076</v>
      </c>
      <c r="L169" s="4">
        <v>163.32</v>
      </c>
      <c r="M169" s="14">
        <v>42075</v>
      </c>
      <c r="N169" s="4">
        <v>914.41</v>
      </c>
      <c r="O169" s="14">
        <v>42083</v>
      </c>
      <c r="P169" s="4">
        <v>1.0820000000000001</v>
      </c>
      <c r="Q169" s="14"/>
    </row>
    <row r="170" spans="9:17" x14ac:dyDescent="0.75">
      <c r="I170" s="14">
        <v>42075</v>
      </c>
      <c r="J170" s="4">
        <v>22.774999999999999</v>
      </c>
      <c r="K170" s="14">
        <v>42075</v>
      </c>
      <c r="L170" s="4">
        <v>163.06</v>
      </c>
      <c r="M170" s="14">
        <v>42074</v>
      </c>
      <c r="N170" s="4">
        <v>913.19500000000005</v>
      </c>
      <c r="O170" s="14">
        <v>42082</v>
      </c>
      <c r="P170" s="4">
        <v>1.0659000000000001</v>
      </c>
      <c r="Q170" s="14"/>
    </row>
    <row r="171" spans="9:17" x14ac:dyDescent="0.75">
      <c r="I171" s="14">
        <v>42074</v>
      </c>
      <c r="J171" s="4">
        <v>22.795000000000002</v>
      </c>
      <c r="K171" s="14">
        <v>42074</v>
      </c>
      <c r="L171" s="4">
        <v>162.37</v>
      </c>
      <c r="M171" s="14">
        <v>42073</v>
      </c>
      <c r="N171" s="4">
        <v>913.15499999999997</v>
      </c>
      <c r="O171" s="14">
        <v>42081</v>
      </c>
      <c r="P171" s="4">
        <v>1.0865</v>
      </c>
      <c r="Q171" s="14"/>
    </row>
    <row r="172" spans="9:17" x14ac:dyDescent="0.75">
      <c r="I172" s="14">
        <v>42073</v>
      </c>
      <c r="J172" s="4">
        <v>22.3</v>
      </c>
      <c r="K172" s="14">
        <v>42073</v>
      </c>
      <c r="L172" s="4">
        <v>160.38999999999999</v>
      </c>
      <c r="M172" s="14">
        <v>42072</v>
      </c>
      <c r="N172" s="4">
        <v>931.01499999999999</v>
      </c>
      <c r="O172" s="14">
        <v>42080</v>
      </c>
      <c r="P172" s="4">
        <v>1.0597000000000001</v>
      </c>
      <c r="Q172" s="14"/>
    </row>
    <row r="173" spans="9:17" x14ac:dyDescent="0.75">
      <c r="I173" s="14">
        <v>42072</v>
      </c>
      <c r="J173" s="4">
        <v>22.535</v>
      </c>
      <c r="K173" s="14">
        <v>42072</v>
      </c>
      <c r="L173" s="4">
        <v>160.80000000000001</v>
      </c>
      <c r="M173" s="14">
        <v>42069</v>
      </c>
      <c r="N173" s="4">
        <v>931.25</v>
      </c>
      <c r="O173" s="14">
        <v>42079</v>
      </c>
      <c r="P173" s="4">
        <v>1.0566</v>
      </c>
      <c r="Q173" s="14"/>
    </row>
    <row r="174" spans="9:17" x14ac:dyDescent="0.75">
      <c r="I174" s="14">
        <v>42069</v>
      </c>
      <c r="J174" s="4">
        <v>22.42</v>
      </c>
      <c r="K174" s="14">
        <v>42069</v>
      </c>
      <c r="L174" s="4">
        <v>161.16999999999999</v>
      </c>
      <c r="M174" s="14">
        <v>42068</v>
      </c>
      <c r="N174" s="4">
        <v>940.44500000000005</v>
      </c>
      <c r="O174" s="14">
        <v>42076</v>
      </c>
      <c r="P174" s="4">
        <v>1.0492999999999999</v>
      </c>
      <c r="Q174" s="14"/>
    </row>
    <row r="175" spans="9:17" x14ac:dyDescent="0.75">
      <c r="I175" s="14">
        <v>42068</v>
      </c>
      <c r="J175" s="4">
        <v>22.37</v>
      </c>
      <c r="K175" s="14">
        <v>42068</v>
      </c>
      <c r="L175" s="4">
        <v>160.16999999999999</v>
      </c>
      <c r="M175" s="14">
        <v>42067</v>
      </c>
      <c r="N175" s="4">
        <v>934.92499999999995</v>
      </c>
      <c r="O175" s="14">
        <v>42075</v>
      </c>
      <c r="P175" s="4">
        <v>1.0634999999999999</v>
      </c>
      <c r="Q175" s="14"/>
    </row>
    <row r="176" spans="9:17" x14ac:dyDescent="0.75">
      <c r="I176" s="14">
        <v>42067</v>
      </c>
      <c r="J176" s="4">
        <v>22.125</v>
      </c>
      <c r="K176" s="14">
        <v>42067</v>
      </c>
      <c r="L176" s="4">
        <v>159.15</v>
      </c>
      <c r="M176" s="14">
        <v>42066</v>
      </c>
      <c r="N176" s="4">
        <v>941.77499999999998</v>
      </c>
      <c r="O176" s="14">
        <v>42074</v>
      </c>
      <c r="P176" s="4">
        <v>1.0545</v>
      </c>
      <c r="Q176" s="14"/>
    </row>
    <row r="177" spans="9:17" x14ac:dyDescent="0.75">
      <c r="I177" s="14">
        <v>42066</v>
      </c>
      <c r="J177" s="4">
        <v>21.954999999999998</v>
      </c>
      <c r="K177" s="14">
        <v>42066</v>
      </c>
      <c r="L177" s="4">
        <v>157.66</v>
      </c>
      <c r="M177" s="14">
        <v>42065</v>
      </c>
      <c r="N177" s="4">
        <v>948.255</v>
      </c>
      <c r="O177" s="14">
        <v>42073</v>
      </c>
      <c r="P177" s="4">
        <v>1.0697000000000001</v>
      </c>
      <c r="Q177" s="14"/>
    </row>
    <row r="178" spans="9:17" x14ac:dyDescent="0.75">
      <c r="I178" s="14">
        <v>42065</v>
      </c>
      <c r="J178" s="4">
        <v>22.27</v>
      </c>
      <c r="K178" s="14">
        <v>42065</v>
      </c>
      <c r="L178" s="4">
        <v>158.94</v>
      </c>
      <c r="M178" s="14">
        <v>42062</v>
      </c>
      <c r="N178" s="4">
        <v>949.56</v>
      </c>
      <c r="O178" s="14">
        <v>42072</v>
      </c>
      <c r="P178" s="4">
        <v>1.085</v>
      </c>
      <c r="Q178" s="14"/>
    </row>
    <row r="179" spans="9:17" x14ac:dyDescent="0.75">
      <c r="I179" s="14">
        <v>42062</v>
      </c>
      <c r="J179" s="4">
        <v>22.31</v>
      </c>
      <c r="K179" s="14">
        <v>42062</v>
      </c>
      <c r="L179" s="4">
        <v>158.6</v>
      </c>
      <c r="M179" s="14">
        <v>42061</v>
      </c>
      <c r="N179" s="4">
        <v>945.12</v>
      </c>
      <c r="O179" s="14">
        <v>42069</v>
      </c>
      <c r="P179" s="4">
        <v>1.0843</v>
      </c>
      <c r="Q179" s="14"/>
    </row>
    <row r="180" spans="9:17" x14ac:dyDescent="0.75">
      <c r="I180" s="14">
        <v>42061</v>
      </c>
      <c r="J180" s="4">
        <v>22.135000000000002</v>
      </c>
      <c r="K180" s="14">
        <v>42061</v>
      </c>
      <c r="L180" s="4">
        <v>158.63</v>
      </c>
      <c r="M180" s="14">
        <v>42060</v>
      </c>
      <c r="N180" s="4">
        <v>938.39499999999998</v>
      </c>
      <c r="O180" s="14">
        <v>42068</v>
      </c>
      <c r="P180" s="4">
        <v>1.1028</v>
      </c>
      <c r="Q180" s="14"/>
    </row>
    <row r="181" spans="9:17" x14ac:dyDescent="0.75">
      <c r="I181" s="14">
        <v>42060</v>
      </c>
      <c r="J181" s="4">
        <v>21.88</v>
      </c>
      <c r="K181" s="14">
        <v>42060</v>
      </c>
      <c r="L181" s="4">
        <v>156.74</v>
      </c>
      <c r="M181" s="14">
        <v>42059</v>
      </c>
      <c r="N181" s="4">
        <v>944.08</v>
      </c>
      <c r="O181" s="14">
        <v>42067</v>
      </c>
      <c r="P181" s="4">
        <v>1.1076999999999999</v>
      </c>
      <c r="Q181" s="14"/>
    </row>
    <row r="182" spans="9:17" x14ac:dyDescent="0.75">
      <c r="I182" s="14">
        <v>42059</v>
      </c>
      <c r="J182" s="4">
        <v>22.085000000000001</v>
      </c>
      <c r="K182" s="14">
        <v>42059</v>
      </c>
      <c r="L182" s="4">
        <v>157.02000000000001</v>
      </c>
      <c r="M182" s="14">
        <v>42058</v>
      </c>
      <c r="N182" s="4">
        <v>936.51</v>
      </c>
      <c r="O182" s="14">
        <v>42066</v>
      </c>
      <c r="P182" s="4">
        <v>1.1173999999999999</v>
      </c>
      <c r="Q182" s="14"/>
    </row>
    <row r="183" spans="9:17" x14ac:dyDescent="0.75">
      <c r="I183" s="14">
        <v>42058</v>
      </c>
      <c r="J183" s="4">
        <v>21.925000000000001</v>
      </c>
      <c r="K183" s="14">
        <v>42058</v>
      </c>
      <c r="L183" s="4">
        <v>156.27000000000001</v>
      </c>
      <c r="M183" s="14">
        <v>42055</v>
      </c>
      <c r="N183" s="4">
        <v>942.09</v>
      </c>
      <c r="O183" s="14">
        <v>42065</v>
      </c>
      <c r="P183" s="4">
        <v>1.1183000000000001</v>
      </c>
      <c r="Q183" s="14"/>
    </row>
    <row r="184" spans="9:17" x14ac:dyDescent="0.75">
      <c r="I184" s="14">
        <v>42055</v>
      </c>
      <c r="J184" s="4">
        <v>21.78</v>
      </c>
      <c r="K184" s="14">
        <v>42055</v>
      </c>
      <c r="L184" s="4">
        <v>155.26</v>
      </c>
      <c r="M184" s="14">
        <v>42054</v>
      </c>
      <c r="N184" s="4">
        <v>940.82500000000005</v>
      </c>
      <c r="O184" s="14">
        <v>42062</v>
      </c>
      <c r="P184" s="4">
        <v>1.1193</v>
      </c>
      <c r="Q184" s="14"/>
    </row>
    <row r="185" spans="9:17" x14ac:dyDescent="0.75">
      <c r="I185" s="14">
        <v>42054</v>
      </c>
      <c r="J185" s="4">
        <v>21.74</v>
      </c>
      <c r="K185" s="14">
        <v>42054</v>
      </c>
      <c r="L185" s="4">
        <v>155.08000000000001</v>
      </c>
      <c r="M185" s="14">
        <v>42053</v>
      </c>
      <c r="N185" s="4">
        <v>950.95</v>
      </c>
      <c r="O185" s="14">
        <v>42061</v>
      </c>
      <c r="P185" s="4">
        <v>1.1195999999999999</v>
      </c>
      <c r="Q185" s="14"/>
    </row>
    <row r="186" spans="9:17" x14ac:dyDescent="0.75">
      <c r="I186" s="14">
        <v>42053</v>
      </c>
      <c r="J186" s="4">
        <v>21.594999999999999</v>
      </c>
      <c r="K186" s="14">
        <v>42053</v>
      </c>
      <c r="L186" s="4">
        <v>154.6</v>
      </c>
      <c r="M186" s="14">
        <v>42052</v>
      </c>
      <c r="N186" s="4">
        <v>945.81</v>
      </c>
      <c r="O186" s="14">
        <v>42060</v>
      </c>
      <c r="P186" s="4">
        <v>1.1361000000000001</v>
      </c>
      <c r="Q186" s="14"/>
    </row>
    <row r="187" spans="9:17" x14ac:dyDescent="0.75">
      <c r="I187" s="14">
        <v>42052</v>
      </c>
      <c r="J187" s="4">
        <v>21.234999999999999</v>
      </c>
      <c r="K187" s="14">
        <v>42052</v>
      </c>
      <c r="L187" s="4">
        <v>153.93</v>
      </c>
      <c r="M187" s="14">
        <v>42051</v>
      </c>
      <c r="N187" s="4">
        <v>957.81</v>
      </c>
      <c r="O187" s="14">
        <v>42059</v>
      </c>
      <c r="P187" s="4">
        <v>1.1338999999999999</v>
      </c>
      <c r="Q187" s="14"/>
    </row>
    <row r="188" spans="9:17" x14ac:dyDescent="0.75">
      <c r="I188" s="14">
        <v>42051</v>
      </c>
      <c r="J188" s="4">
        <v>21.114999999999998</v>
      </c>
      <c r="K188" s="14">
        <v>42051</v>
      </c>
      <c r="L188" s="4">
        <v>153.86000000000001</v>
      </c>
      <c r="M188" s="14">
        <v>42048</v>
      </c>
      <c r="N188" s="4">
        <v>957.09</v>
      </c>
      <c r="O188" s="14">
        <v>42058</v>
      </c>
      <c r="P188" s="4">
        <v>1.133</v>
      </c>
      <c r="Q188" s="14"/>
    </row>
    <row r="189" spans="9:17" x14ac:dyDescent="0.75">
      <c r="I189" s="14">
        <v>42048</v>
      </c>
      <c r="J189" s="4">
        <v>21.145</v>
      </c>
      <c r="K189" s="14">
        <v>42048</v>
      </c>
      <c r="L189" s="4">
        <v>153.62</v>
      </c>
      <c r="M189" s="14">
        <v>42047</v>
      </c>
      <c r="N189" s="4">
        <v>940.43499999999995</v>
      </c>
      <c r="O189" s="14">
        <v>42055</v>
      </c>
      <c r="P189" s="4">
        <v>1.1377999999999999</v>
      </c>
      <c r="Q189" s="14"/>
    </row>
    <row r="190" spans="9:17" x14ac:dyDescent="0.75">
      <c r="I190" s="14">
        <v>42047</v>
      </c>
      <c r="J190" s="4">
        <v>20.99</v>
      </c>
      <c r="K190" s="14">
        <v>42047</v>
      </c>
      <c r="L190" s="4">
        <v>152.6</v>
      </c>
      <c r="M190" s="14">
        <v>42046</v>
      </c>
      <c r="N190" s="4">
        <v>930.78</v>
      </c>
      <c r="O190" s="14">
        <v>42054</v>
      </c>
      <c r="P190" s="4">
        <v>1.1366000000000001</v>
      </c>
      <c r="Q190" s="14"/>
    </row>
    <row r="191" spans="9:17" x14ac:dyDescent="0.75">
      <c r="I191" s="14">
        <v>42046</v>
      </c>
      <c r="J191" s="4">
        <v>20.54</v>
      </c>
      <c r="K191" s="14">
        <v>42046</v>
      </c>
      <c r="L191" s="4">
        <v>152.44</v>
      </c>
      <c r="M191" s="14">
        <v>42045</v>
      </c>
      <c r="N191" s="4">
        <v>939.77499999999998</v>
      </c>
      <c r="O191" s="14">
        <v>42053</v>
      </c>
      <c r="P191" s="4">
        <v>1.1395</v>
      </c>
      <c r="Q191" s="14"/>
    </row>
    <row r="192" spans="9:17" x14ac:dyDescent="0.75">
      <c r="I192" s="14">
        <v>42045</v>
      </c>
      <c r="J192" s="4">
        <v>20.715</v>
      </c>
      <c r="K192" s="14">
        <v>42045</v>
      </c>
      <c r="L192" s="4">
        <v>152.01</v>
      </c>
      <c r="M192" s="14">
        <v>42044</v>
      </c>
      <c r="N192" s="4">
        <v>951.73500000000001</v>
      </c>
      <c r="O192" s="14">
        <v>42052</v>
      </c>
      <c r="P192" s="4">
        <v>1.141</v>
      </c>
      <c r="Q192" s="14"/>
    </row>
    <row r="193" spans="9:17" x14ac:dyDescent="0.75">
      <c r="I193" s="14">
        <v>42044</v>
      </c>
      <c r="J193" s="4">
        <v>20.324999999999999</v>
      </c>
      <c r="K193" s="14">
        <v>42044</v>
      </c>
      <c r="L193" s="4">
        <v>151.58000000000001</v>
      </c>
      <c r="M193" s="14">
        <v>42041</v>
      </c>
      <c r="N193" s="4">
        <v>941.505</v>
      </c>
      <c r="O193" s="14">
        <v>42051</v>
      </c>
      <c r="P193" s="4">
        <v>1.1352</v>
      </c>
      <c r="Q193" s="14"/>
    </row>
    <row r="194" spans="9:17" x14ac:dyDescent="0.75">
      <c r="I194" s="14">
        <v>42041</v>
      </c>
      <c r="J194" s="4">
        <v>20.71</v>
      </c>
      <c r="K194" s="14">
        <v>42041</v>
      </c>
      <c r="L194" s="4">
        <v>152.62</v>
      </c>
      <c r="M194" s="14">
        <v>42040</v>
      </c>
      <c r="N194" s="4">
        <v>940.7</v>
      </c>
      <c r="O194" s="14">
        <v>42048</v>
      </c>
      <c r="P194" s="4">
        <v>1.1383000000000001</v>
      </c>
      <c r="Q194" s="14"/>
    </row>
    <row r="195" spans="9:17" x14ac:dyDescent="0.75">
      <c r="I195" s="14">
        <v>42040</v>
      </c>
      <c r="J195" s="4">
        <v>20.805</v>
      </c>
      <c r="K195" s="14">
        <v>42040</v>
      </c>
      <c r="L195" s="4">
        <v>151.18</v>
      </c>
      <c r="M195" s="14">
        <v>42039</v>
      </c>
      <c r="N195" s="4">
        <v>936.55</v>
      </c>
      <c r="O195" s="14">
        <v>42047</v>
      </c>
      <c r="P195" s="4">
        <v>1.1402000000000001</v>
      </c>
      <c r="Q195" s="14"/>
    </row>
    <row r="196" spans="9:17" x14ac:dyDescent="0.75">
      <c r="I196" s="14">
        <v>42039</v>
      </c>
      <c r="J196" s="4">
        <v>20.934999999999999</v>
      </c>
      <c r="K196" s="14">
        <v>42039</v>
      </c>
      <c r="L196" s="4">
        <v>150.71</v>
      </c>
      <c r="M196" s="14">
        <v>42038</v>
      </c>
      <c r="N196" s="4">
        <v>940.375</v>
      </c>
      <c r="O196" s="14">
        <v>42046</v>
      </c>
      <c r="P196" s="4">
        <v>1.1331</v>
      </c>
      <c r="Q196" s="14"/>
    </row>
    <row r="197" spans="9:17" x14ac:dyDescent="0.75">
      <c r="I197" s="14">
        <v>42038</v>
      </c>
      <c r="J197" s="4">
        <v>20.96</v>
      </c>
      <c r="K197" s="14">
        <v>42038</v>
      </c>
      <c r="L197" s="4">
        <v>148.66</v>
      </c>
      <c r="M197" s="14">
        <v>42037</v>
      </c>
      <c r="N197" s="4">
        <v>918.49</v>
      </c>
      <c r="O197" s="14">
        <v>42045</v>
      </c>
      <c r="P197" s="4">
        <v>1.1318999999999999</v>
      </c>
      <c r="Q197" s="14"/>
    </row>
    <row r="198" spans="9:17" x14ac:dyDescent="0.75">
      <c r="I198" s="14">
        <v>42037</v>
      </c>
      <c r="J198" s="4">
        <v>20.49</v>
      </c>
      <c r="K198" s="14">
        <v>42037</v>
      </c>
      <c r="L198" s="4">
        <v>148.97</v>
      </c>
      <c r="M198" s="14">
        <v>42034</v>
      </c>
      <c r="N198" s="4">
        <v>895.96</v>
      </c>
      <c r="O198" s="14">
        <v>42044</v>
      </c>
      <c r="P198" s="4">
        <v>1.1323000000000001</v>
      </c>
      <c r="Q198" s="14"/>
    </row>
    <row r="199" spans="9:17" x14ac:dyDescent="0.75">
      <c r="I199" s="14">
        <v>42034</v>
      </c>
      <c r="J199" s="4">
        <v>20.495000000000001</v>
      </c>
      <c r="K199" s="14">
        <v>42034</v>
      </c>
      <c r="L199" s="4">
        <v>148.9</v>
      </c>
      <c r="M199" s="14">
        <v>42033</v>
      </c>
      <c r="N199" s="4">
        <v>891.11</v>
      </c>
      <c r="O199" s="14">
        <v>42041</v>
      </c>
      <c r="P199" s="4">
        <v>1.1313</v>
      </c>
      <c r="Q199" s="14"/>
    </row>
    <row r="200" spans="9:17" x14ac:dyDescent="0.75">
      <c r="I200" s="14">
        <v>42033</v>
      </c>
      <c r="J200" s="4">
        <v>20.594999999999999</v>
      </c>
      <c r="K200" s="14">
        <v>42033</v>
      </c>
      <c r="L200" s="4">
        <v>148.6</v>
      </c>
      <c r="M200" s="14">
        <v>42032</v>
      </c>
      <c r="N200" s="4">
        <v>905.66499999999996</v>
      </c>
      <c r="O200" s="14">
        <v>42040</v>
      </c>
      <c r="P200" s="4">
        <v>1.1475</v>
      </c>
      <c r="Q200" s="14"/>
    </row>
    <row r="201" spans="9:17" x14ac:dyDescent="0.75">
      <c r="I201" s="14">
        <v>42032</v>
      </c>
      <c r="J201" s="4">
        <v>20.495000000000001</v>
      </c>
      <c r="K201" s="14">
        <v>42032</v>
      </c>
      <c r="L201" s="4">
        <v>149.96</v>
      </c>
      <c r="M201" s="14">
        <v>42031</v>
      </c>
      <c r="N201" s="4">
        <v>904.08</v>
      </c>
      <c r="O201" s="14">
        <v>42039</v>
      </c>
      <c r="P201" s="4">
        <v>1.1344000000000001</v>
      </c>
      <c r="Q201" s="14"/>
    </row>
    <row r="202" spans="9:17" x14ac:dyDescent="0.75">
      <c r="I202" s="14">
        <v>42031</v>
      </c>
      <c r="J202" s="4">
        <v>20.614999999999998</v>
      </c>
      <c r="K202" s="14">
        <v>42031</v>
      </c>
      <c r="L202" s="4">
        <v>149.69999999999999</v>
      </c>
      <c r="M202" s="14">
        <v>42030</v>
      </c>
      <c r="N202" s="4">
        <v>906.38499999999999</v>
      </c>
      <c r="O202" s="14">
        <v>42038</v>
      </c>
      <c r="P202" s="4">
        <v>1.1478999999999999</v>
      </c>
      <c r="Q202" s="14"/>
    </row>
    <row r="203" spans="9:17" x14ac:dyDescent="0.75">
      <c r="I203" s="14">
        <v>42030</v>
      </c>
      <c r="J203" s="4">
        <v>20.704999999999998</v>
      </c>
      <c r="K203" s="14">
        <v>42030</v>
      </c>
      <c r="L203" s="4">
        <v>151.44</v>
      </c>
      <c r="M203" s="14">
        <v>42027</v>
      </c>
      <c r="N203" s="4">
        <v>905.99</v>
      </c>
      <c r="O203" s="14">
        <v>42037</v>
      </c>
      <c r="P203" s="4">
        <v>1.1339999999999999</v>
      </c>
      <c r="Q203" s="14"/>
    </row>
    <row r="204" spans="9:17" x14ac:dyDescent="0.75">
      <c r="I204" s="14">
        <v>42027</v>
      </c>
      <c r="J204" s="4">
        <v>20.454999999999998</v>
      </c>
      <c r="K204" s="14">
        <v>42027</v>
      </c>
      <c r="L204" s="4">
        <v>151.46</v>
      </c>
      <c r="M204" s="14">
        <v>42026</v>
      </c>
      <c r="N204" s="4">
        <v>916.27</v>
      </c>
      <c r="O204" s="14">
        <v>42034</v>
      </c>
      <c r="P204" s="4">
        <v>1.1286</v>
      </c>
      <c r="Q204" s="14"/>
    </row>
    <row r="205" spans="9:17" x14ac:dyDescent="0.75">
      <c r="I205" s="14">
        <v>42026</v>
      </c>
      <c r="J205" s="4">
        <v>20.39</v>
      </c>
      <c r="K205" s="14">
        <v>42026</v>
      </c>
      <c r="L205" s="4">
        <v>148.93</v>
      </c>
      <c r="M205" s="14">
        <v>42025</v>
      </c>
      <c r="N205" s="4">
        <v>915.65</v>
      </c>
      <c r="O205" s="14">
        <v>42033</v>
      </c>
      <c r="P205" s="4">
        <v>1.1318999999999999</v>
      </c>
      <c r="Q205" s="14"/>
    </row>
    <row r="206" spans="9:17" x14ac:dyDescent="0.75">
      <c r="I206" s="14">
        <v>42025</v>
      </c>
      <c r="J206" s="4">
        <v>19.96</v>
      </c>
      <c r="K206" s="14">
        <v>42025</v>
      </c>
      <c r="L206" s="4">
        <v>146.15</v>
      </c>
      <c r="M206" s="14">
        <v>42024</v>
      </c>
      <c r="N206" s="4">
        <v>911.12</v>
      </c>
      <c r="O206" s="14">
        <v>42032</v>
      </c>
      <c r="P206" s="4">
        <v>1.1286</v>
      </c>
      <c r="Q206" s="14"/>
    </row>
    <row r="207" spans="9:17" x14ac:dyDescent="0.75">
      <c r="I207" s="14">
        <v>42024</v>
      </c>
      <c r="J207" s="4">
        <v>19.635000000000002</v>
      </c>
      <c r="K207" s="14">
        <v>42024</v>
      </c>
      <c r="L207" s="4">
        <v>144.94</v>
      </c>
      <c r="M207" s="14">
        <v>42023</v>
      </c>
      <c r="N207" s="4">
        <v>913.255</v>
      </c>
      <c r="O207" s="14">
        <v>42031</v>
      </c>
      <c r="P207" s="4">
        <v>1.1380999999999999</v>
      </c>
      <c r="Q207" s="14"/>
    </row>
    <row r="208" spans="9:17" x14ac:dyDescent="0.75">
      <c r="I208" s="14">
        <v>42023</v>
      </c>
      <c r="J208" s="4">
        <v>19.434999999999999</v>
      </c>
      <c r="K208" s="14">
        <v>42023</v>
      </c>
      <c r="L208" s="4">
        <v>144.54</v>
      </c>
      <c r="M208" s="14">
        <v>42020</v>
      </c>
      <c r="N208" s="4">
        <v>916.51</v>
      </c>
      <c r="O208" s="14">
        <v>42030</v>
      </c>
      <c r="P208" s="4">
        <v>1.1236999999999999</v>
      </c>
      <c r="Q208" s="14"/>
    </row>
    <row r="209" spans="9:17" x14ac:dyDescent="0.75">
      <c r="I209" s="14">
        <v>42020</v>
      </c>
      <c r="J209" s="4">
        <v>19.16</v>
      </c>
      <c r="K209" s="14">
        <v>42020</v>
      </c>
      <c r="L209" s="4">
        <v>144.68</v>
      </c>
      <c r="M209" s="14">
        <v>42019</v>
      </c>
      <c r="N209" s="4">
        <v>901.58500000000004</v>
      </c>
      <c r="O209" s="14">
        <v>42027</v>
      </c>
      <c r="P209" s="4">
        <v>1.1207</v>
      </c>
      <c r="Q209" s="14"/>
    </row>
    <row r="210" spans="9:17" x14ac:dyDescent="0.75">
      <c r="I210" s="14">
        <v>42019</v>
      </c>
      <c r="J210" s="4">
        <v>18.829999999999998</v>
      </c>
      <c r="K210" s="14">
        <v>42019</v>
      </c>
      <c r="L210" s="4">
        <v>143.57</v>
      </c>
      <c r="M210" s="14">
        <v>42018</v>
      </c>
      <c r="N210" s="4">
        <v>901.58500000000004</v>
      </c>
      <c r="O210" s="14">
        <v>42026</v>
      </c>
      <c r="P210" s="4">
        <v>1.1365000000000001</v>
      </c>
      <c r="Q210" s="14"/>
    </row>
    <row r="211" spans="9:17" x14ac:dyDescent="0.75">
      <c r="I211" s="14">
        <v>42018</v>
      </c>
      <c r="J211" s="4">
        <v>18.364999999999998</v>
      </c>
      <c r="K211" s="14">
        <v>42018</v>
      </c>
      <c r="L211" s="4">
        <v>140.38999999999999</v>
      </c>
      <c r="M211" s="14">
        <v>42017</v>
      </c>
      <c r="N211" s="4">
        <v>910.72</v>
      </c>
      <c r="O211" s="14">
        <v>42025</v>
      </c>
      <c r="P211" s="4">
        <v>1.1608000000000001</v>
      </c>
      <c r="Q211" s="14"/>
    </row>
    <row r="212" spans="9:17" x14ac:dyDescent="0.75">
      <c r="I212" s="14">
        <v>42017</v>
      </c>
      <c r="J212" s="4">
        <v>18.670000000000002</v>
      </c>
      <c r="K212" s="14">
        <v>42017</v>
      </c>
      <c r="L212" s="4">
        <v>143.30000000000001</v>
      </c>
      <c r="M212" s="14">
        <v>42016</v>
      </c>
      <c r="N212" s="4">
        <v>925.12</v>
      </c>
      <c r="O212" s="14">
        <v>42024</v>
      </c>
      <c r="P212" s="4">
        <v>1.1549</v>
      </c>
      <c r="Q212" s="14"/>
    </row>
    <row r="213" spans="9:17" x14ac:dyDescent="0.75">
      <c r="I213" s="14">
        <v>42016</v>
      </c>
      <c r="J213" s="4">
        <v>18.29</v>
      </c>
      <c r="K213" s="14">
        <v>42016</v>
      </c>
      <c r="L213" s="4">
        <v>141.61000000000001</v>
      </c>
      <c r="M213" s="14">
        <v>42013</v>
      </c>
      <c r="N213" s="4">
        <v>933.15499999999997</v>
      </c>
      <c r="O213" s="14">
        <v>42023</v>
      </c>
      <c r="P213" s="4">
        <v>1.1604000000000001</v>
      </c>
      <c r="Q213" s="14"/>
    </row>
    <row r="214" spans="9:17" x14ac:dyDescent="0.75">
      <c r="I214" s="14">
        <v>42013</v>
      </c>
      <c r="J214" s="4">
        <v>18.195</v>
      </c>
      <c r="K214" s="14">
        <v>42013</v>
      </c>
      <c r="L214" s="4">
        <v>141.85</v>
      </c>
      <c r="M214" s="14">
        <v>42012</v>
      </c>
      <c r="N214" s="4">
        <v>937.57</v>
      </c>
      <c r="O214" s="14">
        <v>42020</v>
      </c>
      <c r="P214" s="4">
        <v>1.1567000000000001</v>
      </c>
      <c r="Q214" s="14"/>
    </row>
    <row r="215" spans="9:17" x14ac:dyDescent="0.75">
      <c r="I215" s="14">
        <v>42012</v>
      </c>
      <c r="J215" s="4">
        <v>18.739999999999998</v>
      </c>
      <c r="K215" s="14">
        <v>42012</v>
      </c>
      <c r="L215" s="4">
        <v>143.33000000000001</v>
      </c>
      <c r="M215" s="14">
        <v>42011</v>
      </c>
      <c r="N215" s="4">
        <v>936.93</v>
      </c>
      <c r="O215" s="14">
        <v>42019</v>
      </c>
      <c r="P215" s="4">
        <v>1.1628000000000001</v>
      </c>
      <c r="Q215" s="14"/>
    </row>
    <row r="216" spans="9:17" x14ac:dyDescent="0.75">
      <c r="I216" s="14">
        <v>42011</v>
      </c>
      <c r="J216" s="4">
        <v>18.13</v>
      </c>
      <c r="K216" s="14">
        <v>42011</v>
      </c>
      <c r="L216" s="4">
        <v>140.33000000000001</v>
      </c>
      <c r="M216" s="14">
        <v>42010</v>
      </c>
      <c r="N216" s="4">
        <v>944.35</v>
      </c>
      <c r="O216" s="14">
        <v>42018</v>
      </c>
      <c r="P216" s="4">
        <v>1.1789000000000001</v>
      </c>
      <c r="Q216" s="14"/>
    </row>
    <row r="217" spans="9:17" x14ac:dyDescent="0.75">
      <c r="I217" s="14">
        <v>42010</v>
      </c>
      <c r="J217" s="4">
        <v>18.085000000000001</v>
      </c>
      <c r="K217" s="14">
        <v>42010</v>
      </c>
      <c r="L217" s="4">
        <v>138.51</v>
      </c>
      <c r="M217" s="14">
        <v>42009</v>
      </c>
      <c r="N217" s="4">
        <v>947.42499999999995</v>
      </c>
      <c r="O217" s="14">
        <v>42017</v>
      </c>
      <c r="P217" s="4">
        <v>1.1772</v>
      </c>
      <c r="Q217" s="14"/>
    </row>
    <row r="218" spans="9:17" x14ac:dyDescent="0.75">
      <c r="I218" s="14">
        <v>42009</v>
      </c>
      <c r="J218" s="4">
        <v>18.18</v>
      </c>
      <c r="K218" s="14">
        <v>42009</v>
      </c>
      <c r="L218" s="4">
        <v>139.69</v>
      </c>
      <c r="M218" s="14">
        <v>42006</v>
      </c>
      <c r="N218" s="4">
        <v>962.68</v>
      </c>
      <c r="O218" s="14">
        <v>42016</v>
      </c>
      <c r="P218" s="4">
        <v>1.1833</v>
      </c>
      <c r="Q218" s="14"/>
    </row>
    <row r="219" spans="9:17" x14ac:dyDescent="0.75">
      <c r="I219" s="14">
        <v>42006</v>
      </c>
      <c r="J219" s="4">
        <v>19.114999999999998</v>
      </c>
      <c r="K219" s="14">
        <v>42006</v>
      </c>
      <c r="L219" s="4">
        <v>141.21</v>
      </c>
      <c r="M219" s="14">
        <v>42004</v>
      </c>
      <c r="N219" s="4">
        <v>968.43</v>
      </c>
      <c r="O219" s="14">
        <v>42013</v>
      </c>
      <c r="P219" s="4">
        <v>1.1839</v>
      </c>
      <c r="Q219" s="14"/>
    </row>
    <row r="220" spans="9:17" x14ac:dyDescent="0.75">
      <c r="I220" s="14">
        <v>42003</v>
      </c>
      <c r="J220" s="4">
        <v>18.984999999999999</v>
      </c>
      <c r="K220" s="14">
        <v>42003</v>
      </c>
      <c r="L220" s="4">
        <v>141.28</v>
      </c>
      <c r="M220" s="14">
        <v>42003</v>
      </c>
      <c r="N220" s="4">
        <v>975.995</v>
      </c>
      <c r="O220" s="14">
        <v>42012</v>
      </c>
      <c r="P220" s="4">
        <v>1.1792</v>
      </c>
      <c r="Q220" s="14"/>
    </row>
    <row r="221" spans="9:17" x14ac:dyDescent="0.75">
      <c r="I221" s="14">
        <v>42002</v>
      </c>
      <c r="J221" s="4">
        <v>19.125</v>
      </c>
      <c r="K221" s="14">
        <v>42002</v>
      </c>
      <c r="L221" s="4">
        <v>142.09</v>
      </c>
      <c r="M221" s="14">
        <v>42002</v>
      </c>
      <c r="N221" s="4">
        <v>981.55499999999995</v>
      </c>
      <c r="O221" s="14">
        <v>42011</v>
      </c>
      <c r="P221" s="4">
        <v>1.1837</v>
      </c>
      <c r="Q221" s="14"/>
    </row>
    <row r="222" spans="9:17" x14ac:dyDescent="0.75">
      <c r="I222" s="14">
        <v>41996</v>
      </c>
      <c r="J222" s="4">
        <v>19.335000000000001</v>
      </c>
      <c r="K222" s="14">
        <v>41996</v>
      </c>
      <c r="L222" s="4">
        <v>141.62</v>
      </c>
      <c r="M222" s="14">
        <v>41997</v>
      </c>
      <c r="N222" s="4">
        <v>987.8</v>
      </c>
      <c r="O222" s="14">
        <v>42010</v>
      </c>
      <c r="P222" s="4">
        <v>1.1888000000000001</v>
      </c>
      <c r="Q222" s="14"/>
    </row>
    <row r="223" spans="9:17" x14ac:dyDescent="0.75">
      <c r="I223" s="14">
        <v>41995</v>
      </c>
      <c r="J223" s="4">
        <v>19.055</v>
      </c>
      <c r="K223" s="14">
        <v>41995</v>
      </c>
      <c r="L223" s="4">
        <v>140.07</v>
      </c>
      <c r="M223" s="14">
        <v>41996</v>
      </c>
      <c r="N223" s="4">
        <v>991.26499999999999</v>
      </c>
      <c r="O223" s="14">
        <v>42009</v>
      </c>
      <c r="P223" s="4">
        <v>1.1931</v>
      </c>
      <c r="Q223" s="14"/>
    </row>
    <row r="224" spans="9:17" x14ac:dyDescent="0.75">
      <c r="I224" s="14">
        <v>41992</v>
      </c>
      <c r="J224" s="4">
        <v>18.984999999999999</v>
      </c>
      <c r="K224" s="14">
        <v>41992</v>
      </c>
      <c r="L224" s="4">
        <v>139.87</v>
      </c>
      <c r="M224" s="14">
        <v>41995</v>
      </c>
      <c r="N224" s="4">
        <v>990.22</v>
      </c>
      <c r="O224" s="14">
        <v>42006</v>
      </c>
      <c r="P224" s="4">
        <v>1.2</v>
      </c>
      <c r="Q224" s="14"/>
    </row>
    <row r="225" spans="9:17" x14ac:dyDescent="0.75">
      <c r="I225" s="14">
        <v>41991</v>
      </c>
      <c r="J225" s="4">
        <v>19.035</v>
      </c>
      <c r="K225" s="14">
        <v>41991</v>
      </c>
      <c r="L225" s="4">
        <v>138.13</v>
      </c>
      <c r="M225" s="14">
        <v>41992</v>
      </c>
      <c r="N225" s="4">
        <v>992.71500000000003</v>
      </c>
      <c r="O225" s="14">
        <v>42005</v>
      </c>
      <c r="P225" s="4">
        <v>1.2101999999999999</v>
      </c>
      <c r="Q225" s="14"/>
    </row>
    <row r="226" spans="9:17" x14ac:dyDescent="0.75">
      <c r="I226" s="14">
        <v>41990</v>
      </c>
      <c r="J226" s="4">
        <v>18.535</v>
      </c>
      <c r="K226" s="14">
        <v>41990</v>
      </c>
      <c r="L226" s="4">
        <v>133.69</v>
      </c>
      <c r="M226" s="14">
        <v>41991</v>
      </c>
      <c r="N226" s="4">
        <v>989.45</v>
      </c>
      <c r="O226" s="14">
        <v>42004</v>
      </c>
      <c r="P226" s="4">
        <v>1.2097</v>
      </c>
      <c r="Q226" s="14"/>
    </row>
    <row r="227" spans="9:17" x14ac:dyDescent="0.75">
      <c r="I227" s="14">
        <v>41989</v>
      </c>
      <c r="J227" s="4">
        <v>18.63</v>
      </c>
      <c r="K227" s="14">
        <v>41989</v>
      </c>
      <c r="L227" s="4">
        <v>134.08000000000001</v>
      </c>
      <c r="M227" s="14">
        <v>41990</v>
      </c>
      <c r="N227" s="4">
        <v>988.86</v>
      </c>
      <c r="O227" s="14">
        <v>42003</v>
      </c>
      <c r="P227" s="4">
        <v>1.2156</v>
      </c>
      <c r="Q227" s="14"/>
    </row>
    <row r="228" spans="9:17" x14ac:dyDescent="0.75">
      <c r="I228" s="14">
        <v>41988</v>
      </c>
      <c r="J228" s="4">
        <v>18.074999999999999</v>
      </c>
      <c r="K228" s="14">
        <v>41988</v>
      </c>
      <c r="L228" s="4">
        <v>132.59</v>
      </c>
      <c r="M228" s="14">
        <v>41989</v>
      </c>
      <c r="N228" s="4">
        <v>994.20500000000004</v>
      </c>
      <c r="O228" s="14">
        <v>42002</v>
      </c>
      <c r="P228" s="4">
        <v>1.2151000000000001</v>
      </c>
      <c r="Q228" s="14"/>
    </row>
    <row r="229" spans="9:17" x14ac:dyDescent="0.75">
      <c r="I229" s="14">
        <v>41985</v>
      </c>
      <c r="J229" s="4">
        <v>18.605</v>
      </c>
      <c r="K229" s="14">
        <v>41985</v>
      </c>
      <c r="L229" s="4">
        <v>134.30000000000001</v>
      </c>
      <c r="M229" s="14">
        <v>41988</v>
      </c>
      <c r="N229" s="4">
        <v>1003.86</v>
      </c>
      <c r="O229" s="14">
        <v>41999</v>
      </c>
      <c r="P229" s="4">
        <v>1.2175</v>
      </c>
      <c r="Q229" s="14"/>
    </row>
    <row r="230" spans="9:17" x14ac:dyDescent="0.75">
      <c r="I230" s="14">
        <v>41984</v>
      </c>
      <c r="J230" s="4">
        <v>19.145</v>
      </c>
      <c r="K230" s="14">
        <v>41984</v>
      </c>
      <c r="L230" s="4">
        <v>137.84</v>
      </c>
      <c r="M230" s="14">
        <v>41985</v>
      </c>
      <c r="N230" s="4">
        <v>1012.285</v>
      </c>
      <c r="O230" s="14">
        <v>41998</v>
      </c>
      <c r="P230" s="4">
        <v>1.2221</v>
      </c>
      <c r="Q230" s="14"/>
    </row>
    <row r="231" spans="9:17" x14ac:dyDescent="0.75">
      <c r="I231" s="14">
        <v>41983</v>
      </c>
      <c r="J231" s="4">
        <v>19.190000000000001</v>
      </c>
      <c r="K231" s="14">
        <v>41983</v>
      </c>
      <c r="L231" s="4">
        <v>137.15</v>
      </c>
      <c r="M231" s="14">
        <v>41984</v>
      </c>
      <c r="N231" s="4">
        <v>1017.605</v>
      </c>
      <c r="O231" s="14">
        <v>41997</v>
      </c>
      <c r="P231" s="4">
        <v>1.2193000000000001</v>
      </c>
      <c r="Q231" s="14"/>
    </row>
    <row r="232" spans="9:17" x14ac:dyDescent="0.75">
      <c r="I232" s="14">
        <v>41982</v>
      </c>
      <c r="J232" s="4">
        <v>19.465</v>
      </c>
      <c r="K232" s="14">
        <v>41982</v>
      </c>
      <c r="L232" s="4">
        <v>138.46</v>
      </c>
      <c r="M232" s="14">
        <v>41983</v>
      </c>
      <c r="N232" s="4">
        <v>1018.14</v>
      </c>
      <c r="O232" s="14">
        <v>41996</v>
      </c>
      <c r="P232" s="4">
        <v>1.2171000000000001</v>
      </c>
      <c r="Q232" s="14"/>
    </row>
    <row r="233" spans="9:17" x14ac:dyDescent="0.75">
      <c r="I233" s="14">
        <v>41981</v>
      </c>
      <c r="J233" s="4">
        <v>20.010000000000002</v>
      </c>
      <c r="K233" s="14">
        <v>41981</v>
      </c>
      <c r="L233" s="4">
        <v>141.58000000000001</v>
      </c>
      <c r="M233" s="14">
        <v>41982</v>
      </c>
      <c r="N233" s="4">
        <v>1032.46</v>
      </c>
      <c r="O233" s="14">
        <v>41995</v>
      </c>
      <c r="P233" s="4">
        <v>1.2229000000000001</v>
      </c>
      <c r="Q233" s="14"/>
    </row>
    <row r="234" spans="9:17" x14ac:dyDescent="0.75">
      <c r="I234" s="14">
        <v>41978</v>
      </c>
      <c r="J234" s="4">
        <v>20.14</v>
      </c>
      <c r="K234" s="14">
        <v>41978</v>
      </c>
      <c r="L234" s="4">
        <v>142.03</v>
      </c>
      <c r="M234" s="14">
        <v>41981</v>
      </c>
      <c r="N234" s="4">
        <v>1029.78</v>
      </c>
      <c r="O234" s="14">
        <v>41992</v>
      </c>
      <c r="P234" s="4">
        <v>1.2225999999999999</v>
      </c>
      <c r="Q234" s="14"/>
    </row>
    <row r="235" spans="9:17" x14ac:dyDescent="0.75">
      <c r="I235" s="14">
        <v>41977</v>
      </c>
      <c r="J235" s="4">
        <v>19.504999999999999</v>
      </c>
      <c r="K235" s="14">
        <v>41977</v>
      </c>
      <c r="L235" s="4">
        <v>139.79</v>
      </c>
      <c r="M235" s="14">
        <v>41978</v>
      </c>
      <c r="N235" s="4">
        <v>1037.33</v>
      </c>
      <c r="O235" s="14">
        <v>41991</v>
      </c>
      <c r="P235" s="4">
        <v>1.2284999999999999</v>
      </c>
      <c r="Q235" s="14"/>
    </row>
    <row r="236" spans="9:17" x14ac:dyDescent="0.75">
      <c r="I236" s="14">
        <v>41976</v>
      </c>
      <c r="J236" s="4">
        <v>20.024999999999999</v>
      </c>
      <c r="K236" s="14">
        <v>41976</v>
      </c>
      <c r="L236" s="4">
        <v>141.69</v>
      </c>
      <c r="M236" s="14">
        <v>41977</v>
      </c>
      <c r="N236" s="4">
        <v>1039.845</v>
      </c>
      <c r="O236" s="14">
        <v>41990</v>
      </c>
      <c r="P236" s="4">
        <v>1.2341</v>
      </c>
      <c r="Q236" s="14"/>
    </row>
    <row r="237" spans="9:17" x14ac:dyDescent="0.75">
      <c r="I237" s="14">
        <v>41975</v>
      </c>
      <c r="J237" s="4">
        <v>19.850000000000001</v>
      </c>
      <c r="K237" s="14">
        <v>41975</v>
      </c>
      <c r="L237" s="4">
        <v>140.6</v>
      </c>
      <c r="M237" s="14">
        <v>41976</v>
      </c>
      <c r="N237" s="4">
        <v>1041.32</v>
      </c>
      <c r="O237" s="14">
        <v>41989</v>
      </c>
      <c r="P237" s="4">
        <v>1.2509999999999999</v>
      </c>
      <c r="Q237" s="14"/>
    </row>
    <row r="238" spans="9:17" x14ac:dyDescent="0.75">
      <c r="I238" s="14">
        <v>41974</v>
      </c>
      <c r="J238" s="4">
        <v>19.785</v>
      </c>
      <c r="K238" s="14">
        <v>41974</v>
      </c>
      <c r="L238" s="4">
        <v>139.08000000000001</v>
      </c>
      <c r="M238" s="14">
        <v>41975</v>
      </c>
      <c r="N238" s="4">
        <v>1049.48</v>
      </c>
      <c r="O238" s="14">
        <v>41988</v>
      </c>
      <c r="P238" s="4">
        <v>1.2436</v>
      </c>
      <c r="Q238" s="14"/>
    </row>
    <row r="239" spans="9:17" x14ac:dyDescent="0.75">
      <c r="I239" s="14">
        <v>41971</v>
      </c>
      <c r="J239" s="4">
        <v>20.11</v>
      </c>
      <c r="K239" s="14">
        <v>41971</v>
      </c>
      <c r="L239" s="4">
        <v>140.69999999999999</v>
      </c>
      <c r="M239" s="14">
        <v>41974</v>
      </c>
      <c r="N239" s="4">
        <v>1051.585</v>
      </c>
      <c r="O239" s="14">
        <v>41985</v>
      </c>
      <c r="P239" s="4">
        <v>1.246</v>
      </c>
      <c r="Q239" s="14"/>
    </row>
    <row r="240" spans="9:17" x14ac:dyDescent="0.75">
      <c r="I240" s="14">
        <v>41970</v>
      </c>
      <c r="J240" s="4">
        <v>20.215</v>
      </c>
      <c r="K240" s="14">
        <v>41970</v>
      </c>
      <c r="L240" s="4">
        <v>140.52000000000001</v>
      </c>
      <c r="M240" s="14">
        <v>41971</v>
      </c>
      <c r="N240" s="4">
        <v>1057.52</v>
      </c>
      <c r="O240" s="14">
        <v>41984</v>
      </c>
      <c r="P240" s="4">
        <v>1.2408999999999999</v>
      </c>
      <c r="Q240" s="14"/>
    </row>
    <row r="241" spans="9:17" x14ac:dyDescent="0.75">
      <c r="I241" s="14">
        <v>41969</v>
      </c>
      <c r="J241" s="4">
        <v>20.004999999999999</v>
      </c>
      <c r="K241" s="14">
        <v>41969</v>
      </c>
      <c r="L241" s="4">
        <v>140.08000000000001</v>
      </c>
      <c r="M241" s="14">
        <v>41970</v>
      </c>
      <c r="N241" s="4">
        <v>1061.8</v>
      </c>
      <c r="O241" s="14">
        <v>41983</v>
      </c>
      <c r="P241" s="4">
        <v>1.2446999999999999</v>
      </c>
      <c r="Q241" s="14"/>
    </row>
    <row r="242" spans="9:17" x14ac:dyDescent="0.75">
      <c r="I242" s="14">
        <v>41968</v>
      </c>
      <c r="J242" s="4">
        <v>20.09</v>
      </c>
      <c r="K242" s="14">
        <v>41968</v>
      </c>
      <c r="L242" s="4">
        <v>140.24</v>
      </c>
      <c r="M242" s="14">
        <v>41969</v>
      </c>
      <c r="N242" s="4">
        <v>1091.0550000000001</v>
      </c>
      <c r="O242" s="14">
        <v>41982</v>
      </c>
      <c r="P242" s="4">
        <v>1.2374000000000001</v>
      </c>
      <c r="Q242" s="14"/>
    </row>
    <row r="243" spans="9:17" x14ac:dyDescent="0.75">
      <c r="I243" s="14">
        <v>41967</v>
      </c>
      <c r="J243" s="4">
        <v>19.995000000000001</v>
      </c>
      <c r="K243" s="14">
        <v>41967</v>
      </c>
      <c r="L243" s="4">
        <v>140.41999999999999</v>
      </c>
      <c r="M243" s="14">
        <v>41968</v>
      </c>
      <c r="N243" s="4">
        <v>1089.4749999999999</v>
      </c>
      <c r="O243" s="14">
        <v>41981</v>
      </c>
      <c r="P243" s="4">
        <v>1.2316</v>
      </c>
      <c r="Q243" s="14"/>
    </row>
    <row r="244" spans="9:17" x14ac:dyDescent="0.75">
      <c r="I244" s="14">
        <v>41964</v>
      </c>
      <c r="J244" s="4">
        <v>19.96</v>
      </c>
      <c r="K244" s="14">
        <v>41964</v>
      </c>
      <c r="L244" s="4">
        <v>140.85</v>
      </c>
      <c r="M244" s="14">
        <v>41967</v>
      </c>
      <c r="N244" s="4">
        <v>1098.54</v>
      </c>
      <c r="O244" s="14">
        <v>41978</v>
      </c>
      <c r="P244" s="4">
        <v>1.2284999999999999</v>
      </c>
      <c r="Q244" s="14"/>
    </row>
    <row r="245" spans="9:17" x14ac:dyDescent="0.75">
      <c r="I245" s="14">
        <v>41963</v>
      </c>
      <c r="J245" s="4">
        <v>19.27</v>
      </c>
      <c r="K245" s="14">
        <v>41963</v>
      </c>
      <c r="L245" s="4">
        <v>138.26</v>
      </c>
      <c r="M245" s="14">
        <v>41964</v>
      </c>
      <c r="N245" s="4">
        <v>1101.075</v>
      </c>
      <c r="O245" s="14">
        <v>41977</v>
      </c>
      <c r="P245" s="4">
        <v>1.2377</v>
      </c>
      <c r="Q245" s="14"/>
    </row>
    <row r="246" spans="9:17" x14ac:dyDescent="0.75">
      <c r="I246" s="14">
        <v>41962</v>
      </c>
      <c r="J246" s="4">
        <v>19.434999999999999</v>
      </c>
      <c r="K246" s="14">
        <v>41962</v>
      </c>
      <c r="L246" s="4">
        <v>137.83000000000001</v>
      </c>
      <c r="M246" s="14">
        <v>41963</v>
      </c>
      <c r="N246" s="4">
        <v>1086.5550000000001</v>
      </c>
      <c r="O246" s="14">
        <v>41976</v>
      </c>
      <c r="P246" s="4">
        <v>1.2310000000000001</v>
      </c>
      <c r="Q246" s="14"/>
    </row>
    <row r="247" spans="9:17" x14ac:dyDescent="0.75">
      <c r="I247" s="14">
        <v>41961</v>
      </c>
      <c r="J247" s="4">
        <v>19.38</v>
      </c>
      <c r="K247" s="14">
        <v>41961</v>
      </c>
      <c r="L247" s="4">
        <v>138.31</v>
      </c>
      <c r="M247" s="14">
        <v>41962</v>
      </c>
      <c r="N247" s="4">
        <v>1086.4349999999999</v>
      </c>
      <c r="O247" s="14">
        <v>41975</v>
      </c>
      <c r="P247" s="4">
        <v>1.2381</v>
      </c>
      <c r="Q247" s="14"/>
    </row>
    <row r="248" spans="9:17" x14ac:dyDescent="0.75">
      <c r="I248" s="14">
        <v>41960</v>
      </c>
      <c r="J248" s="4">
        <v>19.239999999999998</v>
      </c>
      <c r="K248" s="14">
        <v>41960</v>
      </c>
      <c r="L248" s="4">
        <v>138.03</v>
      </c>
      <c r="M248" s="14">
        <v>41961</v>
      </c>
      <c r="N248" s="4">
        <v>1086.335</v>
      </c>
      <c r="O248" s="14">
        <v>41974</v>
      </c>
      <c r="P248" s="4">
        <v>1.2468999999999999</v>
      </c>
      <c r="Q248" s="14"/>
    </row>
    <row r="249" spans="9:17" x14ac:dyDescent="0.75">
      <c r="I249" s="14">
        <v>41957</v>
      </c>
      <c r="J249" s="4">
        <v>19.004999999999999</v>
      </c>
      <c r="K249" s="14">
        <v>41957</v>
      </c>
      <c r="L249" s="4">
        <v>137.97999999999999</v>
      </c>
      <c r="M249" s="14">
        <v>41960</v>
      </c>
      <c r="N249" s="4">
        <v>1088.325</v>
      </c>
      <c r="O249" s="14">
        <v>41971</v>
      </c>
      <c r="P249" s="4">
        <v>1.2450000000000001</v>
      </c>
      <c r="Q249" s="14"/>
    </row>
    <row r="250" spans="9:17" x14ac:dyDescent="0.75">
      <c r="I250" s="14">
        <v>41956</v>
      </c>
      <c r="J250" s="4">
        <v>18.795000000000002</v>
      </c>
      <c r="K250" s="14">
        <v>41956</v>
      </c>
      <c r="L250" s="4">
        <v>138.04</v>
      </c>
      <c r="M250" s="14">
        <v>41957</v>
      </c>
      <c r="N250" s="4">
        <v>1087.9000000000001</v>
      </c>
      <c r="O250" s="14">
        <v>41970</v>
      </c>
      <c r="P250" s="4">
        <v>1.2465999999999999</v>
      </c>
      <c r="Q250" s="14"/>
    </row>
    <row r="251" spans="9:17" x14ac:dyDescent="0.75">
      <c r="I251" s="14">
        <v>41955</v>
      </c>
      <c r="J251" s="4">
        <v>18.785</v>
      </c>
      <c r="K251" s="14">
        <v>41955</v>
      </c>
      <c r="L251" s="4">
        <v>137.79</v>
      </c>
      <c r="M251" s="14">
        <v>41956</v>
      </c>
      <c r="N251" s="4">
        <v>1093.885</v>
      </c>
      <c r="O251" s="14">
        <v>41969</v>
      </c>
      <c r="P251" s="4">
        <v>1.2504999999999999</v>
      </c>
      <c r="Q251" s="14"/>
    </row>
    <row r="252" spans="9:17" x14ac:dyDescent="0.75">
      <c r="I252" s="14">
        <v>41954</v>
      </c>
      <c r="J252" s="4">
        <v>19.305</v>
      </c>
      <c r="K252" s="14">
        <v>41954</v>
      </c>
      <c r="L252" s="4">
        <v>138.51</v>
      </c>
      <c r="M252" s="14">
        <v>41955</v>
      </c>
      <c r="N252" s="4">
        <v>1106.9449999999999</v>
      </c>
      <c r="O252" s="14">
        <v>41968</v>
      </c>
      <c r="P252" s="4">
        <v>1.2474000000000001</v>
      </c>
      <c r="Q252" s="14"/>
    </row>
    <row r="253" spans="9:17" x14ac:dyDescent="0.75">
      <c r="I253" s="14">
        <v>41953</v>
      </c>
      <c r="J253" s="4">
        <v>19.305</v>
      </c>
      <c r="K253" s="14">
        <v>41953</v>
      </c>
      <c r="L253" s="4">
        <v>138.4</v>
      </c>
      <c r="M253" s="14">
        <v>41954</v>
      </c>
      <c r="N253" s="4">
        <v>1098.9649999999999</v>
      </c>
      <c r="O253" s="14">
        <v>41967</v>
      </c>
      <c r="P253" s="4">
        <v>1.2442</v>
      </c>
      <c r="Q253" s="14"/>
    </row>
    <row r="254" spans="9:17" x14ac:dyDescent="0.75">
      <c r="I254" s="14">
        <v>41950</v>
      </c>
      <c r="J254" s="4">
        <v>19.18</v>
      </c>
      <c r="K254" s="14">
        <v>41950</v>
      </c>
      <c r="L254" s="4">
        <v>137.94</v>
      </c>
      <c r="M254" s="14">
        <v>41953</v>
      </c>
      <c r="N254" s="4">
        <v>1103.82</v>
      </c>
      <c r="O254" s="14">
        <v>41964</v>
      </c>
      <c r="P254" s="4">
        <v>1.2387999999999999</v>
      </c>
      <c r="Q254" s="14"/>
    </row>
    <row r="255" spans="9:17" x14ac:dyDescent="0.75">
      <c r="I255" s="14">
        <v>41949</v>
      </c>
      <c r="J255" s="4">
        <v>19.335000000000001</v>
      </c>
      <c r="K255" s="14">
        <v>41949</v>
      </c>
      <c r="L255" s="4">
        <v>137.71</v>
      </c>
      <c r="M255" s="14">
        <v>41950</v>
      </c>
      <c r="N255" s="4">
        <v>1104.7650000000001</v>
      </c>
      <c r="O255" s="14">
        <v>41963</v>
      </c>
      <c r="P255" s="4">
        <v>1.2538</v>
      </c>
      <c r="Q255" s="14"/>
    </row>
    <row r="256" spans="9:17" x14ac:dyDescent="0.75">
      <c r="I256" s="14">
        <v>41948</v>
      </c>
      <c r="J256" s="4">
        <v>19.46</v>
      </c>
      <c r="K256" s="14">
        <v>41948</v>
      </c>
      <c r="L256" s="4">
        <v>137</v>
      </c>
      <c r="M256" s="14">
        <v>41949</v>
      </c>
      <c r="N256" s="4">
        <v>1096.6400000000001</v>
      </c>
      <c r="O256" s="14">
        <v>41962</v>
      </c>
      <c r="P256" s="4">
        <v>1.2553000000000001</v>
      </c>
      <c r="Q256" s="14"/>
    </row>
    <row r="257" spans="9:17" x14ac:dyDescent="0.75">
      <c r="I257" s="14">
        <v>41947</v>
      </c>
      <c r="J257" s="4">
        <v>18.984999999999999</v>
      </c>
      <c r="K257" s="14">
        <v>41947</v>
      </c>
      <c r="L257" s="4">
        <v>135.32</v>
      </c>
      <c r="M257" s="14">
        <v>41948</v>
      </c>
      <c r="N257" s="4">
        <v>1093.845</v>
      </c>
      <c r="O257" s="14">
        <v>41961</v>
      </c>
      <c r="P257" s="4">
        <v>1.2536</v>
      </c>
      <c r="Q257" s="14"/>
    </row>
    <row r="258" spans="9:17" x14ac:dyDescent="0.75">
      <c r="I258" s="14">
        <v>41946</v>
      </c>
      <c r="J258" s="4">
        <v>19.440000000000001</v>
      </c>
      <c r="K258" s="14">
        <v>41946</v>
      </c>
      <c r="L258" s="4">
        <v>137.04</v>
      </c>
      <c r="M258" s="14">
        <v>41947</v>
      </c>
      <c r="N258" s="4">
        <v>1096.0999999999999</v>
      </c>
      <c r="O258" s="14">
        <v>41960</v>
      </c>
      <c r="P258" s="4">
        <v>1.2448999999999999</v>
      </c>
      <c r="Q258" s="14"/>
    </row>
    <row r="259" spans="9:17" x14ac:dyDescent="0.75">
      <c r="I259" s="14">
        <v>41943</v>
      </c>
      <c r="J259" s="4">
        <v>19.809999999999999</v>
      </c>
      <c r="K259" s="14">
        <v>41943</v>
      </c>
      <c r="L259" s="4">
        <v>136.79</v>
      </c>
      <c r="M259" s="14">
        <v>41946</v>
      </c>
      <c r="N259" s="4">
        <v>1114.4000000000001</v>
      </c>
      <c r="O259" s="14">
        <v>41957</v>
      </c>
      <c r="P259" s="4">
        <v>1.2521</v>
      </c>
      <c r="Q259" s="14"/>
    </row>
    <row r="260" spans="9:17" x14ac:dyDescent="0.75">
      <c r="I260" s="14">
        <v>41942</v>
      </c>
      <c r="J260" s="4">
        <v>19.25</v>
      </c>
      <c r="K260" s="14">
        <v>41942</v>
      </c>
      <c r="L260" s="4">
        <v>134</v>
      </c>
      <c r="M260" s="14">
        <v>41943</v>
      </c>
      <c r="N260" s="4">
        <v>1109.69</v>
      </c>
      <c r="O260" s="14">
        <v>41956</v>
      </c>
      <c r="P260" s="4">
        <v>1.2475000000000001</v>
      </c>
      <c r="Q260" s="14"/>
    </row>
    <row r="261" spans="9:17" x14ac:dyDescent="0.75">
      <c r="I261" s="14">
        <v>41941</v>
      </c>
      <c r="J261" s="4">
        <v>19.22</v>
      </c>
      <c r="K261" s="14">
        <v>41941</v>
      </c>
      <c r="L261" s="4">
        <v>132.44</v>
      </c>
      <c r="M261" s="14">
        <v>41942</v>
      </c>
      <c r="N261" s="4">
        <v>1118.885</v>
      </c>
      <c r="O261" s="14">
        <v>41955</v>
      </c>
      <c r="P261" s="4">
        <v>1.2438</v>
      </c>
      <c r="Q261" s="14"/>
    </row>
    <row r="262" spans="9:17" x14ac:dyDescent="0.75">
      <c r="I262" s="14">
        <v>41940</v>
      </c>
      <c r="J262" s="4">
        <v>19.504999999999999</v>
      </c>
      <c r="K262" s="14">
        <v>41940</v>
      </c>
      <c r="L262" s="4">
        <v>132.03</v>
      </c>
      <c r="M262" s="14">
        <v>41941</v>
      </c>
      <c r="N262" s="4">
        <v>1126.115</v>
      </c>
      <c r="O262" s="14">
        <v>41954</v>
      </c>
      <c r="P262" s="4">
        <v>1.2474000000000001</v>
      </c>
      <c r="Q262" s="14"/>
    </row>
    <row r="263" spans="9:17" x14ac:dyDescent="0.75">
      <c r="I263" s="14">
        <v>41939</v>
      </c>
      <c r="J263" s="4">
        <v>19.074999999999999</v>
      </c>
      <c r="K263" s="14">
        <v>41939</v>
      </c>
      <c r="L263" s="4">
        <v>131.31</v>
      </c>
      <c r="M263" s="14">
        <v>41940</v>
      </c>
      <c r="N263" s="4">
        <v>1113.45</v>
      </c>
      <c r="O263" s="14">
        <v>41953</v>
      </c>
      <c r="P263" s="4">
        <v>1.242</v>
      </c>
      <c r="Q263" s="14"/>
    </row>
    <row r="264" spans="9:17" x14ac:dyDescent="0.75">
      <c r="I264" s="14">
        <v>41936</v>
      </c>
      <c r="J264" s="4">
        <v>19.53</v>
      </c>
      <c r="K264" s="14">
        <v>41936</v>
      </c>
      <c r="L264" s="4">
        <v>131.80000000000001</v>
      </c>
      <c r="M264" s="14">
        <v>41939</v>
      </c>
      <c r="N264" s="4">
        <v>1102.605</v>
      </c>
      <c r="O264" s="14">
        <v>41950</v>
      </c>
      <c r="P264" s="4">
        <v>1.2452000000000001</v>
      </c>
      <c r="Q264" s="14"/>
    </row>
    <row r="265" spans="9:17" x14ac:dyDescent="0.75">
      <c r="I265" s="14">
        <v>41935</v>
      </c>
      <c r="J265" s="4">
        <v>19.465</v>
      </c>
      <c r="K265" s="14">
        <v>41935</v>
      </c>
      <c r="L265" s="4">
        <v>131.93</v>
      </c>
      <c r="M265" s="14">
        <v>41936</v>
      </c>
      <c r="N265" s="4">
        <v>1103.6500000000001</v>
      </c>
      <c r="O265" s="14">
        <v>41949</v>
      </c>
      <c r="P265" s="4">
        <v>1.2373000000000001</v>
      </c>
      <c r="Q265" s="14"/>
    </row>
    <row r="266" spans="9:17" x14ac:dyDescent="0.75">
      <c r="I266" s="14">
        <v>41934</v>
      </c>
      <c r="J266" s="4">
        <v>19.295000000000002</v>
      </c>
      <c r="K266" s="14">
        <v>41934</v>
      </c>
      <c r="L266" s="4">
        <v>131.4</v>
      </c>
      <c r="M266" s="14">
        <v>41935</v>
      </c>
      <c r="N266" s="4">
        <v>1106.2249999999999</v>
      </c>
      <c r="O266" s="14">
        <v>41948</v>
      </c>
      <c r="P266" s="4">
        <v>1.2484999999999999</v>
      </c>
      <c r="Q266" s="14"/>
    </row>
    <row r="267" spans="9:17" x14ac:dyDescent="0.75">
      <c r="I267" s="14">
        <v>41933</v>
      </c>
      <c r="J267" s="4">
        <v>19.079999999999998</v>
      </c>
      <c r="K267" s="14">
        <v>41933</v>
      </c>
      <c r="L267" s="4">
        <v>129.91</v>
      </c>
      <c r="M267" s="14">
        <v>41934</v>
      </c>
      <c r="N267" s="4">
        <v>1108.28</v>
      </c>
      <c r="O267" s="14">
        <v>41947</v>
      </c>
      <c r="P267" s="4">
        <v>1.2544</v>
      </c>
      <c r="Q267" s="14"/>
    </row>
    <row r="268" spans="9:17" x14ac:dyDescent="0.75">
      <c r="I268" s="14">
        <v>41932</v>
      </c>
      <c r="J268" s="4">
        <v>18.574999999999999</v>
      </c>
      <c r="K268" s="14">
        <v>41932</v>
      </c>
      <c r="L268" s="4">
        <v>126.95</v>
      </c>
      <c r="M268" s="14">
        <v>41933</v>
      </c>
      <c r="N268" s="4">
        <v>1099.8150000000001</v>
      </c>
      <c r="O268" s="14">
        <v>41946</v>
      </c>
      <c r="P268" s="4">
        <v>1.2482</v>
      </c>
      <c r="Q268" s="14"/>
    </row>
    <row r="269" spans="9:17" x14ac:dyDescent="0.75">
      <c r="I269" s="14">
        <v>41929</v>
      </c>
      <c r="J269" s="4">
        <v>18.739999999999998</v>
      </c>
      <c r="K269" s="14">
        <v>41929</v>
      </c>
      <c r="L269" s="4">
        <v>127.36</v>
      </c>
      <c r="M269" s="14">
        <v>41932</v>
      </c>
      <c r="N269" s="4">
        <v>1094.0450000000001</v>
      </c>
      <c r="O269" s="14">
        <v>41943</v>
      </c>
      <c r="P269" s="4">
        <v>1.2524</v>
      </c>
      <c r="Q269" s="14"/>
    </row>
    <row r="270" spans="9:17" x14ac:dyDescent="0.75">
      <c r="I270" s="14">
        <v>41928</v>
      </c>
      <c r="J270" s="4">
        <v>18.145</v>
      </c>
      <c r="K270" s="14">
        <v>41928</v>
      </c>
      <c r="L270" s="4">
        <v>124.6</v>
      </c>
      <c r="M270" s="14">
        <v>41929</v>
      </c>
      <c r="N270" s="4">
        <v>1103.44</v>
      </c>
      <c r="O270" s="14">
        <v>41942</v>
      </c>
      <c r="P270" s="4">
        <v>1.2612000000000001</v>
      </c>
      <c r="Q270" s="14"/>
    </row>
    <row r="271" spans="9:17" x14ac:dyDescent="0.75">
      <c r="I271" s="14">
        <v>41927</v>
      </c>
      <c r="J271" s="4">
        <v>18.364999999999998</v>
      </c>
      <c r="K271" s="14">
        <v>41927</v>
      </c>
      <c r="L271" s="4">
        <v>124.14</v>
      </c>
      <c r="M271" s="14">
        <v>41928</v>
      </c>
      <c r="N271" s="4">
        <v>1094.2049999999999</v>
      </c>
      <c r="O271" s="14">
        <v>41941</v>
      </c>
      <c r="P271" s="4">
        <v>1.2630999999999999</v>
      </c>
      <c r="Q271" s="14"/>
    </row>
    <row r="272" spans="9:17" x14ac:dyDescent="0.75">
      <c r="I272" s="14">
        <v>41926</v>
      </c>
      <c r="J272" s="4">
        <v>19.2</v>
      </c>
      <c r="K272" s="14">
        <v>41926</v>
      </c>
      <c r="L272" s="4">
        <v>127.72</v>
      </c>
      <c r="M272" s="14">
        <v>41927</v>
      </c>
      <c r="N272" s="4">
        <v>1099.125</v>
      </c>
      <c r="O272" s="14">
        <v>41940</v>
      </c>
      <c r="P272" s="4">
        <v>1.2734000000000001</v>
      </c>
      <c r="Q272" s="14"/>
    </row>
    <row r="273" spans="9:17" x14ac:dyDescent="0.75">
      <c r="I273" s="14">
        <v>41925</v>
      </c>
      <c r="J273" s="4">
        <v>19.21</v>
      </c>
      <c r="K273" s="14">
        <v>41925</v>
      </c>
      <c r="L273" s="4">
        <v>128.22999999999999</v>
      </c>
      <c r="M273" s="14">
        <v>41926</v>
      </c>
      <c r="N273" s="4">
        <v>1114.46</v>
      </c>
      <c r="O273" s="14">
        <v>41939</v>
      </c>
      <c r="P273" s="4">
        <v>1.2697000000000001</v>
      </c>
      <c r="Q273" s="14"/>
    </row>
    <row r="274" spans="9:17" x14ac:dyDescent="0.75">
      <c r="I274" s="14">
        <v>41922</v>
      </c>
      <c r="J274" s="4">
        <v>19.274999999999999</v>
      </c>
      <c r="K274" s="14">
        <v>41922</v>
      </c>
      <c r="L274" s="4">
        <v>129.36000000000001</v>
      </c>
      <c r="M274" s="14">
        <v>41925</v>
      </c>
      <c r="N274" s="4">
        <v>1114.1300000000001</v>
      </c>
      <c r="O274" s="14">
        <v>41936</v>
      </c>
      <c r="P274" s="4">
        <v>1.2669999999999999</v>
      </c>
      <c r="Q274" s="14"/>
    </row>
    <row r="275" spans="9:17" x14ac:dyDescent="0.75">
      <c r="I275" s="14">
        <v>41921</v>
      </c>
      <c r="J275" s="4">
        <v>19.45</v>
      </c>
      <c r="K275" s="14">
        <v>41921</v>
      </c>
      <c r="L275" s="4">
        <v>131.54</v>
      </c>
      <c r="M275" s="14">
        <v>41922</v>
      </c>
      <c r="N275" s="4">
        <v>1113.625</v>
      </c>
      <c r="O275" s="14">
        <v>41935</v>
      </c>
      <c r="P275" s="4">
        <v>1.2644</v>
      </c>
      <c r="Q275" s="14"/>
    </row>
    <row r="276" spans="9:17" x14ac:dyDescent="0.75">
      <c r="I276" s="14">
        <v>41920</v>
      </c>
      <c r="J276" s="4">
        <v>19.695</v>
      </c>
      <c r="K276" s="14">
        <v>41920</v>
      </c>
      <c r="L276" s="4">
        <v>130.75</v>
      </c>
      <c r="M276" s="14">
        <v>41921</v>
      </c>
      <c r="N276" s="4">
        <v>1125.645</v>
      </c>
      <c r="O276" s="14">
        <v>41934</v>
      </c>
      <c r="P276" s="4">
        <v>1.2647999999999999</v>
      </c>
      <c r="Q276" s="14"/>
    </row>
    <row r="277" spans="9:17" x14ac:dyDescent="0.75">
      <c r="I277" s="14">
        <v>41919</v>
      </c>
      <c r="J277" s="4">
        <v>19.850000000000001</v>
      </c>
      <c r="K277" s="14">
        <v>41919</v>
      </c>
      <c r="L277" s="4">
        <v>132.25</v>
      </c>
      <c r="M277" s="14">
        <v>41920</v>
      </c>
      <c r="N277" s="4">
        <v>1120.675</v>
      </c>
      <c r="O277" s="14">
        <v>41933</v>
      </c>
      <c r="P277" s="4">
        <v>1.2714000000000001</v>
      </c>
      <c r="Q277" s="14"/>
    </row>
    <row r="278" spans="9:17" x14ac:dyDescent="0.75">
      <c r="I278" s="14">
        <v>41918</v>
      </c>
      <c r="J278" s="4">
        <v>20.190000000000001</v>
      </c>
      <c r="K278" s="14">
        <v>41918</v>
      </c>
      <c r="L278" s="4">
        <v>133.99</v>
      </c>
      <c r="M278" s="14">
        <v>41919</v>
      </c>
      <c r="N278" s="4">
        <v>1131.47</v>
      </c>
      <c r="O278" s="14">
        <v>41932</v>
      </c>
      <c r="P278" s="4">
        <v>1.2798</v>
      </c>
      <c r="Q278" s="14"/>
    </row>
    <row r="279" spans="9:17" x14ac:dyDescent="0.75">
      <c r="I279" s="14">
        <v>41915</v>
      </c>
      <c r="J279" s="4">
        <v>20.239999999999998</v>
      </c>
      <c r="K279" s="14">
        <v>41915</v>
      </c>
      <c r="L279" s="4">
        <v>134.06</v>
      </c>
      <c r="M279" s="14">
        <v>41918</v>
      </c>
      <c r="N279" s="4">
        <v>1123.0550000000001</v>
      </c>
      <c r="O279" s="14">
        <v>41929</v>
      </c>
      <c r="P279" s="4">
        <v>1.2761</v>
      </c>
      <c r="Q279" s="14"/>
    </row>
    <row r="280" spans="9:17" x14ac:dyDescent="0.75">
      <c r="I280" s="14">
        <v>41914</v>
      </c>
      <c r="J280" s="4">
        <v>19.940000000000001</v>
      </c>
      <c r="K280" s="14">
        <v>41914</v>
      </c>
      <c r="L280" s="4">
        <v>131.11000000000001</v>
      </c>
      <c r="M280" s="14">
        <v>41915</v>
      </c>
      <c r="N280" s="4">
        <v>1112.7</v>
      </c>
      <c r="O280" s="14">
        <v>41928</v>
      </c>
      <c r="P280" s="4">
        <v>1.2806999999999999</v>
      </c>
      <c r="Q280" s="14"/>
    </row>
    <row r="281" spans="9:17" x14ac:dyDescent="0.75">
      <c r="I281" s="14">
        <v>41913</v>
      </c>
      <c r="J281" s="4">
        <v>20.754999999999999</v>
      </c>
      <c r="K281" s="14">
        <v>41913</v>
      </c>
      <c r="L281" s="4">
        <v>133.85</v>
      </c>
      <c r="M281" s="14">
        <v>41914</v>
      </c>
      <c r="N281" s="4">
        <v>1112.55</v>
      </c>
      <c r="O281" s="14">
        <v>41927</v>
      </c>
      <c r="P281" s="4">
        <v>1.2836000000000001</v>
      </c>
      <c r="Q281" s="14"/>
    </row>
    <row r="282" spans="9:17" x14ac:dyDescent="0.75">
      <c r="I282" s="14">
        <v>41912</v>
      </c>
      <c r="J282" s="4">
        <v>20.93</v>
      </c>
      <c r="K282" s="14">
        <v>41912</v>
      </c>
      <c r="L282" s="4">
        <v>135.27000000000001</v>
      </c>
      <c r="M282" s="14">
        <v>41913</v>
      </c>
      <c r="N282" s="4">
        <v>1126.855</v>
      </c>
      <c r="O282" s="14">
        <v>41926</v>
      </c>
      <c r="P282" s="4">
        <v>1.2658</v>
      </c>
      <c r="Q282" s="14"/>
    </row>
    <row r="283" spans="9:17" x14ac:dyDescent="0.75">
      <c r="I283" s="14">
        <v>41911</v>
      </c>
      <c r="J283" s="4">
        <v>20.61</v>
      </c>
      <c r="K283" s="14">
        <v>41911</v>
      </c>
      <c r="L283" s="4">
        <v>134.25</v>
      </c>
      <c r="M283" s="14">
        <v>41912</v>
      </c>
      <c r="N283" s="4">
        <v>1131.4000000000001</v>
      </c>
      <c r="O283" s="14">
        <v>41925</v>
      </c>
      <c r="P283" s="4">
        <v>1.2751999999999999</v>
      </c>
      <c r="Q283" s="14"/>
    </row>
    <row r="284" spans="9:17" x14ac:dyDescent="0.75">
      <c r="I284" s="14">
        <v>41908</v>
      </c>
      <c r="J284" s="4">
        <v>20.875</v>
      </c>
      <c r="K284" s="14">
        <v>41908</v>
      </c>
      <c r="L284" s="4">
        <v>134.15</v>
      </c>
      <c r="M284" s="14">
        <v>41911</v>
      </c>
      <c r="N284" s="4">
        <v>1136.94</v>
      </c>
      <c r="O284" s="14">
        <v>41922</v>
      </c>
      <c r="P284" s="4">
        <v>1.2626999999999999</v>
      </c>
      <c r="Q284" s="14"/>
    </row>
    <row r="285" spans="9:17" x14ac:dyDescent="0.75">
      <c r="I285" s="14">
        <v>41907</v>
      </c>
      <c r="J285" s="4">
        <v>20.445</v>
      </c>
      <c r="K285" s="14">
        <v>41907</v>
      </c>
      <c r="L285" s="4">
        <v>133.86000000000001</v>
      </c>
      <c r="M285" s="14">
        <v>41908</v>
      </c>
      <c r="N285" s="4">
        <v>1134.7349999999999</v>
      </c>
      <c r="O285" s="14">
        <v>41921</v>
      </c>
      <c r="P285" s="4">
        <v>1.2689999999999999</v>
      </c>
      <c r="Q285" s="14"/>
    </row>
    <row r="286" spans="9:17" x14ac:dyDescent="0.75">
      <c r="I286" s="14">
        <v>41906</v>
      </c>
      <c r="J286" s="4">
        <v>20.734999999999999</v>
      </c>
      <c r="K286" s="14">
        <v>41906</v>
      </c>
      <c r="L286" s="4">
        <v>134.82</v>
      </c>
      <c r="M286" s="14">
        <v>41907</v>
      </c>
      <c r="N286" s="4">
        <v>1134.01</v>
      </c>
      <c r="O286" s="14">
        <v>41920</v>
      </c>
      <c r="P286" s="4">
        <v>1.2733000000000001</v>
      </c>
      <c r="Q286" s="14"/>
    </row>
    <row r="287" spans="9:17" x14ac:dyDescent="0.75">
      <c r="I287" s="14">
        <v>41905</v>
      </c>
      <c r="J287" s="4">
        <v>20.45</v>
      </c>
      <c r="K287" s="14">
        <v>41905</v>
      </c>
      <c r="L287" s="4">
        <v>133.79</v>
      </c>
      <c r="M287" s="14">
        <v>41906</v>
      </c>
      <c r="N287" s="4">
        <v>1134.595</v>
      </c>
      <c r="O287" s="14">
        <v>41919</v>
      </c>
      <c r="P287" s="4">
        <v>1.2667999999999999</v>
      </c>
      <c r="Q287" s="14"/>
    </row>
    <row r="288" spans="9:17" x14ac:dyDescent="0.75">
      <c r="I288" s="14">
        <v>41904</v>
      </c>
      <c r="J288" s="4">
        <v>20.745000000000001</v>
      </c>
      <c r="K288" s="14">
        <v>41904</v>
      </c>
      <c r="L288" s="4">
        <v>134.77000000000001</v>
      </c>
      <c r="M288" s="14">
        <v>41905</v>
      </c>
      <c r="N288" s="4">
        <v>1136.02</v>
      </c>
      <c r="O288" s="14">
        <v>41918</v>
      </c>
      <c r="P288" s="4">
        <v>1.2652000000000001</v>
      </c>
      <c r="Q288" s="14"/>
    </row>
    <row r="289" spans="9:17" x14ac:dyDescent="0.75">
      <c r="I289" s="14">
        <v>41901</v>
      </c>
      <c r="J289" s="4">
        <v>20.92</v>
      </c>
      <c r="K289" s="14">
        <v>41901</v>
      </c>
      <c r="L289" s="4">
        <v>135.74</v>
      </c>
      <c r="M289" s="14">
        <v>41904</v>
      </c>
      <c r="N289" s="4">
        <v>1131.9000000000001</v>
      </c>
      <c r="O289" s="14">
        <v>41915</v>
      </c>
      <c r="P289" s="4">
        <v>1.2516</v>
      </c>
      <c r="Q289" s="14"/>
    </row>
    <row r="290" spans="9:17" x14ac:dyDescent="0.75">
      <c r="I290" s="14">
        <v>41900</v>
      </c>
      <c r="J290" s="4">
        <v>21.11</v>
      </c>
      <c r="K290" s="14">
        <v>41900</v>
      </c>
      <c r="L290" s="4">
        <v>135.12</v>
      </c>
      <c r="M290" s="14">
        <v>41901</v>
      </c>
      <c r="N290" s="4">
        <v>1144.9449999999999</v>
      </c>
      <c r="O290" s="14">
        <v>41914</v>
      </c>
      <c r="P290" s="4">
        <v>1.2667999999999999</v>
      </c>
      <c r="Q290" s="14"/>
    </row>
    <row r="291" spans="9:17" x14ac:dyDescent="0.75">
      <c r="I291" s="14">
        <v>41899</v>
      </c>
      <c r="J291" s="4">
        <v>21.065000000000001</v>
      </c>
      <c r="K291" s="14">
        <v>41899</v>
      </c>
      <c r="L291" s="4">
        <v>133.93</v>
      </c>
      <c r="M291" s="14">
        <v>41900</v>
      </c>
      <c r="N291" s="4">
        <v>1153.1949999999999</v>
      </c>
      <c r="O291" s="14">
        <v>41913</v>
      </c>
      <c r="P291" s="4">
        <v>1.2623</v>
      </c>
      <c r="Q291" s="14"/>
    </row>
    <row r="292" spans="9:17" x14ac:dyDescent="0.75">
      <c r="I292" s="14">
        <v>41898</v>
      </c>
      <c r="J292" s="4">
        <v>20.805</v>
      </c>
      <c r="K292" s="14">
        <v>41898</v>
      </c>
      <c r="L292" s="4">
        <v>133.69</v>
      </c>
      <c r="M292" s="14">
        <v>41899</v>
      </c>
      <c r="N292" s="4">
        <v>1163.42</v>
      </c>
      <c r="O292" s="14">
        <v>41912</v>
      </c>
      <c r="P292" s="4">
        <v>1.2630999999999999</v>
      </c>
      <c r="Q292" s="14"/>
    </row>
    <row r="293" spans="9:17" x14ac:dyDescent="0.75">
      <c r="I293" s="14">
        <v>41897</v>
      </c>
      <c r="J293" s="4">
        <v>20.855</v>
      </c>
      <c r="K293" s="14">
        <v>41897</v>
      </c>
      <c r="L293" s="4">
        <v>133.44999999999999</v>
      </c>
      <c r="M293" s="14">
        <v>41898</v>
      </c>
      <c r="N293" s="4">
        <v>1160.845</v>
      </c>
      <c r="O293" s="14">
        <v>41911</v>
      </c>
      <c r="P293" s="4">
        <v>1.2684</v>
      </c>
      <c r="Q293" s="14"/>
    </row>
    <row r="294" spans="9:17" x14ac:dyDescent="0.75">
      <c r="I294" s="14">
        <v>41894</v>
      </c>
      <c r="J294" s="4">
        <v>21.045000000000002</v>
      </c>
      <c r="K294" s="14">
        <v>41894</v>
      </c>
      <c r="L294" s="4">
        <v>133.94</v>
      </c>
      <c r="M294" s="14">
        <v>41897</v>
      </c>
      <c r="N294" s="4">
        <v>1157.4349999999999</v>
      </c>
      <c r="O294" s="14">
        <v>41908</v>
      </c>
      <c r="P294" s="4">
        <v>1.2683</v>
      </c>
      <c r="Q294" s="14"/>
    </row>
    <row r="295" spans="9:17" x14ac:dyDescent="0.75">
      <c r="I295" s="14">
        <v>41893</v>
      </c>
      <c r="J295" s="4">
        <v>21.08</v>
      </c>
      <c r="K295" s="14">
        <v>41893</v>
      </c>
      <c r="L295" s="4">
        <v>134.19</v>
      </c>
      <c r="M295" s="14">
        <v>41894</v>
      </c>
      <c r="N295" s="4">
        <v>1159.9649999999999</v>
      </c>
      <c r="O295" s="14">
        <v>41907</v>
      </c>
      <c r="P295" s="4">
        <v>1.2748999999999999</v>
      </c>
      <c r="Q295" s="14"/>
    </row>
    <row r="296" spans="9:17" x14ac:dyDescent="0.75">
      <c r="I296" s="14">
        <v>41892</v>
      </c>
      <c r="J296" s="4">
        <v>21.11</v>
      </c>
      <c r="K296" s="14">
        <v>41892</v>
      </c>
      <c r="L296" s="4">
        <v>134.28</v>
      </c>
      <c r="M296" s="14">
        <v>41893</v>
      </c>
      <c r="N296" s="4">
        <v>1163.92</v>
      </c>
      <c r="O296" s="14">
        <v>41906</v>
      </c>
      <c r="P296" s="4">
        <v>1.2779</v>
      </c>
      <c r="Q296" s="14"/>
    </row>
    <row r="297" spans="9:17" x14ac:dyDescent="0.75">
      <c r="I297" s="14">
        <v>41891</v>
      </c>
      <c r="J297" s="4">
        <v>21.155000000000001</v>
      </c>
      <c r="K297" s="14">
        <v>41891</v>
      </c>
      <c r="L297" s="4">
        <v>134.44</v>
      </c>
      <c r="M297" s="14">
        <v>41892</v>
      </c>
      <c r="N297" s="4">
        <v>1170.8599999999999</v>
      </c>
      <c r="O297" s="14">
        <v>41905</v>
      </c>
      <c r="P297" s="4">
        <v>1.2845</v>
      </c>
      <c r="Q297" s="14"/>
    </row>
    <row r="298" spans="9:17" x14ac:dyDescent="0.75">
      <c r="I298" s="14">
        <v>41890</v>
      </c>
      <c r="J298" s="4">
        <v>21.29</v>
      </c>
      <c r="K298" s="14">
        <v>41890</v>
      </c>
      <c r="L298" s="4">
        <v>134.84</v>
      </c>
      <c r="M298" s="14">
        <v>41891</v>
      </c>
      <c r="N298" s="4">
        <v>1179.01</v>
      </c>
      <c r="O298" s="14">
        <v>41904</v>
      </c>
      <c r="P298" s="4">
        <v>1.2848999999999999</v>
      </c>
      <c r="Q298" s="14"/>
    </row>
    <row r="299" spans="9:17" x14ac:dyDescent="0.75">
      <c r="I299" s="14">
        <v>41887</v>
      </c>
      <c r="J299" s="4">
        <v>21.36</v>
      </c>
      <c r="K299" s="14">
        <v>41887</v>
      </c>
      <c r="L299" s="4">
        <v>134.63999999999999</v>
      </c>
      <c r="M299" s="14">
        <v>41890</v>
      </c>
      <c r="N299" s="4">
        <v>1190.335</v>
      </c>
      <c r="O299" s="14">
        <v>41901</v>
      </c>
      <c r="P299" s="4">
        <v>1.2827999999999999</v>
      </c>
      <c r="Q299" s="14"/>
    </row>
    <row r="300" spans="9:17" x14ac:dyDescent="0.75">
      <c r="I300" s="14">
        <v>41886</v>
      </c>
      <c r="J300" s="4">
        <v>21.385000000000002</v>
      </c>
      <c r="K300" s="14">
        <v>41886</v>
      </c>
      <c r="L300" s="4">
        <v>135.27000000000001</v>
      </c>
      <c r="M300" s="14">
        <v>41887</v>
      </c>
      <c r="N300" s="4">
        <v>1189.6849999999999</v>
      </c>
      <c r="O300" s="14">
        <v>41900</v>
      </c>
      <c r="P300" s="4">
        <v>1.2922</v>
      </c>
      <c r="Q300" s="14"/>
    </row>
    <row r="301" spans="9:17" x14ac:dyDescent="0.75">
      <c r="I301" s="14">
        <v>41885</v>
      </c>
      <c r="J301" s="4">
        <v>20.75</v>
      </c>
      <c r="K301" s="14">
        <v>41885</v>
      </c>
      <c r="L301" s="4">
        <v>133.56</v>
      </c>
      <c r="M301" s="14">
        <v>41886</v>
      </c>
      <c r="N301" s="4">
        <v>1191.9749999999999</v>
      </c>
      <c r="O301" s="14">
        <v>41899</v>
      </c>
      <c r="P301" s="4">
        <v>1.2865</v>
      </c>
      <c r="Q301" s="14"/>
    </row>
    <row r="302" spans="9:17" x14ac:dyDescent="0.75">
      <c r="I302" s="14">
        <v>41884</v>
      </c>
      <c r="J302" s="4">
        <v>20.46</v>
      </c>
      <c r="K302" s="14">
        <v>41884</v>
      </c>
      <c r="L302" s="4">
        <v>133.16</v>
      </c>
      <c r="M302" s="14">
        <v>41885</v>
      </c>
      <c r="N302" s="4">
        <v>1193.92</v>
      </c>
      <c r="O302" s="14">
        <v>41898</v>
      </c>
      <c r="P302" s="4">
        <v>1.2959000000000001</v>
      </c>
      <c r="Q302" s="14"/>
    </row>
    <row r="303" spans="9:17" x14ac:dyDescent="0.75">
      <c r="I303" s="14">
        <v>41883</v>
      </c>
      <c r="J303" s="4">
        <v>20.344999999999999</v>
      </c>
      <c r="K303" s="14">
        <v>41883</v>
      </c>
      <c r="L303" s="4">
        <v>133.16999999999999</v>
      </c>
      <c r="M303" s="14">
        <v>41884</v>
      </c>
      <c r="N303" s="4">
        <v>1199.365</v>
      </c>
      <c r="O303" s="14">
        <v>41897</v>
      </c>
      <c r="P303" s="4">
        <v>1.294</v>
      </c>
      <c r="Q303" s="14"/>
    </row>
    <row r="304" spans="9:17" x14ac:dyDescent="0.75">
      <c r="I304" s="14">
        <v>41880</v>
      </c>
      <c r="J304" s="4">
        <v>20.454999999999998</v>
      </c>
      <c r="K304" s="14">
        <v>41880</v>
      </c>
      <c r="L304" s="4">
        <v>132.9</v>
      </c>
      <c r="M304" s="14">
        <v>41883</v>
      </c>
      <c r="N304" s="4">
        <v>1202.83</v>
      </c>
      <c r="O304" s="14">
        <v>41894</v>
      </c>
      <c r="P304" s="4">
        <v>1.2964</v>
      </c>
      <c r="Q304" s="14"/>
    </row>
    <row r="305" spans="9:17" x14ac:dyDescent="0.75">
      <c r="I305" s="14">
        <v>41879</v>
      </c>
      <c r="J305" s="4">
        <v>20.344999999999999</v>
      </c>
      <c r="K305" s="14">
        <v>41879</v>
      </c>
      <c r="L305" s="4">
        <v>132.22</v>
      </c>
      <c r="M305" s="14">
        <v>41880</v>
      </c>
      <c r="N305" s="4">
        <v>1203.5150000000001</v>
      </c>
      <c r="O305" s="14">
        <v>41893</v>
      </c>
      <c r="P305" s="4">
        <v>1.2925</v>
      </c>
      <c r="Q305" s="14"/>
    </row>
    <row r="306" spans="9:17" x14ac:dyDescent="0.75">
      <c r="I306" s="14">
        <v>41878</v>
      </c>
      <c r="J306" s="4">
        <v>20.73</v>
      </c>
      <c r="K306" s="14">
        <v>41878</v>
      </c>
      <c r="L306" s="4">
        <v>132.61000000000001</v>
      </c>
      <c r="M306" s="14">
        <v>41879</v>
      </c>
      <c r="N306" s="4">
        <v>1203.635</v>
      </c>
      <c r="O306" s="14">
        <v>41892</v>
      </c>
      <c r="P306" s="4">
        <v>1.2916000000000001</v>
      </c>
      <c r="Q306" s="14"/>
    </row>
    <row r="307" spans="9:17" x14ac:dyDescent="0.75">
      <c r="I307" s="14">
        <v>41877</v>
      </c>
      <c r="J307" s="4">
        <v>20.625</v>
      </c>
      <c r="K307" s="14">
        <v>41877</v>
      </c>
      <c r="L307" s="4">
        <v>132.66</v>
      </c>
      <c r="M307" s="14">
        <v>41878</v>
      </c>
      <c r="N307" s="4">
        <v>1203.74</v>
      </c>
      <c r="O307" s="14">
        <v>41891</v>
      </c>
      <c r="P307" s="4">
        <v>1.2935000000000001</v>
      </c>
      <c r="Q307" s="14"/>
    </row>
    <row r="308" spans="9:17" x14ac:dyDescent="0.75">
      <c r="I308" s="14">
        <v>41876</v>
      </c>
      <c r="J308" s="4">
        <v>20.36</v>
      </c>
      <c r="K308" s="14">
        <v>41876</v>
      </c>
      <c r="L308" s="4">
        <v>132.57</v>
      </c>
      <c r="M308" s="14">
        <v>41877</v>
      </c>
      <c r="N308" s="4">
        <v>1203.345</v>
      </c>
      <c r="O308" s="14">
        <v>41890</v>
      </c>
      <c r="P308" s="4">
        <v>1.2896000000000001</v>
      </c>
      <c r="Q308" s="14"/>
    </row>
    <row r="309" spans="9:17" x14ac:dyDescent="0.75">
      <c r="I309" s="14">
        <v>41873</v>
      </c>
      <c r="J309" s="4">
        <v>19.920000000000002</v>
      </c>
      <c r="K309" s="14">
        <v>41873</v>
      </c>
      <c r="L309" s="4">
        <v>131.18</v>
      </c>
      <c r="M309" s="14">
        <v>41873</v>
      </c>
      <c r="N309" s="4">
        <v>1203.1600000000001</v>
      </c>
      <c r="O309" s="14">
        <v>41887</v>
      </c>
      <c r="P309" s="4">
        <v>1.2949999999999999</v>
      </c>
      <c r="Q309" s="14"/>
    </row>
    <row r="310" spans="9:17" x14ac:dyDescent="0.75">
      <c r="I310" s="14">
        <v>41872</v>
      </c>
      <c r="J310" s="4">
        <v>19.96</v>
      </c>
      <c r="K310" s="14">
        <v>41872</v>
      </c>
      <c r="L310" s="4">
        <v>131.13</v>
      </c>
      <c r="M310" s="14">
        <v>41872</v>
      </c>
      <c r="N310" s="4">
        <v>1201.42</v>
      </c>
      <c r="O310" s="14">
        <v>41886</v>
      </c>
      <c r="P310" s="4">
        <v>1.2944</v>
      </c>
      <c r="Q310" s="14"/>
    </row>
    <row r="311" spans="9:17" x14ac:dyDescent="0.75">
      <c r="I311" s="14">
        <v>41871</v>
      </c>
      <c r="J311" s="4">
        <v>19.59</v>
      </c>
      <c r="K311" s="14">
        <v>41871</v>
      </c>
      <c r="L311" s="4">
        <v>130.36000000000001</v>
      </c>
      <c r="M311" s="14">
        <v>41871</v>
      </c>
      <c r="N311" s="4">
        <v>1198.22</v>
      </c>
      <c r="O311" s="14">
        <v>41885</v>
      </c>
      <c r="P311" s="4">
        <v>1.3149999999999999</v>
      </c>
      <c r="Q311" s="14"/>
    </row>
    <row r="312" spans="9:17" x14ac:dyDescent="0.75">
      <c r="I312" s="14">
        <v>41870</v>
      </c>
      <c r="J312" s="4">
        <v>19.635000000000002</v>
      </c>
      <c r="K312" s="14">
        <v>41870</v>
      </c>
      <c r="L312" s="4">
        <v>130.1</v>
      </c>
      <c r="M312" s="14">
        <v>41870</v>
      </c>
      <c r="N312" s="4">
        <v>1194.625</v>
      </c>
      <c r="O312" s="14">
        <v>41884</v>
      </c>
      <c r="P312" s="4">
        <v>1.3130999999999999</v>
      </c>
      <c r="Q312" s="14"/>
    </row>
    <row r="313" spans="9:17" x14ac:dyDescent="0.75">
      <c r="I313" s="14">
        <v>41869</v>
      </c>
      <c r="J313" s="4">
        <v>19.61</v>
      </c>
      <c r="K313" s="14">
        <v>41869</v>
      </c>
      <c r="L313" s="4">
        <v>129.26</v>
      </c>
      <c r="M313" s="14">
        <v>41869</v>
      </c>
      <c r="N313" s="4">
        <v>1194.9349999999999</v>
      </c>
      <c r="O313" s="14">
        <v>41883</v>
      </c>
      <c r="P313" s="4">
        <v>1.3127</v>
      </c>
      <c r="Q313" s="14"/>
    </row>
    <row r="314" spans="9:17" x14ac:dyDescent="0.75">
      <c r="I314" s="14">
        <v>41866</v>
      </c>
      <c r="J314" s="4">
        <v>19.234999999999999</v>
      </c>
      <c r="K314" s="14">
        <v>41866</v>
      </c>
      <c r="L314" s="4">
        <v>127.57</v>
      </c>
      <c r="M314" s="14">
        <v>41866</v>
      </c>
      <c r="N314" s="4">
        <v>1198.8150000000001</v>
      </c>
      <c r="O314" s="14">
        <v>41880</v>
      </c>
      <c r="P314" s="4">
        <v>1.3131999999999999</v>
      </c>
      <c r="Q314" s="14"/>
    </row>
    <row r="315" spans="9:17" x14ac:dyDescent="0.75">
      <c r="I315" s="14">
        <v>41865</v>
      </c>
      <c r="J315" s="4">
        <v>19.45</v>
      </c>
      <c r="K315" s="14">
        <v>41865</v>
      </c>
      <c r="L315" s="4">
        <v>127.95</v>
      </c>
      <c r="M315" s="14">
        <v>41865</v>
      </c>
      <c r="N315" s="4">
        <v>1197.71</v>
      </c>
      <c r="O315" s="14">
        <v>41879</v>
      </c>
      <c r="P315" s="4">
        <v>1.3182</v>
      </c>
      <c r="Q315" s="14"/>
    </row>
    <row r="316" spans="9:17" x14ac:dyDescent="0.75">
      <c r="I316" s="14">
        <v>41864</v>
      </c>
      <c r="J316" s="4">
        <v>19.5</v>
      </c>
      <c r="K316" s="14">
        <v>41864</v>
      </c>
      <c r="L316" s="4">
        <v>127.9</v>
      </c>
      <c r="M316" s="14">
        <v>41864</v>
      </c>
      <c r="N316" s="4">
        <v>1203.5650000000001</v>
      </c>
      <c r="O316" s="14">
        <v>41878</v>
      </c>
      <c r="P316" s="4">
        <v>1.3191999999999999</v>
      </c>
      <c r="Q316" s="14"/>
    </row>
    <row r="317" spans="9:17" x14ac:dyDescent="0.75">
      <c r="I317" s="14">
        <v>41863</v>
      </c>
      <c r="J317" s="4">
        <v>19.425000000000001</v>
      </c>
      <c r="K317" s="14">
        <v>41863</v>
      </c>
      <c r="L317" s="4">
        <v>126.93</v>
      </c>
      <c r="M317" s="14">
        <v>41863</v>
      </c>
      <c r="N317" s="4">
        <v>1209.5550000000001</v>
      </c>
      <c r="O317" s="14">
        <v>41877</v>
      </c>
      <c r="P317" s="4">
        <v>1.3167</v>
      </c>
      <c r="Q317" s="14"/>
    </row>
    <row r="318" spans="9:17" x14ac:dyDescent="0.75">
      <c r="I318" s="14">
        <v>41862</v>
      </c>
      <c r="J318" s="4">
        <v>19.434999999999999</v>
      </c>
      <c r="K318" s="14">
        <v>41862</v>
      </c>
      <c r="L318" s="4">
        <v>127.31</v>
      </c>
      <c r="M318" s="14">
        <v>41862</v>
      </c>
      <c r="N318" s="4">
        <v>1217.49</v>
      </c>
      <c r="O318" s="14">
        <v>41876</v>
      </c>
      <c r="P318" s="4">
        <v>1.3190999999999999</v>
      </c>
      <c r="Q318" s="14"/>
    </row>
    <row r="319" spans="9:17" x14ac:dyDescent="0.75">
      <c r="I319" s="14">
        <v>41859</v>
      </c>
      <c r="J319" s="4">
        <v>19.204999999999998</v>
      </c>
      <c r="K319" s="14">
        <v>41859</v>
      </c>
      <c r="L319" s="4">
        <v>125.32</v>
      </c>
      <c r="M319" s="14">
        <v>41859</v>
      </c>
      <c r="N319" s="4">
        <v>1214.3599999999999</v>
      </c>
      <c r="O319" s="14">
        <v>41873</v>
      </c>
      <c r="P319" s="4">
        <v>1.3242</v>
      </c>
      <c r="Q319" s="14"/>
    </row>
    <row r="320" spans="9:17" x14ac:dyDescent="0.75">
      <c r="I320" s="14">
        <v>41858</v>
      </c>
      <c r="J320" s="4">
        <v>19.14</v>
      </c>
      <c r="K320" s="14">
        <v>41858</v>
      </c>
      <c r="L320" s="4">
        <v>126.11</v>
      </c>
      <c r="M320" s="14">
        <v>41858</v>
      </c>
      <c r="N320" s="4">
        <v>1217.96</v>
      </c>
      <c r="O320" s="14">
        <v>41872</v>
      </c>
      <c r="P320" s="4">
        <v>1.3281000000000001</v>
      </c>
      <c r="Q320" s="14"/>
    </row>
    <row r="321" spans="9:17" x14ac:dyDescent="0.75">
      <c r="I321" s="14">
        <v>41857</v>
      </c>
      <c r="J321" s="4">
        <v>19.524999999999999</v>
      </c>
      <c r="K321" s="14">
        <v>41857</v>
      </c>
      <c r="L321" s="4">
        <v>126.68</v>
      </c>
      <c r="M321" s="14">
        <v>41857</v>
      </c>
      <c r="N321" s="4">
        <v>1219.4549999999999</v>
      </c>
      <c r="O321" s="14">
        <v>41871</v>
      </c>
      <c r="P321" s="4">
        <v>1.3258000000000001</v>
      </c>
      <c r="Q321" s="14"/>
    </row>
    <row r="322" spans="9:17" x14ac:dyDescent="0.75">
      <c r="I322" s="14">
        <v>41856</v>
      </c>
      <c r="J322" s="4">
        <v>20.065000000000001</v>
      </c>
      <c r="K322" s="14">
        <v>41856</v>
      </c>
      <c r="L322" s="4">
        <v>127.34</v>
      </c>
      <c r="M322" s="14">
        <v>41856</v>
      </c>
      <c r="N322" s="4">
        <v>1212.22</v>
      </c>
      <c r="O322" s="14">
        <v>41870</v>
      </c>
      <c r="P322" s="4">
        <v>1.3319000000000001</v>
      </c>
      <c r="Q322" s="14"/>
    </row>
    <row r="323" spans="9:17" x14ac:dyDescent="0.75">
      <c r="I323" s="14">
        <v>41855</v>
      </c>
      <c r="J323" s="4">
        <v>20.344999999999999</v>
      </c>
      <c r="K323" s="14">
        <v>41855</v>
      </c>
      <c r="L323" s="4">
        <v>126.88</v>
      </c>
      <c r="M323" s="14">
        <v>41855</v>
      </c>
      <c r="N323" s="4">
        <v>1220.73</v>
      </c>
      <c r="O323" s="14">
        <v>41869</v>
      </c>
      <c r="P323" s="4">
        <v>1.3362000000000001</v>
      </c>
      <c r="Q323" s="14"/>
    </row>
    <row r="324" spans="9:17" x14ac:dyDescent="0.75">
      <c r="I324" s="14">
        <v>41852</v>
      </c>
      <c r="J324" s="4">
        <v>20.36</v>
      </c>
      <c r="K324" s="14">
        <v>41852</v>
      </c>
      <c r="L324" s="4">
        <v>126.72</v>
      </c>
      <c r="M324" s="14">
        <v>41852</v>
      </c>
      <c r="N324" s="4">
        <v>1213.97</v>
      </c>
      <c r="O324" s="14">
        <v>41866</v>
      </c>
      <c r="P324" s="4">
        <v>1.3398000000000001</v>
      </c>
      <c r="Q324" s="14"/>
    </row>
    <row r="325" spans="9:17" x14ac:dyDescent="0.75">
      <c r="I325" s="14">
        <v>41851</v>
      </c>
      <c r="J325" s="4">
        <v>20.59</v>
      </c>
      <c r="K325" s="14">
        <v>41851</v>
      </c>
      <c r="L325" s="4">
        <v>128.26</v>
      </c>
      <c r="M325" s="14">
        <v>41851</v>
      </c>
      <c r="N325" s="4">
        <v>1222.1500000000001</v>
      </c>
      <c r="O325" s="14">
        <v>41865</v>
      </c>
      <c r="P325" s="4">
        <v>1.3362000000000001</v>
      </c>
      <c r="Q325" s="14"/>
    </row>
    <row r="326" spans="9:17" x14ac:dyDescent="0.75">
      <c r="I326" s="14">
        <v>41850</v>
      </c>
      <c r="J326" s="4">
        <v>20.885000000000002</v>
      </c>
      <c r="K326" s="14">
        <v>41850</v>
      </c>
      <c r="L326" s="4">
        <v>129.86000000000001</v>
      </c>
      <c r="M326" s="14">
        <v>41850</v>
      </c>
      <c r="N326" s="4">
        <v>1229.635</v>
      </c>
      <c r="O326" s="14">
        <v>41864</v>
      </c>
      <c r="P326" s="4">
        <v>1.3364</v>
      </c>
      <c r="Q326" s="14"/>
    </row>
    <row r="327" spans="9:17" x14ac:dyDescent="0.75">
      <c r="I327" s="14">
        <v>41849</v>
      </c>
      <c r="J327" s="4">
        <v>21.035</v>
      </c>
      <c r="K327" s="14">
        <v>41849</v>
      </c>
      <c r="L327" s="4">
        <v>129.94999999999999</v>
      </c>
      <c r="M327" s="14">
        <v>41849</v>
      </c>
      <c r="N327" s="4">
        <v>1227.45</v>
      </c>
      <c r="O327" s="14">
        <v>41863</v>
      </c>
      <c r="P327" s="4">
        <v>1.3369</v>
      </c>
      <c r="Q327" s="14"/>
    </row>
    <row r="328" spans="9:17" x14ac:dyDescent="0.75">
      <c r="I328" s="14">
        <v>41848</v>
      </c>
      <c r="J328" s="4">
        <v>20.984999999999999</v>
      </c>
      <c r="K328" s="14">
        <v>41848</v>
      </c>
      <c r="L328" s="4">
        <v>129.83000000000001</v>
      </c>
      <c r="M328" s="14">
        <v>41848</v>
      </c>
      <c r="N328" s="4">
        <v>1232.8800000000001</v>
      </c>
      <c r="O328" s="14">
        <v>41862</v>
      </c>
      <c r="P328" s="4">
        <v>1.3385</v>
      </c>
      <c r="Q328" s="14"/>
    </row>
    <row r="329" spans="9:17" x14ac:dyDescent="0.75">
      <c r="I329" s="14">
        <v>41845</v>
      </c>
      <c r="J329" s="4">
        <v>21.09</v>
      </c>
      <c r="K329" s="14">
        <v>41845</v>
      </c>
      <c r="L329" s="4">
        <v>129.81</v>
      </c>
      <c r="M329" s="14">
        <v>41845</v>
      </c>
      <c r="N329" s="4">
        <v>1232.74</v>
      </c>
      <c r="O329" s="14">
        <v>41859</v>
      </c>
      <c r="P329" s="4">
        <v>1.341</v>
      </c>
      <c r="Q329" s="14"/>
    </row>
    <row r="330" spans="9:17" x14ac:dyDescent="0.75">
      <c r="I330" s="14">
        <v>41844</v>
      </c>
      <c r="J330" s="4">
        <v>21.24</v>
      </c>
      <c r="K330" s="14">
        <v>41844</v>
      </c>
      <c r="L330" s="4">
        <v>130.31</v>
      </c>
      <c r="M330" s="14">
        <v>41844</v>
      </c>
      <c r="N330" s="4">
        <v>1232.78</v>
      </c>
      <c r="O330" s="14">
        <v>41858</v>
      </c>
      <c r="P330" s="4">
        <v>1.3362000000000001</v>
      </c>
      <c r="Q330" s="14"/>
    </row>
    <row r="331" spans="9:17" x14ac:dyDescent="0.75">
      <c r="I331" s="14">
        <v>41843</v>
      </c>
      <c r="J331" s="4">
        <v>20.81</v>
      </c>
      <c r="K331" s="14">
        <v>41843</v>
      </c>
      <c r="L331" s="4">
        <v>130.06</v>
      </c>
      <c r="M331" s="14">
        <v>41843</v>
      </c>
      <c r="N331" s="4">
        <v>1228.8699999999999</v>
      </c>
      <c r="O331" s="14">
        <v>41857</v>
      </c>
      <c r="P331" s="4">
        <v>1.3381000000000001</v>
      </c>
      <c r="Q331" s="14"/>
    </row>
    <row r="332" spans="9:17" x14ac:dyDescent="0.75">
      <c r="I332" s="14">
        <v>41842</v>
      </c>
      <c r="J332" s="4">
        <v>20.85</v>
      </c>
      <c r="K332" s="14">
        <v>41842</v>
      </c>
      <c r="L332" s="4">
        <v>129.84</v>
      </c>
      <c r="M332" s="14">
        <v>41842</v>
      </c>
      <c r="N332" s="4">
        <v>1230.1949999999999</v>
      </c>
      <c r="O332" s="14">
        <v>41856</v>
      </c>
      <c r="P332" s="4">
        <v>1.3374999999999999</v>
      </c>
      <c r="Q332" s="14"/>
    </row>
    <row r="333" spans="9:17" x14ac:dyDescent="0.75">
      <c r="I333" s="14">
        <v>41841</v>
      </c>
      <c r="J333" s="4">
        <v>20.440000000000001</v>
      </c>
      <c r="K333" s="14">
        <v>41841</v>
      </c>
      <c r="L333" s="4">
        <v>128.16</v>
      </c>
      <c r="M333" s="14">
        <v>41841</v>
      </c>
      <c r="N333" s="4">
        <v>1227.94</v>
      </c>
      <c r="O333" s="14">
        <v>41855</v>
      </c>
      <c r="P333" s="4">
        <v>1.3421000000000001</v>
      </c>
      <c r="Q333" s="14"/>
    </row>
    <row r="334" spans="9:17" x14ac:dyDescent="0.75">
      <c r="I334" s="14">
        <v>41838</v>
      </c>
      <c r="J334" s="4">
        <v>20.76</v>
      </c>
      <c r="K334" s="14">
        <v>41838</v>
      </c>
      <c r="L334" s="4">
        <v>128.78</v>
      </c>
      <c r="M334" s="14">
        <v>41838</v>
      </c>
      <c r="N334" s="4">
        <v>1228.2550000000001</v>
      </c>
      <c r="O334" s="14">
        <v>41852</v>
      </c>
      <c r="P334" s="4">
        <v>1.3429</v>
      </c>
      <c r="Q334" s="14"/>
    </row>
    <row r="335" spans="9:17" x14ac:dyDescent="0.75">
      <c r="I335" s="14">
        <v>41837</v>
      </c>
      <c r="J335" s="4">
        <v>20.645</v>
      </c>
      <c r="K335" s="14">
        <v>41837</v>
      </c>
      <c r="L335" s="4">
        <v>128.62</v>
      </c>
      <c r="M335" s="14">
        <v>41837</v>
      </c>
      <c r="N335" s="4">
        <v>1232.3</v>
      </c>
      <c r="O335" s="14">
        <v>41851</v>
      </c>
      <c r="P335" s="4">
        <v>1.3388</v>
      </c>
      <c r="Q335" s="14"/>
    </row>
    <row r="336" spans="9:17" x14ac:dyDescent="0.75">
      <c r="I336" s="14">
        <v>41836</v>
      </c>
      <c r="J336" s="4">
        <v>21.065000000000001</v>
      </c>
      <c r="K336" s="14">
        <v>41836</v>
      </c>
      <c r="L336" s="4">
        <v>129.02000000000001</v>
      </c>
      <c r="M336" s="14">
        <v>41836</v>
      </c>
      <c r="N336" s="4">
        <v>1236.0050000000001</v>
      </c>
      <c r="O336" s="14">
        <v>41850</v>
      </c>
      <c r="P336" s="4">
        <v>1.3395999999999999</v>
      </c>
      <c r="Q336" s="14"/>
    </row>
    <row r="337" spans="9:17" x14ac:dyDescent="0.75">
      <c r="I337" s="14">
        <v>41835</v>
      </c>
      <c r="J337" s="4">
        <v>20.420000000000002</v>
      </c>
      <c r="K337" s="14">
        <v>41835</v>
      </c>
      <c r="L337" s="4">
        <v>128.05000000000001</v>
      </c>
      <c r="M337" s="14">
        <v>41835</v>
      </c>
      <c r="N337" s="4">
        <v>1229.165</v>
      </c>
      <c r="O337" s="14">
        <v>41849</v>
      </c>
      <c r="P337" s="4">
        <v>1.3409</v>
      </c>
      <c r="Q337" s="14"/>
    </row>
    <row r="338" spans="9:17" x14ac:dyDescent="0.75">
      <c r="I338" s="14">
        <v>41834</v>
      </c>
      <c r="J338" s="4">
        <v>20.68</v>
      </c>
      <c r="K338" s="14">
        <v>41834</v>
      </c>
      <c r="L338" s="4">
        <v>128.07</v>
      </c>
      <c r="M338" s="14">
        <v>41834</v>
      </c>
      <c r="N338" s="4">
        <v>1235.355</v>
      </c>
      <c r="O338" s="14">
        <v>41848</v>
      </c>
      <c r="P338" s="4">
        <v>1.3439000000000001</v>
      </c>
      <c r="Q338" s="14"/>
    </row>
    <row r="339" spans="9:17" x14ac:dyDescent="0.75">
      <c r="I339" s="14">
        <v>41831</v>
      </c>
      <c r="J339" s="4">
        <v>20.64</v>
      </c>
      <c r="K339" s="14">
        <v>41831</v>
      </c>
      <c r="L339" s="4">
        <v>127.3</v>
      </c>
      <c r="M339" s="14">
        <v>41831</v>
      </c>
      <c r="N339" s="4">
        <v>1237.345</v>
      </c>
      <c r="O339" s="14">
        <v>41845</v>
      </c>
      <c r="P339" s="4">
        <v>1.3429</v>
      </c>
      <c r="Q339" s="14"/>
    </row>
    <row r="340" spans="9:17" x14ac:dyDescent="0.75">
      <c r="I340" s="14">
        <v>41830</v>
      </c>
      <c r="J340" s="4">
        <v>20.504999999999999</v>
      </c>
      <c r="K340" s="14">
        <v>41830</v>
      </c>
      <c r="L340" s="4">
        <v>126.97</v>
      </c>
      <c r="M340" s="14">
        <v>41830</v>
      </c>
      <c r="N340" s="4">
        <v>1242.28</v>
      </c>
      <c r="O340" s="14">
        <v>41844</v>
      </c>
      <c r="P340" s="4">
        <v>1.3463000000000001</v>
      </c>
      <c r="Q340" s="14"/>
    </row>
    <row r="341" spans="9:17" x14ac:dyDescent="0.75">
      <c r="I341" s="14">
        <v>41829</v>
      </c>
      <c r="J341" s="4">
        <v>20.895</v>
      </c>
      <c r="K341" s="14">
        <v>41829</v>
      </c>
      <c r="L341" s="4">
        <v>127.6</v>
      </c>
      <c r="M341" s="14">
        <v>41829</v>
      </c>
      <c r="N341" s="4">
        <v>1248.105</v>
      </c>
      <c r="O341" s="14">
        <v>41843</v>
      </c>
      <c r="P341" s="4">
        <v>1.3464</v>
      </c>
      <c r="Q341" s="14"/>
    </row>
    <row r="342" spans="9:17" x14ac:dyDescent="0.75">
      <c r="I342" s="14">
        <v>41828</v>
      </c>
      <c r="J342" s="4">
        <v>21.08</v>
      </c>
      <c r="K342" s="14">
        <v>41828</v>
      </c>
      <c r="L342" s="4">
        <v>129.01</v>
      </c>
      <c r="M342" s="14">
        <v>41828</v>
      </c>
      <c r="N342" s="4">
        <v>1252.365</v>
      </c>
      <c r="O342" s="14">
        <v>41842</v>
      </c>
      <c r="P342" s="4">
        <v>1.3464</v>
      </c>
      <c r="Q342" s="14"/>
    </row>
    <row r="343" spans="9:17" x14ac:dyDescent="0.75">
      <c r="I343" s="14">
        <v>41827</v>
      </c>
      <c r="J343" s="4">
        <v>21.664999999999999</v>
      </c>
      <c r="K343" s="14">
        <v>41827</v>
      </c>
      <c r="L343" s="4">
        <v>130.19</v>
      </c>
      <c r="M343" s="14">
        <v>41827</v>
      </c>
      <c r="N343" s="4">
        <v>1253.905</v>
      </c>
      <c r="O343" s="14">
        <v>41841</v>
      </c>
      <c r="P343" s="4">
        <v>1.3523000000000001</v>
      </c>
      <c r="Q343" s="14"/>
    </row>
    <row r="344" spans="9:17" x14ac:dyDescent="0.75">
      <c r="I344" s="14">
        <v>41824</v>
      </c>
      <c r="J344" s="4">
        <v>21.94</v>
      </c>
      <c r="K344" s="14">
        <v>41824</v>
      </c>
      <c r="L344" s="4">
        <v>130.83000000000001</v>
      </c>
      <c r="M344" s="14">
        <v>41824</v>
      </c>
      <c r="N344" s="4">
        <v>1262.5999999999999</v>
      </c>
      <c r="O344" s="14">
        <v>41838</v>
      </c>
      <c r="P344" s="4">
        <v>1.3524</v>
      </c>
      <c r="Q344" s="14"/>
    </row>
    <row r="345" spans="9:17" x14ac:dyDescent="0.75">
      <c r="I345" s="14">
        <v>41823</v>
      </c>
      <c r="J345" s="4">
        <v>22.265000000000001</v>
      </c>
      <c r="K345" s="14">
        <v>41823</v>
      </c>
      <c r="L345" s="4">
        <v>130.9</v>
      </c>
      <c r="M345" s="14">
        <v>41823</v>
      </c>
      <c r="N345" s="4">
        <v>1264.9749999999999</v>
      </c>
      <c r="O345" s="14">
        <v>41837</v>
      </c>
      <c r="P345" s="4">
        <v>1.3526</v>
      </c>
      <c r="Q345" s="14"/>
    </row>
    <row r="346" spans="9:17" x14ac:dyDescent="0.75">
      <c r="I346" s="14">
        <v>41822</v>
      </c>
      <c r="J346" s="4">
        <v>22.07</v>
      </c>
      <c r="K346" s="14">
        <v>41822</v>
      </c>
      <c r="L346" s="4">
        <v>129.94</v>
      </c>
      <c r="M346" s="14">
        <v>41822</v>
      </c>
      <c r="N346" s="4">
        <v>1266.645</v>
      </c>
      <c r="O346" s="14">
        <v>41836</v>
      </c>
      <c r="P346" s="4">
        <v>1.3525</v>
      </c>
      <c r="Q346" s="14"/>
    </row>
    <row r="347" spans="9:17" x14ac:dyDescent="0.75">
      <c r="I347" s="14">
        <v>41821</v>
      </c>
      <c r="J347" s="4">
        <v>21.97</v>
      </c>
      <c r="K347" s="14">
        <v>41821</v>
      </c>
      <c r="L347" s="4">
        <v>129.56</v>
      </c>
      <c r="M347" s="14">
        <v>41821</v>
      </c>
      <c r="N347" s="4">
        <v>1261</v>
      </c>
      <c r="O347" s="14">
        <v>41835</v>
      </c>
      <c r="P347" s="4">
        <v>1.3571</v>
      </c>
      <c r="Q347" s="14"/>
    </row>
    <row r="348" spans="9:17" x14ac:dyDescent="0.75">
      <c r="I348" s="14">
        <v>41820</v>
      </c>
      <c r="J348" s="4">
        <v>21.664999999999999</v>
      </c>
      <c r="K348" s="14">
        <v>41820</v>
      </c>
      <c r="L348" s="4">
        <v>128.54</v>
      </c>
      <c r="M348" s="14">
        <v>41820</v>
      </c>
      <c r="N348" s="4">
        <v>1276.1099999999999</v>
      </c>
      <c r="O348" s="14">
        <v>41834</v>
      </c>
      <c r="P348" s="4">
        <v>1.3619000000000001</v>
      </c>
      <c r="Q348" s="14"/>
    </row>
    <row r="349" spans="9:17" x14ac:dyDescent="0.75">
      <c r="I349" s="14">
        <v>41817</v>
      </c>
      <c r="J349" s="4">
        <v>21.69</v>
      </c>
      <c r="K349" s="14">
        <v>41817</v>
      </c>
      <c r="L349" s="4">
        <v>128.65</v>
      </c>
      <c r="M349" s="14">
        <v>41817</v>
      </c>
      <c r="N349" s="4">
        <v>1279.0150000000001</v>
      </c>
      <c r="O349" s="14">
        <v>41831</v>
      </c>
      <c r="P349" s="4">
        <v>1.3608</v>
      </c>
      <c r="Q349" s="14"/>
    </row>
    <row r="350" spans="9:17" x14ac:dyDescent="0.75">
      <c r="I350" s="14">
        <v>41816</v>
      </c>
      <c r="J350" s="4">
        <v>21.795000000000002</v>
      </c>
      <c r="K350" s="14">
        <v>41816</v>
      </c>
      <c r="L350" s="4">
        <v>128.66</v>
      </c>
      <c r="M350" s="14">
        <v>41816</v>
      </c>
      <c r="N350" s="4">
        <v>1278.0550000000001</v>
      </c>
      <c r="O350" s="14">
        <v>41830</v>
      </c>
      <c r="P350" s="4">
        <v>1.3609</v>
      </c>
      <c r="Q350" s="14"/>
    </row>
    <row r="351" spans="9:17" x14ac:dyDescent="0.75">
      <c r="I351" s="14">
        <v>41815</v>
      </c>
      <c r="J351" s="4">
        <v>21.86</v>
      </c>
      <c r="K351" s="14">
        <v>41815</v>
      </c>
      <c r="L351" s="4">
        <v>128.57</v>
      </c>
      <c r="M351" s="14">
        <v>41815</v>
      </c>
      <c r="N351" s="4">
        <v>1280.4100000000001</v>
      </c>
      <c r="O351" s="14">
        <v>41829</v>
      </c>
      <c r="P351" s="4">
        <v>1.3644000000000001</v>
      </c>
      <c r="Q351" s="14"/>
    </row>
    <row r="352" spans="9:17" x14ac:dyDescent="0.75">
      <c r="I352" s="14">
        <v>41814</v>
      </c>
      <c r="J352" s="4">
        <v>22.035</v>
      </c>
      <c r="K352" s="14">
        <v>41814</v>
      </c>
      <c r="L352" s="4">
        <v>129.9</v>
      </c>
      <c r="M352" s="14">
        <v>41814</v>
      </c>
      <c r="N352" s="4">
        <v>1280.365</v>
      </c>
      <c r="O352" s="14">
        <v>41828</v>
      </c>
      <c r="P352" s="4">
        <v>1.3611</v>
      </c>
      <c r="Q352" s="14"/>
    </row>
    <row r="353" spans="9:17" x14ac:dyDescent="0.75">
      <c r="I353" s="14">
        <v>41813</v>
      </c>
      <c r="J353" s="4">
        <v>22.06</v>
      </c>
      <c r="K353" s="14">
        <v>41813</v>
      </c>
      <c r="L353" s="4">
        <v>129.49</v>
      </c>
      <c r="M353" s="14">
        <v>41813</v>
      </c>
      <c r="N353" s="4">
        <v>1277.9849999999999</v>
      </c>
      <c r="O353" s="14">
        <v>41827</v>
      </c>
      <c r="P353" s="4">
        <v>1.3604000000000001</v>
      </c>
      <c r="Q353" s="14"/>
    </row>
    <row r="354" spans="9:17" x14ac:dyDescent="0.75">
      <c r="I354" s="14">
        <v>41810</v>
      </c>
      <c r="J354" s="4">
        <v>22.295000000000002</v>
      </c>
      <c r="K354" s="14">
        <v>41810</v>
      </c>
      <c r="L354" s="4">
        <v>129.88999999999999</v>
      </c>
      <c r="M354" s="14">
        <v>41810</v>
      </c>
      <c r="N354" s="4">
        <v>1277.81</v>
      </c>
      <c r="O354" s="14">
        <v>41824</v>
      </c>
      <c r="P354" s="4">
        <v>1.3593</v>
      </c>
      <c r="Q354" s="14"/>
    </row>
    <row r="355" spans="9:17" x14ac:dyDescent="0.75">
      <c r="I355" s="14">
        <v>41809</v>
      </c>
      <c r="J355" s="4">
        <v>22.51</v>
      </c>
      <c r="K355" s="14">
        <v>41809</v>
      </c>
      <c r="L355" s="4">
        <v>129.29</v>
      </c>
      <c r="M355" s="14">
        <v>41809</v>
      </c>
      <c r="N355" s="4">
        <v>1276.05</v>
      </c>
      <c r="O355" s="14">
        <v>41823</v>
      </c>
      <c r="P355" s="4">
        <v>1.361</v>
      </c>
      <c r="Q355" s="14"/>
    </row>
    <row r="356" spans="9:17" x14ac:dyDescent="0.75">
      <c r="I356" s="14">
        <v>41808</v>
      </c>
      <c r="J356" s="4">
        <v>22.324999999999999</v>
      </c>
      <c r="K356" s="14">
        <v>41808</v>
      </c>
      <c r="L356" s="4">
        <v>128.65</v>
      </c>
      <c r="M356" s="14">
        <v>41808</v>
      </c>
      <c r="N356" s="4">
        <v>1266.4349999999999</v>
      </c>
      <c r="O356" s="14">
        <v>41822</v>
      </c>
      <c r="P356" s="4">
        <v>1.3658999999999999</v>
      </c>
      <c r="Q356" s="14"/>
    </row>
    <row r="357" spans="9:17" x14ac:dyDescent="0.75">
      <c r="I357" s="14">
        <v>41807</v>
      </c>
      <c r="J357" s="4">
        <v>22.32</v>
      </c>
      <c r="K357" s="14">
        <v>41807</v>
      </c>
      <c r="L357" s="4">
        <v>128.72999999999999</v>
      </c>
      <c r="M357" s="14">
        <v>41807</v>
      </c>
      <c r="N357" s="4">
        <v>1262.97</v>
      </c>
      <c r="O357" s="14">
        <v>41821</v>
      </c>
      <c r="P357" s="4">
        <v>1.3678999999999999</v>
      </c>
      <c r="Q357" s="14"/>
    </row>
    <row r="358" spans="9:17" x14ac:dyDescent="0.75">
      <c r="I358" s="14">
        <v>41806</v>
      </c>
      <c r="J358" s="4">
        <v>22.254999999999999</v>
      </c>
      <c r="K358" s="14">
        <v>41806</v>
      </c>
      <c r="L358" s="4">
        <v>128.01</v>
      </c>
      <c r="M358" s="14">
        <v>41806</v>
      </c>
      <c r="N358" s="4">
        <v>1261.94</v>
      </c>
      <c r="O358" s="14">
        <v>41820</v>
      </c>
      <c r="P358" s="4">
        <v>1.3691</v>
      </c>
      <c r="Q358" s="14"/>
    </row>
    <row r="359" spans="9:17" x14ac:dyDescent="0.75">
      <c r="I359" s="14">
        <v>41803</v>
      </c>
      <c r="J359" s="4">
        <v>22.475000000000001</v>
      </c>
      <c r="K359" s="14">
        <v>41803</v>
      </c>
      <c r="L359" s="4">
        <v>128.71</v>
      </c>
      <c r="M359" s="14">
        <v>41803</v>
      </c>
      <c r="N359" s="4">
        <v>1259.1099999999999</v>
      </c>
      <c r="O359" s="14">
        <v>41817</v>
      </c>
      <c r="P359" s="4">
        <v>1.3647</v>
      </c>
      <c r="Q359" s="14"/>
    </row>
    <row r="360" spans="9:17" x14ac:dyDescent="0.75">
      <c r="I360" s="14">
        <v>41802</v>
      </c>
      <c r="J360" s="4">
        <v>22.47</v>
      </c>
      <c r="K360" s="14">
        <v>41802</v>
      </c>
      <c r="L360" s="4">
        <v>128.68</v>
      </c>
      <c r="M360" s="14">
        <v>41802</v>
      </c>
      <c r="N360" s="4">
        <v>1250.3399999999999</v>
      </c>
      <c r="O360" s="14">
        <v>41816</v>
      </c>
      <c r="P360" s="4">
        <v>1.3611</v>
      </c>
      <c r="Q360" s="14"/>
    </row>
    <row r="361" spans="9:17" x14ac:dyDescent="0.75">
      <c r="I361" s="14">
        <v>41801</v>
      </c>
      <c r="J361" s="4">
        <v>22.555</v>
      </c>
      <c r="K361" s="14">
        <v>41801</v>
      </c>
      <c r="L361" s="4">
        <v>129.01</v>
      </c>
      <c r="M361" s="14">
        <v>41801</v>
      </c>
      <c r="N361" s="4">
        <v>1248.8699999999999</v>
      </c>
      <c r="O361" s="14">
        <v>41815</v>
      </c>
      <c r="P361" s="4">
        <v>1.3629</v>
      </c>
      <c r="Q361" s="14"/>
    </row>
    <row r="362" spans="9:17" x14ac:dyDescent="0.75">
      <c r="I362" s="14">
        <v>41800</v>
      </c>
      <c r="J362" s="4">
        <v>22.795000000000002</v>
      </c>
      <c r="K362" s="14">
        <v>41800</v>
      </c>
      <c r="L362" s="4">
        <v>129.21</v>
      </c>
      <c r="M362" s="14">
        <v>41800</v>
      </c>
      <c r="N362" s="4">
        <v>1247.9349999999999</v>
      </c>
      <c r="O362" s="14">
        <v>41814</v>
      </c>
      <c r="P362" s="4">
        <v>1.3605</v>
      </c>
      <c r="Q362" s="14"/>
    </row>
    <row r="363" spans="9:17" x14ac:dyDescent="0.75">
      <c r="I363" s="14">
        <v>41799</v>
      </c>
      <c r="J363" s="4">
        <v>22.85</v>
      </c>
      <c r="K363" s="14">
        <v>41799</v>
      </c>
      <c r="L363" s="4">
        <v>129.13</v>
      </c>
      <c r="M363" s="14">
        <v>41799</v>
      </c>
      <c r="N363" s="4">
        <v>1251.085</v>
      </c>
      <c r="O363" s="14">
        <v>41813</v>
      </c>
      <c r="P363" s="4">
        <v>1.3603000000000001</v>
      </c>
      <c r="Q363" s="14"/>
    </row>
    <row r="364" spans="9:17" x14ac:dyDescent="0.75">
      <c r="I364" s="14">
        <v>41796</v>
      </c>
      <c r="J364" s="4">
        <v>22.585000000000001</v>
      </c>
      <c r="K364" s="14">
        <v>41796</v>
      </c>
      <c r="L364" s="4">
        <v>128.25</v>
      </c>
      <c r="M364" s="14">
        <v>41796</v>
      </c>
      <c r="N364" s="4">
        <v>1244.1949999999999</v>
      </c>
      <c r="O364" s="14">
        <v>41810</v>
      </c>
      <c r="P364" s="4">
        <v>1.3599000000000001</v>
      </c>
      <c r="Q364" s="14"/>
    </row>
    <row r="365" spans="9:17" x14ac:dyDescent="0.75">
      <c r="I365" s="14">
        <v>41795</v>
      </c>
      <c r="J365" s="4">
        <v>22.265000000000001</v>
      </c>
      <c r="K365" s="14">
        <v>41795</v>
      </c>
      <c r="L365" s="4">
        <v>127.57</v>
      </c>
      <c r="M365" s="14">
        <v>41795</v>
      </c>
      <c r="N365" s="4">
        <v>1243.21</v>
      </c>
      <c r="O365" s="14">
        <v>41809</v>
      </c>
      <c r="P365" s="4">
        <v>1.3608</v>
      </c>
      <c r="Q365" s="14"/>
    </row>
    <row r="366" spans="9:17" x14ac:dyDescent="0.75">
      <c r="I366" s="14">
        <v>41794</v>
      </c>
      <c r="J366" s="4">
        <v>21.945</v>
      </c>
      <c r="K366" s="14">
        <v>41794</v>
      </c>
      <c r="L366" s="4">
        <v>127.15</v>
      </c>
      <c r="M366" s="14">
        <v>41794</v>
      </c>
      <c r="N366" s="4">
        <v>1245.9349999999999</v>
      </c>
      <c r="O366" s="14">
        <v>41808</v>
      </c>
      <c r="P366" s="4">
        <v>1.3594999999999999</v>
      </c>
      <c r="Q366" s="14"/>
    </row>
    <row r="367" spans="9:17" x14ac:dyDescent="0.75">
      <c r="I367" s="14">
        <v>41793</v>
      </c>
      <c r="J367" s="4">
        <v>21.98</v>
      </c>
      <c r="K367" s="14">
        <v>41793</v>
      </c>
      <c r="L367" s="4">
        <v>126.94</v>
      </c>
      <c r="M367" s="14">
        <v>41793</v>
      </c>
      <c r="N367" s="4">
        <v>1248.57</v>
      </c>
      <c r="O367" s="14">
        <v>41807</v>
      </c>
      <c r="P367" s="4">
        <v>1.3545</v>
      </c>
      <c r="Q367" s="14"/>
    </row>
    <row r="368" spans="9:17" x14ac:dyDescent="0.75">
      <c r="I368" s="14">
        <v>41792</v>
      </c>
      <c r="J368" s="4">
        <v>22.105</v>
      </c>
      <c r="K368" s="14">
        <v>41792</v>
      </c>
      <c r="L368" s="4">
        <v>127.4</v>
      </c>
      <c r="M368" s="14">
        <v>41792</v>
      </c>
      <c r="N368" s="4">
        <v>1250.905</v>
      </c>
      <c r="O368" s="14">
        <v>41806</v>
      </c>
      <c r="P368" s="4">
        <v>1.3573</v>
      </c>
      <c r="Q368" s="14"/>
    </row>
    <row r="369" spans="9:17" x14ac:dyDescent="0.75">
      <c r="I369" s="14">
        <v>41789</v>
      </c>
      <c r="J369" s="4">
        <v>21.925000000000001</v>
      </c>
      <c r="K369" s="14">
        <v>41789</v>
      </c>
      <c r="L369" s="4">
        <v>126.74</v>
      </c>
      <c r="M369" s="14">
        <v>41789</v>
      </c>
      <c r="N369" s="4">
        <v>1251.0250000000001</v>
      </c>
      <c r="O369" s="14">
        <v>41803</v>
      </c>
      <c r="P369" s="4">
        <v>1.3542000000000001</v>
      </c>
      <c r="Q369" s="14"/>
    </row>
    <row r="370" spans="9:17" x14ac:dyDescent="0.75">
      <c r="I370" s="14">
        <v>41788</v>
      </c>
      <c r="J370" s="4">
        <v>21.83</v>
      </c>
      <c r="K370" s="14">
        <v>41788</v>
      </c>
      <c r="L370" s="4">
        <v>126.6</v>
      </c>
      <c r="M370" s="14">
        <v>41788</v>
      </c>
      <c r="N370" s="4">
        <v>1259.355</v>
      </c>
      <c r="O370" s="14">
        <v>41802</v>
      </c>
      <c r="P370" s="4">
        <v>1.3551</v>
      </c>
      <c r="Q370" s="14"/>
    </row>
    <row r="371" spans="9:17" x14ac:dyDescent="0.75">
      <c r="I371" s="14">
        <v>41787</v>
      </c>
      <c r="J371" s="4">
        <v>21.91</v>
      </c>
      <c r="K371" s="14">
        <v>41787</v>
      </c>
      <c r="L371" s="4">
        <v>126.41</v>
      </c>
      <c r="M371" s="14">
        <v>41787</v>
      </c>
      <c r="N371" s="4">
        <v>1256.06</v>
      </c>
      <c r="O371" s="14">
        <v>41801</v>
      </c>
      <c r="P371" s="4">
        <v>1.3532</v>
      </c>
      <c r="Q371" s="14"/>
    </row>
    <row r="372" spans="9:17" x14ac:dyDescent="0.75">
      <c r="I372" s="14">
        <v>41786</v>
      </c>
      <c r="J372" s="4">
        <v>21.725000000000001</v>
      </c>
      <c r="K372" s="14">
        <v>41786</v>
      </c>
      <c r="L372" s="4">
        <v>126.21</v>
      </c>
      <c r="M372" s="14">
        <v>41786</v>
      </c>
      <c r="N372" s="4">
        <v>1260.5899999999999</v>
      </c>
      <c r="O372" s="14">
        <v>41800</v>
      </c>
      <c r="P372" s="4">
        <v>1.3547</v>
      </c>
      <c r="Q372" s="14"/>
    </row>
    <row r="373" spans="9:17" x14ac:dyDescent="0.75">
      <c r="I373" s="14">
        <v>41785</v>
      </c>
      <c r="J373" s="4">
        <v>21.805</v>
      </c>
      <c r="K373" s="14">
        <v>41785</v>
      </c>
      <c r="L373" s="4">
        <v>125.93</v>
      </c>
      <c r="M373" s="14">
        <v>41782</v>
      </c>
      <c r="N373" s="4">
        <v>1266.2650000000001</v>
      </c>
      <c r="O373" s="14">
        <v>41799</v>
      </c>
      <c r="P373" s="4">
        <v>1.3592</v>
      </c>
      <c r="Q373" s="14"/>
    </row>
    <row r="374" spans="9:17" x14ac:dyDescent="0.75">
      <c r="I374" s="14">
        <v>41782</v>
      </c>
      <c r="J374" s="4">
        <v>21.004999999999999</v>
      </c>
      <c r="K374" s="14">
        <v>41782</v>
      </c>
      <c r="L374" s="4">
        <v>125.44</v>
      </c>
      <c r="M374" s="14">
        <v>41781</v>
      </c>
      <c r="N374" s="4">
        <v>1265.355</v>
      </c>
      <c r="O374" s="14">
        <v>41796</v>
      </c>
      <c r="P374" s="4">
        <v>1.3641000000000001</v>
      </c>
      <c r="Q374" s="14"/>
    </row>
    <row r="375" spans="9:17" x14ac:dyDescent="0.75">
      <c r="I375" s="14">
        <v>41781</v>
      </c>
      <c r="J375" s="4">
        <v>20.635000000000002</v>
      </c>
      <c r="K375" s="14">
        <v>41781</v>
      </c>
      <c r="L375" s="4">
        <v>125.14</v>
      </c>
      <c r="M375" s="14">
        <v>41780</v>
      </c>
      <c r="N375" s="4">
        <v>1260.925</v>
      </c>
      <c r="O375" s="14">
        <v>41795</v>
      </c>
      <c r="P375" s="4">
        <v>1.3657999999999999</v>
      </c>
      <c r="Q375" s="14"/>
    </row>
    <row r="376" spans="9:17" x14ac:dyDescent="0.75">
      <c r="I376" s="14">
        <v>41780</v>
      </c>
      <c r="J376" s="4">
        <v>20.88</v>
      </c>
      <c r="K376" s="14">
        <v>41780</v>
      </c>
      <c r="L376" s="4">
        <v>124.25</v>
      </c>
      <c r="M376" s="14">
        <v>41779</v>
      </c>
      <c r="N376" s="4">
        <v>1261.83</v>
      </c>
      <c r="O376" s="14">
        <v>41794</v>
      </c>
      <c r="P376" s="4">
        <v>1.3597999999999999</v>
      </c>
      <c r="Q376" s="14"/>
    </row>
    <row r="377" spans="9:17" x14ac:dyDescent="0.75">
      <c r="I377" s="14">
        <v>41779</v>
      </c>
      <c r="J377" s="4">
        <v>20.65</v>
      </c>
      <c r="K377" s="14">
        <v>41779</v>
      </c>
      <c r="L377" s="4">
        <v>123.59</v>
      </c>
      <c r="M377" s="14">
        <v>41778</v>
      </c>
      <c r="N377" s="4">
        <v>1262.31</v>
      </c>
      <c r="O377" s="14">
        <v>41793</v>
      </c>
      <c r="P377" s="4">
        <v>1.3627</v>
      </c>
      <c r="Q377" s="14"/>
    </row>
    <row r="378" spans="9:17" x14ac:dyDescent="0.75">
      <c r="I378" s="14">
        <v>41778</v>
      </c>
      <c r="J378" s="4">
        <v>20.63</v>
      </c>
      <c r="K378" s="14">
        <v>41778</v>
      </c>
      <c r="L378" s="4">
        <v>123.88</v>
      </c>
      <c r="M378" s="14">
        <v>41775</v>
      </c>
      <c r="N378" s="4">
        <v>1259.8699999999999</v>
      </c>
      <c r="O378" s="14">
        <v>41792</v>
      </c>
      <c r="P378" s="4">
        <v>1.3593999999999999</v>
      </c>
      <c r="Q378" s="14"/>
    </row>
    <row r="379" spans="9:17" x14ac:dyDescent="0.75">
      <c r="I379" s="14">
        <v>41775</v>
      </c>
      <c r="J379" s="4">
        <v>20.68</v>
      </c>
      <c r="K379" s="14">
        <v>41775</v>
      </c>
      <c r="L379" s="4">
        <v>123.64</v>
      </c>
      <c r="M379" s="14">
        <v>41774</v>
      </c>
      <c r="N379" s="4">
        <v>1260.675</v>
      </c>
      <c r="O379" s="14">
        <v>41789</v>
      </c>
      <c r="P379" s="4">
        <v>1.363</v>
      </c>
      <c r="Q379" s="14"/>
    </row>
    <row r="380" spans="9:17" x14ac:dyDescent="0.75">
      <c r="I380" s="14">
        <v>41774</v>
      </c>
      <c r="J380" s="4">
        <v>20.48</v>
      </c>
      <c r="K380" s="14">
        <v>41774</v>
      </c>
      <c r="L380" s="4">
        <v>122.99</v>
      </c>
      <c r="M380" s="14">
        <v>41773</v>
      </c>
      <c r="N380" s="4">
        <v>1265.2850000000001</v>
      </c>
      <c r="O380" s="14">
        <v>41788</v>
      </c>
      <c r="P380" s="4">
        <v>1.3601000000000001</v>
      </c>
      <c r="Q380" s="14"/>
    </row>
    <row r="381" spans="9:17" x14ac:dyDescent="0.75">
      <c r="I381" s="14">
        <v>41773</v>
      </c>
      <c r="J381" s="4">
        <v>21.25</v>
      </c>
      <c r="K381" s="14">
        <v>41773</v>
      </c>
      <c r="L381" s="4">
        <v>124.47</v>
      </c>
      <c r="M381" s="14">
        <v>41772</v>
      </c>
      <c r="N381" s="4">
        <v>1261.625</v>
      </c>
      <c r="O381" s="14">
        <v>41787</v>
      </c>
      <c r="P381" s="4">
        <v>1.3589</v>
      </c>
      <c r="Q381" s="14"/>
    </row>
    <row r="382" spans="9:17" x14ac:dyDescent="0.75">
      <c r="I382" s="14">
        <v>41772</v>
      </c>
      <c r="J382" s="4">
        <v>21.305</v>
      </c>
      <c r="K382" s="14">
        <v>41772</v>
      </c>
      <c r="L382" s="4">
        <v>124.71</v>
      </c>
      <c r="M382" s="14">
        <v>41771</v>
      </c>
      <c r="N382" s="4">
        <v>1257.375</v>
      </c>
      <c r="O382" s="14">
        <v>41786</v>
      </c>
      <c r="P382" s="4">
        <v>1.3632</v>
      </c>
      <c r="Q382" s="14"/>
    </row>
    <row r="383" spans="9:17" x14ac:dyDescent="0.75">
      <c r="I383" s="14">
        <v>41771</v>
      </c>
      <c r="J383" s="4">
        <v>21.545000000000002</v>
      </c>
      <c r="K383" s="14">
        <v>41771</v>
      </c>
      <c r="L383" s="4">
        <v>123.94</v>
      </c>
      <c r="M383" s="14">
        <v>41768</v>
      </c>
      <c r="N383" s="4">
        <v>1254.79</v>
      </c>
      <c r="O383" s="14">
        <v>41785</v>
      </c>
      <c r="P383" s="4">
        <v>1.3645</v>
      </c>
      <c r="Q383" s="14"/>
    </row>
    <row r="384" spans="9:17" x14ac:dyDescent="0.75">
      <c r="I384" s="14">
        <v>41768</v>
      </c>
      <c r="J384" s="4">
        <v>21.44</v>
      </c>
      <c r="K384" s="14">
        <v>41768</v>
      </c>
      <c r="L384" s="4">
        <v>122.74</v>
      </c>
      <c r="M384" s="14">
        <v>41767</v>
      </c>
      <c r="N384" s="4">
        <v>1253.52</v>
      </c>
      <c r="O384" s="14">
        <v>41782</v>
      </c>
      <c r="P384" s="4">
        <v>1.3633</v>
      </c>
      <c r="Q384" s="14"/>
    </row>
    <row r="385" spans="9:17" x14ac:dyDescent="0.75">
      <c r="I385" s="14">
        <v>41767</v>
      </c>
      <c r="J385" s="4">
        <v>21.78</v>
      </c>
      <c r="K385" s="14">
        <v>41767</v>
      </c>
      <c r="L385" s="4">
        <v>122.9</v>
      </c>
      <c r="M385" s="14">
        <v>41766</v>
      </c>
      <c r="N385" s="4">
        <v>1253.45</v>
      </c>
      <c r="O385" s="14">
        <v>41781</v>
      </c>
      <c r="P385" s="4">
        <v>1.3653999999999999</v>
      </c>
      <c r="Q385" s="14"/>
    </row>
    <row r="386" spans="9:17" x14ac:dyDescent="0.75">
      <c r="I386" s="14">
        <v>41766</v>
      </c>
      <c r="J386" s="4">
        <v>21.33</v>
      </c>
      <c r="K386" s="14">
        <v>41766</v>
      </c>
      <c r="L386" s="4">
        <v>121.44</v>
      </c>
      <c r="M386" s="14">
        <v>41765</v>
      </c>
      <c r="N386" s="4">
        <v>1255.6949999999999</v>
      </c>
      <c r="O386" s="14">
        <v>41780</v>
      </c>
      <c r="P386" s="4">
        <v>1.3686</v>
      </c>
      <c r="Q386" s="14"/>
    </row>
    <row r="387" spans="9:17" x14ac:dyDescent="0.75">
      <c r="I387" s="14">
        <v>41765</v>
      </c>
      <c r="J387" s="4">
        <v>21.58</v>
      </c>
      <c r="K387" s="14">
        <v>41765</v>
      </c>
      <c r="L387" s="4">
        <v>121.68</v>
      </c>
      <c r="M387" s="14">
        <v>41761</v>
      </c>
      <c r="N387" s="4">
        <v>1255.595</v>
      </c>
      <c r="O387" s="14">
        <v>41779</v>
      </c>
      <c r="P387" s="4">
        <v>1.3702000000000001</v>
      </c>
      <c r="Q387" s="14"/>
    </row>
    <row r="388" spans="9:17" x14ac:dyDescent="0.75">
      <c r="I388" s="14">
        <v>41764</v>
      </c>
      <c r="J388" s="4">
        <v>21.715</v>
      </c>
      <c r="K388" s="14">
        <v>41764</v>
      </c>
      <c r="L388" s="4">
        <v>122.31</v>
      </c>
      <c r="M388" s="14">
        <v>41760</v>
      </c>
      <c r="N388" s="4">
        <v>1251.4849999999999</v>
      </c>
      <c r="O388" s="14">
        <v>41778</v>
      </c>
      <c r="P388" s="4">
        <v>1.3707</v>
      </c>
      <c r="Q388" s="14"/>
    </row>
    <row r="389" spans="9:17" x14ac:dyDescent="0.75">
      <c r="I389" s="14">
        <v>41761</v>
      </c>
      <c r="J389" s="4">
        <v>21.855</v>
      </c>
      <c r="K389" s="14">
        <v>41761</v>
      </c>
      <c r="L389" s="4">
        <v>122.6</v>
      </c>
      <c r="M389" s="14">
        <v>41759</v>
      </c>
      <c r="N389" s="4">
        <v>1257.29</v>
      </c>
      <c r="O389" s="14">
        <v>41775</v>
      </c>
      <c r="P389" s="4">
        <v>1.3692</v>
      </c>
      <c r="Q389" s="14"/>
    </row>
    <row r="390" spans="9:17" x14ac:dyDescent="0.75">
      <c r="I390" s="14">
        <v>41759</v>
      </c>
      <c r="J390" s="4">
        <v>21.87</v>
      </c>
      <c r="K390" s="14">
        <v>41759</v>
      </c>
      <c r="L390" s="4">
        <v>122.18</v>
      </c>
      <c r="M390" s="14">
        <v>41758</v>
      </c>
      <c r="N390" s="4">
        <v>1266.7950000000001</v>
      </c>
      <c r="O390" s="14">
        <v>41774</v>
      </c>
      <c r="P390" s="4">
        <v>1.371</v>
      </c>
      <c r="Q390" s="14"/>
    </row>
    <row r="391" spans="9:17" x14ac:dyDescent="0.75">
      <c r="I391" s="14">
        <v>41758</v>
      </c>
      <c r="J391" s="4">
        <v>22.01</v>
      </c>
      <c r="K391" s="14">
        <v>41758</v>
      </c>
      <c r="L391" s="4">
        <v>122.52</v>
      </c>
      <c r="M391" s="14">
        <v>41757</v>
      </c>
      <c r="N391" s="4">
        <v>1263.72</v>
      </c>
      <c r="O391" s="14">
        <v>41773</v>
      </c>
      <c r="P391" s="4">
        <v>1.3714</v>
      </c>
      <c r="Q391" s="14"/>
    </row>
    <row r="392" spans="9:17" x14ac:dyDescent="0.75">
      <c r="I392" s="14">
        <v>41757</v>
      </c>
      <c r="J392" s="4">
        <v>21.57</v>
      </c>
      <c r="K392" s="14">
        <v>41757</v>
      </c>
      <c r="L392" s="4">
        <v>121.33</v>
      </c>
      <c r="M392" s="14">
        <v>41754</v>
      </c>
      <c r="N392" s="4">
        <v>1268.4749999999999</v>
      </c>
      <c r="O392" s="14">
        <v>41772</v>
      </c>
      <c r="P392" s="4">
        <v>1.3702000000000001</v>
      </c>
      <c r="Q392" s="14"/>
    </row>
    <row r="393" spans="9:17" x14ac:dyDescent="0.75">
      <c r="I393" s="14">
        <v>41754</v>
      </c>
      <c r="J393" s="4">
        <v>21.475000000000001</v>
      </c>
      <c r="K393" s="14">
        <v>41754</v>
      </c>
      <c r="L393" s="4">
        <v>121.2</v>
      </c>
      <c r="M393" s="14">
        <v>41753</v>
      </c>
      <c r="N393" s="4">
        <v>1273.29</v>
      </c>
      <c r="O393" s="14">
        <v>41771</v>
      </c>
      <c r="P393" s="4">
        <v>1.3755999999999999</v>
      </c>
      <c r="Q393" s="14"/>
    </row>
    <row r="394" spans="9:17" x14ac:dyDescent="0.75">
      <c r="I394" s="14">
        <v>41753</v>
      </c>
      <c r="J394" s="4">
        <v>21.87</v>
      </c>
      <c r="K394" s="14">
        <v>41753</v>
      </c>
      <c r="L394" s="4">
        <v>122.23</v>
      </c>
      <c r="M394" s="14">
        <v>41752</v>
      </c>
      <c r="N394" s="4">
        <v>1264.9649999999999</v>
      </c>
      <c r="O394" s="14">
        <v>41768</v>
      </c>
      <c r="P394" s="4">
        <v>1.3756999999999999</v>
      </c>
      <c r="Q394" s="14"/>
    </row>
    <row r="395" spans="9:17" x14ac:dyDescent="0.75">
      <c r="I395" s="14">
        <v>41752</v>
      </c>
      <c r="J395" s="4">
        <v>21.77</v>
      </c>
      <c r="K395" s="14">
        <v>41752</v>
      </c>
      <c r="L395" s="4">
        <v>122.18</v>
      </c>
      <c r="M395" s="14">
        <v>41751</v>
      </c>
      <c r="N395" s="4">
        <v>1261.1300000000001</v>
      </c>
      <c r="O395" s="14">
        <v>41767</v>
      </c>
      <c r="P395" s="4">
        <v>1.3839999999999999</v>
      </c>
      <c r="Q395" s="14"/>
    </row>
    <row r="396" spans="9:17" x14ac:dyDescent="0.75">
      <c r="I396" s="14">
        <v>41751</v>
      </c>
      <c r="J396" s="4">
        <v>21.945</v>
      </c>
      <c r="K396" s="14">
        <v>41751</v>
      </c>
      <c r="L396" s="4">
        <v>122.65</v>
      </c>
      <c r="M396" s="14">
        <v>41746</v>
      </c>
      <c r="N396" s="4">
        <v>1264.26</v>
      </c>
      <c r="O396" s="14">
        <v>41766</v>
      </c>
      <c r="P396" s="4">
        <v>1.391</v>
      </c>
      <c r="Q396" s="14"/>
    </row>
    <row r="397" spans="9:17" x14ac:dyDescent="0.75">
      <c r="I397" s="14">
        <v>41746</v>
      </c>
      <c r="J397" s="4">
        <v>21.614999999999998</v>
      </c>
      <c r="K397" s="14">
        <v>41746</v>
      </c>
      <c r="L397" s="4">
        <v>121.32</v>
      </c>
      <c r="M397" s="14">
        <v>41745</v>
      </c>
      <c r="N397" s="4">
        <v>1265.8699999999999</v>
      </c>
      <c r="O397" s="14">
        <v>41765</v>
      </c>
      <c r="P397" s="4">
        <v>1.3927</v>
      </c>
      <c r="Q397" s="14"/>
    </row>
    <row r="398" spans="9:17" x14ac:dyDescent="0.75">
      <c r="I398" s="14">
        <v>41745</v>
      </c>
      <c r="J398" s="4">
        <v>21.51</v>
      </c>
      <c r="K398" s="14">
        <v>41745</v>
      </c>
      <c r="L398" s="4">
        <v>120.69</v>
      </c>
      <c r="M398" s="14">
        <v>41744</v>
      </c>
      <c r="N398" s="4">
        <v>1257.8699999999999</v>
      </c>
      <c r="O398" s="14">
        <v>41764</v>
      </c>
      <c r="P398" s="4">
        <v>1.3874</v>
      </c>
      <c r="Q398" s="14"/>
    </row>
    <row r="399" spans="9:17" x14ac:dyDescent="0.75">
      <c r="I399" s="14">
        <v>41744</v>
      </c>
      <c r="J399" s="4">
        <v>20.864999999999998</v>
      </c>
      <c r="K399" s="14">
        <v>41744</v>
      </c>
      <c r="L399" s="4">
        <v>119.33</v>
      </c>
      <c r="M399" s="14">
        <v>41743</v>
      </c>
      <c r="N399" s="4">
        <v>1260.0650000000001</v>
      </c>
      <c r="O399" s="14">
        <v>41761</v>
      </c>
      <c r="P399" s="4">
        <v>1.387</v>
      </c>
      <c r="Q399" s="14"/>
    </row>
    <row r="400" spans="9:17" x14ac:dyDescent="0.75">
      <c r="I400" s="14">
        <v>41743</v>
      </c>
      <c r="J400" s="4">
        <v>21.364999999999998</v>
      </c>
      <c r="K400" s="14">
        <v>41743</v>
      </c>
      <c r="L400" s="4">
        <v>119.7</v>
      </c>
      <c r="M400" s="14">
        <v>41740</v>
      </c>
      <c r="N400" s="4">
        <v>1259.55</v>
      </c>
      <c r="O400" s="14">
        <v>41760</v>
      </c>
      <c r="P400" s="4">
        <v>1.3869</v>
      </c>
      <c r="Q400" s="14"/>
    </row>
    <row r="401" spans="9:17" x14ac:dyDescent="0.75">
      <c r="I401" s="14">
        <v>41740</v>
      </c>
      <c r="J401" s="4">
        <v>21.25</v>
      </c>
      <c r="K401" s="14">
        <v>41740</v>
      </c>
      <c r="L401" s="4">
        <v>118.86</v>
      </c>
      <c r="M401" s="14">
        <v>41739</v>
      </c>
      <c r="N401" s="4">
        <v>1254.26</v>
      </c>
      <c r="O401" s="14">
        <v>41759</v>
      </c>
      <c r="P401" s="4">
        <v>1.3866000000000001</v>
      </c>
      <c r="Q401" s="14"/>
    </row>
    <row r="402" spans="9:17" x14ac:dyDescent="0.75">
      <c r="I402" s="14">
        <v>41739</v>
      </c>
      <c r="J402" s="4">
        <v>21.49</v>
      </c>
      <c r="K402" s="14">
        <v>41739</v>
      </c>
      <c r="L402" s="4">
        <v>120.43</v>
      </c>
      <c r="M402" s="14">
        <v>41738</v>
      </c>
      <c r="N402" s="4">
        <v>1252.115</v>
      </c>
      <c r="O402" s="14">
        <v>41758</v>
      </c>
      <c r="P402" s="4">
        <v>1.3811</v>
      </c>
      <c r="Q402" s="14"/>
    </row>
    <row r="403" spans="9:17" x14ac:dyDescent="0.75">
      <c r="I403" s="14">
        <v>41738</v>
      </c>
      <c r="J403" s="4">
        <v>21.734999999999999</v>
      </c>
      <c r="K403" s="14">
        <v>41738</v>
      </c>
      <c r="L403" s="4">
        <v>121.23</v>
      </c>
      <c r="M403" s="14">
        <v>41737</v>
      </c>
      <c r="N403" s="4">
        <v>1247.18</v>
      </c>
      <c r="O403" s="14">
        <v>41757</v>
      </c>
      <c r="P403" s="4">
        <v>1.3849</v>
      </c>
      <c r="Q403" s="14"/>
    </row>
    <row r="404" spans="9:17" x14ac:dyDescent="0.75">
      <c r="I404" s="14">
        <v>41737</v>
      </c>
      <c r="J404" s="4">
        <v>21.745000000000001</v>
      </c>
      <c r="K404" s="14">
        <v>41737</v>
      </c>
      <c r="L404" s="4">
        <v>120.88</v>
      </c>
      <c r="M404" s="14">
        <v>41736</v>
      </c>
      <c r="N404" s="4">
        <v>1240.4649999999999</v>
      </c>
      <c r="O404" s="14">
        <v>41754</v>
      </c>
      <c r="P404" s="4">
        <v>1.3831</v>
      </c>
      <c r="Q404" s="14"/>
    </row>
    <row r="405" spans="9:17" x14ac:dyDescent="0.75">
      <c r="I405" s="14">
        <v>41736</v>
      </c>
      <c r="J405" s="4">
        <v>22.1</v>
      </c>
      <c r="K405" s="14">
        <v>41736</v>
      </c>
      <c r="L405" s="4">
        <v>121.48</v>
      </c>
      <c r="M405" s="14">
        <v>41733</v>
      </c>
      <c r="N405" s="4">
        <v>1239.96</v>
      </c>
      <c r="O405" s="14">
        <v>41753</v>
      </c>
      <c r="P405" s="4">
        <v>1.383</v>
      </c>
      <c r="Q405" s="14"/>
    </row>
    <row r="406" spans="9:17" x14ac:dyDescent="0.75">
      <c r="I406" s="14">
        <v>41733</v>
      </c>
      <c r="J406" s="4">
        <v>22.19</v>
      </c>
      <c r="K406" s="14">
        <v>41733</v>
      </c>
      <c r="L406" s="4">
        <v>123.56</v>
      </c>
      <c r="M406" s="14">
        <v>41732</v>
      </c>
      <c r="N406" s="4">
        <v>1234.1849999999999</v>
      </c>
      <c r="O406" s="14">
        <v>41752</v>
      </c>
      <c r="P406" s="4">
        <v>1.3815999999999999</v>
      </c>
      <c r="Q406" s="14"/>
    </row>
    <row r="407" spans="9:17" x14ac:dyDescent="0.75">
      <c r="I407" s="14">
        <v>41732</v>
      </c>
      <c r="J407" s="4">
        <v>21.995000000000001</v>
      </c>
      <c r="K407" s="14">
        <v>41732</v>
      </c>
      <c r="L407" s="4">
        <v>123.29</v>
      </c>
      <c r="M407" s="14">
        <v>41731</v>
      </c>
      <c r="N407" s="4">
        <v>1229.75</v>
      </c>
      <c r="O407" s="14">
        <v>41751</v>
      </c>
      <c r="P407" s="4">
        <v>1.3803000000000001</v>
      </c>
      <c r="Q407" s="14"/>
    </row>
    <row r="408" spans="9:17" x14ac:dyDescent="0.75">
      <c r="I408" s="14">
        <v>41731</v>
      </c>
      <c r="J408" s="4">
        <v>21.725000000000001</v>
      </c>
      <c r="K408" s="14">
        <v>41731</v>
      </c>
      <c r="L408" s="4">
        <v>123.03</v>
      </c>
      <c r="M408" s="14">
        <v>41730</v>
      </c>
      <c r="N408" s="4">
        <v>1237.6400000000001</v>
      </c>
      <c r="O408" s="14">
        <v>41750</v>
      </c>
      <c r="P408" s="4">
        <v>1.3791</v>
      </c>
      <c r="Q408" s="14"/>
    </row>
    <row r="409" spans="9:17" x14ac:dyDescent="0.75">
      <c r="I409" s="14">
        <v>41730</v>
      </c>
      <c r="J409" s="4">
        <v>21.96</v>
      </c>
      <c r="K409" s="14">
        <v>41730</v>
      </c>
      <c r="L409" s="4">
        <v>122.19</v>
      </c>
      <c r="M409" s="14">
        <v>41729</v>
      </c>
      <c r="N409" s="4">
        <v>1232.145</v>
      </c>
      <c r="O409" s="14">
        <v>41747</v>
      </c>
      <c r="P409" s="4">
        <v>1.3813</v>
      </c>
      <c r="Q409" s="14"/>
    </row>
    <row r="410" spans="9:17" x14ac:dyDescent="0.75">
      <c r="I410" s="14">
        <v>41729</v>
      </c>
      <c r="J410" s="4">
        <v>21.715</v>
      </c>
      <c r="K410" s="14">
        <v>41729</v>
      </c>
      <c r="L410" s="4">
        <v>121.8</v>
      </c>
      <c r="M410" s="14">
        <v>41726</v>
      </c>
      <c r="N410" s="4">
        <v>1241.5999999999999</v>
      </c>
      <c r="O410" s="14">
        <v>41746</v>
      </c>
      <c r="P410" s="4">
        <v>1.3814</v>
      </c>
      <c r="Q410" s="14"/>
    </row>
    <row r="411" spans="9:17" x14ac:dyDescent="0.75">
      <c r="I411" s="14">
        <v>41726</v>
      </c>
      <c r="J411" s="4">
        <v>21.54</v>
      </c>
      <c r="K411" s="14">
        <v>41726</v>
      </c>
      <c r="L411" s="4">
        <v>121.55</v>
      </c>
      <c r="M411" s="14">
        <v>41725</v>
      </c>
      <c r="N411" s="4">
        <v>1236.4749999999999</v>
      </c>
      <c r="O411" s="14">
        <v>41745</v>
      </c>
      <c r="P411" s="4">
        <v>1.3814</v>
      </c>
      <c r="Q411" s="14"/>
    </row>
    <row r="412" spans="9:17" x14ac:dyDescent="0.75">
      <c r="I412" s="14">
        <v>41725</v>
      </c>
      <c r="J412" s="4">
        <v>21.204999999999998</v>
      </c>
      <c r="K412" s="14">
        <v>41725</v>
      </c>
      <c r="L412" s="4">
        <v>120.53</v>
      </c>
      <c r="M412" s="14">
        <v>41724</v>
      </c>
      <c r="N412" s="4">
        <v>1227.78</v>
      </c>
      <c r="O412" s="14">
        <v>41744</v>
      </c>
      <c r="P412" s="4">
        <v>1.3812</v>
      </c>
      <c r="Q412" s="14"/>
    </row>
    <row r="413" spans="9:17" x14ac:dyDescent="0.75">
      <c r="I413" s="14">
        <v>41724</v>
      </c>
      <c r="J413" s="4">
        <v>21.125</v>
      </c>
      <c r="K413" s="14">
        <v>41724</v>
      </c>
      <c r="L413" s="4">
        <v>121.01</v>
      </c>
      <c r="M413" s="14">
        <v>41723</v>
      </c>
      <c r="N413" s="4">
        <v>1231.3150000000001</v>
      </c>
      <c r="O413" s="14">
        <v>41743</v>
      </c>
      <c r="P413" s="4">
        <v>1.3817999999999999</v>
      </c>
      <c r="Q413" s="14"/>
    </row>
    <row r="414" spans="9:17" x14ac:dyDescent="0.75">
      <c r="I414" s="14">
        <v>41723</v>
      </c>
      <c r="J414" s="4">
        <v>20.87</v>
      </c>
      <c r="K414" s="14">
        <v>41723</v>
      </c>
      <c r="L414" s="4">
        <v>120.24</v>
      </c>
      <c r="M414" s="14">
        <v>41722</v>
      </c>
      <c r="N414" s="4">
        <v>1225.0999999999999</v>
      </c>
      <c r="O414" s="14">
        <v>41740</v>
      </c>
      <c r="P414" s="4">
        <v>1.3883000000000001</v>
      </c>
      <c r="Q414" s="14"/>
    </row>
    <row r="415" spans="9:17" x14ac:dyDescent="0.75">
      <c r="I415" s="14">
        <v>41722</v>
      </c>
      <c r="J415" s="4">
        <v>20.68</v>
      </c>
      <c r="K415" s="14">
        <v>41722</v>
      </c>
      <c r="L415" s="4">
        <v>119.32</v>
      </c>
      <c r="M415" s="14">
        <v>41719</v>
      </c>
      <c r="N415" s="4">
        <v>1224.2449999999999</v>
      </c>
      <c r="O415" s="14">
        <v>41739</v>
      </c>
      <c r="P415" s="4">
        <v>1.3887</v>
      </c>
      <c r="Q415" s="14"/>
    </row>
    <row r="416" spans="9:17" x14ac:dyDescent="0.75">
      <c r="I416" s="14">
        <v>41719</v>
      </c>
      <c r="J416" s="4">
        <v>20.995000000000001</v>
      </c>
      <c r="K416" s="14">
        <v>41719</v>
      </c>
      <c r="L416" s="4">
        <v>120.67</v>
      </c>
      <c r="M416" s="14">
        <v>41718</v>
      </c>
      <c r="N416" s="4">
        <v>1219.32</v>
      </c>
      <c r="O416" s="14">
        <v>41738</v>
      </c>
      <c r="P416" s="4">
        <v>1.3855</v>
      </c>
      <c r="Q416" s="14"/>
    </row>
    <row r="417" spans="9:17" x14ac:dyDescent="0.75">
      <c r="I417" s="14">
        <v>41718</v>
      </c>
      <c r="J417" s="4">
        <v>21.135000000000002</v>
      </c>
      <c r="K417" s="14">
        <v>41718</v>
      </c>
      <c r="L417" s="4">
        <v>120.38</v>
      </c>
      <c r="M417" s="14">
        <v>41717</v>
      </c>
      <c r="N417" s="4">
        <v>1229.0250000000001</v>
      </c>
      <c r="O417" s="14">
        <v>41737</v>
      </c>
      <c r="P417" s="4">
        <v>1.3794</v>
      </c>
      <c r="Q417" s="14"/>
    </row>
    <row r="418" spans="9:17" x14ac:dyDescent="0.75">
      <c r="I418" s="14">
        <v>41717</v>
      </c>
      <c r="J418" s="4">
        <v>21.035</v>
      </c>
      <c r="K418" s="14">
        <v>41717</v>
      </c>
      <c r="L418" s="4">
        <v>119.87</v>
      </c>
      <c r="M418" s="14">
        <v>41716</v>
      </c>
      <c r="N418" s="4">
        <v>1230.4100000000001</v>
      </c>
      <c r="O418" s="14">
        <v>41736</v>
      </c>
      <c r="P418" s="4">
        <v>1.3740000000000001</v>
      </c>
      <c r="Q418" s="14"/>
    </row>
    <row r="419" spans="9:17" x14ac:dyDescent="0.75">
      <c r="I419" s="14">
        <v>41716</v>
      </c>
      <c r="J419" s="4">
        <v>21.065000000000001</v>
      </c>
      <c r="K419" s="14">
        <v>41716</v>
      </c>
      <c r="L419" s="4">
        <v>119.81</v>
      </c>
      <c r="M419" s="14">
        <v>41715</v>
      </c>
      <c r="N419" s="4">
        <v>1225.175</v>
      </c>
      <c r="O419" s="14">
        <v>41733</v>
      </c>
      <c r="P419" s="4">
        <v>1.3702000000000001</v>
      </c>
      <c r="Q419" s="14"/>
    </row>
    <row r="420" spans="9:17" x14ac:dyDescent="0.75">
      <c r="I420" s="14">
        <v>41715</v>
      </c>
      <c r="J420" s="4">
        <v>20.855</v>
      </c>
      <c r="K420" s="14">
        <v>41715</v>
      </c>
      <c r="L420" s="4">
        <v>119.26</v>
      </c>
      <c r="M420" s="14">
        <v>41712</v>
      </c>
      <c r="N420" s="4">
        <v>1228.9449999999999</v>
      </c>
      <c r="O420" s="14">
        <v>41732</v>
      </c>
      <c r="P420" s="4">
        <v>1.3717999999999999</v>
      </c>
      <c r="Q420" s="14"/>
    </row>
    <row r="421" spans="9:17" x14ac:dyDescent="0.75">
      <c r="I421" s="14">
        <v>41712</v>
      </c>
      <c r="J421" s="4">
        <v>20.385000000000002</v>
      </c>
      <c r="K421" s="14">
        <v>41712</v>
      </c>
      <c r="L421" s="4">
        <v>118.24</v>
      </c>
      <c r="M421" s="14">
        <v>41711</v>
      </c>
      <c r="N421" s="4">
        <v>1227.2149999999999</v>
      </c>
      <c r="O421" s="14">
        <v>41731</v>
      </c>
      <c r="P421" s="4">
        <v>1.3766</v>
      </c>
      <c r="Q421" s="14"/>
    </row>
    <row r="422" spans="9:17" x14ac:dyDescent="0.75">
      <c r="I422" s="14">
        <v>41711</v>
      </c>
      <c r="J422" s="4">
        <v>20.614999999999998</v>
      </c>
      <c r="K422" s="14">
        <v>41711</v>
      </c>
      <c r="L422" s="4">
        <v>118.88</v>
      </c>
      <c r="M422" s="14">
        <v>41710</v>
      </c>
      <c r="N422" s="4">
        <v>1229.8399999999999</v>
      </c>
      <c r="O422" s="14">
        <v>41730</v>
      </c>
      <c r="P422" s="4">
        <v>1.3792</v>
      </c>
      <c r="Q422" s="14"/>
    </row>
    <row r="423" spans="9:17" x14ac:dyDescent="0.75">
      <c r="I423" s="14">
        <v>41710</v>
      </c>
      <c r="J423" s="4">
        <v>20.805</v>
      </c>
      <c r="K423" s="14">
        <v>41710</v>
      </c>
      <c r="L423" s="4">
        <v>119.84</v>
      </c>
      <c r="M423" s="14">
        <v>41709</v>
      </c>
      <c r="N423" s="4">
        <v>1232.9000000000001</v>
      </c>
      <c r="O423" s="14">
        <v>41729</v>
      </c>
      <c r="P423" s="4">
        <v>1.377</v>
      </c>
      <c r="Q423" s="14"/>
    </row>
    <row r="424" spans="9:17" x14ac:dyDescent="0.75">
      <c r="I424" s="14">
        <v>41709</v>
      </c>
      <c r="J424" s="4">
        <v>20.87</v>
      </c>
      <c r="K424" s="14">
        <v>41709</v>
      </c>
      <c r="L424" s="4">
        <v>120.78</v>
      </c>
      <c r="M424" s="14">
        <v>41708</v>
      </c>
      <c r="N424" s="4">
        <v>1241.42</v>
      </c>
      <c r="O424" s="14">
        <v>41726</v>
      </c>
      <c r="P424" s="4">
        <v>1.3752</v>
      </c>
      <c r="Q424" s="14"/>
    </row>
    <row r="425" spans="9:17" x14ac:dyDescent="0.75">
      <c r="I425" s="14">
        <v>41708</v>
      </c>
      <c r="J425" s="4">
        <v>20.805</v>
      </c>
      <c r="K425" s="14">
        <v>41708</v>
      </c>
      <c r="L425" s="4">
        <v>120.84</v>
      </c>
      <c r="M425" s="14">
        <v>41705</v>
      </c>
      <c r="N425" s="4">
        <v>1246.355</v>
      </c>
      <c r="O425" s="14">
        <v>41725</v>
      </c>
      <c r="P425" s="4">
        <v>1.3738999999999999</v>
      </c>
      <c r="Q425" s="14"/>
    </row>
    <row r="426" spans="9:17" x14ac:dyDescent="0.75">
      <c r="I426" s="14">
        <v>41705</v>
      </c>
      <c r="J426" s="4">
        <v>20.67</v>
      </c>
      <c r="K426" s="14">
        <v>41705</v>
      </c>
      <c r="L426" s="4">
        <v>121.25</v>
      </c>
      <c r="M426" s="14">
        <v>41704</v>
      </c>
      <c r="N426" s="4">
        <v>1247.675</v>
      </c>
      <c r="O426" s="14">
        <v>41724</v>
      </c>
      <c r="P426" s="4">
        <v>1.3781000000000001</v>
      </c>
      <c r="Q426" s="14"/>
    </row>
    <row r="427" spans="9:17" x14ac:dyDescent="0.75">
      <c r="I427" s="14">
        <v>41704</v>
      </c>
      <c r="J427" s="4">
        <v>20.855</v>
      </c>
      <c r="K427" s="14">
        <v>41704</v>
      </c>
      <c r="L427" s="4">
        <v>122.3</v>
      </c>
      <c r="M427" s="14">
        <v>41703</v>
      </c>
      <c r="N427" s="4">
        <v>1244.52</v>
      </c>
      <c r="O427" s="14">
        <v>41723</v>
      </c>
      <c r="P427" s="4">
        <v>1.3825000000000001</v>
      </c>
      <c r="Q427" s="14"/>
    </row>
    <row r="428" spans="9:17" x14ac:dyDescent="0.75">
      <c r="I428" s="14">
        <v>41703</v>
      </c>
      <c r="J428" s="4">
        <v>20.774999999999999</v>
      </c>
      <c r="K428" s="14">
        <v>41703</v>
      </c>
      <c r="L428" s="4">
        <v>122.32</v>
      </c>
      <c r="M428" s="14">
        <v>41702</v>
      </c>
      <c r="N428" s="4">
        <v>1246.75</v>
      </c>
      <c r="O428" s="14">
        <v>41722</v>
      </c>
      <c r="P428" s="4">
        <v>1.3837999999999999</v>
      </c>
      <c r="Q428" s="14"/>
    </row>
    <row r="429" spans="9:17" x14ac:dyDescent="0.75">
      <c r="I429" s="14">
        <v>41702</v>
      </c>
      <c r="J429" s="4">
        <v>20.475000000000001</v>
      </c>
      <c r="K429" s="14">
        <v>41702</v>
      </c>
      <c r="L429" s="4">
        <v>122.28</v>
      </c>
      <c r="M429" s="14">
        <v>41701</v>
      </c>
      <c r="N429" s="4">
        <v>1247.7850000000001</v>
      </c>
      <c r="O429" s="14">
        <v>41719</v>
      </c>
      <c r="P429" s="4">
        <v>1.3791</v>
      </c>
      <c r="Q429" s="14"/>
    </row>
    <row r="430" spans="9:17" x14ac:dyDescent="0.75">
      <c r="I430" s="14">
        <v>41701</v>
      </c>
      <c r="J430" s="4">
        <v>19.795000000000002</v>
      </c>
      <c r="K430" s="14">
        <v>41701</v>
      </c>
      <c r="L430" s="4">
        <v>120.1</v>
      </c>
      <c r="M430" s="14">
        <v>41698</v>
      </c>
      <c r="N430" s="4">
        <v>1230.76</v>
      </c>
      <c r="O430" s="14">
        <v>41718</v>
      </c>
      <c r="P430" s="4">
        <v>1.3777999999999999</v>
      </c>
      <c r="Q430" s="14"/>
    </row>
    <row r="431" spans="9:17" x14ac:dyDescent="0.75">
      <c r="I431" s="14">
        <v>41698</v>
      </c>
      <c r="J431" s="4">
        <v>20.48</v>
      </c>
      <c r="K431" s="14">
        <v>41698</v>
      </c>
      <c r="L431" s="4">
        <v>121.72</v>
      </c>
      <c r="M431" s="14">
        <v>41697</v>
      </c>
      <c r="N431" s="4">
        <v>1233.78</v>
      </c>
      <c r="O431" s="14">
        <v>41717</v>
      </c>
      <c r="P431" s="4">
        <v>1.3832</v>
      </c>
      <c r="Q431" s="14"/>
    </row>
    <row r="432" spans="9:17" x14ac:dyDescent="0.75">
      <c r="I432" s="14">
        <v>41697</v>
      </c>
      <c r="J432" s="4">
        <v>20.350000000000001</v>
      </c>
      <c r="K432" s="14">
        <v>41697</v>
      </c>
      <c r="L432" s="4">
        <v>121.57</v>
      </c>
      <c r="M432" s="14">
        <v>41696</v>
      </c>
      <c r="N432" s="4">
        <v>1232.17</v>
      </c>
      <c r="O432" s="14">
        <v>41716</v>
      </c>
      <c r="P432" s="4">
        <v>1.3933</v>
      </c>
      <c r="Q432" s="14"/>
    </row>
    <row r="433" spans="9:17" x14ac:dyDescent="0.75">
      <c r="I433" s="14">
        <v>41696</v>
      </c>
      <c r="J433" s="4">
        <v>20.420000000000002</v>
      </c>
      <c r="K433" s="14">
        <v>41696</v>
      </c>
      <c r="L433" s="4">
        <v>122.03</v>
      </c>
      <c r="M433" s="14">
        <v>41695</v>
      </c>
      <c r="N433" s="4">
        <v>1233.33</v>
      </c>
      <c r="O433" s="14">
        <v>41715</v>
      </c>
      <c r="P433" s="4">
        <v>1.3919999999999999</v>
      </c>
      <c r="Q433" s="14"/>
    </row>
    <row r="434" spans="9:17" x14ac:dyDescent="0.75">
      <c r="I434" s="14">
        <v>41695</v>
      </c>
      <c r="J434" s="4">
        <v>20.51</v>
      </c>
      <c r="K434" s="14">
        <v>41695</v>
      </c>
      <c r="L434" s="4">
        <v>121.69</v>
      </c>
      <c r="M434" s="14">
        <v>41694</v>
      </c>
      <c r="N434" s="4">
        <v>1237.23</v>
      </c>
      <c r="O434" s="14">
        <v>41712</v>
      </c>
      <c r="P434" s="4">
        <v>1.3914</v>
      </c>
      <c r="Q434" s="14"/>
    </row>
    <row r="435" spans="9:17" x14ac:dyDescent="0.75">
      <c r="I435" s="14">
        <v>41694</v>
      </c>
      <c r="J435" s="4">
        <v>20.51</v>
      </c>
      <c r="K435" s="14">
        <v>41694</v>
      </c>
      <c r="L435" s="4">
        <v>121.98</v>
      </c>
      <c r="M435" s="14">
        <v>41691</v>
      </c>
      <c r="N435" s="4">
        <v>1228.6300000000001</v>
      </c>
      <c r="O435" s="14">
        <v>41711</v>
      </c>
      <c r="P435" s="4">
        <v>1.3868</v>
      </c>
      <c r="Q435" s="14"/>
    </row>
    <row r="436" spans="9:17" x14ac:dyDescent="0.75">
      <c r="I436" s="14">
        <v>41691</v>
      </c>
      <c r="J436" s="4">
        <v>20.425000000000001</v>
      </c>
      <c r="K436" s="14">
        <v>41691</v>
      </c>
      <c r="L436" s="4">
        <v>121.23</v>
      </c>
      <c r="M436" s="14">
        <v>41690</v>
      </c>
      <c r="N436" s="4">
        <v>1228.8800000000001</v>
      </c>
      <c r="O436" s="14">
        <v>41710</v>
      </c>
      <c r="P436" s="4">
        <v>1.3903000000000001</v>
      </c>
      <c r="Q436" s="14"/>
    </row>
    <row r="437" spans="9:17" x14ac:dyDescent="0.75">
      <c r="I437" s="14">
        <v>41690</v>
      </c>
      <c r="J437" s="4">
        <v>20.5</v>
      </c>
      <c r="K437" s="14">
        <v>41690</v>
      </c>
      <c r="L437" s="4">
        <v>120.79</v>
      </c>
      <c r="M437" s="14">
        <v>41689</v>
      </c>
      <c r="N437" s="4">
        <v>1232.5</v>
      </c>
      <c r="O437" s="14">
        <v>41709</v>
      </c>
      <c r="P437" s="4">
        <v>1.3858999999999999</v>
      </c>
      <c r="Q437" s="14"/>
    </row>
    <row r="438" spans="9:17" x14ac:dyDescent="0.75">
      <c r="I438" s="14">
        <v>41689</v>
      </c>
      <c r="J438" s="4">
        <v>20.465</v>
      </c>
      <c r="K438" s="14">
        <v>41689</v>
      </c>
      <c r="L438" s="4">
        <v>120.96</v>
      </c>
      <c r="M438" s="14">
        <v>41688</v>
      </c>
      <c r="N438" s="4">
        <v>1226.7650000000001</v>
      </c>
      <c r="O438" s="14">
        <v>41708</v>
      </c>
      <c r="P438" s="4">
        <v>1.3875999999999999</v>
      </c>
      <c r="Q438" s="14"/>
    </row>
    <row r="439" spans="9:17" x14ac:dyDescent="0.75">
      <c r="I439" s="14">
        <v>41688</v>
      </c>
      <c r="J439" s="4">
        <v>20.495000000000001</v>
      </c>
      <c r="K439" s="14">
        <v>41688</v>
      </c>
      <c r="L439" s="4">
        <v>120.74</v>
      </c>
      <c r="M439" s="14">
        <v>41687</v>
      </c>
      <c r="N439" s="4">
        <v>1214.69</v>
      </c>
      <c r="O439" s="14">
        <v>41705</v>
      </c>
      <c r="P439" s="4">
        <v>1.3875999999999999</v>
      </c>
      <c r="Q439" s="14"/>
    </row>
    <row r="440" spans="9:17" x14ac:dyDescent="0.75">
      <c r="I440" s="14">
        <v>41687</v>
      </c>
      <c r="J440" s="4">
        <v>20.51</v>
      </c>
      <c r="K440" s="14">
        <v>41687</v>
      </c>
      <c r="L440" s="4">
        <v>120.7</v>
      </c>
      <c r="M440" s="14">
        <v>41684</v>
      </c>
      <c r="N440" s="4">
        <v>1209.5</v>
      </c>
      <c r="O440" s="14">
        <v>41704</v>
      </c>
      <c r="P440" s="4">
        <v>1.3857999999999999</v>
      </c>
      <c r="Q440" s="14"/>
    </row>
    <row r="441" spans="9:17" x14ac:dyDescent="0.75">
      <c r="I441" s="14">
        <v>41684</v>
      </c>
      <c r="J441" s="4">
        <v>20.484999999999999</v>
      </c>
      <c r="K441" s="14">
        <v>41684</v>
      </c>
      <c r="L441" s="4">
        <v>120.46</v>
      </c>
      <c r="M441" s="14">
        <v>41683</v>
      </c>
      <c r="N441" s="4">
        <v>1205.5250000000001</v>
      </c>
      <c r="O441" s="14">
        <v>41703</v>
      </c>
      <c r="P441" s="4">
        <v>1.3732</v>
      </c>
      <c r="Q441" s="14"/>
    </row>
    <row r="442" spans="9:17" x14ac:dyDescent="0.75">
      <c r="I442" s="14">
        <v>41683</v>
      </c>
      <c r="J442" s="4">
        <v>20.13</v>
      </c>
      <c r="K442" s="14">
        <v>41683</v>
      </c>
      <c r="L442" s="4">
        <v>120.03</v>
      </c>
      <c r="M442" s="14">
        <v>41682</v>
      </c>
      <c r="N442" s="4">
        <v>1207.22</v>
      </c>
      <c r="O442" s="14">
        <v>41702</v>
      </c>
      <c r="P442" s="4">
        <v>1.3742000000000001</v>
      </c>
      <c r="Q442" s="14"/>
    </row>
    <row r="443" spans="9:17" x14ac:dyDescent="0.75">
      <c r="I443" s="14">
        <v>41682</v>
      </c>
      <c r="J443" s="4">
        <v>20.175000000000001</v>
      </c>
      <c r="K443" s="14">
        <v>41682</v>
      </c>
      <c r="L443" s="4">
        <v>120.44</v>
      </c>
      <c r="M443" s="14">
        <v>41681</v>
      </c>
      <c r="N443" s="4">
        <v>1198.25</v>
      </c>
      <c r="O443" s="14">
        <v>41701</v>
      </c>
      <c r="P443" s="4">
        <v>1.3734</v>
      </c>
      <c r="Q443" s="14"/>
    </row>
    <row r="444" spans="9:17" x14ac:dyDescent="0.75">
      <c r="I444" s="14">
        <v>41681</v>
      </c>
      <c r="J444" s="4">
        <v>19.93</v>
      </c>
      <c r="K444" s="14">
        <v>41681</v>
      </c>
      <c r="L444" s="4">
        <v>119.46</v>
      </c>
      <c r="M444" s="14">
        <v>41680</v>
      </c>
      <c r="N444" s="4">
        <v>1197.71</v>
      </c>
      <c r="O444" s="14">
        <v>41698</v>
      </c>
      <c r="P444" s="4">
        <v>1.3802000000000001</v>
      </c>
      <c r="Q444" s="14"/>
    </row>
    <row r="445" spans="9:17" x14ac:dyDescent="0.75">
      <c r="I445" s="14">
        <v>41680</v>
      </c>
      <c r="J445" s="4">
        <v>19.72</v>
      </c>
      <c r="K445" s="14">
        <v>41680</v>
      </c>
      <c r="L445" s="4">
        <v>118.25</v>
      </c>
      <c r="M445" s="14">
        <v>41677</v>
      </c>
      <c r="N445" s="4">
        <v>1196.385</v>
      </c>
      <c r="O445" s="14">
        <v>41697</v>
      </c>
      <c r="P445" s="4">
        <v>1.3708</v>
      </c>
      <c r="Q445" s="14"/>
    </row>
    <row r="446" spans="9:17" x14ac:dyDescent="0.75">
      <c r="I446" s="14">
        <v>41677</v>
      </c>
      <c r="J446" s="4">
        <v>19.72</v>
      </c>
      <c r="K446" s="14">
        <v>41677</v>
      </c>
      <c r="L446" s="4">
        <v>118.1</v>
      </c>
      <c r="M446" s="14">
        <v>41676</v>
      </c>
      <c r="N446" s="4">
        <v>1191.595</v>
      </c>
      <c r="O446" s="14">
        <v>41696</v>
      </c>
      <c r="P446" s="4">
        <v>1.3687</v>
      </c>
      <c r="Q446" s="14"/>
    </row>
    <row r="447" spans="9:17" x14ac:dyDescent="0.75">
      <c r="I447" s="14">
        <v>41676</v>
      </c>
      <c r="J447" s="4">
        <v>19.55</v>
      </c>
      <c r="K447" s="14">
        <v>41676</v>
      </c>
      <c r="L447" s="4">
        <v>117.1</v>
      </c>
      <c r="M447" s="14">
        <v>41675</v>
      </c>
      <c r="N447" s="4">
        <v>1182.43</v>
      </c>
      <c r="O447" s="14">
        <v>41695</v>
      </c>
      <c r="P447" s="4">
        <v>1.3745000000000001</v>
      </c>
      <c r="Q447" s="14"/>
    </row>
    <row r="448" spans="9:17" x14ac:dyDescent="0.75">
      <c r="I448" s="14">
        <v>41675</v>
      </c>
      <c r="J448" s="4">
        <v>19.105</v>
      </c>
      <c r="K448" s="14">
        <v>41675</v>
      </c>
      <c r="L448" s="4">
        <v>115.79</v>
      </c>
      <c r="M448" s="14">
        <v>41674</v>
      </c>
      <c r="N448" s="4">
        <v>1181.6600000000001</v>
      </c>
      <c r="O448" s="14">
        <v>41694</v>
      </c>
      <c r="P448" s="4">
        <v>1.3734</v>
      </c>
      <c r="Q448" s="14"/>
    </row>
    <row r="449" spans="9:17" x14ac:dyDescent="0.75">
      <c r="I449" s="14">
        <v>41674</v>
      </c>
      <c r="J449" s="4">
        <v>19.05</v>
      </c>
      <c r="K449" s="14">
        <v>41674</v>
      </c>
      <c r="L449" s="4">
        <v>116.05</v>
      </c>
      <c r="M449" s="14">
        <v>41673</v>
      </c>
      <c r="N449" s="4">
        <v>1171.895</v>
      </c>
      <c r="O449" s="14">
        <v>41691</v>
      </c>
      <c r="P449" s="4">
        <v>1.3736999999999999</v>
      </c>
      <c r="Q449" s="14"/>
    </row>
    <row r="450" spans="9:17" x14ac:dyDescent="0.75">
      <c r="I450" s="14">
        <v>41673</v>
      </c>
      <c r="J450" s="4">
        <v>18.954999999999998</v>
      </c>
      <c r="K450" s="14">
        <v>41673</v>
      </c>
      <c r="L450" s="4">
        <v>116.34</v>
      </c>
      <c r="M450" s="14">
        <v>41670</v>
      </c>
      <c r="N450" s="4">
        <v>1173.405</v>
      </c>
      <c r="O450" s="14">
        <v>41690</v>
      </c>
      <c r="P450" s="4">
        <v>1.3717999999999999</v>
      </c>
      <c r="Q450" s="14"/>
    </row>
    <row r="451" spans="9:17" x14ac:dyDescent="0.75">
      <c r="I451" s="14">
        <v>41670</v>
      </c>
      <c r="J451" s="4">
        <v>19.46</v>
      </c>
      <c r="K451" s="14">
        <v>41670</v>
      </c>
      <c r="L451" s="4">
        <v>118.28</v>
      </c>
      <c r="M451" s="14">
        <v>41669</v>
      </c>
      <c r="N451" s="4">
        <v>1176.6949999999999</v>
      </c>
      <c r="O451" s="14">
        <v>41689</v>
      </c>
      <c r="P451" s="4">
        <v>1.3732</v>
      </c>
      <c r="Q451" s="14"/>
    </row>
    <row r="452" spans="9:17" x14ac:dyDescent="0.75">
      <c r="I452" s="14">
        <v>41669</v>
      </c>
      <c r="J452" s="4">
        <v>19.465</v>
      </c>
      <c r="K452" s="14">
        <v>41669</v>
      </c>
      <c r="L452" s="4">
        <v>118.5</v>
      </c>
      <c r="M452" s="14">
        <v>41668</v>
      </c>
      <c r="N452" s="4">
        <v>1176.05</v>
      </c>
      <c r="O452" s="14">
        <v>41688</v>
      </c>
      <c r="P452" s="4">
        <v>1.3756999999999999</v>
      </c>
      <c r="Q452" s="14"/>
    </row>
    <row r="453" spans="9:17" x14ac:dyDescent="0.75">
      <c r="I453" s="14">
        <v>41668</v>
      </c>
      <c r="J453" s="4">
        <v>19.364999999999998</v>
      </c>
      <c r="K453" s="14">
        <v>41668</v>
      </c>
      <c r="L453" s="4">
        <v>117.39</v>
      </c>
      <c r="M453" s="14">
        <v>41667</v>
      </c>
      <c r="N453" s="4">
        <v>1179.24</v>
      </c>
      <c r="O453" s="14">
        <v>41687</v>
      </c>
      <c r="P453" s="4">
        <v>1.3706</v>
      </c>
      <c r="Q453" s="14"/>
    </row>
    <row r="454" spans="9:17" x14ac:dyDescent="0.75">
      <c r="I454" s="14">
        <v>41667</v>
      </c>
      <c r="J454" s="4">
        <v>19.48</v>
      </c>
      <c r="K454" s="14">
        <v>41667</v>
      </c>
      <c r="L454" s="4">
        <v>117.64</v>
      </c>
      <c r="M454" s="14">
        <v>41666</v>
      </c>
      <c r="N454" s="4">
        <v>1175.5250000000001</v>
      </c>
      <c r="O454" s="14">
        <v>41684</v>
      </c>
      <c r="P454" s="4">
        <v>1.369</v>
      </c>
      <c r="Q454" s="14"/>
    </row>
    <row r="455" spans="9:17" x14ac:dyDescent="0.75">
      <c r="I455" s="14">
        <v>41666</v>
      </c>
      <c r="J455" s="4">
        <v>19.27</v>
      </c>
      <c r="K455" s="14">
        <v>41666</v>
      </c>
      <c r="L455" s="4">
        <v>117.13</v>
      </c>
      <c r="M455" s="14">
        <v>41663</v>
      </c>
      <c r="N455" s="4">
        <v>1179.6849999999999</v>
      </c>
      <c r="O455" s="14">
        <v>41683</v>
      </c>
      <c r="P455" s="4">
        <v>1.3678999999999999</v>
      </c>
      <c r="Q455" s="14"/>
    </row>
    <row r="456" spans="9:17" x14ac:dyDescent="0.75">
      <c r="I456" s="14">
        <v>41663</v>
      </c>
      <c r="J456" s="4">
        <v>19.399999999999999</v>
      </c>
      <c r="K456" s="14">
        <v>41663</v>
      </c>
      <c r="L456" s="4">
        <v>118.2</v>
      </c>
      <c r="M456" s="14">
        <v>41662</v>
      </c>
      <c r="N456" s="4">
        <v>1185.9100000000001</v>
      </c>
      <c r="O456" s="14">
        <v>41682</v>
      </c>
      <c r="P456" s="4">
        <v>1.3592</v>
      </c>
      <c r="Q456" s="14"/>
    </row>
    <row r="457" spans="9:17" x14ac:dyDescent="0.75">
      <c r="I457" s="14">
        <v>41662</v>
      </c>
      <c r="J457" s="4">
        <v>19.875</v>
      </c>
      <c r="K457" s="14">
        <v>41662</v>
      </c>
      <c r="L457" s="4">
        <v>120.44</v>
      </c>
      <c r="M457" s="14">
        <v>41661</v>
      </c>
      <c r="N457" s="4">
        <v>1183.675</v>
      </c>
      <c r="O457" s="14">
        <v>41681</v>
      </c>
      <c r="P457" s="4">
        <v>1.3635999999999999</v>
      </c>
      <c r="Q457" s="14"/>
    </row>
    <row r="458" spans="9:17" x14ac:dyDescent="0.75">
      <c r="I458" s="14">
        <v>41661</v>
      </c>
      <c r="J458" s="4">
        <v>20.004999999999999</v>
      </c>
      <c r="K458" s="14">
        <v>41661</v>
      </c>
      <c r="L458" s="4">
        <v>122.3</v>
      </c>
      <c r="M458" s="14">
        <v>41660</v>
      </c>
      <c r="N458" s="4">
        <v>1182.04</v>
      </c>
      <c r="O458" s="14">
        <v>41680</v>
      </c>
      <c r="P458" s="4">
        <v>1.3644000000000001</v>
      </c>
      <c r="Q458" s="14"/>
    </row>
    <row r="459" spans="9:17" x14ac:dyDescent="0.75">
      <c r="I459" s="14">
        <v>41660</v>
      </c>
      <c r="J459" s="4">
        <v>20.024999999999999</v>
      </c>
      <c r="K459" s="14">
        <v>41660</v>
      </c>
      <c r="L459" s="4">
        <v>122.04</v>
      </c>
      <c r="M459" s="14">
        <v>41659</v>
      </c>
      <c r="N459" s="4">
        <v>1179.115</v>
      </c>
      <c r="O459" s="14">
        <v>41677</v>
      </c>
      <c r="P459" s="4">
        <v>1.3633</v>
      </c>
      <c r="Q459" s="14"/>
    </row>
    <row r="460" spans="9:17" x14ac:dyDescent="0.75">
      <c r="I460" s="14">
        <v>41659</v>
      </c>
      <c r="J460" s="4">
        <v>20.02</v>
      </c>
      <c r="K460" s="14">
        <v>41659</v>
      </c>
      <c r="L460" s="4">
        <v>122.33</v>
      </c>
      <c r="M460" s="14">
        <v>41656</v>
      </c>
      <c r="N460" s="4">
        <v>1183.2950000000001</v>
      </c>
      <c r="O460" s="14">
        <v>41676</v>
      </c>
      <c r="P460" s="4">
        <v>1.3588</v>
      </c>
      <c r="Q460" s="14"/>
    </row>
    <row r="461" spans="9:17" x14ac:dyDescent="0.75">
      <c r="I461" s="14">
        <v>41656</v>
      </c>
      <c r="J461" s="4">
        <v>20.010000000000002</v>
      </c>
      <c r="K461" s="14">
        <v>41656</v>
      </c>
      <c r="L461" s="4">
        <v>122.4</v>
      </c>
      <c r="M461" s="14">
        <v>41655</v>
      </c>
      <c r="N461" s="4">
        <v>1182.9449999999999</v>
      </c>
      <c r="O461" s="14">
        <v>41675</v>
      </c>
      <c r="P461" s="4">
        <v>1.3532</v>
      </c>
      <c r="Q461" s="14"/>
    </row>
    <row r="462" spans="9:17" x14ac:dyDescent="0.75">
      <c r="I462" s="14">
        <v>41655</v>
      </c>
      <c r="J462" s="4">
        <v>19.945</v>
      </c>
      <c r="K462" s="14">
        <v>41655</v>
      </c>
      <c r="L462" s="4">
        <v>121.66</v>
      </c>
      <c r="M462" s="14">
        <v>41654</v>
      </c>
      <c r="N462" s="4">
        <v>1183.7950000000001</v>
      </c>
      <c r="O462" s="14">
        <v>41674</v>
      </c>
      <c r="P462" s="4">
        <v>1.3517999999999999</v>
      </c>
      <c r="Q462" s="14"/>
    </row>
    <row r="463" spans="9:17" x14ac:dyDescent="0.75">
      <c r="I463" s="14">
        <v>41654</v>
      </c>
      <c r="J463" s="4">
        <v>20.074999999999999</v>
      </c>
      <c r="K463" s="14">
        <v>41654</v>
      </c>
      <c r="L463" s="4">
        <v>122.08</v>
      </c>
      <c r="M463" s="14">
        <v>41653</v>
      </c>
      <c r="N463" s="4">
        <v>1174.74</v>
      </c>
      <c r="O463" s="14">
        <v>41673</v>
      </c>
      <c r="P463" s="4">
        <v>1.3524</v>
      </c>
      <c r="Q463" s="14"/>
    </row>
    <row r="464" spans="9:17" x14ac:dyDescent="0.75">
      <c r="I464" s="14">
        <v>41653</v>
      </c>
      <c r="J464" s="4">
        <v>19.77</v>
      </c>
      <c r="K464" s="14">
        <v>41653</v>
      </c>
      <c r="L464" s="4">
        <v>120.51</v>
      </c>
      <c r="M464" s="14">
        <v>41652</v>
      </c>
      <c r="N464" s="4">
        <v>1176.835</v>
      </c>
      <c r="O464" s="14">
        <v>41670</v>
      </c>
      <c r="P464" s="4">
        <v>1.3485</v>
      </c>
      <c r="Q464" s="14"/>
    </row>
    <row r="465" spans="9:17" x14ac:dyDescent="0.75">
      <c r="I465" s="14">
        <v>41652</v>
      </c>
      <c r="J465" s="4">
        <v>19.745000000000001</v>
      </c>
      <c r="K465" s="14">
        <v>41652</v>
      </c>
      <c r="L465" s="4">
        <v>121.03</v>
      </c>
      <c r="M465" s="14">
        <v>41649</v>
      </c>
      <c r="N465" s="4">
        <v>1170.9349999999999</v>
      </c>
      <c r="O465" s="14">
        <v>41669</v>
      </c>
      <c r="P465" s="4">
        <v>1.3554999999999999</v>
      </c>
      <c r="Q465" s="14"/>
    </row>
    <row r="466" spans="9:17" x14ac:dyDescent="0.75">
      <c r="I466" s="14">
        <v>41649</v>
      </c>
      <c r="J466" s="4">
        <v>19.605</v>
      </c>
      <c r="K466" s="14">
        <v>41649</v>
      </c>
      <c r="L466" s="4">
        <v>120.52</v>
      </c>
      <c r="M466" s="14">
        <v>41648</v>
      </c>
      <c r="N466" s="4">
        <v>1167.29</v>
      </c>
      <c r="O466" s="14">
        <v>41668</v>
      </c>
      <c r="P466" s="4">
        <v>1.3662000000000001</v>
      </c>
      <c r="Q466" s="14"/>
    </row>
    <row r="467" spans="9:17" x14ac:dyDescent="0.75">
      <c r="I467" s="14">
        <v>41648</v>
      </c>
      <c r="J467" s="4">
        <v>19.545000000000002</v>
      </c>
      <c r="K467" s="14">
        <v>41648</v>
      </c>
      <c r="L467" s="4">
        <v>120.87</v>
      </c>
      <c r="M467" s="14">
        <v>41647</v>
      </c>
      <c r="N467" s="4">
        <v>1177.05</v>
      </c>
      <c r="O467" s="14">
        <v>41667</v>
      </c>
      <c r="P467" s="4">
        <v>1.3668</v>
      </c>
      <c r="Q467" s="14"/>
    </row>
    <row r="468" spans="9:17" x14ac:dyDescent="0.75">
      <c r="I468" s="14">
        <v>41647</v>
      </c>
      <c r="J468" s="4">
        <v>19.495000000000001</v>
      </c>
      <c r="K468" s="14">
        <v>41647</v>
      </c>
      <c r="L468" s="4">
        <v>121.24</v>
      </c>
      <c r="M468" s="14">
        <v>41646</v>
      </c>
      <c r="N468" s="4">
        <v>1185.3599999999999</v>
      </c>
      <c r="O468" s="14">
        <v>41666</v>
      </c>
      <c r="P468" s="4">
        <v>1.367</v>
      </c>
      <c r="Q468" s="14"/>
    </row>
    <row r="469" spans="9:17" x14ac:dyDescent="0.75">
      <c r="I469" s="14">
        <v>41646</v>
      </c>
      <c r="J469" s="4">
        <v>19.489999999999998</v>
      </c>
      <c r="K469" s="14">
        <v>41646</v>
      </c>
      <c r="L469" s="4">
        <v>121.08</v>
      </c>
      <c r="M469" s="14">
        <v>41645</v>
      </c>
      <c r="N469" s="4">
        <v>1183.7650000000001</v>
      </c>
      <c r="O469" s="14">
        <v>41663</v>
      </c>
      <c r="P469" s="4">
        <v>1.3674999999999999</v>
      </c>
      <c r="Q469" s="14"/>
    </row>
    <row r="470" spans="9:17" x14ac:dyDescent="0.75">
      <c r="I470" s="14">
        <v>41645</v>
      </c>
      <c r="J470" s="4">
        <v>19.245000000000001</v>
      </c>
      <c r="K470" s="14">
        <v>41645</v>
      </c>
      <c r="L470" s="4">
        <v>120.06</v>
      </c>
      <c r="M470" s="14">
        <v>41642</v>
      </c>
      <c r="N470" s="4">
        <v>1184.105</v>
      </c>
      <c r="O470" s="14">
        <v>41662</v>
      </c>
      <c r="P470" s="4">
        <v>1.3694</v>
      </c>
      <c r="Q470" s="14"/>
    </row>
    <row r="471" spans="9:17" x14ac:dyDescent="0.75">
      <c r="I471" s="14">
        <v>41642</v>
      </c>
      <c r="J471" s="4">
        <v>19.14</v>
      </c>
      <c r="K471" s="14">
        <v>41642</v>
      </c>
      <c r="L471" s="4">
        <v>120.76</v>
      </c>
      <c r="M471" s="14">
        <v>41641</v>
      </c>
      <c r="N471" s="4">
        <v>1192.5150000000001</v>
      </c>
      <c r="O471" s="14">
        <v>41661</v>
      </c>
      <c r="P471" s="4">
        <v>1.3546</v>
      </c>
      <c r="Q471" s="14"/>
    </row>
    <row r="472" spans="9:17" x14ac:dyDescent="0.75">
      <c r="I472" s="14">
        <v>41641</v>
      </c>
      <c r="J472" s="4">
        <v>18.95</v>
      </c>
      <c r="K472" s="14">
        <v>41641</v>
      </c>
      <c r="L472" s="4">
        <v>120.3</v>
      </c>
      <c r="M472" s="14">
        <v>41639</v>
      </c>
      <c r="N472" s="4">
        <v>1202.83</v>
      </c>
      <c r="O472" s="14">
        <v>41660</v>
      </c>
      <c r="P472" s="4">
        <v>1.3559000000000001</v>
      </c>
      <c r="Q472" s="14"/>
    </row>
    <row r="473" spans="9:17" x14ac:dyDescent="0.75">
      <c r="O473" s="14">
        <v>41659</v>
      </c>
      <c r="P473" s="4">
        <v>1.355</v>
      </c>
      <c r="Q473" s="14"/>
    </row>
    <row r="474" spans="9:17" x14ac:dyDescent="0.75">
      <c r="O474" s="14">
        <v>41656</v>
      </c>
      <c r="P474" s="4">
        <v>1.3539000000000001</v>
      </c>
      <c r="Q474" s="14"/>
    </row>
    <row r="475" spans="9:17" x14ac:dyDescent="0.75">
      <c r="O475" s="14">
        <v>41655</v>
      </c>
      <c r="P475" s="4">
        <v>1.3619000000000001</v>
      </c>
      <c r="Q475" s="14"/>
    </row>
    <row r="476" spans="9:17" x14ac:dyDescent="0.75">
      <c r="O476" s="14">
        <v>41654</v>
      </c>
      <c r="P476" s="4">
        <v>1.3603000000000001</v>
      </c>
      <c r="Q476" s="14"/>
    </row>
    <row r="477" spans="9:17" x14ac:dyDescent="0.75">
      <c r="O477" s="14">
        <v>41653</v>
      </c>
      <c r="P477" s="4">
        <v>1.3678999999999999</v>
      </c>
      <c r="Q477" s="14"/>
    </row>
    <row r="478" spans="9:17" x14ac:dyDescent="0.75">
      <c r="O478" s="14">
        <v>41652</v>
      </c>
      <c r="P478" s="4">
        <v>1.3671</v>
      </c>
      <c r="Q478" s="14"/>
    </row>
    <row r="479" spans="9:17" x14ac:dyDescent="0.75">
      <c r="O479" s="14">
        <v>41649</v>
      </c>
      <c r="P479" s="4">
        <v>1.3667</v>
      </c>
      <c r="Q479" s="14"/>
    </row>
    <row r="480" spans="9:17" x14ac:dyDescent="0.75">
      <c r="O480" s="14">
        <v>41648</v>
      </c>
      <c r="P480" s="4">
        <v>1.3606</v>
      </c>
      <c r="Q480" s="14"/>
    </row>
    <row r="481" spans="15:17" x14ac:dyDescent="0.75">
      <c r="O481" s="14">
        <v>41647</v>
      </c>
      <c r="P481" s="4">
        <v>1.3573999999999999</v>
      </c>
      <c r="Q481" s="14"/>
    </row>
    <row r="482" spans="15:17" x14ac:dyDescent="0.75">
      <c r="O482" s="14">
        <v>41646</v>
      </c>
      <c r="P482" s="4">
        <v>1.3614999999999999</v>
      </c>
      <c r="Q482" s="14"/>
    </row>
    <row r="483" spans="15:17" x14ac:dyDescent="0.75">
      <c r="O483" s="14">
        <v>41645</v>
      </c>
      <c r="P483" s="4">
        <v>1.3627</v>
      </c>
    </row>
    <row r="484" spans="15:17" x14ac:dyDescent="0.75">
      <c r="O484" s="14">
        <v>41642</v>
      </c>
      <c r="P484" s="4">
        <v>1.3587</v>
      </c>
    </row>
    <row r="485" spans="15:17" x14ac:dyDescent="0.75">
      <c r="O485" s="14">
        <v>41641</v>
      </c>
      <c r="P485" s="4">
        <v>1.367</v>
      </c>
    </row>
    <row r="486" spans="15:17" x14ac:dyDescent="0.75">
      <c r="O486" s="14">
        <v>41640</v>
      </c>
      <c r="P486" s="4">
        <v>1.3752</v>
      </c>
    </row>
    <row r="487" spans="15:17" x14ac:dyDescent="0.75">
      <c r="O487" s="14">
        <v>41639</v>
      </c>
      <c r="P487" s="4">
        <v>1.3745000000000001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2"/>
  <sheetViews>
    <sheetView workbookViewId="0">
      <selection activeCell="H5" sqref="H5"/>
    </sheetView>
  </sheetViews>
  <sheetFormatPr defaultColWidth="8.86328125" defaultRowHeight="14.75" x14ac:dyDescent="0.75"/>
  <cols>
    <col min="1" max="1" width="8.86328125" style="4"/>
    <col min="2" max="2" width="21.86328125" style="4" bestFit="1" customWidth="1"/>
    <col min="3" max="3" width="10.54296875" style="4" bestFit="1" customWidth="1"/>
    <col min="4" max="4" width="12" style="4" bestFit="1" customWidth="1"/>
    <col min="5" max="5" width="10.54296875" style="4" bestFit="1" customWidth="1"/>
    <col min="6" max="7" width="8.86328125" style="4"/>
    <col min="8" max="8" width="10.54296875" style="4" bestFit="1" customWidth="1"/>
    <col min="9" max="16384" width="8.86328125" style="4"/>
  </cols>
  <sheetData>
    <row r="1" spans="1:9" ht="15.5" thickBot="1" x14ac:dyDescent="0.9"/>
    <row r="2" spans="1:9" ht="15.5" thickBot="1" x14ac:dyDescent="0.9">
      <c r="A2" s="27" t="s">
        <v>202</v>
      </c>
      <c r="B2" s="26" t="s">
        <v>20</v>
      </c>
    </row>
    <row r="3" spans="1:9" ht="15.5" thickBot="1" x14ac:dyDescent="0.9">
      <c r="A3" s="29" t="s">
        <v>203</v>
      </c>
      <c r="B3" s="23" t="s">
        <v>19</v>
      </c>
      <c r="C3" s="30"/>
      <c r="D3" s="14"/>
      <c r="E3" s="14"/>
    </row>
    <row r="7" spans="1:9" x14ac:dyDescent="0.75">
      <c r="B7" s="4" t="e">
        <f ca="1">_xll.RHistory(B3,"BID.Timestamp;BID.Close","START:2013-12-31 INTERVAL:1D",,"CH:In;Fd",$C$7)</f>
        <v>#NAME?</v>
      </c>
      <c r="C7" s="4" t="s">
        <v>19</v>
      </c>
      <c r="D7" s="4" t="s">
        <v>19</v>
      </c>
      <c r="F7" s="4" t="e">
        <f ca="1">_xll.RHistory(B3,"ACCR_INT.Timestamp;ACCR_INT.Value","START:2013-12-31 INTERVAL:1D",,"CH:In;Fd",$H$7)</f>
        <v>#NAME?</v>
      </c>
      <c r="H7" s="4" t="s">
        <v>19</v>
      </c>
      <c r="I7" s="4" t="s">
        <v>19</v>
      </c>
    </row>
    <row r="8" spans="1:9" x14ac:dyDescent="0.75">
      <c r="C8" s="4" t="s">
        <v>5</v>
      </c>
      <c r="D8" s="4" t="s">
        <v>11</v>
      </c>
      <c r="H8" s="4" t="s">
        <v>12</v>
      </c>
      <c r="I8" s="4" t="s">
        <v>13</v>
      </c>
    </row>
    <row r="9" spans="1:9" x14ac:dyDescent="0.75">
      <c r="C9" s="14">
        <v>42307</v>
      </c>
      <c r="D9" s="4">
        <v>116.325</v>
      </c>
      <c r="E9" s="14"/>
      <c r="H9" s="14">
        <v>42306</v>
      </c>
      <c r="I9" s="4">
        <v>0.72389999999999999</v>
      </c>
    </row>
    <row r="10" spans="1:9" x14ac:dyDescent="0.75">
      <c r="C10" s="14">
        <v>42306</v>
      </c>
      <c r="D10" s="4">
        <v>116.256</v>
      </c>
      <c r="E10" s="14"/>
      <c r="H10" s="14">
        <v>42305</v>
      </c>
      <c r="I10" s="4">
        <v>0.68886999999999998</v>
      </c>
    </row>
    <row r="11" spans="1:9" x14ac:dyDescent="0.75">
      <c r="C11" s="14">
        <v>42305</v>
      </c>
      <c r="D11" s="4">
        <v>116.56699999999999</v>
      </c>
      <c r="E11" s="14"/>
      <c r="H11" s="14">
        <v>42304</v>
      </c>
      <c r="I11" s="4">
        <v>0.67720000000000002</v>
      </c>
    </row>
    <row r="12" spans="1:9" x14ac:dyDescent="0.75">
      <c r="C12" s="14">
        <v>42304</v>
      </c>
      <c r="D12" s="4">
        <v>116.515</v>
      </c>
      <c r="E12" s="14"/>
      <c r="H12" s="14">
        <v>42303</v>
      </c>
      <c r="I12" s="4">
        <v>0.66552</v>
      </c>
    </row>
    <row r="13" spans="1:9" x14ac:dyDescent="0.75">
      <c r="C13" s="14">
        <v>42303</v>
      </c>
      <c r="D13" s="4">
        <v>116.295</v>
      </c>
      <c r="E13" s="14"/>
      <c r="H13" s="14">
        <v>42300</v>
      </c>
      <c r="I13" s="4">
        <v>0.65385000000000004</v>
      </c>
    </row>
    <row r="14" spans="1:9" x14ac:dyDescent="0.75">
      <c r="C14" s="14">
        <v>42300</v>
      </c>
      <c r="D14" s="4">
        <v>116.337</v>
      </c>
      <c r="E14" s="14"/>
      <c r="H14" s="14">
        <v>42299</v>
      </c>
      <c r="I14" s="4">
        <v>0.64217000000000002</v>
      </c>
    </row>
    <row r="15" spans="1:9" x14ac:dyDescent="0.75">
      <c r="C15" s="14">
        <v>42299</v>
      </c>
      <c r="D15" s="4">
        <v>116.361</v>
      </c>
      <c r="E15" s="14"/>
      <c r="H15" s="14">
        <v>42298</v>
      </c>
      <c r="I15" s="4">
        <v>0.60714000000000001</v>
      </c>
    </row>
    <row r="16" spans="1:9" x14ac:dyDescent="0.75">
      <c r="C16" s="14">
        <v>42298</v>
      </c>
      <c r="D16" s="4">
        <v>115.746</v>
      </c>
      <c r="E16" s="14"/>
      <c r="H16" s="14">
        <v>42297</v>
      </c>
      <c r="I16" s="4">
        <v>0.59547000000000005</v>
      </c>
    </row>
    <row r="17" spans="3:9" x14ac:dyDescent="0.75">
      <c r="C17" s="14">
        <v>42297</v>
      </c>
      <c r="D17" s="4">
        <v>115.63800000000001</v>
      </c>
      <c r="E17" s="14"/>
      <c r="H17" s="14">
        <v>42296</v>
      </c>
      <c r="I17" s="4">
        <v>0.58379000000000003</v>
      </c>
    </row>
    <row r="18" spans="3:9" x14ac:dyDescent="0.75">
      <c r="C18" s="14">
        <v>42296</v>
      </c>
      <c r="D18" s="4">
        <v>115.827</v>
      </c>
      <c r="E18" s="14"/>
      <c r="H18" s="14">
        <v>42293</v>
      </c>
      <c r="I18" s="4">
        <v>0.57211999999999996</v>
      </c>
    </row>
    <row r="19" spans="3:9" x14ac:dyDescent="0.75">
      <c r="C19" s="14">
        <v>42293</v>
      </c>
      <c r="D19" s="4">
        <v>115.777</v>
      </c>
      <c r="E19" s="14"/>
      <c r="H19" s="14">
        <v>42292</v>
      </c>
      <c r="I19" s="4">
        <v>0.56044000000000005</v>
      </c>
    </row>
    <row r="20" spans="3:9" x14ac:dyDescent="0.75">
      <c r="C20" s="14">
        <v>42292</v>
      </c>
      <c r="D20" s="4">
        <v>115.711</v>
      </c>
      <c r="E20" s="14"/>
      <c r="H20" s="14">
        <v>42291</v>
      </c>
      <c r="I20" s="4">
        <v>0.52541000000000004</v>
      </c>
    </row>
    <row r="21" spans="3:9" x14ac:dyDescent="0.75">
      <c r="C21" s="14">
        <v>42291</v>
      </c>
      <c r="D21" s="4">
        <v>115.712</v>
      </c>
      <c r="E21" s="14"/>
      <c r="H21" s="14">
        <v>42290</v>
      </c>
      <c r="I21" s="4">
        <v>0.51373999999999997</v>
      </c>
    </row>
    <row r="22" spans="3:9" x14ac:dyDescent="0.75">
      <c r="C22" s="14">
        <v>42290</v>
      </c>
      <c r="D22" s="4">
        <v>115.676</v>
      </c>
      <c r="E22" s="14"/>
      <c r="H22" s="14">
        <v>42289</v>
      </c>
      <c r="I22" s="4">
        <v>0.50205999999999995</v>
      </c>
    </row>
    <row r="23" spans="3:9" x14ac:dyDescent="0.75">
      <c r="C23" s="14">
        <v>42289</v>
      </c>
      <c r="D23" s="4">
        <v>115.709</v>
      </c>
      <c r="E23" s="14"/>
      <c r="H23" s="14">
        <v>42286</v>
      </c>
      <c r="I23" s="4">
        <v>0.49037999999999998</v>
      </c>
    </row>
    <row r="24" spans="3:9" x14ac:dyDescent="0.75">
      <c r="C24" s="14">
        <v>42286</v>
      </c>
      <c r="D24" s="4">
        <v>115.71</v>
      </c>
      <c r="E24" s="14"/>
      <c r="H24" s="14">
        <v>42285</v>
      </c>
      <c r="I24" s="4">
        <v>0.47871000000000002</v>
      </c>
    </row>
    <row r="25" spans="3:9" x14ac:dyDescent="0.75">
      <c r="C25" s="14">
        <v>42285</v>
      </c>
      <c r="D25" s="4">
        <v>115.682</v>
      </c>
      <c r="E25" s="14"/>
      <c r="H25" s="14">
        <v>42284</v>
      </c>
      <c r="I25" s="4">
        <v>0.44368000000000002</v>
      </c>
    </row>
    <row r="26" spans="3:9" x14ac:dyDescent="0.75">
      <c r="C26" s="14">
        <v>42284</v>
      </c>
      <c r="D26" s="4">
        <v>115.64100000000001</v>
      </c>
      <c r="E26" s="14"/>
      <c r="H26" s="14">
        <v>42283</v>
      </c>
      <c r="I26" s="4">
        <v>0.43201000000000001</v>
      </c>
    </row>
    <row r="27" spans="3:9" x14ac:dyDescent="0.75">
      <c r="C27" s="14">
        <v>42283</v>
      </c>
      <c r="D27" s="4">
        <v>115.696</v>
      </c>
      <c r="E27" s="14"/>
      <c r="H27" s="14">
        <v>42282</v>
      </c>
      <c r="I27" s="4">
        <v>0.42032999999999998</v>
      </c>
    </row>
    <row r="28" spans="3:9" x14ac:dyDescent="0.75">
      <c r="C28" s="14">
        <v>42282</v>
      </c>
      <c r="D28" s="4">
        <v>115.79900000000001</v>
      </c>
      <c r="E28" s="14"/>
      <c r="H28" s="14">
        <v>42279</v>
      </c>
      <c r="I28" s="4">
        <v>0.40865000000000001</v>
      </c>
    </row>
    <row r="29" spans="3:9" x14ac:dyDescent="0.75">
      <c r="C29" s="14">
        <v>42279</v>
      </c>
      <c r="D29" s="4">
        <v>115.84099999999999</v>
      </c>
      <c r="E29" s="14"/>
      <c r="H29" s="14">
        <v>42278</v>
      </c>
      <c r="I29" s="4">
        <v>0.39698</v>
      </c>
    </row>
    <row r="30" spans="3:9" x14ac:dyDescent="0.75">
      <c r="C30" s="14">
        <v>42278</v>
      </c>
      <c r="D30" s="4">
        <v>115.616</v>
      </c>
      <c r="E30" s="14"/>
      <c r="H30" s="14">
        <v>42277</v>
      </c>
      <c r="I30" s="4">
        <v>0.36194999999999999</v>
      </c>
    </row>
    <row r="31" spans="3:9" x14ac:dyDescent="0.75">
      <c r="C31" s="14">
        <v>42277</v>
      </c>
      <c r="D31" s="4">
        <v>115.52500000000001</v>
      </c>
      <c r="E31" s="14"/>
      <c r="H31" s="14">
        <v>42276</v>
      </c>
      <c r="I31" s="4">
        <v>0.35027000000000003</v>
      </c>
    </row>
    <row r="32" spans="3:9" x14ac:dyDescent="0.75">
      <c r="C32" s="14">
        <v>42276</v>
      </c>
      <c r="D32" s="4">
        <v>115.524</v>
      </c>
      <c r="E32" s="14"/>
      <c r="H32" s="14">
        <v>42275</v>
      </c>
      <c r="I32" s="4">
        <v>0.33860000000000001</v>
      </c>
    </row>
    <row r="33" spans="3:9" x14ac:dyDescent="0.75">
      <c r="C33" s="14">
        <v>42275</v>
      </c>
      <c r="D33" s="4">
        <v>115.47199999999999</v>
      </c>
      <c r="E33" s="14"/>
      <c r="H33" s="14">
        <v>42272</v>
      </c>
      <c r="I33" s="4">
        <v>0.32691999999999999</v>
      </c>
    </row>
    <row r="34" spans="3:9" x14ac:dyDescent="0.75">
      <c r="C34" s="14">
        <v>42272</v>
      </c>
      <c r="D34" s="4">
        <v>115.407</v>
      </c>
      <c r="E34" s="14"/>
      <c r="H34" s="14">
        <v>42271</v>
      </c>
      <c r="I34" s="4">
        <v>0.31524999999999997</v>
      </c>
    </row>
    <row r="35" spans="3:9" x14ac:dyDescent="0.75">
      <c r="C35" s="14">
        <v>42271</v>
      </c>
      <c r="D35" s="4">
        <v>115.6</v>
      </c>
      <c r="E35" s="14"/>
      <c r="H35" s="14">
        <v>42270</v>
      </c>
      <c r="I35" s="4">
        <v>0.28022000000000002</v>
      </c>
    </row>
    <row r="36" spans="3:9" x14ac:dyDescent="0.75">
      <c r="C36" s="14">
        <v>42270</v>
      </c>
      <c r="D36" s="4">
        <v>115.556</v>
      </c>
      <c r="E36" s="14"/>
      <c r="H36" s="14">
        <v>42269</v>
      </c>
      <c r="I36" s="4">
        <v>0.26854</v>
      </c>
    </row>
    <row r="37" spans="3:9" x14ac:dyDescent="0.75">
      <c r="C37" s="14">
        <v>42269</v>
      </c>
      <c r="D37" s="4">
        <v>115.517</v>
      </c>
      <c r="E37" s="14"/>
      <c r="H37" s="14">
        <v>42268</v>
      </c>
      <c r="I37" s="4">
        <v>0.25686999999999999</v>
      </c>
    </row>
    <row r="38" spans="3:9" x14ac:dyDescent="0.75">
      <c r="C38" s="14">
        <v>42268</v>
      </c>
      <c r="D38" s="4">
        <v>115.39700000000001</v>
      </c>
      <c r="E38" s="14"/>
      <c r="H38" s="14">
        <v>42265</v>
      </c>
      <c r="I38" s="4">
        <v>0.24518999999999999</v>
      </c>
    </row>
    <row r="39" spans="3:9" x14ac:dyDescent="0.75">
      <c r="C39" s="14">
        <v>42265</v>
      </c>
      <c r="D39" s="4">
        <v>115.53700000000001</v>
      </c>
      <c r="E39" s="14"/>
      <c r="H39" s="14">
        <v>42264</v>
      </c>
      <c r="I39" s="4">
        <v>0.23352000000000001</v>
      </c>
    </row>
    <row r="40" spans="3:9" x14ac:dyDescent="0.75">
      <c r="C40" s="14">
        <v>42264</v>
      </c>
      <c r="D40" s="4">
        <v>115.158</v>
      </c>
      <c r="E40" s="14"/>
      <c r="H40" s="14">
        <v>42263</v>
      </c>
      <c r="I40" s="4">
        <v>0.19849</v>
      </c>
    </row>
    <row r="41" spans="3:9" x14ac:dyDescent="0.75">
      <c r="C41" s="14">
        <v>42263</v>
      </c>
      <c r="D41" s="4">
        <v>115.215</v>
      </c>
      <c r="E41" s="14"/>
      <c r="H41" s="14">
        <v>42262</v>
      </c>
      <c r="I41" s="4">
        <v>0.18681</v>
      </c>
    </row>
    <row r="42" spans="3:9" x14ac:dyDescent="0.75">
      <c r="C42" s="14">
        <v>42262</v>
      </c>
      <c r="D42" s="4">
        <v>115.3</v>
      </c>
      <c r="E42" s="14"/>
      <c r="H42" s="14">
        <v>42261</v>
      </c>
      <c r="I42" s="4">
        <v>0.17513999999999999</v>
      </c>
    </row>
    <row r="43" spans="3:9" x14ac:dyDescent="0.75">
      <c r="C43" s="14">
        <v>42261</v>
      </c>
      <c r="D43" s="4">
        <v>115.39</v>
      </c>
      <c r="E43" s="14"/>
      <c r="H43" s="14">
        <v>42258</v>
      </c>
      <c r="I43" s="4">
        <v>0.16345999999999999</v>
      </c>
    </row>
    <row r="44" spans="3:9" x14ac:dyDescent="0.75">
      <c r="C44" s="14">
        <v>42258</v>
      </c>
      <c r="D44" s="4">
        <v>115.491</v>
      </c>
      <c r="E44" s="14"/>
      <c r="H44" s="14">
        <v>42257</v>
      </c>
      <c r="I44" s="4">
        <v>0.15179000000000001</v>
      </c>
    </row>
    <row r="45" spans="3:9" x14ac:dyDescent="0.75">
      <c r="C45" s="14">
        <v>42257</v>
      </c>
      <c r="D45" s="4">
        <v>115.495</v>
      </c>
      <c r="E45" s="14"/>
      <c r="H45" s="14">
        <v>42256</v>
      </c>
      <c r="I45" s="4">
        <v>0.11676</v>
      </c>
    </row>
    <row r="46" spans="3:9" x14ac:dyDescent="0.75">
      <c r="C46" s="14">
        <v>42256</v>
      </c>
      <c r="D46" s="4">
        <v>115.556</v>
      </c>
      <c r="E46" s="14"/>
      <c r="H46" s="14">
        <v>42255</v>
      </c>
      <c r="I46" s="4">
        <v>0.10508000000000001</v>
      </c>
    </row>
    <row r="47" spans="3:9" x14ac:dyDescent="0.75">
      <c r="C47" s="14">
        <v>42255</v>
      </c>
      <c r="D47" s="4">
        <v>115.559</v>
      </c>
      <c r="E47" s="14"/>
      <c r="H47" s="14">
        <v>42254</v>
      </c>
      <c r="I47" s="4">
        <v>9.3410000000000007E-2</v>
      </c>
    </row>
    <row r="48" spans="3:9" x14ac:dyDescent="0.75">
      <c r="C48" s="14">
        <v>42254</v>
      </c>
      <c r="D48" s="4">
        <v>115.396</v>
      </c>
      <c r="E48" s="14"/>
      <c r="H48" s="14">
        <v>42251</v>
      </c>
      <c r="I48" s="4">
        <v>8.1729999999999997E-2</v>
      </c>
    </row>
    <row r="49" spans="3:9" x14ac:dyDescent="0.75">
      <c r="C49" s="14">
        <v>42251</v>
      </c>
      <c r="D49" s="4">
        <v>115.349</v>
      </c>
      <c r="E49" s="14"/>
      <c r="H49" s="14">
        <v>42250</v>
      </c>
      <c r="I49" s="4">
        <v>7.0050000000000001E-2</v>
      </c>
    </row>
    <row r="50" spans="3:9" x14ac:dyDescent="0.75">
      <c r="C50" s="14">
        <v>42250</v>
      </c>
      <c r="D50" s="4">
        <v>115.148</v>
      </c>
      <c r="E50" s="14"/>
      <c r="H50" s="14">
        <v>42249</v>
      </c>
      <c r="I50" s="4">
        <v>3.5029999999999999E-2</v>
      </c>
    </row>
    <row r="51" spans="3:9" x14ac:dyDescent="0.75">
      <c r="C51" s="14">
        <v>42249</v>
      </c>
      <c r="D51" s="4">
        <v>114.82299999999999</v>
      </c>
      <c r="E51" s="14"/>
      <c r="H51" s="14">
        <v>42248</v>
      </c>
      <c r="I51" s="4">
        <v>2.3349999999999999E-2</v>
      </c>
    </row>
    <row r="52" spans="3:9" x14ac:dyDescent="0.75">
      <c r="C52" s="14">
        <v>42248</v>
      </c>
      <c r="D52" s="4">
        <v>114.871</v>
      </c>
      <c r="E52" s="14"/>
      <c r="H52" s="14">
        <v>42247</v>
      </c>
      <c r="I52" s="4">
        <v>1.1679999999999999E-2</v>
      </c>
    </row>
    <row r="53" spans="3:9" x14ac:dyDescent="0.75">
      <c r="C53" s="14">
        <v>42247</v>
      </c>
      <c r="D53" s="4">
        <v>115.07</v>
      </c>
      <c r="E53" s="14"/>
      <c r="H53" s="14">
        <v>42244</v>
      </c>
      <c r="I53" s="4">
        <v>0</v>
      </c>
    </row>
    <row r="54" spans="3:9" x14ac:dyDescent="0.75">
      <c r="C54" s="14">
        <v>42244</v>
      </c>
      <c r="D54" s="4">
        <v>115.12</v>
      </c>
      <c r="E54" s="14"/>
      <c r="H54" s="14">
        <v>42243</v>
      </c>
      <c r="I54" s="4">
        <v>2.1134499999999998</v>
      </c>
    </row>
    <row r="55" spans="3:9" x14ac:dyDescent="0.75">
      <c r="C55" s="14">
        <v>42243</v>
      </c>
      <c r="D55" s="4">
        <v>115.062</v>
      </c>
      <c r="E55" s="14"/>
      <c r="H55" s="14">
        <v>42242</v>
      </c>
      <c r="I55" s="4">
        <v>2.0788000000000002</v>
      </c>
    </row>
    <row r="56" spans="3:9" x14ac:dyDescent="0.75">
      <c r="C56" s="14">
        <v>42242</v>
      </c>
      <c r="D56" s="4">
        <v>114.928</v>
      </c>
      <c r="E56" s="14"/>
      <c r="H56" s="14">
        <v>42241</v>
      </c>
      <c r="I56" s="4">
        <v>2.0672600000000001</v>
      </c>
    </row>
    <row r="57" spans="3:9" x14ac:dyDescent="0.75">
      <c r="C57" s="14">
        <v>42241</v>
      </c>
      <c r="D57" s="4">
        <v>114.869</v>
      </c>
      <c r="E57" s="14"/>
      <c r="H57" s="14">
        <v>42240</v>
      </c>
      <c r="I57" s="4">
        <v>2.0557099999999999</v>
      </c>
    </row>
    <row r="58" spans="3:9" x14ac:dyDescent="0.75">
      <c r="C58" s="14">
        <v>42240</v>
      </c>
      <c r="D58" s="4">
        <v>115.14400000000001</v>
      </c>
      <c r="E58" s="14"/>
      <c r="H58" s="14">
        <v>42237</v>
      </c>
      <c r="I58" s="4">
        <v>2.0441600000000002</v>
      </c>
    </row>
    <row r="59" spans="3:9" x14ac:dyDescent="0.75">
      <c r="C59" s="14">
        <v>42237</v>
      </c>
      <c r="D59" s="4">
        <v>115.3</v>
      </c>
      <c r="E59" s="14"/>
      <c r="H59" s="14">
        <v>42236</v>
      </c>
      <c r="I59" s="4">
        <v>2.03261</v>
      </c>
    </row>
    <row r="60" spans="3:9" x14ac:dyDescent="0.75">
      <c r="C60" s="14">
        <v>42236</v>
      </c>
      <c r="D60" s="4">
        <v>115.54</v>
      </c>
      <c r="E60" s="14"/>
      <c r="H60" s="14">
        <v>42235</v>
      </c>
      <c r="I60" s="4">
        <v>1.99796</v>
      </c>
    </row>
    <row r="61" spans="3:9" x14ac:dyDescent="0.75">
      <c r="C61" s="14">
        <v>42235</v>
      </c>
      <c r="D61" s="4">
        <v>115.58499999999999</v>
      </c>
      <c r="E61" s="14"/>
      <c r="H61" s="14">
        <v>42234</v>
      </c>
      <c r="I61" s="4">
        <v>1.98641</v>
      </c>
    </row>
    <row r="62" spans="3:9" x14ac:dyDescent="0.75">
      <c r="C62" s="14">
        <v>42234</v>
      </c>
      <c r="D62" s="4">
        <v>115.679</v>
      </c>
      <c r="E62" s="14"/>
      <c r="H62" s="14">
        <v>42233</v>
      </c>
      <c r="I62" s="4">
        <v>1.9748600000000001</v>
      </c>
    </row>
    <row r="63" spans="3:9" x14ac:dyDescent="0.75">
      <c r="C63" s="14">
        <v>42233</v>
      </c>
      <c r="D63" s="4">
        <v>115.852</v>
      </c>
      <c r="E63" s="14"/>
      <c r="H63" s="14">
        <v>42230</v>
      </c>
      <c r="I63" s="4">
        <v>1.96332</v>
      </c>
    </row>
    <row r="64" spans="3:9" x14ac:dyDescent="0.75">
      <c r="C64" s="14">
        <v>42230</v>
      </c>
      <c r="D64" s="4">
        <v>115.748</v>
      </c>
      <c r="E64" s="14"/>
      <c r="H64" s="14">
        <v>42229</v>
      </c>
      <c r="I64" s="4">
        <v>1.95177</v>
      </c>
    </row>
    <row r="65" spans="3:9" x14ac:dyDescent="0.75">
      <c r="C65" s="14">
        <v>42229</v>
      </c>
      <c r="D65" s="4">
        <v>115.779</v>
      </c>
      <c r="E65" s="14"/>
      <c r="H65" s="14">
        <v>42228</v>
      </c>
      <c r="I65" s="4">
        <v>1.9171199999999999</v>
      </c>
    </row>
    <row r="66" spans="3:9" x14ac:dyDescent="0.75">
      <c r="C66" s="14">
        <v>42228</v>
      </c>
      <c r="D66" s="4">
        <v>115.90600000000001</v>
      </c>
      <c r="E66" s="14"/>
      <c r="H66" s="14">
        <v>42227</v>
      </c>
      <c r="I66" s="4">
        <v>1.90557</v>
      </c>
    </row>
    <row r="67" spans="3:9" x14ac:dyDescent="0.75">
      <c r="C67" s="14">
        <v>42227</v>
      </c>
      <c r="D67" s="4">
        <v>116.001</v>
      </c>
      <c r="E67" s="14"/>
      <c r="H67" s="14">
        <v>42226</v>
      </c>
      <c r="I67" s="4">
        <v>1.89402</v>
      </c>
    </row>
    <row r="68" spans="3:9" x14ac:dyDescent="0.75">
      <c r="C68" s="14">
        <v>42226</v>
      </c>
      <c r="D68" s="4">
        <v>115.75</v>
      </c>
      <c r="E68" s="14"/>
      <c r="H68" s="14">
        <v>42223</v>
      </c>
      <c r="I68" s="4">
        <v>1.8824700000000001</v>
      </c>
    </row>
    <row r="69" spans="3:9" x14ac:dyDescent="0.75">
      <c r="C69" s="14">
        <v>42223</v>
      </c>
      <c r="D69" s="4">
        <v>115.774</v>
      </c>
      <c r="E69" s="14"/>
      <c r="H69" s="14">
        <v>42222</v>
      </c>
      <c r="I69" s="4">
        <v>1.8709199999999999</v>
      </c>
    </row>
    <row r="70" spans="3:9" x14ac:dyDescent="0.75">
      <c r="C70" s="14">
        <v>42222</v>
      </c>
      <c r="D70" s="4">
        <v>115.669</v>
      </c>
      <c r="E70" s="14"/>
      <c r="H70" s="14">
        <v>42221</v>
      </c>
      <c r="I70" s="4">
        <v>1.8362799999999999</v>
      </c>
    </row>
    <row r="71" spans="3:9" x14ac:dyDescent="0.75">
      <c r="C71" s="14">
        <v>42221</v>
      </c>
      <c r="D71" s="4">
        <v>115.614</v>
      </c>
      <c r="E71" s="14"/>
      <c r="H71" s="14">
        <v>42220</v>
      </c>
      <c r="I71" s="4">
        <v>1.82473</v>
      </c>
    </row>
    <row r="72" spans="3:9" x14ac:dyDescent="0.75">
      <c r="C72" s="14">
        <v>42220</v>
      </c>
      <c r="D72" s="4">
        <v>115.919</v>
      </c>
      <c r="E72" s="14"/>
      <c r="H72" s="14">
        <v>42219</v>
      </c>
      <c r="I72" s="4">
        <v>1.81318</v>
      </c>
    </row>
    <row r="73" spans="3:9" x14ac:dyDescent="0.75">
      <c r="C73" s="14">
        <v>42219</v>
      </c>
      <c r="D73" s="4">
        <v>115.836</v>
      </c>
      <c r="E73" s="14"/>
      <c r="H73" s="14">
        <v>42216</v>
      </c>
      <c r="I73" s="4">
        <v>1.8016300000000001</v>
      </c>
    </row>
    <row r="74" spans="3:9" x14ac:dyDescent="0.75">
      <c r="C74" s="14">
        <v>42216</v>
      </c>
      <c r="D74" s="4">
        <v>115.836</v>
      </c>
      <c r="E74" s="14"/>
      <c r="H74" s="14">
        <v>42215</v>
      </c>
      <c r="I74" s="4">
        <v>1.7900799999999999</v>
      </c>
    </row>
    <row r="75" spans="3:9" x14ac:dyDescent="0.75">
      <c r="C75" s="14">
        <v>42215</v>
      </c>
      <c r="D75" s="4">
        <v>115.768</v>
      </c>
      <c r="E75" s="14"/>
      <c r="H75" s="14">
        <v>42214</v>
      </c>
      <c r="I75" s="4">
        <v>1.75543</v>
      </c>
    </row>
    <row r="76" spans="3:9" x14ac:dyDescent="0.75">
      <c r="C76" s="14">
        <v>42214</v>
      </c>
      <c r="D76" s="4">
        <v>115.486</v>
      </c>
      <c r="E76" s="14"/>
      <c r="H76" s="14">
        <v>42213</v>
      </c>
      <c r="I76" s="4">
        <v>1.7438899999999999</v>
      </c>
    </row>
    <row r="77" spans="3:9" x14ac:dyDescent="0.75">
      <c r="C77" s="14">
        <v>42213</v>
      </c>
      <c r="D77" s="4">
        <v>115.53100000000001</v>
      </c>
      <c r="E77" s="14"/>
      <c r="H77" s="14">
        <v>42212</v>
      </c>
      <c r="I77" s="4">
        <v>1.73234</v>
      </c>
    </row>
    <row r="78" spans="3:9" x14ac:dyDescent="0.75">
      <c r="C78" s="14">
        <v>42212</v>
      </c>
      <c r="D78" s="4">
        <v>115.434</v>
      </c>
      <c r="E78" s="14"/>
      <c r="H78" s="14">
        <v>42209</v>
      </c>
      <c r="I78" s="4">
        <v>1.72079</v>
      </c>
    </row>
    <row r="79" spans="3:9" x14ac:dyDescent="0.75">
      <c r="C79" s="14">
        <v>42209</v>
      </c>
      <c r="D79" s="4">
        <v>115.568</v>
      </c>
      <c r="E79" s="14"/>
      <c r="H79" s="14">
        <v>42208</v>
      </c>
      <c r="I79" s="4">
        <v>1.7092400000000001</v>
      </c>
    </row>
    <row r="80" spans="3:9" x14ac:dyDescent="0.75">
      <c r="C80" s="14">
        <v>42208</v>
      </c>
      <c r="D80" s="4">
        <v>115.52200000000001</v>
      </c>
      <c r="E80" s="14"/>
      <c r="H80" s="14">
        <v>42207</v>
      </c>
      <c r="I80" s="4">
        <v>1.67459</v>
      </c>
    </row>
    <row r="81" spans="3:9" x14ac:dyDescent="0.75">
      <c r="C81" s="14">
        <v>42207</v>
      </c>
      <c r="D81" s="4">
        <v>115.458</v>
      </c>
      <c r="E81" s="14"/>
      <c r="H81" s="14">
        <v>42206</v>
      </c>
      <c r="I81" s="4">
        <v>1.6630400000000001</v>
      </c>
    </row>
    <row r="82" spans="3:9" x14ac:dyDescent="0.75">
      <c r="C82" s="14">
        <v>42206</v>
      </c>
      <c r="D82" s="4">
        <v>115.32299999999999</v>
      </c>
      <c r="E82" s="14"/>
      <c r="H82" s="14">
        <v>42205</v>
      </c>
      <c r="I82" s="4">
        <v>1.6514899999999999</v>
      </c>
    </row>
    <row r="83" spans="3:9" x14ac:dyDescent="0.75">
      <c r="C83" s="14">
        <v>42205</v>
      </c>
      <c r="D83" s="4">
        <v>115.56</v>
      </c>
      <c r="E83" s="14"/>
      <c r="H83" s="14">
        <v>42202</v>
      </c>
      <c r="I83" s="4">
        <v>1.63995</v>
      </c>
    </row>
    <row r="84" spans="3:9" x14ac:dyDescent="0.75">
      <c r="C84" s="14">
        <v>42202</v>
      </c>
      <c r="D84" s="4">
        <v>115.31</v>
      </c>
      <c r="E84" s="14"/>
      <c r="H84" s="14">
        <v>42201</v>
      </c>
      <c r="I84" s="4">
        <v>1.6284000000000001</v>
      </c>
    </row>
    <row r="85" spans="3:9" x14ac:dyDescent="0.75">
      <c r="C85" s="14">
        <v>42201</v>
      </c>
      <c r="D85" s="4">
        <v>115.081</v>
      </c>
      <c r="E85" s="14"/>
      <c r="H85" s="14">
        <v>42200</v>
      </c>
      <c r="I85" s="4">
        <v>1.59375</v>
      </c>
    </row>
    <row r="86" spans="3:9" x14ac:dyDescent="0.75">
      <c r="C86" s="14">
        <v>42200</v>
      </c>
      <c r="D86" s="4">
        <v>114.976</v>
      </c>
      <c r="E86" s="14"/>
      <c r="H86" s="14">
        <v>42199</v>
      </c>
      <c r="I86" s="4">
        <v>1.5822000000000001</v>
      </c>
    </row>
    <row r="87" spans="3:9" x14ac:dyDescent="0.75">
      <c r="C87" s="14">
        <v>42199</v>
      </c>
      <c r="D87" s="4">
        <v>114.87</v>
      </c>
      <c r="E87" s="14"/>
      <c r="H87" s="14">
        <v>42198</v>
      </c>
      <c r="I87" s="4">
        <v>1.5706500000000001</v>
      </c>
    </row>
    <row r="88" spans="3:9" x14ac:dyDescent="0.75">
      <c r="C88" s="14">
        <v>42198</v>
      </c>
      <c r="D88" s="4">
        <v>114.828</v>
      </c>
      <c r="E88" s="14"/>
      <c r="H88" s="14">
        <v>42195</v>
      </c>
      <c r="I88" s="4">
        <v>1.5590999999999999</v>
      </c>
    </row>
    <row r="89" spans="3:9" x14ac:dyDescent="0.75">
      <c r="C89" s="14">
        <v>42195</v>
      </c>
      <c r="D89" s="4">
        <v>114.465</v>
      </c>
      <c r="E89" s="14"/>
      <c r="H89" s="14">
        <v>42194</v>
      </c>
      <c r="I89" s="4">
        <v>1.54755</v>
      </c>
    </row>
    <row r="90" spans="3:9" x14ac:dyDescent="0.75">
      <c r="C90" s="14">
        <v>42194</v>
      </c>
      <c r="D90" s="4">
        <v>114.087</v>
      </c>
      <c r="E90" s="14"/>
      <c r="H90" s="14">
        <v>42193</v>
      </c>
      <c r="I90" s="4">
        <v>1.51291</v>
      </c>
    </row>
    <row r="91" spans="3:9" x14ac:dyDescent="0.75">
      <c r="C91" s="14">
        <v>42193</v>
      </c>
      <c r="D91" s="4">
        <v>113.947</v>
      </c>
      <c r="E91" s="14"/>
      <c r="H91" s="14">
        <v>42192</v>
      </c>
      <c r="I91" s="4">
        <v>1.50136</v>
      </c>
    </row>
    <row r="92" spans="3:9" x14ac:dyDescent="0.75">
      <c r="C92" s="14">
        <v>42192</v>
      </c>
      <c r="D92" s="4">
        <v>113.68600000000001</v>
      </c>
      <c r="E92" s="14"/>
      <c r="H92" s="14">
        <v>42191</v>
      </c>
      <c r="I92" s="4">
        <v>1.4898100000000001</v>
      </c>
    </row>
    <row r="93" spans="3:9" x14ac:dyDescent="0.75">
      <c r="C93" s="14">
        <v>42191</v>
      </c>
      <c r="D93" s="4">
        <v>113.59699999999999</v>
      </c>
      <c r="E93" s="14"/>
      <c r="H93" s="14">
        <v>42188</v>
      </c>
      <c r="I93" s="4">
        <v>1.4782599999999999</v>
      </c>
    </row>
    <row r="94" spans="3:9" x14ac:dyDescent="0.75">
      <c r="C94" s="14">
        <v>42188</v>
      </c>
      <c r="D94" s="4">
        <v>113.919</v>
      </c>
      <c r="E94" s="14"/>
      <c r="H94" s="14">
        <v>42187</v>
      </c>
      <c r="I94" s="4">
        <v>1.46671</v>
      </c>
    </row>
    <row r="95" spans="3:9" x14ac:dyDescent="0.75">
      <c r="C95" s="14">
        <v>42187</v>
      </c>
      <c r="D95" s="4">
        <v>113.86799999999999</v>
      </c>
      <c r="E95" s="14"/>
      <c r="H95" s="14">
        <v>42186</v>
      </c>
      <c r="I95" s="4">
        <v>1.43207</v>
      </c>
    </row>
    <row r="96" spans="3:9" x14ac:dyDescent="0.75">
      <c r="C96" s="14">
        <v>42186</v>
      </c>
      <c r="D96" s="4">
        <v>114.10599999999999</v>
      </c>
      <c r="E96" s="14"/>
      <c r="H96" s="14">
        <v>42185</v>
      </c>
      <c r="I96" s="4">
        <v>1.42052</v>
      </c>
    </row>
    <row r="97" spans="3:9" x14ac:dyDescent="0.75">
      <c r="C97" s="14">
        <v>42185</v>
      </c>
      <c r="D97" s="4">
        <v>114.081</v>
      </c>
      <c r="E97" s="14"/>
      <c r="H97" s="14">
        <v>42184</v>
      </c>
      <c r="I97" s="4">
        <v>1.4089700000000001</v>
      </c>
    </row>
    <row r="98" spans="3:9" x14ac:dyDescent="0.75">
      <c r="C98" s="14">
        <v>42184</v>
      </c>
      <c r="D98" s="4">
        <v>113.892</v>
      </c>
      <c r="E98" s="14"/>
      <c r="H98" s="14">
        <v>42181</v>
      </c>
      <c r="I98" s="4">
        <v>1.3974200000000001</v>
      </c>
    </row>
    <row r="99" spans="3:9" x14ac:dyDescent="0.75">
      <c r="C99" s="14">
        <v>42181</v>
      </c>
      <c r="D99" s="4">
        <v>114.872</v>
      </c>
      <c r="E99" s="14"/>
      <c r="H99" s="14">
        <v>42180</v>
      </c>
      <c r="I99" s="4">
        <v>1.3858699999999999</v>
      </c>
    </row>
    <row r="100" spans="3:9" x14ac:dyDescent="0.75">
      <c r="C100" s="14">
        <v>42180</v>
      </c>
      <c r="D100" s="4">
        <v>114.84399999999999</v>
      </c>
      <c r="E100" s="14"/>
      <c r="H100" s="14">
        <v>42179</v>
      </c>
      <c r="I100" s="4">
        <v>1.3512200000000001</v>
      </c>
    </row>
    <row r="101" spans="3:9" x14ac:dyDescent="0.75">
      <c r="C101" s="14">
        <v>42179</v>
      </c>
      <c r="D101" s="4">
        <v>114.72799999999999</v>
      </c>
      <c r="E101" s="14"/>
      <c r="H101" s="14">
        <v>42178</v>
      </c>
      <c r="I101" s="4">
        <v>1.3396699999999999</v>
      </c>
    </row>
    <row r="102" spans="3:9" x14ac:dyDescent="0.75">
      <c r="C102" s="14">
        <v>42178</v>
      </c>
      <c r="D102" s="4">
        <v>114.914</v>
      </c>
      <c r="E102" s="14"/>
      <c r="H102" s="14">
        <v>42177</v>
      </c>
      <c r="I102" s="4">
        <v>1.32813</v>
      </c>
    </row>
    <row r="103" spans="3:9" x14ac:dyDescent="0.75">
      <c r="C103" s="14">
        <v>42177</v>
      </c>
      <c r="D103" s="4">
        <v>114.70099999999999</v>
      </c>
      <c r="E103" s="14"/>
      <c r="H103" s="14">
        <v>42174</v>
      </c>
      <c r="I103" s="4">
        <v>1.3165800000000001</v>
      </c>
    </row>
    <row r="104" spans="3:9" x14ac:dyDescent="0.75">
      <c r="C104" s="14">
        <v>42174</v>
      </c>
      <c r="D104" s="4">
        <v>113.887</v>
      </c>
      <c r="E104" s="14"/>
      <c r="H104" s="14">
        <v>42173</v>
      </c>
      <c r="I104" s="4">
        <v>1.3050299999999999</v>
      </c>
    </row>
    <row r="105" spans="3:9" x14ac:dyDescent="0.75">
      <c r="C105" s="14">
        <v>42173</v>
      </c>
      <c r="D105" s="4">
        <v>113.916</v>
      </c>
      <c r="E105" s="14"/>
      <c r="H105" s="14">
        <v>42172</v>
      </c>
      <c r="I105" s="4">
        <v>1.2703800000000001</v>
      </c>
    </row>
    <row r="106" spans="3:9" x14ac:dyDescent="0.75">
      <c r="C106" s="14">
        <v>42172</v>
      </c>
      <c r="D106" s="4">
        <v>113.779</v>
      </c>
      <c r="E106" s="14"/>
      <c r="H106" s="14">
        <v>42171</v>
      </c>
      <c r="I106" s="4">
        <v>1.2588299999999999</v>
      </c>
    </row>
    <row r="107" spans="3:9" x14ac:dyDescent="0.75">
      <c r="C107" s="14">
        <v>42171</v>
      </c>
      <c r="D107" s="4">
        <v>113.518</v>
      </c>
      <c r="E107" s="14"/>
      <c r="H107" s="14">
        <v>42170</v>
      </c>
      <c r="I107" s="4">
        <v>1.2472799999999999</v>
      </c>
    </row>
    <row r="108" spans="3:9" x14ac:dyDescent="0.75">
      <c r="C108" s="14">
        <v>42170</v>
      </c>
      <c r="D108" s="4">
        <v>113.544</v>
      </c>
      <c r="E108" s="14"/>
      <c r="H108" s="14">
        <v>42167</v>
      </c>
      <c r="I108" s="4">
        <v>1.23573</v>
      </c>
    </row>
    <row r="109" spans="3:9" x14ac:dyDescent="0.75">
      <c r="C109" s="14">
        <v>42167</v>
      </c>
      <c r="D109" s="4">
        <v>114.14</v>
      </c>
      <c r="E109" s="14"/>
      <c r="H109" s="14">
        <v>42166</v>
      </c>
      <c r="I109" s="4">
        <v>1.22418</v>
      </c>
    </row>
    <row r="110" spans="3:9" x14ac:dyDescent="0.75">
      <c r="C110" s="14">
        <v>42166</v>
      </c>
      <c r="D110" s="4">
        <v>114.83199999999999</v>
      </c>
      <c r="E110" s="14"/>
      <c r="H110" s="14">
        <v>42165</v>
      </c>
      <c r="I110" s="4">
        <v>1.18954</v>
      </c>
    </row>
    <row r="111" spans="3:9" x14ac:dyDescent="0.75">
      <c r="C111" s="14">
        <v>42165</v>
      </c>
      <c r="D111" s="4">
        <v>114.443</v>
      </c>
      <c r="E111" s="14"/>
      <c r="H111" s="14">
        <v>42164</v>
      </c>
      <c r="I111" s="4">
        <v>1.1779900000000001</v>
      </c>
    </row>
    <row r="112" spans="3:9" x14ac:dyDescent="0.75">
      <c r="C112" s="14">
        <v>42164</v>
      </c>
      <c r="D112" s="4">
        <v>114.626</v>
      </c>
      <c r="E112" s="14"/>
      <c r="H112" s="14">
        <v>42163</v>
      </c>
      <c r="I112" s="4">
        <v>1.1664399999999999</v>
      </c>
    </row>
    <row r="113" spans="3:9" x14ac:dyDescent="0.75">
      <c r="C113" s="14">
        <v>42163</v>
      </c>
      <c r="D113" s="4">
        <v>114.724</v>
      </c>
      <c r="E113" s="14"/>
      <c r="H113" s="14">
        <v>42160</v>
      </c>
      <c r="I113" s="4">
        <v>1.15489</v>
      </c>
    </row>
    <row r="114" spans="3:9" x14ac:dyDescent="0.75">
      <c r="C114" s="14">
        <v>42160</v>
      </c>
      <c r="D114" s="4">
        <v>114.776</v>
      </c>
      <c r="E114" s="14"/>
      <c r="H114" s="14">
        <v>42159</v>
      </c>
      <c r="I114" s="4">
        <v>1.14334</v>
      </c>
    </row>
    <row r="115" spans="3:9" x14ac:dyDescent="0.75">
      <c r="C115" s="14">
        <v>42159</v>
      </c>
      <c r="D115" s="4">
        <v>115.209</v>
      </c>
      <c r="E115" s="14"/>
      <c r="H115" s="14">
        <v>42158</v>
      </c>
      <c r="I115" s="4">
        <v>1.1087</v>
      </c>
    </row>
    <row r="116" spans="3:9" x14ac:dyDescent="0.75">
      <c r="C116" s="14">
        <v>42158</v>
      </c>
      <c r="D116" s="4">
        <v>115.214</v>
      </c>
      <c r="E116" s="14"/>
      <c r="H116" s="14">
        <v>42157</v>
      </c>
      <c r="I116" s="4">
        <v>1.0971500000000001</v>
      </c>
    </row>
    <row r="117" spans="3:9" x14ac:dyDescent="0.75">
      <c r="C117" s="14">
        <v>42157</v>
      </c>
      <c r="D117" s="4">
        <v>115.33499999999999</v>
      </c>
      <c r="E117" s="14"/>
      <c r="H117" s="14">
        <v>42156</v>
      </c>
      <c r="I117" s="4">
        <v>1.0855999999999999</v>
      </c>
    </row>
    <row r="118" spans="3:9" x14ac:dyDescent="0.75">
      <c r="C118" s="14">
        <v>42156</v>
      </c>
      <c r="D118" s="4">
        <v>115.77500000000001</v>
      </c>
      <c r="E118" s="14"/>
      <c r="H118" s="14">
        <v>42153</v>
      </c>
      <c r="I118" s="4">
        <v>1.0740499999999999</v>
      </c>
    </row>
    <row r="119" spans="3:9" x14ac:dyDescent="0.75">
      <c r="C119" s="14">
        <v>42153</v>
      </c>
      <c r="D119" s="4">
        <v>115.866</v>
      </c>
      <c r="E119" s="14"/>
      <c r="H119" s="14">
        <v>42152</v>
      </c>
      <c r="I119" s="4">
        <v>1.0625</v>
      </c>
    </row>
    <row r="120" spans="3:9" x14ac:dyDescent="0.75">
      <c r="C120" s="14">
        <v>42152</v>
      </c>
      <c r="D120" s="4">
        <v>115.86799999999999</v>
      </c>
      <c r="E120" s="14"/>
      <c r="H120" s="14">
        <v>42151</v>
      </c>
      <c r="I120" s="4">
        <v>1.0278499999999999</v>
      </c>
    </row>
    <row r="121" spans="3:9" x14ac:dyDescent="0.75">
      <c r="C121" s="14">
        <v>42151</v>
      </c>
      <c r="D121" s="4">
        <v>116.123</v>
      </c>
      <c r="E121" s="14"/>
      <c r="H121" s="14">
        <v>42150</v>
      </c>
      <c r="I121" s="4">
        <v>1.0163</v>
      </c>
    </row>
    <row r="122" spans="3:9" x14ac:dyDescent="0.75">
      <c r="C122" s="14">
        <v>42150</v>
      </c>
      <c r="D122" s="4">
        <v>115.94499999999999</v>
      </c>
      <c r="E122" s="14"/>
      <c r="H122" s="14">
        <v>42146</v>
      </c>
      <c r="I122" s="4">
        <v>0.99321000000000004</v>
      </c>
    </row>
    <row r="123" spans="3:9" x14ac:dyDescent="0.75">
      <c r="C123" s="14">
        <v>42146</v>
      </c>
      <c r="D123" s="4">
        <v>116.298</v>
      </c>
      <c r="E123" s="14"/>
      <c r="H123" s="14">
        <v>42145</v>
      </c>
      <c r="I123" s="4">
        <v>0.98165999999999998</v>
      </c>
    </row>
    <row r="124" spans="3:9" x14ac:dyDescent="0.75">
      <c r="C124" s="14">
        <v>42145</v>
      </c>
      <c r="D124" s="4">
        <v>116.188</v>
      </c>
      <c r="E124" s="14"/>
      <c r="H124" s="14">
        <v>42144</v>
      </c>
      <c r="I124" s="4">
        <v>0.94701000000000002</v>
      </c>
    </row>
    <row r="125" spans="3:9" x14ac:dyDescent="0.75">
      <c r="C125" s="14">
        <v>42144</v>
      </c>
      <c r="D125" s="4">
        <v>116.396</v>
      </c>
      <c r="E125" s="14"/>
      <c r="H125" s="14">
        <v>42143</v>
      </c>
      <c r="I125" s="4">
        <v>0.93545999999999996</v>
      </c>
    </row>
    <row r="126" spans="3:9" x14ac:dyDescent="0.75">
      <c r="C126" s="14">
        <v>42143</v>
      </c>
      <c r="D126" s="4">
        <v>116.536</v>
      </c>
      <c r="E126" s="14"/>
      <c r="H126" s="14">
        <v>42142</v>
      </c>
      <c r="I126" s="4">
        <v>0.92391000000000001</v>
      </c>
    </row>
    <row r="127" spans="3:9" x14ac:dyDescent="0.75">
      <c r="C127" s="14">
        <v>42142</v>
      </c>
      <c r="D127" s="4">
        <v>116.227</v>
      </c>
      <c r="E127" s="14"/>
      <c r="H127" s="14">
        <v>42139</v>
      </c>
      <c r="I127" s="4">
        <v>0.91235999999999995</v>
      </c>
    </row>
    <row r="128" spans="3:9" x14ac:dyDescent="0.75">
      <c r="C128" s="14">
        <v>42139</v>
      </c>
      <c r="D128" s="4">
        <v>116.471</v>
      </c>
      <c r="E128" s="14"/>
      <c r="H128" s="14">
        <v>42138</v>
      </c>
      <c r="I128" s="4">
        <v>0.90081999999999995</v>
      </c>
    </row>
    <row r="129" spans="3:9" x14ac:dyDescent="0.75">
      <c r="C129" s="14">
        <v>42138</v>
      </c>
      <c r="D129" s="4">
        <v>116.282</v>
      </c>
      <c r="E129" s="14"/>
      <c r="H129" s="14">
        <v>42137</v>
      </c>
      <c r="I129" s="4">
        <v>0.86617</v>
      </c>
    </row>
    <row r="130" spans="3:9" x14ac:dyDescent="0.75">
      <c r="C130" s="14">
        <v>42137</v>
      </c>
      <c r="D130" s="4">
        <v>116.20399999999999</v>
      </c>
      <c r="E130" s="14"/>
      <c r="H130" s="14">
        <v>42136</v>
      </c>
      <c r="I130" s="4">
        <v>0.85462000000000005</v>
      </c>
    </row>
    <row r="131" spans="3:9" x14ac:dyDescent="0.75">
      <c r="C131" s="14">
        <v>42136</v>
      </c>
      <c r="D131" s="4">
        <v>116.22</v>
      </c>
      <c r="E131" s="14"/>
      <c r="H131" s="14">
        <v>42135</v>
      </c>
      <c r="I131" s="4">
        <v>0.84306999999999999</v>
      </c>
    </row>
    <row r="132" spans="3:9" x14ac:dyDescent="0.75">
      <c r="C132" s="14">
        <v>42135</v>
      </c>
      <c r="D132" s="4">
        <v>116.417</v>
      </c>
      <c r="E132" s="14"/>
      <c r="H132" s="14">
        <v>42132</v>
      </c>
      <c r="I132" s="4">
        <v>0.83152000000000004</v>
      </c>
    </row>
    <row r="133" spans="3:9" x14ac:dyDescent="0.75">
      <c r="C133" s="14">
        <v>42132</v>
      </c>
      <c r="D133" s="4">
        <v>116.506</v>
      </c>
      <c r="E133" s="14"/>
      <c r="H133" s="14">
        <v>42131</v>
      </c>
      <c r="I133" s="4">
        <v>0.81996999999999998</v>
      </c>
    </row>
    <row r="134" spans="3:9" x14ac:dyDescent="0.75">
      <c r="C134" s="14">
        <v>42131</v>
      </c>
      <c r="D134" s="4">
        <v>116.29</v>
      </c>
      <c r="E134" s="14"/>
      <c r="H134" s="14">
        <v>42130</v>
      </c>
      <c r="I134" s="4">
        <v>0.78532999999999997</v>
      </c>
    </row>
    <row r="135" spans="3:9" x14ac:dyDescent="0.75">
      <c r="C135" s="14">
        <v>42130</v>
      </c>
      <c r="D135" s="4">
        <v>115.80500000000001</v>
      </c>
      <c r="E135" s="14"/>
      <c r="H135" s="14">
        <v>42129</v>
      </c>
      <c r="I135" s="4">
        <v>0.77378000000000002</v>
      </c>
    </row>
    <row r="136" spans="3:9" x14ac:dyDescent="0.75">
      <c r="C136" s="14">
        <v>42129</v>
      </c>
      <c r="D136" s="4">
        <v>116.01900000000001</v>
      </c>
      <c r="E136" s="14"/>
      <c r="H136" s="14">
        <v>42128</v>
      </c>
      <c r="I136" s="4">
        <v>0.76222999999999996</v>
      </c>
    </row>
    <row r="137" spans="3:9" x14ac:dyDescent="0.75">
      <c r="C137" s="14">
        <v>42128</v>
      </c>
      <c r="D137" s="4">
        <v>117.018</v>
      </c>
      <c r="E137" s="14"/>
      <c r="H137" s="14">
        <v>42124</v>
      </c>
      <c r="I137" s="4">
        <v>0.75068000000000001</v>
      </c>
    </row>
    <row r="138" spans="3:9" x14ac:dyDescent="0.75">
      <c r="C138" s="14">
        <v>42124</v>
      </c>
      <c r="D138" s="4">
        <v>116.93300000000001</v>
      </c>
      <c r="E138" s="14"/>
      <c r="H138" s="14">
        <v>42123</v>
      </c>
      <c r="I138" s="4">
        <v>0.73912999999999995</v>
      </c>
    </row>
    <row r="139" spans="3:9" x14ac:dyDescent="0.75">
      <c r="C139" s="14">
        <v>42123</v>
      </c>
      <c r="D139" s="4">
        <v>116.97799999999999</v>
      </c>
      <c r="E139" s="14"/>
      <c r="H139" s="14">
        <v>42122</v>
      </c>
      <c r="I139" s="4">
        <v>0.69293000000000005</v>
      </c>
    </row>
    <row r="140" spans="3:9" x14ac:dyDescent="0.75">
      <c r="C140" s="14">
        <v>42122</v>
      </c>
      <c r="D140" s="4">
        <v>117.379</v>
      </c>
      <c r="E140" s="14"/>
      <c r="H140" s="14">
        <v>42121</v>
      </c>
      <c r="I140" s="4">
        <v>0.68139000000000005</v>
      </c>
    </row>
    <row r="141" spans="3:9" x14ac:dyDescent="0.75">
      <c r="C141" s="14">
        <v>42121</v>
      </c>
      <c r="D141" s="4">
        <v>117.36799999999999</v>
      </c>
      <c r="E141" s="14"/>
      <c r="H141" s="14">
        <v>42118</v>
      </c>
      <c r="I141" s="4">
        <v>0.66983999999999999</v>
      </c>
    </row>
    <row r="142" spans="3:9" x14ac:dyDescent="0.75">
      <c r="C142" s="14">
        <v>42118</v>
      </c>
      <c r="D142" s="4">
        <v>117.164</v>
      </c>
      <c r="E142" s="14"/>
      <c r="H142" s="14">
        <v>42117</v>
      </c>
      <c r="I142" s="4">
        <v>0.65829000000000004</v>
      </c>
    </row>
    <row r="143" spans="3:9" x14ac:dyDescent="0.75">
      <c r="C143" s="14">
        <v>42117</v>
      </c>
      <c r="D143" s="4">
        <v>117.29900000000001</v>
      </c>
      <c r="E143" s="14"/>
      <c r="H143" s="14">
        <v>42116</v>
      </c>
      <c r="I143" s="4">
        <v>0.62363999999999997</v>
      </c>
    </row>
    <row r="144" spans="3:9" x14ac:dyDescent="0.75">
      <c r="C144" s="14">
        <v>42116</v>
      </c>
      <c r="D144" s="4">
        <v>117.345</v>
      </c>
      <c r="E144" s="14"/>
      <c r="H144" s="14">
        <v>42115</v>
      </c>
      <c r="I144" s="4">
        <v>0.61209000000000002</v>
      </c>
    </row>
    <row r="145" spans="3:9" x14ac:dyDescent="0.75">
      <c r="C145" s="14">
        <v>42115</v>
      </c>
      <c r="D145" s="4">
        <v>117.009</v>
      </c>
      <c r="E145" s="14"/>
      <c r="H145" s="14">
        <v>42114</v>
      </c>
      <c r="I145" s="4">
        <v>0.60053999999999996</v>
      </c>
    </row>
    <row r="146" spans="3:9" x14ac:dyDescent="0.75">
      <c r="C146" s="14">
        <v>42114</v>
      </c>
      <c r="D146" s="4">
        <v>116.938</v>
      </c>
      <c r="E146" s="14"/>
      <c r="H146" s="14">
        <v>42111</v>
      </c>
      <c r="I146" s="4">
        <v>0.58899000000000001</v>
      </c>
    </row>
    <row r="147" spans="3:9" x14ac:dyDescent="0.75">
      <c r="C147" s="14">
        <v>42111</v>
      </c>
      <c r="D147" s="4">
        <v>117.021</v>
      </c>
      <c r="E147" s="14"/>
      <c r="H147" s="14">
        <v>42110</v>
      </c>
      <c r="I147" s="4">
        <v>0.57745000000000002</v>
      </c>
    </row>
    <row r="148" spans="3:9" x14ac:dyDescent="0.75">
      <c r="C148" s="14">
        <v>42110</v>
      </c>
      <c r="D148" s="4">
        <v>117.31100000000001</v>
      </c>
      <c r="E148" s="14"/>
      <c r="H148" s="14">
        <v>42109</v>
      </c>
      <c r="I148" s="4">
        <v>0.54279999999999995</v>
      </c>
    </row>
    <row r="149" spans="3:9" x14ac:dyDescent="0.75">
      <c r="C149" s="14">
        <v>42109</v>
      </c>
      <c r="D149" s="4">
        <v>117.70399999999999</v>
      </c>
      <c r="E149" s="14"/>
      <c r="H149" s="14">
        <v>42108</v>
      </c>
      <c r="I149" s="4">
        <v>0.53125</v>
      </c>
    </row>
    <row r="150" spans="3:9" x14ac:dyDescent="0.75">
      <c r="C150" s="14">
        <v>42108</v>
      </c>
      <c r="D150" s="4">
        <v>117.55500000000001</v>
      </c>
      <c r="E150" s="14"/>
      <c r="H150" s="14">
        <v>42107</v>
      </c>
      <c r="I150" s="4">
        <v>0.51970000000000005</v>
      </c>
    </row>
    <row r="151" spans="3:9" x14ac:dyDescent="0.75">
      <c r="C151" s="14">
        <v>42107</v>
      </c>
      <c r="D151" s="4">
        <v>117.7</v>
      </c>
      <c r="E151" s="14"/>
      <c r="H151" s="14">
        <v>42104</v>
      </c>
      <c r="I151" s="4">
        <v>0.50814999999999999</v>
      </c>
    </row>
    <row r="152" spans="3:9" x14ac:dyDescent="0.75">
      <c r="C152" s="14">
        <v>42104</v>
      </c>
      <c r="D152" s="4">
        <v>117.881</v>
      </c>
      <c r="E152" s="14"/>
      <c r="H152" s="14">
        <v>42103</v>
      </c>
      <c r="I152" s="4">
        <v>0.49659999999999999</v>
      </c>
    </row>
    <row r="153" spans="3:9" x14ac:dyDescent="0.75">
      <c r="C153" s="14">
        <v>42103</v>
      </c>
      <c r="D153" s="4">
        <v>117.85899999999999</v>
      </c>
      <c r="E153" s="14"/>
      <c r="H153" s="14">
        <v>42102</v>
      </c>
      <c r="I153" s="4">
        <v>0.46195999999999998</v>
      </c>
    </row>
    <row r="154" spans="3:9" x14ac:dyDescent="0.75">
      <c r="C154" s="14">
        <v>42102</v>
      </c>
      <c r="D154" s="4">
        <v>118.014</v>
      </c>
      <c r="E154" s="14"/>
      <c r="H154" s="14">
        <v>42101</v>
      </c>
      <c r="I154" s="4">
        <v>0.45040999999999998</v>
      </c>
    </row>
    <row r="155" spans="3:9" x14ac:dyDescent="0.75">
      <c r="C155" s="14">
        <v>42101</v>
      </c>
      <c r="D155" s="4">
        <v>118.047</v>
      </c>
      <c r="E155" s="14"/>
      <c r="H155" s="14">
        <v>42096</v>
      </c>
      <c r="I155" s="4">
        <v>0.43885999999999997</v>
      </c>
    </row>
    <row r="156" spans="3:9" x14ac:dyDescent="0.75">
      <c r="C156" s="14">
        <v>42096</v>
      </c>
      <c r="D156" s="4">
        <v>117.75700000000001</v>
      </c>
      <c r="E156" s="14"/>
      <c r="H156" s="14">
        <v>42095</v>
      </c>
      <c r="I156" s="4">
        <v>0.42731000000000002</v>
      </c>
    </row>
    <row r="157" spans="3:9" x14ac:dyDescent="0.75">
      <c r="C157" s="14">
        <v>42095</v>
      </c>
      <c r="D157" s="4">
        <v>117.81100000000001</v>
      </c>
      <c r="E157" s="14"/>
      <c r="H157" s="14">
        <v>42094</v>
      </c>
      <c r="I157" s="4">
        <v>0.36957000000000001</v>
      </c>
    </row>
    <row r="158" spans="3:9" x14ac:dyDescent="0.75">
      <c r="C158" s="14">
        <v>42094</v>
      </c>
      <c r="D158" s="4">
        <v>117.78</v>
      </c>
      <c r="E158" s="14"/>
      <c r="H158" s="14">
        <v>42093</v>
      </c>
      <c r="I158" s="4">
        <v>0.35802</v>
      </c>
    </row>
    <row r="159" spans="3:9" x14ac:dyDescent="0.75">
      <c r="C159" s="14">
        <v>42093</v>
      </c>
      <c r="D159" s="4">
        <v>117.46</v>
      </c>
      <c r="E159" s="14"/>
      <c r="H159" s="14">
        <v>42090</v>
      </c>
      <c r="I159" s="4">
        <v>0.34647</v>
      </c>
    </row>
    <row r="160" spans="3:9" x14ac:dyDescent="0.75">
      <c r="C160" s="14">
        <v>42090</v>
      </c>
      <c r="D160" s="4">
        <v>117.428</v>
      </c>
      <c r="E160" s="14"/>
      <c r="H160" s="14">
        <v>42089</v>
      </c>
      <c r="I160" s="4">
        <v>0.33492</v>
      </c>
    </row>
    <row r="161" spans="3:9" x14ac:dyDescent="0.75">
      <c r="C161" s="14">
        <v>42089</v>
      </c>
      <c r="D161" s="4">
        <v>117.428</v>
      </c>
      <c r="E161" s="14"/>
      <c r="H161" s="14">
        <v>42088</v>
      </c>
      <c r="I161" s="4">
        <v>0.30026999999999998</v>
      </c>
    </row>
    <row r="162" spans="3:9" x14ac:dyDescent="0.75">
      <c r="C162" s="14">
        <v>42088</v>
      </c>
      <c r="D162" s="4">
        <v>117.462</v>
      </c>
      <c r="E162" s="14"/>
      <c r="H162" s="14">
        <v>42087</v>
      </c>
      <c r="I162" s="4">
        <v>0.28871999999999998</v>
      </c>
    </row>
    <row r="163" spans="3:9" x14ac:dyDescent="0.75">
      <c r="C163" s="14">
        <v>42087</v>
      </c>
      <c r="D163" s="4">
        <v>117.47</v>
      </c>
      <c r="E163" s="14"/>
      <c r="H163" s="14">
        <v>42086</v>
      </c>
      <c r="I163" s="4">
        <v>0.27717000000000003</v>
      </c>
    </row>
    <row r="164" spans="3:9" x14ac:dyDescent="0.75">
      <c r="C164" s="14">
        <v>42086</v>
      </c>
      <c r="D164" s="4">
        <v>117.562</v>
      </c>
      <c r="E164" s="14"/>
      <c r="H164" s="14">
        <v>42083</v>
      </c>
      <c r="I164" s="4">
        <v>0.26562999999999998</v>
      </c>
    </row>
    <row r="165" spans="3:9" x14ac:dyDescent="0.75">
      <c r="C165" s="14">
        <v>42083</v>
      </c>
      <c r="D165" s="4">
        <v>117.89100000000001</v>
      </c>
      <c r="E165" s="14"/>
      <c r="H165" s="14">
        <v>42082</v>
      </c>
      <c r="I165" s="4">
        <v>0.25407999999999997</v>
      </c>
    </row>
    <row r="166" spans="3:9" x14ac:dyDescent="0.75">
      <c r="C166" s="14">
        <v>42082</v>
      </c>
      <c r="D166" s="4">
        <v>117.72799999999999</v>
      </c>
      <c r="E166" s="14"/>
      <c r="H166" s="14">
        <v>42081</v>
      </c>
      <c r="I166" s="4">
        <v>0.21942999999999999</v>
      </c>
    </row>
    <row r="167" spans="3:9" x14ac:dyDescent="0.75">
      <c r="C167" s="14">
        <v>42081</v>
      </c>
      <c r="D167" s="4">
        <v>117.337</v>
      </c>
      <c r="E167" s="14"/>
      <c r="H167" s="14">
        <v>42080</v>
      </c>
      <c r="I167" s="4">
        <v>0.20788000000000001</v>
      </c>
    </row>
    <row r="168" spans="3:9" x14ac:dyDescent="0.75">
      <c r="C168" s="14">
        <v>42080</v>
      </c>
      <c r="D168" s="4">
        <v>117.88800000000001</v>
      </c>
      <c r="E168" s="14"/>
      <c r="H168" s="14">
        <v>42079</v>
      </c>
      <c r="I168" s="4">
        <v>0.19633</v>
      </c>
    </row>
    <row r="169" spans="3:9" x14ac:dyDescent="0.75">
      <c r="C169" s="14">
        <v>42079</v>
      </c>
      <c r="D169" s="4">
        <v>118.288</v>
      </c>
      <c r="E169" s="14"/>
      <c r="H169" s="14">
        <v>42076</v>
      </c>
      <c r="I169" s="4">
        <v>0.18478</v>
      </c>
    </row>
    <row r="170" spans="3:9" x14ac:dyDescent="0.75">
      <c r="C170" s="14">
        <v>42076</v>
      </c>
      <c r="D170" s="4">
        <v>118.289</v>
      </c>
      <c r="E170" s="14"/>
      <c r="H170" s="14">
        <v>42075</v>
      </c>
      <c r="I170" s="4">
        <v>0.17323</v>
      </c>
    </row>
    <row r="171" spans="3:9" x14ac:dyDescent="0.75">
      <c r="C171" s="14">
        <v>42075</v>
      </c>
      <c r="D171" s="4">
        <v>118.413</v>
      </c>
      <c r="E171" s="14"/>
      <c r="H171" s="14">
        <v>42074</v>
      </c>
      <c r="I171" s="4">
        <v>0.13858999999999999</v>
      </c>
    </row>
    <row r="172" spans="3:9" x14ac:dyDescent="0.75">
      <c r="C172" s="14">
        <v>42074</v>
      </c>
      <c r="D172" s="4">
        <v>118.66200000000001</v>
      </c>
      <c r="E172" s="14"/>
      <c r="H172" s="14">
        <v>42073</v>
      </c>
      <c r="I172" s="4">
        <v>0.12703999999999999</v>
      </c>
    </row>
    <row r="173" spans="3:9" x14ac:dyDescent="0.75">
      <c r="C173" s="14">
        <v>42073</v>
      </c>
      <c r="D173" s="4">
        <v>118.379</v>
      </c>
      <c r="E173" s="14"/>
      <c r="H173" s="14">
        <v>42072</v>
      </c>
      <c r="I173" s="4">
        <v>0.11549</v>
      </c>
    </row>
    <row r="174" spans="3:9" x14ac:dyDescent="0.75">
      <c r="C174" s="14">
        <v>42072</v>
      </c>
      <c r="D174" s="4">
        <v>118.178</v>
      </c>
      <c r="E174" s="14"/>
      <c r="H174" s="14">
        <v>42069</v>
      </c>
      <c r="I174" s="4">
        <v>0.10394</v>
      </c>
    </row>
    <row r="175" spans="3:9" x14ac:dyDescent="0.75">
      <c r="C175" s="14">
        <v>42069</v>
      </c>
      <c r="D175" s="4">
        <v>118.173</v>
      </c>
      <c r="E175" s="14"/>
      <c r="H175" s="14">
        <v>42068</v>
      </c>
      <c r="I175" s="4">
        <v>9.239E-2</v>
      </c>
    </row>
    <row r="176" spans="3:9" x14ac:dyDescent="0.75">
      <c r="C176" s="14">
        <v>42068</v>
      </c>
      <c r="D176" s="4">
        <v>118.009</v>
      </c>
      <c r="E176" s="14"/>
      <c r="H176" s="14">
        <v>42067</v>
      </c>
      <c r="I176" s="4">
        <v>5.774E-2</v>
      </c>
    </row>
    <row r="177" spans="3:9" x14ac:dyDescent="0.75">
      <c r="C177" s="14">
        <v>42067</v>
      </c>
      <c r="D177" s="4">
        <v>117.681</v>
      </c>
      <c r="E177" s="14"/>
      <c r="H177" s="14">
        <v>42066</v>
      </c>
      <c r="I177" s="4">
        <v>4.6199999999999998E-2</v>
      </c>
    </row>
    <row r="178" spans="3:9" x14ac:dyDescent="0.75">
      <c r="C178" s="14">
        <v>42066</v>
      </c>
      <c r="D178" s="4">
        <v>117.711</v>
      </c>
      <c r="E178" s="14"/>
      <c r="H178" s="14">
        <v>42065</v>
      </c>
      <c r="I178" s="4">
        <v>3.465E-2</v>
      </c>
    </row>
    <row r="179" spans="3:9" x14ac:dyDescent="0.75">
      <c r="C179" s="14">
        <v>42065</v>
      </c>
      <c r="D179" s="4">
        <v>117.935</v>
      </c>
      <c r="E179" s="14"/>
      <c r="H179" s="14">
        <v>42062</v>
      </c>
      <c r="I179" s="4">
        <v>2.3099999999999999E-2</v>
      </c>
    </row>
    <row r="180" spans="3:9" x14ac:dyDescent="0.75">
      <c r="C180" s="14">
        <v>42062</v>
      </c>
      <c r="D180" s="4">
        <v>117.98699999999999</v>
      </c>
      <c r="E180" s="14"/>
      <c r="H180" s="14">
        <v>42061</v>
      </c>
      <c r="I180" s="4">
        <v>1.155E-2</v>
      </c>
    </row>
    <row r="181" spans="3:9" x14ac:dyDescent="0.75">
      <c r="C181" s="14">
        <v>42061</v>
      </c>
      <c r="D181" s="4">
        <v>117.89</v>
      </c>
      <c r="E181" s="14"/>
      <c r="H181" s="14">
        <v>42060</v>
      </c>
      <c r="I181" s="4">
        <v>2.1015199999999998</v>
      </c>
    </row>
    <row r="182" spans="3:9" x14ac:dyDescent="0.75">
      <c r="C182" s="14">
        <v>42060</v>
      </c>
      <c r="D182" s="4">
        <v>117.476</v>
      </c>
      <c r="E182" s="14"/>
      <c r="H182" s="14">
        <v>42059</v>
      </c>
      <c r="I182" s="4">
        <v>2.0897800000000002</v>
      </c>
    </row>
    <row r="183" spans="3:9" x14ac:dyDescent="0.75">
      <c r="C183" s="14">
        <v>42059</v>
      </c>
      <c r="D183" s="4">
        <v>117.495</v>
      </c>
      <c r="E183" s="14"/>
      <c r="H183" s="14">
        <v>42058</v>
      </c>
      <c r="I183" s="4">
        <v>2.0780400000000001</v>
      </c>
    </row>
    <row r="184" spans="3:9" x14ac:dyDescent="0.75">
      <c r="C184" s="14">
        <v>42058</v>
      </c>
      <c r="D184" s="4">
        <v>117.36</v>
      </c>
      <c r="E184" s="14"/>
      <c r="H184" s="14">
        <v>42055</v>
      </c>
      <c r="I184" s="4">
        <v>2.0663</v>
      </c>
    </row>
    <row r="185" spans="3:9" x14ac:dyDescent="0.75">
      <c r="C185" s="14">
        <v>42055</v>
      </c>
      <c r="D185" s="4">
        <v>117.041</v>
      </c>
      <c r="E185" s="14"/>
      <c r="H185" s="14">
        <v>42054</v>
      </c>
      <c r="I185" s="4">
        <v>2.0545599999999999</v>
      </c>
    </row>
    <row r="186" spans="3:9" x14ac:dyDescent="0.75">
      <c r="C186" s="14">
        <v>42054</v>
      </c>
      <c r="D186" s="4">
        <v>116.861</v>
      </c>
      <c r="E186" s="14"/>
      <c r="H186" s="14">
        <v>42053</v>
      </c>
      <c r="I186" s="4">
        <v>2.0193400000000001</v>
      </c>
    </row>
    <row r="187" spans="3:9" x14ac:dyDescent="0.75">
      <c r="C187" s="14">
        <v>42053</v>
      </c>
      <c r="D187" s="4">
        <v>116.67</v>
      </c>
      <c r="E187" s="14"/>
      <c r="H187" s="14">
        <v>42052</v>
      </c>
      <c r="I187" s="4">
        <v>2.0076000000000001</v>
      </c>
    </row>
    <row r="188" spans="3:9" x14ac:dyDescent="0.75">
      <c r="C188" s="14">
        <v>42052</v>
      </c>
      <c r="D188" s="4">
        <v>116.682</v>
      </c>
      <c r="E188" s="14"/>
      <c r="H188" s="14">
        <v>42051</v>
      </c>
      <c r="I188" s="4">
        <v>1.99586</v>
      </c>
    </row>
    <row r="189" spans="3:9" x14ac:dyDescent="0.75">
      <c r="C189" s="14">
        <v>42051</v>
      </c>
      <c r="D189" s="4">
        <v>116.7</v>
      </c>
      <c r="E189" s="14"/>
      <c r="H189" s="14">
        <v>42048</v>
      </c>
      <c r="I189" s="4">
        <v>1.9841200000000001</v>
      </c>
    </row>
    <row r="190" spans="3:9" x14ac:dyDescent="0.75">
      <c r="C190" s="14">
        <v>42048</v>
      </c>
      <c r="D190" s="4">
        <v>116.706</v>
      </c>
      <c r="E190" s="14"/>
      <c r="H190" s="14">
        <v>42047</v>
      </c>
      <c r="I190" s="4">
        <v>1.97238</v>
      </c>
    </row>
    <row r="191" spans="3:9" x14ac:dyDescent="0.75">
      <c r="C191" s="14">
        <v>42047</v>
      </c>
      <c r="D191" s="4">
        <v>116.52</v>
      </c>
      <c r="E191" s="14"/>
      <c r="H191" s="14">
        <v>42046</v>
      </c>
      <c r="I191" s="4">
        <v>1.9371499999999999</v>
      </c>
    </row>
    <row r="192" spans="3:9" x14ac:dyDescent="0.75">
      <c r="C192" s="14">
        <v>42046</v>
      </c>
      <c r="D192" s="4">
        <v>116.431</v>
      </c>
      <c r="E192" s="14"/>
      <c r="H192" s="14">
        <v>42045</v>
      </c>
      <c r="I192" s="4">
        <v>1.9254100000000001</v>
      </c>
    </row>
    <row r="193" spans="3:9" x14ac:dyDescent="0.75">
      <c r="C193" s="14">
        <v>42045</v>
      </c>
      <c r="D193" s="4">
        <v>116.33799999999999</v>
      </c>
      <c r="E193" s="14"/>
      <c r="H193" s="14">
        <v>42044</v>
      </c>
      <c r="I193" s="4">
        <v>1.91367</v>
      </c>
    </row>
    <row r="194" spans="3:9" x14ac:dyDescent="0.75">
      <c r="C194" s="14">
        <v>42044</v>
      </c>
      <c r="D194" s="4">
        <v>116.392</v>
      </c>
      <c r="E194" s="14"/>
      <c r="H194" s="14">
        <v>42041</v>
      </c>
      <c r="I194" s="4">
        <v>1.9019299999999999</v>
      </c>
    </row>
    <row r="195" spans="3:9" x14ac:dyDescent="0.75">
      <c r="C195" s="14">
        <v>42041</v>
      </c>
      <c r="D195" s="4">
        <v>116.837</v>
      </c>
      <c r="E195" s="14"/>
      <c r="H195" s="14">
        <v>42040</v>
      </c>
      <c r="I195" s="4">
        <v>1.89019</v>
      </c>
    </row>
    <row r="196" spans="3:9" x14ac:dyDescent="0.75">
      <c r="C196" s="14">
        <v>42040</v>
      </c>
      <c r="D196" s="4">
        <v>116.934</v>
      </c>
      <c r="E196" s="14"/>
      <c r="H196" s="14">
        <v>42039</v>
      </c>
      <c r="I196" s="4">
        <v>1.85497</v>
      </c>
    </row>
    <row r="197" spans="3:9" x14ac:dyDescent="0.75">
      <c r="C197" s="14">
        <v>42039</v>
      </c>
      <c r="D197" s="4">
        <v>116.943</v>
      </c>
      <c r="E197" s="14"/>
      <c r="H197" s="14">
        <v>42038</v>
      </c>
      <c r="I197" s="4">
        <v>1.8432299999999999</v>
      </c>
    </row>
    <row r="198" spans="3:9" x14ac:dyDescent="0.75">
      <c r="C198" s="14">
        <v>42038</v>
      </c>
      <c r="D198" s="4">
        <v>116.762</v>
      </c>
      <c r="E198" s="14"/>
      <c r="H198" s="14">
        <v>42037</v>
      </c>
      <c r="I198" s="4">
        <v>1.8314900000000001</v>
      </c>
    </row>
    <row r="199" spans="3:9" x14ac:dyDescent="0.75">
      <c r="C199" s="14">
        <v>42037</v>
      </c>
      <c r="D199" s="4">
        <v>116.625</v>
      </c>
      <c r="E199" s="14"/>
      <c r="H199" s="14">
        <v>42034</v>
      </c>
      <c r="I199" s="4">
        <v>1.81975</v>
      </c>
    </row>
    <row r="200" spans="3:9" x14ac:dyDescent="0.75">
      <c r="C200" s="14">
        <v>42034</v>
      </c>
      <c r="D200" s="4">
        <v>116.621</v>
      </c>
      <c r="E200" s="14"/>
      <c r="H200" s="14">
        <v>42033</v>
      </c>
      <c r="I200" s="4">
        <v>1.8080099999999999</v>
      </c>
    </row>
    <row r="201" spans="3:9" x14ac:dyDescent="0.75">
      <c r="C201" s="14">
        <v>42033</v>
      </c>
      <c r="D201" s="4">
        <v>116.724</v>
      </c>
      <c r="E201" s="14"/>
      <c r="H201" s="14">
        <v>42032</v>
      </c>
      <c r="I201" s="4">
        <v>1.7727900000000001</v>
      </c>
    </row>
    <row r="202" spans="3:9" x14ac:dyDescent="0.75">
      <c r="C202" s="14">
        <v>42032</v>
      </c>
      <c r="D202" s="4">
        <v>116.574</v>
      </c>
      <c r="E202" s="14"/>
      <c r="H202" s="14">
        <v>42031</v>
      </c>
      <c r="I202" s="4">
        <v>1.76105</v>
      </c>
    </row>
    <row r="203" spans="3:9" x14ac:dyDescent="0.75">
      <c r="C203" s="14">
        <v>42031</v>
      </c>
      <c r="D203" s="4">
        <v>116.85599999999999</v>
      </c>
      <c r="E203" s="14"/>
      <c r="H203" s="14">
        <v>42030</v>
      </c>
      <c r="I203" s="4">
        <v>1.7493099999999999</v>
      </c>
    </row>
    <row r="204" spans="3:9" x14ac:dyDescent="0.75">
      <c r="C204" s="14">
        <v>42030</v>
      </c>
      <c r="D204" s="4">
        <v>117.152</v>
      </c>
      <c r="E204" s="14"/>
      <c r="H204" s="14">
        <v>42027</v>
      </c>
      <c r="I204" s="4">
        <v>1.7375700000000001</v>
      </c>
    </row>
    <row r="205" spans="3:9" x14ac:dyDescent="0.75">
      <c r="C205" s="14">
        <v>42027</v>
      </c>
      <c r="D205" s="4">
        <v>117.117</v>
      </c>
      <c r="E205" s="14"/>
      <c r="H205" s="14">
        <v>42026</v>
      </c>
      <c r="I205" s="4">
        <v>1.72583</v>
      </c>
    </row>
    <row r="206" spans="3:9" x14ac:dyDescent="0.75">
      <c r="C206" s="14">
        <v>42026</v>
      </c>
      <c r="D206" s="4">
        <v>117.09</v>
      </c>
      <c r="E206" s="14"/>
      <c r="H206" s="14">
        <v>42025</v>
      </c>
      <c r="I206" s="4">
        <v>1.6906099999999999</v>
      </c>
    </row>
    <row r="207" spans="3:9" x14ac:dyDescent="0.75">
      <c r="C207" s="14">
        <v>42025</v>
      </c>
      <c r="D207" s="4">
        <v>116.642</v>
      </c>
      <c r="E207" s="14"/>
      <c r="H207" s="14">
        <v>42024</v>
      </c>
      <c r="I207" s="4">
        <v>1.6788700000000001</v>
      </c>
    </row>
    <row r="208" spans="3:9" x14ac:dyDescent="0.75">
      <c r="C208" s="14">
        <v>42024</v>
      </c>
      <c r="D208" s="4">
        <v>116.76</v>
      </c>
      <c r="E208" s="14"/>
      <c r="H208" s="14">
        <v>42023</v>
      </c>
      <c r="I208" s="4">
        <v>1.66713</v>
      </c>
    </row>
    <row r="209" spans="3:9" x14ac:dyDescent="0.75">
      <c r="C209" s="14">
        <v>42023</v>
      </c>
      <c r="D209" s="4">
        <v>116.815</v>
      </c>
      <c r="E209" s="14"/>
      <c r="H209" s="14">
        <v>42020</v>
      </c>
      <c r="I209" s="4">
        <v>1.6553899999999999</v>
      </c>
    </row>
    <row r="210" spans="3:9" x14ac:dyDescent="0.75">
      <c r="C210" s="14">
        <v>42020</v>
      </c>
      <c r="D210" s="4">
        <v>116.79900000000001</v>
      </c>
      <c r="E210" s="14"/>
      <c r="H210" s="14">
        <v>42019</v>
      </c>
      <c r="I210" s="4">
        <v>1.6436500000000001</v>
      </c>
    </row>
    <row r="211" spans="3:9" x14ac:dyDescent="0.75">
      <c r="C211" s="14">
        <v>42019</v>
      </c>
      <c r="D211" s="4">
        <v>116.41200000000001</v>
      </c>
      <c r="E211" s="14"/>
      <c r="H211" s="14">
        <v>42018</v>
      </c>
      <c r="I211" s="4">
        <v>1.60843</v>
      </c>
    </row>
    <row r="212" spans="3:9" x14ac:dyDescent="0.75">
      <c r="C212" s="14">
        <v>42018</v>
      </c>
      <c r="D212" s="4">
        <v>116.396</v>
      </c>
      <c r="E212" s="14"/>
      <c r="H212" s="14">
        <v>42017</v>
      </c>
      <c r="I212" s="4">
        <v>1.5966899999999999</v>
      </c>
    </row>
    <row r="213" spans="3:9" x14ac:dyDescent="0.75">
      <c r="C213" s="14">
        <v>42017</v>
      </c>
      <c r="D213" s="4">
        <v>116.202</v>
      </c>
      <c r="E213" s="14"/>
      <c r="H213" s="14">
        <v>42016</v>
      </c>
      <c r="I213" s="4">
        <v>1.58494</v>
      </c>
    </row>
    <row r="214" spans="3:9" x14ac:dyDescent="0.75">
      <c r="C214" s="14">
        <v>42016</v>
      </c>
      <c r="D214" s="4">
        <v>116.208</v>
      </c>
      <c r="E214" s="14"/>
      <c r="H214" s="14">
        <v>42013</v>
      </c>
      <c r="I214" s="4">
        <v>1.5731999999999999</v>
      </c>
    </row>
    <row r="215" spans="3:9" x14ac:dyDescent="0.75">
      <c r="C215" s="14">
        <v>42013</v>
      </c>
      <c r="D215" s="4">
        <v>115.765</v>
      </c>
      <c r="E215" s="14"/>
      <c r="H215" s="14">
        <v>42012</v>
      </c>
      <c r="I215" s="4">
        <v>1.5614600000000001</v>
      </c>
    </row>
    <row r="216" spans="3:9" x14ac:dyDescent="0.75">
      <c r="C216" s="14">
        <v>42012</v>
      </c>
      <c r="D216" s="4">
        <v>116.017</v>
      </c>
      <c r="E216" s="14"/>
      <c r="H216" s="14">
        <v>42011</v>
      </c>
      <c r="I216" s="4">
        <v>1.52624</v>
      </c>
    </row>
    <row r="217" spans="3:9" x14ac:dyDescent="0.75">
      <c r="C217" s="14">
        <v>42011</v>
      </c>
      <c r="D217" s="4">
        <v>115.84399999999999</v>
      </c>
      <c r="H217" s="14">
        <v>42010</v>
      </c>
      <c r="I217" s="4">
        <v>1.5145</v>
      </c>
    </row>
    <row r="218" spans="3:9" x14ac:dyDescent="0.75">
      <c r="C218" s="14">
        <v>42010</v>
      </c>
      <c r="D218" s="4">
        <v>116.375</v>
      </c>
      <c r="H218" s="14">
        <v>42009</v>
      </c>
      <c r="I218" s="4">
        <v>1.5027600000000001</v>
      </c>
    </row>
    <row r="219" spans="3:9" x14ac:dyDescent="0.75">
      <c r="C219" s="14">
        <v>42009</v>
      </c>
      <c r="D219" s="4">
        <v>116.63500000000001</v>
      </c>
      <c r="H219" s="14">
        <v>42006</v>
      </c>
      <c r="I219" s="4">
        <v>1.49102</v>
      </c>
    </row>
    <row r="220" spans="3:9" x14ac:dyDescent="0.75">
      <c r="C220" s="14">
        <v>42006</v>
      </c>
      <c r="D220" s="4">
        <v>116.959</v>
      </c>
      <c r="H220" s="14">
        <v>42003</v>
      </c>
      <c r="I220" s="4">
        <v>1.4440599999999999</v>
      </c>
    </row>
    <row r="221" spans="3:9" x14ac:dyDescent="0.75">
      <c r="C221" s="14">
        <v>42003</v>
      </c>
      <c r="D221" s="4">
        <v>116.328</v>
      </c>
      <c r="H221" s="14">
        <v>42002</v>
      </c>
      <c r="I221" s="4">
        <v>1.42058</v>
      </c>
    </row>
    <row r="222" spans="3:9" x14ac:dyDescent="0.75">
      <c r="C222" s="14">
        <v>42002</v>
      </c>
      <c r="D222" s="4">
        <v>115.896</v>
      </c>
      <c r="H222" s="14">
        <v>41996</v>
      </c>
      <c r="I222" s="4">
        <v>1.3971</v>
      </c>
    </row>
    <row r="223" spans="3:9" x14ac:dyDescent="0.75">
      <c r="C223" s="14">
        <v>41996</v>
      </c>
      <c r="D223" s="4">
        <v>116.129</v>
      </c>
      <c r="H223" s="14">
        <v>41995</v>
      </c>
      <c r="I223" s="4">
        <v>1.3384</v>
      </c>
    </row>
    <row r="224" spans="3:9" x14ac:dyDescent="0.75">
      <c r="C224" s="14">
        <v>41995</v>
      </c>
      <c r="D224" s="4">
        <v>116.083</v>
      </c>
      <c r="H224" s="14">
        <v>41992</v>
      </c>
      <c r="I224" s="4">
        <v>1.32666</v>
      </c>
    </row>
    <row r="225" spans="3:9" x14ac:dyDescent="0.75">
      <c r="C225" s="14">
        <v>41992</v>
      </c>
      <c r="D225" s="4">
        <v>115.946</v>
      </c>
      <c r="H225" s="14">
        <v>41991</v>
      </c>
      <c r="I225" s="4">
        <v>1.3149200000000001</v>
      </c>
    </row>
    <row r="226" spans="3:9" x14ac:dyDescent="0.75">
      <c r="C226" s="14">
        <v>41991</v>
      </c>
      <c r="D226" s="4">
        <v>115.742</v>
      </c>
      <c r="H226" s="14">
        <v>41990</v>
      </c>
      <c r="I226" s="4">
        <v>1.2797000000000001</v>
      </c>
    </row>
    <row r="227" spans="3:9" x14ac:dyDescent="0.75">
      <c r="C227" s="14">
        <v>41990</v>
      </c>
      <c r="D227" s="4">
        <v>115.583</v>
      </c>
      <c r="H227" s="14">
        <v>41989</v>
      </c>
      <c r="I227" s="4">
        <v>1.26796</v>
      </c>
    </row>
    <row r="228" spans="3:9" x14ac:dyDescent="0.75">
      <c r="C228" s="14">
        <v>41989</v>
      </c>
      <c r="D228" s="4">
        <v>115.22</v>
      </c>
      <c r="H228" s="14">
        <v>41988</v>
      </c>
      <c r="I228" s="4">
        <v>1.2562199999999999</v>
      </c>
    </row>
    <row r="229" spans="3:9" x14ac:dyDescent="0.75">
      <c r="C229" s="14">
        <v>41988</v>
      </c>
      <c r="D229" s="4">
        <v>115.47499999999999</v>
      </c>
      <c r="H229" s="14">
        <v>41985</v>
      </c>
      <c r="I229" s="4">
        <v>1.24448</v>
      </c>
    </row>
    <row r="230" spans="3:9" x14ac:dyDescent="0.75">
      <c r="C230" s="14">
        <v>41985</v>
      </c>
      <c r="D230" s="4">
        <v>115.28700000000001</v>
      </c>
      <c r="H230" s="14">
        <v>41984</v>
      </c>
      <c r="I230" s="4">
        <v>1.2327300000000001</v>
      </c>
    </row>
    <row r="231" spans="3:9" x14ac:dyDescent="0.75">
      <c r="C231" s="14">
        <v>41984</v>
      </c>
      <c r="D231" s="4">
        <v>115.587</v>
      </c>
      <c r="H231" s="14">
        <v>41983</v>
      </c>
      <c r="I231" s="4">
        <v>1.1975100000000001</v>
      </c>
    </row>
    <row r="232" spans="3:9" x14ac:dyDescent="0.75">
      <c r="C232" s="14">
        <v>41983</v>
      </c>
      <c r="D232" s="4">
        <v>115.807</v>
      </c>
      <c r="H232" s="14">
        <v>41982</v>
      </c>
      <c r="I232" s="4">
        <v>1.18577</v>
      </c>
    </row>
    <row r="233" spans="3:9" x14ac:dyDescent="0.75">
      <c r="C233" s="14">
        <v>41982</v>
      </c>
      <c r="D233" s="4">
        <v>115.92100000000001</v>
      </c>
      <c r="H233" s="14">
        <v>41981</v>
      </c>
      <c r="I233" s="4">
        <v>1.1740299999999999</v>
      </c>
    </row>
    <row r="234" spans="3:9" x14ac:dyDescent="0.75">
      <c r="C234" s="14">
        <v>41981</v>
      </c>
      <c r="D234" s="4">
        <v>116.38500000000001</v>
      </c>
      <c r="H234" s="14">
        <v>41978</v>
      </c>
      <c r="I234" s="4">
        <v>1.16229</v>
      </c>
    </row>
    <row r="235" spans="3:9" x14ac:dyDescent="0.75">
      <c r="C235" s="14">
        <v>41978</v>
      </c>
      <c r="D235" s="4">
        <v>116.502</v>
      </c>
      <c r="H235" s="14">
        <v>41977</v>
      </c>
      <c r="I235" s="4">
        <v>1.15055</v>
      </c>
    </row>
    <row r="236" spans="3:9" x14ac:dyDescent="0.75">
      <c r="C236" s="14">
        <v>41977</v>
      </c>
      <c r="D236" s="4">
        <v>116.242</v>
      </c>
      <c r="H236" s="14">
        <v>41976</v>
      </c>
      <c r="I236" s="4">
        <v>1.1153299999999999</v>
      </c>
    </row>
    <row r="237" spans="3:9" x14ac:dyDescent="0.75">
      <c r="C237" s="14">
        <v>41976</v>
      </c>
      <c r="D237" s="4">
        <v>116.45399999999999</v>
      </c>
      <c r="H237" s="14">
        <v>41975</v>
      </c>
      <c r="I237" s="4">
        <v>1.1035900000000001</v>
      </c>
    </row>
    <row r="238" spans="3:9" x14ac:dyDescent="0.75">
      <c r="C238" s="14">
        <v>41975</v>
      </c>
      <c r="D238" s="4">
        <v>116.35</v>
      </c>
      <c r="H238" s="14">
        <v>41974</v>
      </c>
      <c r="I238" s="4">
        <v>1.09185</v>
      </c>
    </row>
    <row r="239" spans="3:9" x14ac:dyDescent="0.75">
      <c r="C239" s="14">
        <v>41974</v>
      </c>
      <c r="D239" s="4">
        <v>116.33199999999999</v>
      </c>
      <c r="H239" s="14">
        <v>41971</v>
      </c>
      <c r="I239" s="4">
        <v>1.0801099999999999</v>
      </c>
    </row>
    <row r="240" spans="3:9" x14ac:dyDescent="0.75">
      <c r="C240" s="14">
        <v>41971</v>
      </c>
      <c r="D240" s="4">
        <v>116.39</v>
      </c>
      <c r="H240" s="14">
        <v>41970</v>
      </c>
      <c r="I240" s="4">
        <v>1.06837</v>
      </c>
    </row>
    <row r="241" spans="3:9" x14ac:dyDescent="0.75">
      <c r="C241" s="14">
        <v>41970</v>
      </c>
      <c r="D241" s="4">
        <v>116.48099999999999</v>
      </c>
      <c r="H241" s="14">
        <v>41969</v>
      </c>
      <c r="I241" s="4">
        <v>1.03315</v>
      </c>
    </row>
    <row r="242" spans="3:9" x14ac:dyDescent="0.75">
      <c r="C242" s="14">
        <v>41969</v>
      </c>
      <c r="D242" s="4">
        <v>116.254</v>
      </c>
      <c r="H242" s="14">
        <v>41968</v>
      </c>
      <c r="I242" s="4">
        <v>1.0214099999999999</v>
      </c>
    </row>
    <row r="243" spans="3:9" x14ac:dyDescent="0.75">
      <c r="C243" s="14">
        <v>41968</v>
      </c>
      <c r="D243" s="4">
        <v>116.40600000000001</v>
      </c>
      <c r="H243" s="14">
        <v>41967</v>
      </c>
      <c r="I243" s="4">
        <v>1.0096700000000001</v>
      </c>
    </row>
    <row r="244" spans="3:9" x14ac:dyDescent="0.75">
      <c r="C244" s="14">
        <v>41967</v>
      </c>
      <c r="D244" s="4">
        <v>116.246</v>
      </c>
      <c r="H244" s="14">
        <v>41964</v>
      </c>
      <c r="I244" s="4">
        <v>0.99792999999999998</v>
      </c>
    </row>
    <row r="245" spans="3:9" x14ac:dyDescent="0.75">
      <c r="C245" s="14">
        <v>41964</v>
      </c>
      <c r="D245" s="4">
        <v>116.05200000000001</v>
      </c>
      <c r="H245" s="14">
        <v>41963</v>
      </c>
      <c r="I245" s="4">
        <v>0.98619000000000001</v>
      </c>
    </row>
    <row r="246" spans="3:9" x14ac:dyDescent="0.75">
      <c r="C246" s="14">
        <v>41963</v>
      </c>
      <c r="D246" s="4">
        <v>115.636</v>
      </c>
      <c r="H246" s="14">
        <v>41962</v>
      </c>
      <c r="I246" s="4">
        <v>0.95096999999999998</v>
      </c>
    </row>
    <row r="247" spans="3:9" x14ac:dyDescent="0.75">
      <c r="C247" s="14">
        <v>41962</v>
      </c>
      <c r="D247" s="4">
        <v>115.575</v>
      </c>
      <c r="H247" s="14">
        <v>41961</v>
      </c>
      <c r="I247" s="4">
        <v>0.93923000000000001</v>
      </c>
    </row>
    <row r="248" spans="3:9" x14ac:dyDescent="0.75">
      <c r="C248" s="14">
        <v>41961</v>
      </c>
      <c r="D248" s="4">
        <v>115.572</v>
      </c>
      <c r="H248" s="14">
        <v>41960</v>
      </c>
      <c r="I248" s="4">
        <v>0.92749000000000004</v>
      </c>
    </row>
    <row r="249" spans="3:9" x14ac:dyDescent="0.75">
      <c r="C249" s="14">
        <v>41960</v>
      </c>
      <c r="D249" s="4">
        <v>115.61</v>
      </c>
      <c r="H249" s="14">
        <v>41957</v>
      </c>
      <c r="I249" s="4">
        <v>0.91574999999999995</v>
      </c>
    </row>
    <row r="250" spans="3:9" x14ac:dyDescent="0.75">
      <c r="C250" s="14">
        <v>41957</v>
      </c>
      <c r="D250" s="4">
        <v>115.28700000000001</v>
      </c>
      <c r="H250" s="14">
        <v>41956</v>
      </c>
      <c r="I250" s="4">
        <v>0.90400999999999998</v>
      </c>
    </row>
    <row r="251" spans="3:9" x14ac:dyDescent="0.75">
      <c r="C251" s="14">
        <v>41956</v>
      </c>
      <c r="D251" s="4">
        <v>115.24</v>
      </c>
      <c r="H251" s="14">
        <v>41955</v>
      </c>
      <c r="I251" s="4">
        <v>0.86878</v>
      </c>
    </row>
    <row r="252" spans="3:9" x14ac:dyDescent="0.75">
      <c r="C252" s="14">
        <v>41955</v>
      </c>
      <c r="D252" s="4">
        <v>115.31</v>
      </c>
      <c r="H252" s="14">
        <v>41954</v>
      </c>
      <c r="I252" s="4">
        <v>0.85704000000000002</v>
      </c>
    </row>
    <row r="253" spans="3:9" x14ac:dyDescent="0.75">
      <c r="C253" s="14">
        <v>41954</v>
      </c>
      <c r="D253" s="4">
        <v>115.401</v>
      </c>
      <c r="H253" s="14">
        <v>41953</v>
      </c>
      <c r="I253" s="4">
        <v>0.84530000000000005</v>
      </c>
    </row>
    <row r="254" spans="3:9" x14ac:dyDescent="0.75">
      <c r="C254" s="14">
        <v>41953</v>
      </c>
      <c r="D254" s="4">
        <v>115.316</v>
      </c>
      <c r="H254" s="14">
        <v>41950</v>
      </c>
      <c r="I254" s="4">
        <v>0.83355999999999997</v>
      </c>
    </row>
    <row r="255" spans="3:9" x14ac:dyDescent="0.75">
      <c r="C255" s="14">
        <v>41950</v>
      </c>
      <c r="D255" s="4">
        <v>115.209</v>
      </c>
      <c r="H255" s="14">
        <v>41949</v>
      </c>
      <c r="I255" s="4">
        <v>0.82181999999999999</v>
      </c>
    </row>
    <row r="256" spans="3:9" x14ac:dyDescent="0.75">
      <c r="C256" s="14">
        <v>41949</v>
      </c>
      <c r="D256" s="4">
        <v>115.369</v>
      </c>
      <c r="H256" s="14">
        <v>41948</v>
      </c>
      <c r="I256" s="4">
        <v>0.78659999999999997</v>
      </c>
    </row>
    <row r="257" spans="3:9" x14ac:dyDescent="0.75">
      <c r="C257" s="14">
        <v>41948</v>
      </c>
      <c r="D257" s="4">
        <v>115.045</v>
      </c>
      <c r="H257" s="14">
        <v>41947</v>
      </c>
      <c r="I257" s="4">
        <v>0.77485999999999999</v>
      </c>
    </row>
    <row r="258" spans="3:9" x14ac:dyDescent="0.75">
      <c r="C258" s="14">
        <v>41947</v>
      </c>
      <c r="D258" s="4">
        <v>115.071</v>
      </c>
      <c r="H258" s="14">
        <v>41946</v>
      </c>
      <c r="I258" s="4">
        <v>0.76312000000000002</v>
      </c>
    </row>
    <row r="259" spans="3:9" x14ac:dyDescent="0.75">
      <c r="C259" s="14">
        <v>41946</v>
      </c>
      <c r="D259" s="4">
        <v>115.13800000000001</v>
      </c>
      <c r="H259" s="14">
        <v>41943</v>
      </c>
      <c r="I259" s="4">
        <v>0.75138000000000005</v>
      </c>
    </row>
    <row r="260" spans="3:9" x14ac:dyDescent="0.75">
      <c r="C260" s="14">
        <v>41943</v>
      </c>
      <c r="D260" s="4">
        <v>115.321</v>
      </c>
      <c r="H260" s="14">
        <v>41942</v>
      </c>
      <c r="I260" s="4">
        <v>0.73963999999999996</v>
      </c>
    </row>
    <row r="261" spans="3:9" x14ac:dyDescent="0.75">
      <c r="C261" s="14">
        <v>41942</v>
      </c>
      <c r="D261" s="4">
        <v>114.974</v>
      </c>
      <c r="H261" s="14">
        <v>41941</v>
      </c>
      <c r="I261" s="4">
        <v>0.70442000000000005</v>
      </c>
    </row>
    <row r="262" spans="3:9" x14ac:dyDescent="0.75">
      <c r="C262" s="14">
        <v>41941</v>
      </c>
      <c r="D262" s="4">
        <v>114.818</v>
      </c>
      <c r="H262" s="14">
        <v>41940</v>
      </c>
      <c r="I262" s="4">
        <v>0.69267999999999996</v>
      </c>
    </row>
    <row r="263" spans="3:9" x14ac:dyDescent="0.75">
      <c r="C263" s="14">
        <v>41940</v>
      </c>
      <c r="D263" s="4">
        <v>114.77</v>
      </c>
      <c r="H263" s="14">
        <v>41939</v>
      </c>
      <c r="I263" s="4">
        <v>0.68093999999999999</v>
      </c>
    </row>
    <row r="264" spans="3:9" x14ac:dyDescent="0.75">
      <c r="C264" s="14">
        <v>41939</v>
      </c>
      <c r="D264" s="4">
        <v>114.727</v>
      </c>
      <c r="H264" s="14">
        <v>41936</v>
      </c>
      <c r="I264" s="4">
        <v>0.66920000000000002</v>
      </c>
    </row>
    <row r="265" spans="3:9" x14ac:dyDescent="0.75">
      <c r="C265" s="14">
        <v>41936</v>
      </c>
      <c r="D265" s="4">
        <v>114.879</v>
      </c>
      <c r="H265" s="14">
        <v>41935</v>
      </c>
      <c r="I265" s="4">
        <v>0.65746000000000004</v>
      </c>
    </row>
    <row r="266" spans="3:9" x14ac:dyDescent="0.75">
      <c r="C266" s="14">
        <v>41935</v>
      </c>
      <c r="D266" s="4">
        <v>115.02200000000001</v>
      </c>
      <c r="H266" s="14">
        <v>41934</v>
      </c>
      <c r="I266" s="4">
        <v>0.62224000000000002</v>
      </c>
    </row>
    <row r="267" spans="3:9" x14ac:dyDescent="0.75">
      <c r="C267" s="14">
        <v>41934</v>
      </c>
      <c r="D267" s="4">
        <v>115.072</v>
      </c>
      <c r="H267" s="14">
        <v>41933</v>
      </c>
      <c r="I267" s="4">
        <v>0.61050000000000004</v>
      </c>
    </row>
    <row r="268" spans="3:9" x14ac:dyDescent="0.75">
      <c r="C268" s="14">
        <v>41933</v>
      </c>
      <c r="D268" s="4">
        <v>114.931</v>
      </c>
      <c r="H268" s="14">
        <v>41932</v>
      </c>
      <c r="I268" s="4">
        <v>0.59875999999999996</v>
      </c>
    </row>
    <row r="269" spans="3:9" x14ac:dyDescent="0.75">
      <c r="C269" s="14">
        <v>41932</v>
      </c>
      <c r="D269" s="4">
        <v>114.625</v>
      </c>
      <c r="H269" s="14">
        <v>41929</v>
      </c>
      <c r="I269" s="4">
        <v>0.58701999999999999</v>
      </c>
    </row>
    <row r="270" spans="3:9" x14ac:dyDescent="0.75">
      <c r="C270" s="14">
        <v>41929</v>
      </c>
      <c r="D270" s="4">
        <v>115.023</v>
      </c>
      <c r="H270" s="14">
        <v>41928</v>
      </c>
      <c r="I270" s="4">
        <v>0.57528000000000001</v>
      </c>
    </row>
    <row r="271" spans="3:9" x14ac:dyDescent="0.75">
      <c r="C271" s="14">
        <v>41928</v>
      </c>
      <c r="D271" s="4">
        <v>114.41</v>
      </c>
      <c r="H271" s="14">
        <v>41927</v>
      </c>
      <c r="I271" s="4">
        <v>0.54005999999999998</v>
      </c>
    </row>
    <row r="272" spans="3:9" x14ac:dyDescent="0.75">
      <c r="C272" s="14">
        <v>41927</v>
      </c>
      <c r="D272" s="4">
        <v>115.547</v>
      </c>
      <c r="H272" s="14">
        <v>41926</v>
      </c>
      <c r="I272" s="4">
        <v>0.52830999999999995</v>
      </c>
    </row>
    <row r="273" spans="3:9" x14ac:dyDescent="0.75">
      <c r="C273" s="14">
        <v>41926</v>
      </c>
      <c r="D273" s="4">
        <v>115.97499999999999</v>
      </c>
      <c r="H273" s="14">
        <v>41925</v>
      </c>
      <c r="I273" s="4">
        <v>0.51656999999999997</v>
      </c>
    </row>
    <row r="274" spans="3:9" x14ac:dyDescent="0.75">
      <c r="C274" s="14">
        <v>41925</v>
      </c>
      <c r="D274" s="4">
        <v>115.932</v>
      </c>
      <c r="H274" s="14">
        <v>41922</v>
      </c>
      <c r="I274" s="4">
        <v>0.50483</v>
      </c>
    </row>
    <row r="275" spans="3:9" x14ac:dyDescent="0.75">
      <c r="C275" s="14">
        <v>41922</v>
      </c>
      <c r="D275" s="4">
        <v>116.005</v>
      </c>
      <c r="H275" s="14">
        <v>41921</v>
      </c>
      <c r="I275" s="4">
        <v>0.49308999999999997</v>
      </c>
    </row>
    <row r="276" spans="3:9" x14ac:dyDescent="0.75">
      <c r="C276" s="14">
        <v>41921</v>
      </c>
      <c r="D276" s="4">
        <v>116.098</v>
      </c>
      <c r="H276" s="14">
        <v>41920</v>
      </c>
      <c r="I276" s="4">
        <v>0.45787</v>
      </c>
    </row>
    <row r="277" spans="3:9" x14ac:dyDescent="0.75">
      <c r="C277" s="14">
        <v>41920</v>
      </c>
      <c r="D277" s="4">
        <v>115.9</v>
      </c>
      <c r="H277" s="14">
        <v>41919</v>
      </c>
      <c r="I277" s="4">
        <v>0.44613000000000003</v>
      </c>
    </row>
    <row r="278" spans="3:9" x14ac:dyDescent="0.75">
      <c r="C278" s="14">
        <v>41919</v>
      </c>
      <c r="D278" s="4">
        <v>115.964</v>
      </c>
      <c r="H278" s="14">
        <v>41918</v>
      </c>
      <c r="I278" s="4">
        <v>0.43439</v>
      </c>
    </row>
    <row r="279" spans="3:9" x14ac:dyDescent="0.75">
      <c r="C279" s="14">
        <v>41918</v>
      </c>
      <c r="D279" s="4">
        <v>116.06100000000001</v>
      </c>
      <c r="H279" s="14">
        <v>41915</v>
      </c>
      <c r="I279" s="4">
        <v>0.43439</v>
      </c>
    </row>
    <row r="280" spans="3:9" x14ac:dyDescent="0.75">
      <c r="C280" s="14">
        <v>41915</v>
      </c>
      <c r="D280" s="4">
        <v>116.127</v>
      </c>
      <c r="H280" s="14">
        <v>41914</v>
      </c>
      <c r="I280" s="4">
        <v>0.42265000000000003</v>
      </c>
    </row>
    <row r="281" spans="3:9" x14ac:dyDescent="0.75">
      <c r="C281" s="14">
        <v>41914</v>
      </c>
      <c r="D281" s="4">
        <v>116.173</v>
      </c>
      <c r="H281" s="14">
        <v>41913</v>
      </c>
      <c r="I281" s="4">
        <v>0.41091</v>
      </c>
    </row>
    <row r="282" spans="3:9" x14ac:dyDescent="0.75">
      <c r="C282" s="14">
        <v>41913</v>
      </c>
      <c r="D282" s="4">
        <v>116.474</v>
      </c>
      <c r="H282" s="14">
        <v>41912</v>
      </c>
      <c r="I282" s="4">
        <v>0.37569000000000002</v>
      </c>
    </row>
    <row r="283" spans="3:9" x14ac:dyDescent="0.75">
      <c r="C283" s="14">
        <v>41912</v>
      </c>
      <c r="D283" s="4">
        <v>116.143</v>
      </c>
      <c r="H283" s="14">
        <v>41911</v>
      </c>
      <c r="I283" s="4">
        <v>0.36395</v>
      </c>
    </row>
    <row r="284" spans="3:9" x14ac:dyDescent="0.75">
      <c r="C284" s="14">
        <v>41911</v>
      </c>
      <c r="D284" s="4">
        <v>115.90600000000001</v>
      </c>
      <c r="H284" s="14">
        <v>41908</v>
      </c>
      <c r="I284" s="4">
        <v>0.35221000000000002</v>
      </c>
    </row>
    <row r="285" spans="3:9" x14ac:dyDescent="0.75">
      <c r="C285" s="14">
        <v>41908</v>
      </c>
      <c r="D285" s="4">
        <v>116.057</v>
      </c>
      <c r="H285" s="14">
        <v>41907</v>
      </c>
      <c r="I285" s="4">
        <v>0.34046999999999999</v>
      </c>
    </row>
    <row r="286" spans="3:9" x14ac:dyDescent="0.75">
      <c r="C286" s="14">
        <v>41907</v>
      </c>
      <c r="D286" s="4">
        <v>116.157</v>
      </c>
      <c r="H286" s="14">
        <v>41906</v>
      </c>
      <c r="I286" s="4">
        <v>0.32873000000000002</v>
      </c>
    </row>
    <row r="287" spans="3:9" x14ac:dyDescent="0.75">
      <c r="C287" s="14">
        <v>41906</v>
      </c>
      <c r="D287" s="4">
        <v>115.99</v>
      </c>
      <c r="H287" s="14">
        <v>41905</v>
      </c>
      <c r="I287" s="4">
        <v>0.29350999999999999</v>
      </c>
    </row>
    <row r="288" spans="3:9" x14ac:dyDescent="0.75">
      <c r="C288" s="14">
        <v>41905</v>
      </c>
      <c r="D288" s="4">
        <v>115.931</v>
      </c>
      <c r="H288" s="14">
        <v>41904</v>
      </c>
      <c r="I288" s="4">
        <v>0.28177000000000002</v>
      </c>
    </row>
    <row r="289" spans="3:9" x14ac:dyDescent="0.75">
      <c r="C289" s="14">
        <v>41904</v>
      </c>
      <c r="D289" s="4">
        <v>116.09099999999999</v>
      </c>
      <c r="H289" s="14">
        <v>41901</v>
      </c>
      <c r="I289" s="4">
        <v>0.27002999999999999</v>
      </c>
    </row>
    <row r="290" spans="3:9" x14ac:dyDescent="0.75">
      <c r="C290" s="14">
        <v>41901</v>
      </c>
      <c r="D290" s="4">
        <v>116.111</v>
      </c>
      <c r="H290" s="14">
        <v>41900</v>
      </c>
      <c r="I290" s="4">
        <v>0.25829000000000002</v>
      </c>
    </row>
    <row r="291" spans="3:9" x14ac:dyDescent="0.75">
      <c r="C291" s="14">
        <v>41900</v>
      </c>
      <c r="D291" s="4">
        <v>115.70099999999999</v>
      </c>
      <c r="H291" s="14">
        <v>41899</v>
      </c>
      <c r="I291" s="4">
        <v>0.24654999999999999</v>
      </c>
    </row>
    <row r="292" spans="3:9" x14ac:dyDescent="0.75">
      <c r="C292" s="14">
        <v>41899</v>
      </c>
      <c r="D292" s="4">
        <v>115.904</v>
      </c>
      <c r="H292" s="14">
        <v>41898</v>
      </c>
      <c r="I292" s="4">
        <v>0.21132999999999999</v>
      </c>
    </row>
    <row r="293" spans="3:9" x14ac:dyDescent="0.75">
      <c r="C293" s="14">
        <v>41898</v>
      </c>
      <c r="D293" s="4">
        <v>115.511</v>
      </c>
      <c r="H293" s="14">
        <v>41897</v>
      </c>
      <c r="I293" s="4">
        <v>0.19958999999999999</v>
      </c>
    </row>
    <row r="294" spans="3:9" x14ac:dyDescent="0.75">
      <c r="C294" s="14">
        <v>41897</v>
      </c>
      <c r="D294" s="4">
        <v>115.502</v>
      </c>
      <c r="H294" s="14">
        <v>41894</v>
      </c>
      <c r="I294" s="4">
        <v>0.18784999999999999</v>
      </c>
    </row>
    <row r="295" spans="3:9" x14ac:dyDescent="0.75">
      <c r="C295" s="14">
        <v>41894</v>
      </c>
      <c r="D295" s="4">
        <v>115.42700000000001</v>
      </c>
      <c r="H295" s="14">
        <v>41893</v>
      </c>
      <c r="I295" s="4">
        <v>0.17610000000000001</v>
      </c>
    </row>
    <row r="296" spans="3:9" x14ac:dyDescent="0.75">
      <c r="C296" s="14">
        <v>41893</v>
      </c>
      <c r="D296" s="4">
        <v>115.61799999999999</v>
      </c>
      <c r="H296" s="14">
        <v>41892</v>
      </c>
      <c r="I296" s="4">
        <v>0.16436000000000001</v>
      </c>
    </row>
    <row r="297" spans="3:9" x14ac:dyDescent="0.75">
      <c r="C297" s="14">
        <v>41892</v>
      </c>
      <c r="D297" s="4">
        <v>115.819</v>
      </c>
      <c r="H297" s="14">
        <v>41891</v>
      </c>
      <c r="I297" s="4">
        <v>0.12914</v>
      </c>
    </row>
    <row r="298" spans="3:9" x14ac:dyDescent="0.75">
      <c r="C298" s="14">
        <v>41891</v>
      </c>
      <c r="D298" s="4">
        <v>116.069</v>
      </c>
      <c r="H298" s="14">
        <v>41890</v>
      </c>
      <c r="I298" s="4">
        <v>0.1174</v>
      </c>
    </row>
    <row r="299" spans="3:9" x14ac:dyDescent="0.75">
      <c r="C299" s="14">
        <v>41890</v>
      </c>
      <c r="D299" s="4">
        <v>116.44499999999999</v>
      </c>
      <c r="H299" s="14">
        <v>41887</v>
      </c>
      <c r="I299" s="4">
        <v>0.10566</v>
      </c>
    </row>
    <row r="300" spans="3:9" x14ac:dyDescent="0.75">
      <c r="C300" s="14">
        <v>41887</v>
      </c>
      <c r="D300" s="4">
        <v>116.57599999999999</v>
      </c>
      <c r="H300" s="14">
        <v>41886</v>
      </c>
      <c r="I300" s="4">
        <v>9.3920000000000003E-2</v>
      </c>
    </row>
    <row r="301" spans="3:9" x14ac:dyDescent="0.75">
      <c r="C301" s="14">
        <v>41886</v>
      </c>
      <c r="D301" s="4">
        <v>116.12</v>
      </c>
      <c r="H301" s="14">
        <v>41885</v>
      </c>
      <c r="I301" s="4">
        <v>8.2180000000000003E-2</v>
      </c>
    </row>
    <row r="302" spans="3:9" x14ac:dyDescent="0.75">
      <c r="C302" s="14">
        <v>41885</v>
      </c>
      <c r="D302" s="4">
        <v>115.642</v>
      </c>
      <c r="H302" s="14">
        <v>41884</v>
      </c>
      <c r="I302" s="4">
        <v>4.6960000000000002E-2</v>
      </c>
    </row>
    <row r="303" spans="3:9" x14ac:dyDescent="0.75">
      <c r="C303" s="14">
        <v>41884</v>
      </c>
      <c r="D303" s="4">
        <v>115.57</v>
      </c>
      <c r="H303" s="14">
        <v>41883</v>
      </c>
      <c r="I303" s="4">
        <v>3.5220000000000001E-2</v>
      </c>
    </row>
    <row r="304" spans="3:9" x14ac:dyDescent="0.75">
      <c r="C304" s="14">
        <v>41883</v>
      </c>
      <c r="D304" s="4">
        <v>115.73</v>
      </c>
      <c r="H304" s="14">
        <v>41880</v>
      </c>
      <c r="I304" s="4">
        <v>2.3480000000000001E-2</v>
      </c>
    </row>
    <row r="305" spans="3:9" x14ac:dyDescent="0.75">
      <c r="C305" s="14">
        <v>41880</v>
      </c>
      <c r="D305" s="4">
        <v>115.68300000000001</v>
      </c>
      <c r="H305" s="14">
        <v>41879</v>
      </c>
      <c r="I305" s="4">
        <v>1.174E-2</v>
      </c>
    </row>
    <row r="306" spans="3:9" x14ac:dyDescent="0.75">
      <c r="C306" s="14">
        <v>41879</v>
      </c>
      <c r="D306" s="4">
        <v>115.72</v>
      </c>
      <c r="H306" s="14">
        <v>41878</v>
      </c>
      <c r="I306" s="4">
        <v>0</v>
      </c>
    </row>
    <row r="307" spans="3:9" x14ac:dyDescent="0.75">
      <c r="C307" s="14">
        <v>41878</v>
      </c>
      <c r="D307" s="4">
        <v>116.152</v>
      </c>
      <c r="H307" s="14">
        <v>41877</v>
      </c>
      <c r="I307" s="4">
        <v>2.0903499999999999</v>
      </c>
    </row>
    <row r="308" spans="3:9" x14ac:dyDescent="0.75">
      <c r="C308" s="14">
        <v>41877</v>
      </c>
      <c r="D308" s="4">
        <v>116.151</v>
      </c>
      <c r="H308" s="14">
        <v>41876</v>
      </c>
      <c r="I308" s="4">
        <v>2.0788000000000002</v>
      </c>
    </row>
    <row r="309" spans="3:9" x14ac:dyDescent="0.75">
      <c r="C309" s="14">
        <v>41876</v>
      </c>
      <c r="D309" s="4">
        <v>116.11199999999999</v>
      </c>
      <c r="H309" s="14">
        <v>41873</v>
      </c>
      <c r="I309" s="4">
        <v>2.0672600000000001</v>
      </c>
    </row>
    <row r="310" spans="3:9" x14ac:dyDescent="0.75">
      <c r="C310" s="14">
        <v>41873</v>
      </c>
      <c r="D310" s="4">
        <v>115.52200000000001</v>
      </c>
      <c r="H310" s="14">
        <v>41872</v>
      </c>
      <c r="I310" s="4">
        <v>2.0557099999999999</v>
      </c>
    </row>
    <row r="311" spans="3:9" x14ac:dyDescent="0.75">
      <c r="C311" s="14">
        <v>41872</v>
      </c>
      <c r="D311" s="4">
        <v>115.523</v>
      </c>
      <c r="H311" s="14">
        <v>41871</v>
      </c>
      <c r="I311" s="4">
        <v>2.0441600000000002</v>
      </c>
    </row>
    <row r="312" spans="3:9" x14ac:dyDescent="0.75">
      <c r="C312" s="14">
        <v>41871</v>
      </c>
      <c r="D312" s="4">
        <v>115.348</v>
      </c>
      <c r="H312" s="14">
        <v>41870</v>
      </c>
      <c r="I312" s="4">
        <v>2.0095100000000001</v>
      </c>
    </row>
    <row r="313" spans="3:9" x14ac:dyDescent="0.75">
      <c r="C313" s="14">
        <v>41870</v>
      </c>
      <c r="D313" s="4">
        <v>115.33199999999999</v>
      </c>
      <c r="H313" s="14">
        <v>41869</v>
      </c>
      <c r="I313" s="4">
        <v>1.99796</v>
      </c>
    </row>
    <row r="314" spans="3:9" x14ac:dyDescent="0.75">
      <c r="C314" s="14">
        <v>41869</v>
      </c>
      <c r="D314" s="4">
        <v>115.116</v>
      </c>
      <c r="H314" s="14">
        <v>41865</v>
      </c>
      <c r="I314" s="4">
        <v>1.9748600000000001</v>
      </c>
    </row>
    <row r="315" spans="3:9" x14ac:dyDescent="0.75">
      <c r="C315" s="14">
        <v>41865</v>
      </c>
      <c r="D315" s="4">
        <v>115.05200000000001</v>
      </c>
      <c r="H315" s="14">
        <v>41864</v>
      </c>
      <c r="I315" s="4">
        <v>1.96332</v>
      </c>
    </row>
    <row r="316" spans="3:9" x14ac:dyDescent="0.75">
      <c r="C316" s="14">
        <v>41864</v>
      </c>
      <c r="D316" s="4">
        <v>114.788</v>
      </c>
      <c r="H316" s="14">
        <v>41863</v>
      </c>
      <c r="I316" s="4">
        <v>1.9286700000000001</v>
      </c>
    </row>
    <row r="317" spans="3:9" x14ac:dyDescent="0.75">
      <c r="C317" s="14">
        <v>41863</v>
      </c>
      <c r="D317" s="4">
        <v>114.85899999999999</v>
      </c>
      <c r="H317" s="14">
        <v>41862</v>
      </c>
      <c r="I317" s="4">
        <v>1.9171199999999999</v>
      </c>
    </row>
    <row r="318" spans="3:9" x14ac:dyDescent="0.75">
      <c r="C318" s="14">
        <v>41862</v>
      </c>
      <c r="D318" s="4">
        <v>114.58199999999999</v>
      </c>
      <c r="H318" s="14">
        <v>41859</v>
      </c>
      <c r="I318" s="4">
        <v>1.90557</v>
      </c>
    </row>
    <row r="319" spans="3:9" x14ac:dyDescent="0.75">
      <c r="C319" s="14">
        <v>41859</v>
      </c>
      <c r="D319" s="4">
        <v>114.25700000000001</v>
      </c>
      <c r="H319" s="14">
        <v>41858</v>
      </c>
      <c r="I319" s="4">
        <v>1.89402</v>
      </c>
    </row>
    <row r="320" spans="3:9" x14ac:dyDescent="0.75">
      <c r="C320" s="14">
        <v>41858</v>
      </c>
      <c r="D320" s="4">
        <v>114.13200000000001</v>
      </c>
      <c r="H320" s="14">
        <v>41857</v>
      </c>
      <c r="I320" s="4">
        <v>1.8824700000000001</v>
      </c>
    </row>
    <row r="321" spans="3:9" x14ac:dyDescent="0.75">
      <c r="C321" s="14">
        <v>41857</v>
      </c>
      <c r="D321" s="4">
        <v>114.34</v>
      </c>
      <c r="H321" s="14">
        <v>41856</v>
      </c>
      <c r="I321" s="4">
        <v>1.8478300000000001</v>
      </c>
    </row>
    <row r="322" spans="3:9" x14ac:dyDescent="0.75">
      <c r="C322" s="14">
        <v>41856</v>
      </c>
      <c r="D322" s="4">
        <v>114.68300000000001</v>
      </c>
      <c r="H322" s="14">
        <v>41855</v>
      </c>
      <c r="I322" s="4">
        <v>1.8362799999999999</v>
      </c>
    </row>
    <row r="323" spans="3:9" x14ac:dyDescent="0.75">
      <c r="C323" s="14">
        <v>41855</v>
      </c>
      <c r="D323" s="4">
        <v>114.89100000000001</v>
      </c>
      <c r="H323" s="14">
        <v>41852</v>
      </c>
      <c r="I323" s="4">
        <v>1.82473</v>
      </c>
    </row>
    <row r="324" spans="3:9" x14ac:dyDescent="0.75">
      <c r="C324" s="14">
        <v>41852</v>
      </c>
      <c r="D324" s="4">
        <v>114.699</v>
      </c>
      <c r="H324" s="14">
        <v>41851</v>
      </c>
      <c r="I324" s="4">
        <v>1.81318</v>
      </c>
    </row>
    <row r="325" spans="3:9" x14ac:dyDescent="0.75">
      <c r="C325" s="14">
        <v>41851</v>
      </c>
      <c r="D325" s="4">
        <v>114.851</v>
      </c>
      <c r="H325" s="14">
        <v>41850</v>
      </c>
      <c r="I325" s="4">
        <v>1.8016300000000001</v>
      </c>
    </row>
    <row r="326" spans="3:9" x14ac:dyDescent="0.75">
      <c r="C326" s="14">
        <v>41850</v>
      </c>
      <c r="D326" s="4">
        <v>114.947</v>
      </c>
      <c r="H326" s="14">
        <v>41849</v>
      </c>
      <c r="I326" s="4">
        <v>1.76698</v>
      </c>
    </row>
    <row r="327" spans="3:9" x14ac:dyDescent="0.75">
      <c r="C327" s="14">
        <v>41849</v>
      </c>
      <c r="D327" s="4">
        <v>115.304</v>
      </c>
      <c r="H327" s="14">
        <v>41848</v>
      </c>
      <c r="I327" s="4">
        <v>1.75543</v>
      </c>
    </row>
    <row r="328" spans="3:9" x14ac:dyDescent="0.75">
      <c r="C328" s="14">
        <v>41848</v>
      </c>
      <c r="D328" s="4">
        <v>115.172</v>
      </c>
      <c r="H328" s="14">
        <v>41845</v>
      </c>
      <c r="I328" s="4">
        <v>1.7438899999999999</v>
      </c>
    </row>
    <row r="329" spans="3:9" x14ac:dyDescent="0.75">
      <c r="C329" s="14">
        <v>41845</v>
      </c>
      <c r="D329" s="4">
        <v>114.852</v>
      </c>
      <c r="H329" s="14">
        <v>41844</v>
      </c>
      <c r="I329" s="4">
        <v>1.73234</v>
      </c>
    </row>
    <row r="330" spans="3:9" x14ac:dyDescent="0.75">
      <c r="C330" s="14">
        <v>41844</v>
      </c>
      <c r="D330" s="4">
        <v>114.70399999999999</v>
      </c>
      <c r="H330" s="14">
        <v>41843</v>
      </c>
      <c r="I330" s="4">
        <v>1.72079</v>
      </c>
    </row>
    <row r="331" spans="3:9" x14ac:dyDescent="0.75">
      <c r="C331" s="14">
        <v>41843</v>
      </c>
      <c r="D331" s="4">
        <v>114.69199999999999</v>
      </c>
      <c r="H331" s="14">
        <v>41842</v>
      </c>
      <c r="I331" s="4">
        <v>1.68614</v>
      </c>
    </row>
    <row r="332" spans="3:9" x14ac:dyDescent="0.75">
      <c r="C332" s="14">
        <v>41842</v>
      </c>
      <c r="D332" s="4">
        <v>114.501</v>
      </c>
      <c r="H332" s="14">
        <v>41841</v>
      </c>
      <c r="I332" s="4">
        <v>1.67459</v>
      </c>
    </row>
    <row r="333" spans="3:9" x14ac:dyDescent="0.75">
      <c r="C333" s="14">
        <v>41841</v>
      </c>
      <c r="D333" s="4">
        <v>114.59099999999999</v>
      </c>
      <c r="H333" s="14">
        <v>41838</v>
      </c>
      <c r="I333" s="4">
        <v>1.6630400000000001</v>
      </c>
    </row>
    <row r="334" spans="3:9" x14ac:dyDescent="0.75">
      <c r="C334" s="14">
        <v>41838</v>
      </c>
      <c r="D334" s="4">
        <v>114.426</v>
      </c>
      <c r="H334" s="14">
        <v>41837</v>
      </c>
      <c r="I334" s="4">
        <v>1.6514899999999999</v>
      </c>
    </row>
    <row r="335" spans="3:9" x14ac:dyDescent="0.75">
      <c r="C335" s="14">
        <v>41837</v>
      </c>
      <c r="D335" s="4">
        <v>114.55500000000001</v>
      </c>
      <c r="H335" s="14">
        <v>41836</v>
      </c>
      <c r="I335" s="4">
        <v>1.63995</v>
      </c>
    </row>
    <row r="336" spans="3:9" x14ac:dyDescent="0.75">
      <c r="C336" s="14">
        <v>41836</v>
      </c>
      <c r="D336" s="4">
        <v>114.371</v>
      </c>
      <c r="H336" s="14">
        <v>41835</v>
      </c>
      <c r="I336" s="4">
        <v>1.6052999999999999</v>
      </c>
    </row>
    <row r="337" spans="3:9" x14ac:dyDescent="0.75">
      <c r="C337" s="14">
        <v>41835</v>
      </c>
      <c r="D337" s="4">
        <v>114.149</v>
      </c>
      <c r="H337" s="14">
        <v>41834</v>
      </c>
      <c r="I337" s="4">
        <v>1.59375</v>
      </c>
    </row>
    <row r="338" spans="3:9" x14ac:dyDescent="0.75">
      <c r="C338" s="14">
        <v>41834</v>
      </c>
      <c r="D338" s="4">
        <v>114.001</v>
      </c>
      <c r="H338" s="14">
        <v>41831</v>
      </c>
      <c r="I338" s="4">
        <v>1.5822000000000001</v>
      </c>
    </row>
    <row r="339" spans="3:9" x14ac:dyDescent="0.75">
      <c r="C339" s="14">
        <v>41831</v>
      </c>
      <c r="D339" s="4">
        <v>113.97499999999999</v>
      </c>
      <c r="H339" s="14">
        <v>41830</v>
      </c>
      <c r="I339" s="4">
        <v>1.5706500000000001</v>
      </c>
    </row>
    <row r="340" spans="3:9" x14ac:dyDescent="0.75">
      <c r="C340" s="14">
        <v>41830</v>
      </c>
      <c r="D340" s="4">
        <v>113.759</v>
      </c>
      <c r="H340" s="14">
        <v>41829</v>
      </c>
      <c r="I340" s="4">
        <v>1.5590999999999999</v>
      </c>
    </row>
    <row r="341" spans="3:9" x14ac:dyDescent="0.75">
      <c r="C341" s="14">
        <v>41829</v>
      </c>
      <c r="D341" s="4">
        <v>114.087</v>
      </c>
      <c r="H341" s="14">
        <v>41828</v>
      </c>
      <c r="I341" s="4">
        <v>1.5244599999999999</v>
      </c>
    </row>
    <row r="342" spans="3:9" x14ac:dyDescent="0.75">
      <c r="C342" s="14">
        <v>41828</v>
      </c>
      <c r="D342" s="4">
        <v>114.24299999999999</v>
      </c>
      <c r="H342" s="14">
        <v>41827</v>
      </c>
      <c r="I342" s="4">
        <v>1.51291</v>
      </c>
    </row>
    <row r="343" spans="3:9" x14ac:dyDescent="0.75">
      <c r="C343" s="14">
        <v>41827</v>
      </c>
      <c r="D343" s="4">
        <v>114.431</v>
      </c>
      <c r="H343" s="14">
        <v>41824</v>
      </c>
      <c r="I343" s="4">
        <v>1.50136</v>
      </c>
    </row>
    <row r="344" spans="3:9" x14ac:dyDescent="0.75">
      <c r="C344" s="14">
        <v>41824</v>
      </c>
      <c r="D344" s="4">
        <v>114.42400000000001</v>
      </c>
      <c r="H344" s="14">
        <v>41823</v>
      </c>
      <c r="I344" s="4">
        <v>1.4898100000000001</v>
      </c>
    </row>
    <row r="345" spans="3:9" x14ac:dyDescent="0.75">
      <c r="C345" s="14">
        <v>41823</v>
      </c>
      <c r="D345" s="4">
        <v>114.16500000000001</v>
      </c>
      <c r="H345" s="14">
        <v>41822</v>
      </c>
      <c r="I345" s="4">
        <v>1.4782599999999999</v>
      </c>
    </row>
    <row r="346" spans="3:9" x14ac:dyDescent="0.75">
      <c r="C346" s="14">
        <v>41822</v>
      </c>
      <c r="D346" s="4">
        <v>113.99299999999999</v>
      </c>
      <c r="H346" s="14">
        <v>41821</v>
      </c>
      <c r="I346" s="4">
        <v>1.4436100000000001</v>
      </c>
    </row>
    <row r="347" spans="3:9" x14ac:dyDescent="0.75">
      <c r="C347" s="14">
        <v>41821</v>
      </c>
      <c r="D347" s="4">
        <v>114.274</v>
      </c>
      <c r="H347" s="14">
        <v>41820</v>
      </c>
      <c r="I347" s="4">
        <v>1.43207</v>
      </c>
    </row>
    <row r="348" spans="3:9" x14ac:dyDescent="0.75">
      <c r="C348" s="14">
        <v>41820</v>
      </c>
      <c r="D348" s="4">
        <v>114.214</v>
      </c>
      <c r="H348" s="14">
        <v>41817</v>
      </c>
      <c r="I348" s="4">
        <v>1.42052</v>
      </c>
    </row>
    <row r="349" spans="3:9" x14ac:dyDescent="0.75">
      <c r="C349" s="14">
        <v>41817</v>
      </c>
      <c r="D349" s="4">
        <v>114.30200000000001</v>
      </c>
      <c r="H349" s="14">
        <v>41816</v>
      </c>
      <c r="I349" s="4">
        <v>1.4089700000000001</v>
      </c>
    </row>
    <row r="350" spans="3:9" x14ac:dyDescent="0.75">
      <c r="C350" s="14">
        <v>41816</v>
      </c>
      <c r="D350" s="4">
        <v>114.282</v>
      </c>
      <c r="H350" s="14">
        <v>41815</v>
      </c>
      <c r="I350" s="4">
        <v>1.3974200000000001</v>
      </c>
    </row>
    <row r="351" spans="3:9" x14ac:dyDescent="0.75">
      <c r="C351" s="14">
        <v>41815</v>
      </c>
      <c r="D351" s="4">
        <v>114.121</v>
      </c>
      <c r="H351" s="14">
        <v>41814</v>
      </c>
      <c r="I351" s="4">
        <v>1.36277</v>
      </c>
    </row>
    <row r="352" spans="3:9" x14ac:dyDescent="0.75">
      <c r="C352" s="14">
        <v>41814</v>
      </c>
      <c r="D352" s="4">
        <v>114.012</v>
      </c>
      <c r="H352" s="14">
        <v>41813</v>
      </c>
      <c r="I352" s="4">
        <v>1.3512200000000001</v>
      </c>
    </row>
    <row r="353" spans="3:9" x14ac:dyDescent="0.75">
      <c r="C353" s="14">
        <v>41813</v>
      </c>
      <c r="D353" s="4">
        <v>113.736</v>
      </c>
      <c r="H353" s="14">
        <v>41810</v>
      </c>
      <c r="I353" s="4">
        <v>1.3396699999999999</v>
      </c>
    </row>
    <row r="354" spans="3:9" x14ac:dyDescent="0.75">
      <c r="C354" s="14">
        <v>41810</v>
      </c>
      <c r="D354" s="4">
        <v>113.509</v>
      </c>
      <c r="H354" s="14">
        <v>41809</v>
      </c>
      <c r="I354" s="4">
        <v>1.32813</v>
      </c>
    </row>
    <row r="355" spans="3:9" x14ac:dyDescent="0.75">
      <c r="C355" s="14">
        <v>41809</v>
      </c>
      <c r="D355" s="4">
        <v>113.755</v>
      </c>
      <c r="H355" s="14">
        <v>41808</v>
      </c>
      <c r="I355" s="4">
        <v>1.3165800000000001</v>
      </c>
    </row>
    <row r="356" spans="3:9" x14ac:dyDescent="0.75">
      <c r="C356" s="14">
        <v>41808</v>
      </c>
      <c r="D356" s="4">
        <v>113.476</v>
      </c>
      <c r="H356" s="14">
        <v>41807</v>
      </c>
      <c r="I356" s="4">
        <v>1.28193</v>
      </c>
    </row>
    <row r="357" spans="3:9" x14ac:dyDescent="0.75">
      <c r="C357" s="14">
        <v>41807</v>
      </c>
      <c r="D357" s="4">
        <v>113.69199999999999</v>
      </c>
      <c r="H357" s="14">
        <v>41806</v>
      </c>
      <c r="I357" s="4">
        <v>1.2703800000000001</v>
      </c>
    </row>
    <row r="358" spans="3:9" x14ac:dyDescent="0.75">
      <c r="C358" s="14">
        <v>41806</v>
      </c>
      <c r="D358" s="4">
        <v>113.989</v>
      </c>
      <c r="H358" s="14">
        <v>41803</v>
      </c>
      <c r="I358" s="4">
        <v>1.2588299999999999</v>
      </c>
    </row>
    <row r="359" spans="3:9" x14ac:dyDescent="0.75">
      <c r="C359" s="14">
        <v>41803</v>
      </c>
      <c r="D359" s="4">
        <v>114.066</v>
      </c>
      <c r="H359" s="14">
        <v>41802</v>
      </c>
      <c r="I359" s="4">
        <v>1.2472799999999999</v>
      </c>
    </row>
    <row r="360" spans="3:9" x14ac:dyDescent="0.75">
      <c r="C360" s="14">
        <v>41802</v>
      </c>
      <c r="D360" s="4">
        <v>113.872</v>
      </c>
      <c r="H360" s="14">
        <v>41801</v>
      </c>
      <c r="I360" s="4">
        <v>1.23573</v>
      </c>
    </row>
    <row r="361" spans="3:9" x14ac:dyDescent="0.75">
      <c r="C361" s="14">
        <v>41801</v>
      </c>
      <c r="D361" s="4">
        <v>113.89100000000001</v>
      </c>
      <c r="H361" s="14">
        <v>41800</v>
      </c>
      <c r="I361" s="4">
        <v>1.20109</v>
      </c>
    </row>
    <row r="362" spans="3:9" x14ac:dyDescent="0.75">
      <c r="C362" s="14">
        <v>41800</v>
      </c>
      <c r="D362" s="4">
        <v>114.05500000000001</v>
      </c>
      <c r="H362" s="14">
        <v>41799</v>
      </c>
      <c r="I362" s="4">
        <v>1.18954</v>
      </c>
    </row>
    <row r="363" spans="3:9" x14ac:dyDescent="0.75">
      <c r="C363" s="14">
        <v>41799</v>
      </c>
      <c r="D363" s="4">
        <v>114.598</v>
      </c>
      <c r="H363" s="14">
        <v>41796</v>
      </c>
      <c r="I363" s="4">
        <v>1.1779900000000001</v>
      </c>
    </row>
    <row r="364" spans="3:9" x14ac:dyDescent="0.75">
      <c r="C364" s="14">
        <v>41796</v>
      </c>
      <c r="D364" s="4">
        <v>114.2</v>
      </c>
      <c r="H364" s="14">
        <v>41795</v>
      </c>
      <c r="I364" s="4">
        <v>1.1664399999999999</v>
      </c>
    </row>
    <row r="365" spans="3:9" x14ac:dyDescent="0.75">
      <c r="C365" s="14">
        <v>41795</v>
      </c>
      <c r="D365" s="4">
        <v>112.877</v>
      </c>
      <c r="H365" s="14">
        <v>41794</v>
      </c>
      <c r="I365" s="4">
        <v>1.15489</v>
      </c>
    </row>
    <row r="366" spans="3:9" x14ac:dyDescent="0.75">
      <c r="C366" s="14">
        <v>41794</v>
      </c>
      <c r="D366" s="4">
        <v>112.361</v>
      </c>
      <c r="H366" s="14">
        <v>41793</v>
      </c>
      <c r="I366" s="4">
        <v>1.1202399999999999</v>
      </c>
    </row>
    <row r="367" spans="3:9" x14ac:dyDescent="0.75">
      <c r="C367" s="14">
        <v>41793</v>
      </c>
      <c r="D367" s="4">
        <v>112.48099999999999</v>
      </c>
      <c r="H367" s="14">
        <v>41792</v>
      </c>
      <c r="I367" s="4">
        <v>1.1087</v>
      </c>
    </row>
    <row r="368" spans="3:9" x14ac:dyDescent="0.75">
      <c r="C368" s="14">
        <v>41792</v>
      </c>
      <c r="D368" s="4">
        <v>112.602</v>
      </c>
      <c r="H368" s="14">
        <v>41789</v>
      </c>
      <c r="I368" s="4">
        <v>1.0971500000000001</v>
      </c>
    </row>
    <row r="369" spans="3:9" x14ac:dyDescent="0.75">
      <c r="C369" s="14">
        <v>41789</v>
      </c>
      <c r="D369" s="4">
        <v>112.569</v>
      </c>
      <c r="H369" s="14">
        <v>41788</v>
      </c>
      <c r="I369" s="4">
        <v>1.0855999999999999</v>
      </c>
    </row>
    <row r="370" spans="3:9" x14ac:dyDescent="0.75">
      <c r="C370" s="14">
        <v>41788</v>
      </c>
      <c r="D370" s="4">
        <v>112.548</v>
      </c>
      <c r="H370" s="14">
        <v>41787</v>
      </c>
      <c r="I370" s="4">
        <v>1.0740499999999999</v>
      </c>
    </row>
    <row r="371" spans="3:9" x14ac:dyDescent="0.75">
      <c r="C371" s="14">
        <v>41787</v>
      </c>
      <c r="D371" s="4">
        <v>112.77200000000001</v>
      </c>
      <c r="H371" s="14">
        <v>41786</v>
      </c>
      <c r="I371" s="4">
        <v>1.0394000000000001</v>
      </c>
    </row>
    <row r="372" spans="3:9" x14ac:dyDescent="0.75">
      <c r="C372" s="14">
        <v>41786</v>
      </c>
      <c r="D372" s="4">
        <v>112.533</v>
      </c>
      <c r="H372" s="14">
        <v>41785</v>
      </c>
      <c r="I372" s="4">
        <v>1.0278499999999999</v>
      </c>
    </row>
    <row r="373" spans="3:9" x14ac:dyDescent="0.75">
      <c r="C373" s="14">
        <v>41785</v>
      </c>
      <c r="D373" s="4">
        <v>112.449</v>
      </c>
      <c r="H373" s="14">
        <v>41782</v>
      </c>
      <c r="I373" s="4">
        <v>1.0163</v>
      </c>
    </row>
    <row r="374" spans="3:9" x14ac:dyDescent="0.75">
      <c r="C374" s="14">
        <v>41782</v>
      </c>
      <c r="D374" s="4">
        <v>111.575</v>
      </c>
      <c r="H374" s="14">
        <v>41781</v>
      </c>
      <c r="I374" s="4">
        <v>1.0047600000000001</v>
      </c>
    </row>
    <row r="375" spans="3:9" x14ac:dyDescent="0.75">
      <c r="C375" s="14">
        <v>41781</v>
      </c>
      <c r="D375" s="4">
        <v>111.026</v>
      </c>
      <c r="H375" s="14">
        <v>41780</v>
      </c>
      <c r="I375" s="4">
        <v>0.99321000000000004</v>
      </c>
    </row>
    <row r="376" spans="3:9" x14ac:dyDescent="0.75">
      <c r="C376" s="14">
        <v>41780</v>
      </c>
      <c r="D376" s="4">
        <v>111.265</v>
      </c>
      <c r="H376" s="14">
        <v>41779</v>
      </c>
      <c r="I376" s="4">
        <v>0.95855999999999997</v>
      </c>
    </row>
    <row r="377" spans="3:9" x14ac:dyDescent="0.75">
      <c r="C377" s="14">
        <v>41779</v>
      </c>
      <c r="D377" s="4">
        <v>110.889</v>
      </c>
      <c r="H377" s="14">
        <v>41778</v>
      </c>
      <c r="I377" s="4">
        <v>0.94701000000000002</v>
      </c>
    </row>
    <row r="378" spans="3:9" x14ac:dyDescent="0.75">
      <c r="C378" s="14">
        <v>41778</v>
      </c>
      <c r="D378" s="4">
        <v>111.52800000000001</v>
      </c>
      <c r="H378" s="14">
        <v>41775</v>
      </c>
      <c r="I378" s="4">
        <v>0.93545999999999996</v>
      </c>
    </row>
    <row r="379" spans="3:9" x14ac:dyDescent="0.75">
      <c r="C379" s="14">
        <v>41775</v>
      </c>
      <c r="D379" s="4">
        <v>112.105</v>
      </c>
      <c r="H379" s="14">
        <v>41774</v>
      </c>
      <c r="I379" s="4">
        <v>0.92391000000000001</v>
      </c>
    </row>
    <row r="380" spans="3:9" x14ac:dyDescent="0.75">
      <c r="C380" s="14">
        <v>41774</v>
      </c>
      <c r="D380" s="4">
        <v>111.98</v>
      </c>
      <c r="H380" s="14">
        <v>41773</v>
      </c>
      <c r="I380" s="4">
        <v>0.91235999999999995</v>
      </c>
    </row>
    <row r="381" spans="3:9" x14ac:dyDescent="0.75">
      <c r="C381" s="14">
        <v>41773</v>
      </c>
      <c r="D381" s="4">
        <v>112.76600000000001</v>
      </c>
      <c r="H381" s="14">
        <v>41772</v>
      </c>
      <c r="I381" s="4">
        <v>0.87771999999999994</v>
      </c>
    </row>
    <row r="382" spans="3:9" x14ac:dyDescent="0.75">
      <c r="C382" s="14">
        <v>41772</v>
      </c>
      <c r="D382" s="4">
        <v>112.60899999999999</v>
      </c>
      <c r="H382" s="14">
        <v>41771</v>
      </c>
      <c r="I382" s="4">
        <v>0.86617</v>
      </c>
    </row>
    <row r="383" spans="3:9" x14ac:dyDescent="0.75">
      <c r="C383" s="14">
        <v>41771</v>
      </c>
      <c r="D383" s="4">
        <v>112.467</v>
      </c>
      <c r="H383" s="14">
        <v>41768</v>
      </c>
      <c r="I383" s="4">
        <v>0.85462000000000005</v>
      </c>
    </row>
    <row r="384" spans="3:9" x14ac:dyDescent="0.75">
      <c r="C384" s="14">
        <v>41768</v>
      </c>
      <c r="D384" s="4">
        <v>112.65900000000001</v>
      </c>
      <c r="H384" s="14">
        <v>41767</v>
      </c>
      <c r="I384" s="4">
        <v>0.84306999999999999</v>
      </c>
    </row>
    <row r="385" spans="3:9" x14ac:dyDescent="0.75">
      <c r="C385" s="14">
        <v>41767</v>
      </c>
      <c r="D385" s="4">
        <v>112.83499999999999</v>
      </c>
      <c r="H385" s="14">
        <v>41766</v>
      </c>
      <c r="I385" s="4">
        <v>0.83152000000000004</v>
      </c>
    </row>
    <row r="386" spans="3:9" x14ac:dyDescent="0.75">
      <c r="C386" s="14">
        <v>41766</v>
      </c>
      <c r="D386" s="4">
        <v>112.399</v>
      </c>
      <c r="H386" s="14">
        <v>41765</v>
      </c>
      <c r="I386" s="4">
        <v>0.79688000000000003</v>
      </c>
    </row>
    <row r="387" spans="3:9" x14ac:dyDescent="0.75">
      <c r="C387" s="14">
        <v>41765</v>
      </c>
      <c r="D387" s="4">
        <v>112.541</v>
      </c>
      <c r="H387" s="14">
        <v>41764</v>
      </c>
      <c r="I387" s="4">
        <v>0.78532999999999997</v>
      </c>
    </row>
    <row r="388" spans="3:9" x14ac:dyDescent="0.75">
      <c r="C388" s="14">
        <v>41764</v>
      </c>
      <c r="D388" s="4">
        <v>112.322</v>
      </c>
      <c r="H388" s="14">
        <v>41761</v>
      </c>
      <c r="I388" s="4">
        <v>0.77378000000000002</v>
      </c>
    </row>
    <row r="389" spans="3:9" x14ac:dyDescent="0.75">
      <c r="C389" s="14">
        <v>41761</v>
      </c>
      <c r="D389" s="4">
        <v>112.217</v>
      </c>
      <c r="H389" s="14">
        <v>41759</v>
      </c>
      <c r="I389" s="4">
        <v>0.76222999999999996</v>
      </c>
    </row>
    <row r="390" spans="3:9" x14ac:dyDescent="0.75">
      <c r="C390" s="14">
        <v>41759</v>
      </c>
      <c r="D390" s="4">
        <v>112.041</v>
      </c>
      <c r="H390" s="14">
        <v>41758</v>
      </c>
      <c r="I390" s="4">
        <v>0.75068000000000001</v>
      </c>
    </row>
    <row r="391" spans="3:9" x14ac:dyDescent="0.75">
      <c r="C391" s="14">
        <v>41758</v>
      </c>
      <c r="D391" s="4">
        <v>111.718</v>
      </c>
      <c r="H391" s="14">
        <v>41757</v>
      </c>
      <c r="I391" s="4">
        <v>0.71603000000000006</v>
      </c>
    </row>
    <row r="392" spans="3:9" x14ac:dyDescent="0.75">
      <c r="C392" s="14">
        <v>41757</v>
      </c>
      <c r="D392" s="4">
        <v>111.688</v>
      </c>
      <c r="H392" s="14">
        <v>41754</v>
      </c>
      <c r="I392" s="4">
        <v>0.69293000000000005</v>
      </c>
    </row>
    <row r="393" spans="3:9" x14ac:dyDescent="0.75">
      <c r="C393" s="14">
        <v>41754</v>
      </c>
      <c r="D393" s="4">
        <v>111.875</v>
      </c>
      <c r="H393" s="14">
        <v>41753</v>
      </c>
      <c r="I393" s="4">
        <v>0.68139000000000005</v>
      </c>
    </row>
    <row r="394" spans="3:9" x14ac:dyDescent="0.75">
      <c r="C394" s="14">
        <v>41753</v>
      </c>
      <c r="D394" s="4">
        <v>111.96599999999999</v>
      </c>
      <c r="H394" s="14">
        <v>41752</v>
      </c>
      <c r="I394" s="4">
        <v>0.66983999999999999</v>
      </c>
    </row>
    <row r="395" spans="3:9" x14ac:dyDescent="0.75">
      <c r="C395" s="14">
        <v>41752</v>
      </c>
      <c r="D395" s="4">
        <v>112.179</v>
      </c>
      <c r="H395" s="14">
        <v>41751</v>
      </c>
      <c r="I395" s="4">
        <v>0.63519000000000003</v>
      </c>
    </row>
    <row r="396" spans="3:9" x14ac:dyDescent="0.75">
      <c r="C396" s="14">
        <v>41751</v>
      </c>
      <c r="D396" s="4">
        <v>112.16800000000001</v>
      </c>
      <c r="H396" s="14">
        <v>41746</v>
      </c>
      <c r="I396" s="4">
        <v>0.62363999999999997</v>
      </c>
    </row>
    <row r="397" spans="3:9" x14ac:dyDescent="0.75">
      <c r="C397" s="14">
        <v>41746</v>
      </c>
      <c r="D397" s="4">
        <v>112.089</v>
      </c>
      <c r="H397" s="14">
        <v>41745</v>
      </c>
      <c r="I397" s="4">
        <v>0.61209000000000002</v>
      </c>
    </row>
    <row r="398" spans="3:9" x14ac:dyDescent="0.75">
      <c r="C398" s="14">
        <v>41745</v>
      </c>
      <c r="D398" s="4">
        <v>112.211</v>
      </c>
      <c r="H398" s="14">
        <v>41744</v>
      </c>
      <c r="I398" s="4">
        <v>0.60053999999999996</v>
      </c>
    </row>
    <row r="399" spans="3:9" x14ac:dyDescent="0.75">
      <c r="C399" s="14">
        <v>41744</v>
      </c>
      <c r="D399" s="4">
        <v>112.136</v>
      </c>
      <c r="H399" s="14">
        <v>41743</v>
      </c>
      <c r="I399" s="4">
        <v>0.54279999999999995</v>
      </c>
    </row>
    <row r="400" spans="3:9" x14ac:dyDescent="0.75">
      <c r="C400" s="14">
        <v>41743</v>
      </c>
      <c r="D400" s="4">
        <v>111.76300000000001</v>
      </c>
      <c r="H400" s="14">
        <v>41740</v>
      </c>
      <c r="I400" s="4">
        <v>0.53125</v>
      </c>
    </row>
    <row r="401" spans="3:9" x14ac:dyDescent="0.75">
      <c r="C401" s="14">
        <v>41740</v>
      </c>
      <c r="D401" s="4">
        <v>111.631</v>
      </c>
      <c r="H401" s="14">
        <v>41739</v>
      </c>
      <c r="I401" s="4">
        <v>0.51970000000000005</v>
      </c>
    </row>
    <row r="402" spans="3:9" x14ac:dyDescent="0.75">
      <c r="C402" s="14">
        <v>41739</v>
      </c>
      <c r="D402" s="4">
        <v>111.98</v>
      </c>
      <c r="H402" s="14">
        <v>41738</v>
      </c>
      <c r="I402" s="4">
        <v>0.50814999999999999</v>
      </c>
    </row>
    <row r="403" spans="3:9" x14ac:dyDescent="0.75">
      <c r="C403" s="14">
        <v>41738</v>
      </c>
      <c r="D403" s="4">
        <v>111.807</v>
      </c>
      <c r="H403" s="14">
        <v>41737</v>
      </c>
      <c r="I403" s="4">
        <v>0.47350999999999999</v>
      </c>
    </row>
    <row r="404" spans="3:9" x14ac:dyDescent="0.75">
      <c r="C404" s="14">
        <v>41737</v>
      </c>
      <c r="D404" s="4">
        <v>111.729</v>
      </c>
      <c r="H404" s="14">
        <v>41736</v>
      </c>
      <c r="I404" s="4">
        <v>0.46195999999999998</v>
      </c>
    </row>
    <row r="405" spans="3:9" x14ac:dyDescent="0.75">
      <c r="C405" s="14">
        <v>41736</v>
      </c>
      <c r="D405" s="4">
        <v>111.98</v>
      </c>
      <c r="H405" s="14">
        <v>41733</v>
      </c>
      <c r="I405" s="4">
        <v>0.45040999999999998</v>
      </c>
    </row>
    <row r="406" spans="3:9" x14ac:dyDescent="0.75">
      <c r="C406" s="14">
        <v>41733</v>
      </c>
      <c r="D406" s="4">
        <v>112.099</v>
      </c>
      <c r="H406" s="14">
        <v>41732</v>
      </c>
      <c r="I406" s="4">
        <v>0.43885999999999997</v>
      </c>
    </row>
    <row r="407" spans="3:9" x14ac:dyDescent="0.75">
      <c r="C407" s="14">
        <v>41732</v>
      </c>
      <c r="D407" s="4">
        <v>111.496</v>
      </c>
      <c r="H407" s="14">
        <v>41731</v>
      </c>
      <c r="I407" s="4">
        <v>0.42731000000000002</v>
      </c>
    </row>
    <row r="408" spans="3:9" x14ac:dyDescent="0.75">
      <c r="C408" s="14">
        <v>41731</v>
      </c>
      <c r="D408" s="4">
        <v>111.09</v>
      </c>
      <c r="H408" s="14">
        <v>41730</v>
      </c>
      <c r="I408" s="4">
        <v>0.39266000000000001</v>
      </c>
    </row>
    <row r="409" spans="3:9" x14ac:dyDescent="0.75">
      <c r="C409" s="14">
        <v>41730</v>
      </c>
      <c r="D409" s="4">
        <v>111.166</v>
      </c>
      <c r="H409" s="14">
        <v>41729</v>
      </c>
      <c r="I409" s="4">
        <v>0.38111</v>
      </c>
    </row>
    <row r="410" spans="3:9" x14ac:dyDescent="0.75">
      <c r="C410" s="14">
        <v>41729</v>
      </c>
      <c r="D410" s="4">
        <v>111.027</v>
      </c>
      <c r="H410" s="14">
        <v>41726</v>
      </c>
      <c r="I410" s="4">
        <v>0.36957000000000001</v>
      </c>
    </row>
    <row r="411" spans="3:9" x14ac:dyDescent="0.75">
      <c r="C411" s="14">
        <v>41726</v>
      </c>
      <c r="D411" s="4">
        <v>110.928</v>
      </c>
      <c r="H411" s="14">
        <v>41725</v>
      </c>
      <c r="I411" s="4">
        <v>0.35802</v>
      </c>
    </row>
    <row r="412" spans="3:9" x14ac:dyDescent="0.75">
      <c r="C412" s="14">
        <v>41725</v>
      </c>
      <c r="D412" s="4">
        <v>110.999</v>
      </c>
      <c r="H412" s="14">
        <v>41724</v>
      </c>
      <c r="I412" s="4">
        <v>0.34647</v>
      </c>
    </row>
    <row r="413" spans="3:9" x14ac:dyDescent="0.75">
      <c r="C413" s="14">
        <v>41724</v>
      </c>
      <c r="D413" s="4">
        <v>110.65</v>
      </c>
      <c r="H413" s="14">
        <v>41723</v>
      </c>
      <c r="I413" s="4">
        <v>0.31181999999999999</v>
      </c>
    </row>
    <row r="414" spans="3:9" x14ac:dyDescent="0.75">
      <c r="C414" s="14">
        <v>41723</v>
      </c>
      <c r="D414" s="4">
        <v>110.18600000000001</v>
      </c>
      <c r="H414" s="14">
        <v>41722</v>
      </c>
      <c r="I414" s="4">
        <v>0.30026999999999998</v>
      </c>
    </row>
    <row r="415" spans="3:9" x14ac:dyDescent="0.75">
      <c r="C415" s="14">
        <v>41722</v>
      </c>
      <c r="D415" s="4">
        <v>109.998</v>
      </c>
      <c r="H415" s="14">
        <v>41719</v>
      </c>
      <c r="I415" s="4">
        <v>0.28871999999999998</v>
      </c>
    </row>
    <row r="416" spans="3:9" x14ac:dyDescent="0.75">
      <c r="C416" s="14">
        <v>41719</v>
      </c>
      <c r="D416" s="4">
        <v>110.098</v>
      </c>
      <c r="H416" s="14">
        <v>41718</v>
      </c>
      <c r="I416" s="4">
        <v>0.27717000000000003</v>
      </c>
    </row>
    <row r="417" spans="3:9" x14ac:dyDescent="0.75">
      <c r="C417" s="14">
        <v>41718</v>
      </c>
      <c r="D417" s="4">
        <v>110.021</v>
      </c>
      <c r="H417" s="14">
        <v>41717</v>
      </c>
      <c r="I417" s="4">
        <v>0.26562999999999998</v>
      </c>
    </row>
    <row r="418" spans="3:9" x14ac:dyDescent="0.75">
      <c r="C418" s="14">
        <v>41717</v>
      </c>
      <c r="D418" s="4">
        <v>110.351</v>
      </c>
      <c r="H418" s="14">
        <v>41716</v>
      </c>
      <c r="I418" s="4">
        <v>0.23097999999999999</v>
      </c>
    </row>
    <row r="419" spans="3:9" x14ac:dyDescent="0.75">
      <c r="C419" s="14">
        <v>41716</v>
      </c>
      <c r="D419" s="4">
        <v>110.443</v>
      </c>
      <c r="H419" s="14">
        <v>41715</v>
      </c>
      <c r="I419" s="4">
        <v>0.21942999999999999</v>
      </c>
    </row>
    <row r="420" spans="3:9" x14ac:dyDescent="0.75">
      <c r="C420" s="14">
        <v>41715</v>
      </c>
      <c r="D420" s="4">
        <v>110.33199999999999</v>
      </c>
      <c r="H420" s="14">
        <v>41712</v>
      </c>
      <c r="I420" s="4">
        <v>0.20788000000000001</v>
      </c>
    </row>
    <row r="421" spans="3:9" x14ac:dyDescent="0.75">
      <c r="C421" s="14">
        <v>41712</v>
      </c>
      <c r="D421" s="4">
        <v>110.143</v>
      </c>
      <c r="H421" s="14">
        <v>41711</v>
      </c>
      <c r="I421" s="4">
        <v>0.19633</v>
      </c>
    </row>
    <row r="422" spans="3:9" x14ac:dyDescent="0.75">
      <c r="C422" s="14">
        <v>41711</v>
      </c>
      <c r="D422" s="4">
        <v>110.277</v>
      </c>
      <c r="H422" s="14">
        <v>41710</v>
      </c>
      <c r="I422" s="4">
        <v>0.18478</v>
      </c>
    </row>
    <row r="423" spans="3:9" x14ac:dyDescent="0.75">
      <c r="C423" s="14">
        <v>41710</v>
      </c>
      <c r="D423" s="4">
        <v>110.155</v>
      </c>
      <c r="H423" s="14">
        <v>41709</v>
      </c>
      <c r="I423" s="4">
        <v>0.15014</v>
      </c>
    </row>
    <row r="424" spans="3:9" x14ac:dyDescent="0.75">
      <c r="C424" s="14">
        <v>41709</v>
      </c>
      <c r="D424" s="4">
        <v>110.214</v>
      </c>
      <c r="H424" s="14">
        <v>41708</v>
      </c>
      <c r="I424" s="4">
        <v>0.13858999999999999</v>
      </c>
    </row>
    <row r="425" spans="3:9" x14ac:dyDescent="0.75">
      <c r="C425" s="14">
        <v>41708</v>
      </c>
      <c r="D425" s="4">
        <v>110.363</v>
      </c>
      <c r="H425" s="14">
        <v>41705</v>
      </c>
      <c r="I425" s="4">
        <v>0.12703999999999999</v>
      </c>
    </row>
    <row r="426" spans="3:9" x14ac:dyDescent="0.75">
      <c r="C426" s="14">
        <v>41705</v>
      </c>
      <c r="D426" s="4">
        <v>110.13200000000001</v>
      </c>
      <c r="H426" s="14">
        <v>41704</v>
      </c>
      <c r="I426" s="4">
        <v>0.11549</v>
      </c>
    </row>
    <row r="427" spans="3:9" x14ac:dyDescent="0.75">
      <c r="C427" s="14">
        <v>41704</v>
      </c>
      <c r="D427" s="4">
        <v>110.063</v>
      </c>
      <c r="H427" s="14">
        <v>41703</v>
      </c>
      <c r="I427" s="4">
        <v>0.10394</v>
      </c>
    </row>
    <row r="428" spans="3:9" x14ac:dyDescent="0.75">
      <c r="C428" s="14">
        <v>41703</v>
      </c>
      <c r="D428" s="4">
        <v>110.508</v>
      </c>
      <c r="H428" s="14">
        <v>41702</v>
      </c>
      <c r="I428" s="4">
        <v>6.9290000000000004E-2</v>
      </c>
    </row>
    <row r="429" spans="3:9" x14ac:dyDescent="0.75">
      <c r="C429" s="14">
        <v>41702</v>
      </c>
      <c r="D429" s="4">
        <v>110.125</v>
      </c>
      <c r="H429" s="14">
        <v>41701</v>
      </c>
      <c r="I429" s="4">
        <v>5.774E-2</v>
      </c>
    </row>
    <row r="430" spans="3:9" x14ac:dyDescent="0.75">
      <c r="C430" s="14">
        <v>41701</v>
      </c>
      <c r="D430" s="4">
        <v>109.869</v>
      </c>
      <c r="H430" s="14">
        <v>41698</v>
      </c>
      <c r="I430" s="4">
        <v>4.6199999999999998E-2</v>
      </c>
    </row>
    <row r="431" spans="3:9" x14ac:dyDescent="0.75">
      <c r="C431" s="14">
        <v>41698</v>
      </c>
      <c r="D431" s="4">
        <v>109.771</v>
      </c>
      <c r="H431" s="14">
        <v>41697</v>
      </c>
      <c r="I431" s="4">
        <v>3.465E-2</v>
      </c>
    </row>
    <row r="432" spans="3:9" x14ac:dyDescent="0.75">
      <c r="C432" s="14">
        <v>41697</v>
      </c>
      <c r="D432" s="4">
        <v>109.821</v>
      </c>
      <c r="H432" s="14">
        <v>41696</v>
      </c>
      <c r="I432" s="4">
        <v>2.3099999999999999E-2</v>
      </c>
    </row>
    <row r="433" spans="3:9" x14ac:dyDescent="0.75">
      <c r="C433" s="14">
        <v>41696</v>
      </c>
      <c r="D433" s="4">
        <v>109.52200000000001</v>
      </c>
      <c r="H433" s="14">
        <v>41695</v>
      </c>
      <c r="I433" s="4">
        <v>2.1132599999999999</v>
      </c>
    </row>
    <row r="434" spans="3:9" x14ac:dyDescent="0.75">
      <c r="C434" s="14">
        <v>41695</v>
      </c>
      <c r="D434" s="4">
        <v>109.352</v>
      </c>
      <c r="H434" s="14">
        <v>41694</v>
      </c>
      <c r="I434" s="4">
        <v>2.1015199999999998</v>
      </c>
    </row>
    <row r="435" spans="3:9" x14ac:dyDescent="0.75">
      <c r="C435" s="14">
        <v>41694</v>
      </c>
      <c r="D435" s="4">
        <v>109.29300000000001</v>
      </c>
      <c r="H435" s="14">
        <v>41691</v>
      </c>
      <c r="I435" s="4">
        <v>2.0897800000000002</v>
      </c>
    </row>
    <row r="436" spans="3:9" x14ac:dyDescent="0.75">
      <c r="C436" s="14">
        <v>41691</v>
      </c>
      <c r="D436" s="4">
        <v>109.384</v>
      </c>
      <c r="H436" s="14">
        <v>41690</v>
      </c>
      <c r="I436" s="4">
        <v>2.0780400000000001</v>
      </c>
    </row>
    <row r="437" spans="3:9" x14ac:dyDescent="0.75">
      <c r="C437" s="14">
        <v>41690</v>
      </c>
      <c r="D437" s="4">
        <v>109.16</v>
      </c>
      <c r="H437" s="14">
        <v>41689</v>
      </c>
      <c r="I437" s="4">
        <v>2.0663</v>
      </c>
    </row>
    <row r="438" spans="3:9" x14ac:dyDescent="0.75">
      <c r="C438" s="14">
        <v>41689</v>
      </c>
      <c r="D438" s="4">
        <v>109.511</v>
      </c>
      <c r="H438" s="14">
        <v>41688</v>
      </c>
      <c r="I438" s="4">
        <v>2.0310800000000002</v>
      </c>
    </row>
    <row r="439" spans="3:9" x14ac:dyDescent="0.75">
      <c r="C439" s="14">
        <v>41688</v>
      </c>
      <c r="D439" s="4">
        <v>109.634</v>
      </c>
      <c r="H439" s="14">
        <v>41687</v>
      </c>
      <c r="I439" s="4">
        <v>2.0193400000000001</v>
      </c>
    </row>
    <row r="440" spans="3:9" x14ac:dyDescent="0.75">
      <c r="C440" s="14">
        <v>41687</v>
      </c>
      <c r="D440" s="4">
        <v>109.30800000000001</v>
      </c>
      <c r="H440" s="14">
        <v>41684</v>
      </c>
      <c r="I440" s="4">
        <v>2.0076000000000001</v>
      </c>
    </row>
    <row r="441" spans="3:9" x14ac:dyDescent="0.75">
      <c r="C441" s="14">
        <v>41684</v>
      </c>
      <c r="D441" s="4">
        <v>109</v>
      </c>
      <c r="H441" s="14">
        <v>41683</v>
      </c>
      <c r="I441" s="4">
        <v>1.99586</v>
      </c>
    </row>
    <row r="442" spans="3:9" x14ac:dyDescent="0.75">
      <c r="C442" s="14">
        <v>41683</v>
      </c>
      <c r="D442" s="4">
        <v>108.729</v>
      </c>
      <c r="H442" s="14">
        <v>41682</v>
      </c>
      <c r="I442" s="4">
        <v>1.9841200000000001</v>
      </c>
    </row>
    <row r="443" spans="3:9" x14ac:dyDescent="0.75">
      <c r="C443" s="14">
        <v>41682</v>
      </c>
      <c r="D443" s="4">
        <v>108.661</v>
      </c>
      <c r="H443" s="14">
        <v>41681</v>
      </c>
      <c r="I443" s="4">
        <v>1.9489000000000001</v>
      </c>
    </row>
    <row r="444" spans="3:9" x14ac:dyDescent="0.75">
      <c r="C444" s="14">
        <v>41681</v>
      </c>
      <c r="D444" s="4">
        <v>108.752</v>
      </c>
      <c r="H444" s="14">
        <v>41680</v>
      </c>
      <c r="I444" s="4">
        <v>1.9371499999999999</v>
      </c>
    </row>
    <row r="445" spans="3:9" x14ac:dyDescent="0.75">
      <c r="C445" s="14">
        <v>41680</v>
      </c>
      <c r="D445" s="4">
        <v>108.812</v>
      </c>
      <c r="H445" s="14">
        <v>41677</v>
      </c>
      <c r="I445" s="4">
        <v>1.9254100000000001</v>
      </c>
    </row>
    <row r="446" spans="3:9" x14ac:dyDescent="0.75">
      <c r="C446" s="14">
        <v>41677</v>
      </c>
      <c r="D446" s="4">
        <v>108.83499999999999</v>
      </c>
      <c r="H446" s="14">
        <v>41676</v>
      </c>
      <c r="I446" s="4">
        <v>1.91367</v>
      </c>
    </row>
    <row r="447" spans="3:9" x14ac:dyDescent="0.75">
      <c r="C447" s="14">
        <v>41676</v>
      </c>
      <c r="D447" s="4">
        <v>108.465</v>
      </c>
      <c r="H447" s="14">
        <v>41675</v>
      </c>
      <c r="I447" s="4">
        <v>1.9019299999999999</v>
      </c>
    </row>
    <row r="448" spans="3:9" x14ac:dyDescent="0.75">
      <c r="C448" s="14">
        <v>41675</v>
      </c>
      <c r="D448" s="4">
        <v>108.583</v>
      </c>
      <c r="H448" s="14">
        <v>41674</v>
      </c>
      <c r="I448" s="4">
        <v>1.8667100000000001</v>
      </c>
    </row>
    <row r="449" spans="3:9" x14ac:dyDescent="0.75">
      <c r="C449" s="14">
        <v>41674</v>
      </c>
      <c r="D449" s="4">
        <v>108.413</v>
      </c>
      <c r="H449" s="14">
        <v>41673</v>
      </c>
      <c r="I449" s="4">
        <v>1.85497</v>
      </c>
    </row>
    <row r="450" spans="3:9" x14ac:dyDescent="0.75">
      <c r="C450" s="14">
        <v>41673</v>
      </c>
      <c r="D450" s="4">
        <v>108.489</v>
      </c>
      <c r="H450" s="14">
        <v>41670</v>
      </c>
      <c r="I450" s="4">
        <v>1.8432299999999999</v>
      </c>
    </row>
    <row r="451" spans="3:9" x14ac:dyDescent="0.75">
      <c r="C451" s="14">
        <v>41670</v>
      </c>
      <c r="D451" s="4">
        <v>108.343</v>
      </c>
      <c r="H451" s="14">
        <v>41669</v>
      </c>
      <c r="I451" s="4">
        <v>1.8314900000000001</v>
      </c>
    </row>
    <row r="452" spans="3:9" x14ac:dyDescent="0.75">
      <c r="C452" s="14">
        <v>41669</v>
      </c>
      <c r="D452" s="4">
        <v>107.907</v>
      </c>
      <c r="H452" s="14">
        <v>41668</v>
      </c>
      <c r="I452" s="4">
        <v>1.81975</v>
      </c>
    </row>
    <row r="453" spans="3:9" x14ac:dyDescent="0.75">
      <c r="C453" s="14">
        <v>41668</v>
      </c>
      <c r="D453" s="4">
        <v>107.69</v>
      </c>
      <c r="H453" s="14">
        <v>41667</v>
      </c>
      <c r="I453" s="4">
        <v>1.7845299999999999</v>
      </c>
    </row>
    <row r="454" spans="3:9" x14ac:dyDescent="0.75">
      <c r="C454" s="14">
        <v>41667</v>
      </c>
      <c r="D454" s="4">
        <v>107.624</v>
      </c>
      <c r="H454" s="14">
        <v>41666</v>
      </c>
      <c r="I454" s="4">
        <v>1.7727900000000001</v>
      </c>
    </row>
    <row r="455" spans="3:9" x14ac:dyDescent="0.75">
      <c r="C455" s="14">
        <v>41666</v>
      </c>
      <c r="D455" s="4">
        <v>107.379</v>
      </c>
      <c r="H455" s="14">
        <v>41663</v>
      </c>
      <c r="I455" s="4">
        <v>1.76105</v>
      </c>
    </row>
    <row r="456" spans="3:9" x14ac:dyDescent="0.75">
      <c r="C456" s="14">
        <v>41663</v>
      </c>
      <c r="D456" s="4">
        <v>107.572</v>
      </c>
      <c r="H456" s="14">
        <v>41662</v>
      </c>
      <c r="I456" s="4">
        <v>1.7493099999999999</v>
      </c>
    </row>
    <row r="457" spans="3:9" x14ac:dyDescent="0.75">
      <c r="C457" s="14">
        <v>41662</v>
      </c>
      <c r="D457" s="4">
        <v>107.765</v>
      </c>
      <c r="H457" s="14">
        <v>41661</v>
      </c>
      <c r="I457" s="4">
        <v>1.7375700000000001</v>
      </c>
    </row>
    <row r="458" spans="3:9" x14ac:dyDescent="0.75">
      <c r="C458" s="14">
        <v>41661</v>
      </c>
      <c r="D458" s="4">
        <v>107.976</v>
      </c>
      <c r="H458" s="14">
        <v>41660</v>
      </c>
      <c r="I458" s="4">
        <v>1.70235</v>
      </c>
    </row>
    <row r="459" spans="3:9" x14ac:dyDescent="0.75">
      <c r="C459" s="14">
        <v>41660</v>
      </c>
      <c r="D459" s="4">
        <v>108.018</v>
      </c>
      <c r="H459" s="14">
        <v>41659</v>
      </c>
      <c r="I459" s="4">
        <v>1.6906099999999999</v>
      </c>
    </row>
    <row r="460" spans="3:9" x14ac:dyDescent="0.75">
      <c r="C460" s="14">
        <v>41659</v>
      </c>
      <c r="D460" s="4">
        <v>108.139</v>
      </c>
      <c r="H460" s="14">
        <v>41656</v>
      </c>
      <c r="I460" s="4">
        <v>1.6788700000000001</v>
      </c>
    </row>
    <row r="461" spans="3:9" x14ac:dyDescent="0.75">
      <c r="C461" s="14">
        <v>41656</v>
      </c>
      <c r="D461" s="4">
        <v>108.057</v>
      </c>
      <c r="H461" s="14">
        <v>41655</v>
      </c>
      <c r="I461" s="4">
        <v>1.66713</v>
      </c>
    </row>
    <row r="462" spans="3:9" x14ac:dyDescent="0.75">
      <c r="C462" s="14">
        <v>41655</v>
      </c>
      <c r="D462" s="4">
        <v>107.916</v>
      </c>
      <c r="H462" s="14">
        <v>41654</v>
      </c>
      <c r="I462" s="4">
        <v>1.6553899999999999</v>
      </c>
    </row>
    <row r="463" spans="3:9" x14ac:dyDescent="0.75">
      <c r="C463" s="14">
        <v>41654</v>
      </c>
      <c r="D463" s="4">
        <v>107.831</v>
      </c>
      <c r="H463" s="14">
        <v>41653</v>
      </c>
      <c r="I463" s="4">
        <v>1.6201700000000001</v>
      </c>
    </row>
    <row r="464" spans="3:9" x14ac:dyDescent="0.75">
      <c r="C464" s="14">
        <v>41653</v>
      </c>
      <c r="D464" s="4">
        <v>107.73099999999999</v>
      </c>
      <c r="H464" s="14">
        <v>41652</v>
      </c>
      <c r="I464" s="4">
        <v>1.60843</v>
      </c>
    </row>
    <row r="465" spans="3:9" x14ac:dyDescent="0.75">
      <c r="C465" s="14">
        <v>41652</v>
      </c>
      <c r="D465" s="4">
        <v>107.672</v>
      </c>
      <c r="H465" s="14">
        <v>41649</v>
      </c>
      <c r="I465" s="4">
        <v>1.5966899999999999</v>
      </c>
    </row>
    <row r="466" spans="3:9" x14ac:dyDescent="0.75">
      <c r="C466" s="14">
        <v>41649</v>
      </c>
      <c r="D466" s="4">
        <v>107.547</v>
      </c>
      <c r="H466" s="14">
        <v>41648</v>
      </c>
      <c r="I466" s="4">
        <v>1.58494</v>
      </c>
    </row>
    <row r="467" spans="3:9" x14ac:dyDescent="0.75">
      <c r="C467" s="14">
        <v>41648</v>
      </c>
      <c r="D467" s="4">
        <v>107.593</v>
      </c>
      <c r="H467" s="14">
        <v>41647</v>
      </c>
      <c r="I467" s="4">
        <v>1.5731999999999999</v>
      </c>
    </row>
    <row r="468" spans="3:9" x14ac:dyDescent="0.75">
      <c r="C468" s="14">
        <v>41647</v>
      </c>
      <c r="D468" s="4">
        <v>107.551</v>
      </c>
      <c r="H468" s="14">
        <v>41646</v>
      </c>
      <c r="I468" s="4">
        <v>1.5379799999999999</v>
      </c>
    </row>
    <row r="469" spans="3:9" x14ac:dyDescent="0.75">
      <c r="C469" s="14">
        <v>41646</v>
      </c>
      <c r="D469" s="4">
        <v>107.58799999999999</v>
      </c>
      <c r="H469" s="14">
        <v>41645</v>
      </c>
      <c r="I469" s="4">
        <v>1.52624</v>
      </c>
    </row>
    <row r="470" spans="3:9" x14ac:dyDescent="0.75">
      <c r="C470" s="14">
        <v>41645</v>
      </c>
      <c r="D470" s="4">
        <v>107.301</v>
      </c>
      <c r="H470" s="14">
        <v>41642</v>
      </c>
      <c r="I470" s="4">
        <v>1.5145</v>
      </c>
    </row>
    <row r="471" spans="3:9" x14ac:dyDescent="0.75">
      <c r="C471" s="14">
        <v>41642</v>
      </c>
      <c r="D471" s="4">
        <v>107.28700000000001</v>
      </c>
      <c r="H471" s="14">
        <v>41641</v>
      </c>
      <c r="I471" s="4">
        <v>1.5027600000000001</v>
      </c>
    </row>
    <row r="472" spans="3:9" x14ac:dyDescent="0.75">
      <c r="C472" s="14">
        <v>41641</v>
      </c>
      <c r="D472" s="4">
        <v>107.048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U2512"/>
  <sheetViews>
    <sheetView topLeftCell="F1" workbookViewId="0">
      <selection activeCell="C5" sqref="C5"/>
    </sheetView>
  </sheetViews>
  <sheetFormatPr defaultColWidth="8.86328125" defaultRowHeight="14.75" x14ac:dyDescent="0.75"/>
  <cols>
    <col min="1" max="1" width="8.86328125" style="4"/>
    <col min="2" max="2" width="9.86328125" style="4" bestFit="1" customWidth="1"/>
    <col min="3" max="3" width="25.86328125" style="4" customWidth="1"/>
    <col min="4" max="7" width="21.40625" style="4" customWidth="1"/>
    <col min="8" max="11" width="8.86328125" style="4"/>
    <col min="12" max="12" width="15.54296875" style="4" bestFit="1" customWidth="1"/>
    <col min="13" max="13" width="15.54296875" style="5" bestFit="1" customWidth="1"/>
    <col min="14" max="14" width="10.54296875" style="4" bestFit="1" customWidth="1"/>
    <col min="15" max="15" width="12" style="5" bestFit="1" customWidth="1"/>
    <col min="16" max="16" width="15.86328125" style="4" customWidth="1"/>
    <col min="17" max="17" width="10.54296875" style="5" bestFit="1" customWidth="1"/>
    <col min="18" max="18" width="10.54296875" style="4" bestFit="1" customWidth="1"/>
    <col min="19" max="19" width="10.54296875" style="5" bestFit="1" customWidth="1"/>
    <col min="20" max="20" width="10.54296875" style="4" bestFit="1" customWidth="1"/>
    <col min="21" max="21" width="10.54296875" style="5" bestFit="1" customWidth="1"/>
    <col min="22" max="16384" width="8.86328125" style="4"/>
  </cols>
  <sheetData>
    <row r="5" spans="2:21" x14ac:dyDescent="0.75">
      <c r="B5" s="1" t="s">
        <v>155</v>
      </c>
      <c r="C5" s="2" t="s">
        <v>156</v>
      </c>
      <c r="D5" s="2" t="s">
        <v>157</v>
      </c>
      <c r="E5" s="2" t="s">
        <v>158</v>
      </c>
      <c r="F5" s="2" t="s">
        <v>159</v>
      </c>
      <c r="G5" s="3" t="s">
        <v>160</v>
      </c>
      <c r="L5" s="4" t="s">
        <v>156</v>
      </c>
      <c r="M5" s="5" t="s">
        <v>156</v>
      </c>
      <c r="N5" s="4" t="s">
        <v>157</v>
      </c>
      <c r="O5" s="5" t="s">
        <v>157</v>
      </c>
      <c r="P5" s="4" t="s">
        <v>158</v>
      </c>
      <c r="Q5" s="5" t="s">
        <v>158</v>
      </c>
      <c r="R5" s="4" t="s">
        <v>159</v>
      </c>
      <c r="S5" s="5" t="s">
        <v>159</v>
      </c>
      <c r="T5" s="4" t="s">
        <v>160</v>
      </c>
      <c r="U5" s="5" t="s">
        <v>160</v>
      </c>
    </row>
    <row r="6" spans="2:21" ht="29.5" x14ac:dyDescent="0.75">
      <c r="B6" s="6" t="s">
        <v>161</v>
      </c>
      <c r="C6" s="7" t="s">
        <v>162</v>
      </c>
      <c r="D6" s="8" t="s">
        <v>163</v>
      </c>
      <c r="E6" s="8" t="s">
        <v>164</v>
      </c>
      <c r="F6" s="8" t="s">
        <v>165</v>
      </c>
      <c r="G6" s="9" t="s">
        <v>166</v>
      </c>
      <c r="L6" s="4" t="s">
        <v>5</v>
      </c>
      <c r="M6" s="5" t="s">
        <v>6</v>
      </c>
      <c r="N6" s="4" t="s">
        <v>5</v>
      </c>
      <c r="O6" s="5" t="s">
        <v>6</v>
      </c>
      <c r="P6" s="4" t="s">
        <v>5</v>
      </c>
      <c r="Q6" s="5" t="s">
        <v>6</v>
      </c>
      <c r="R6" s="4" t="s">
        <v>5</v>
      </c>
      <c r="S6" s="5" t="s">
        <v>6</v>
      </c>
      <c r="T6" s="4" t="s">
        <v>5</v>
      </c>
      <c r="U6" s="5" t="s">
        <v>6</v>
      </c>
    </row>
    <row r="7" spans="2:21" x14ac:dyDescent="0.75">
      <c r="B7" s="10" t="s">
        <v>167</v>
      </c>
      <c r="C7" s="11" t="s">
        <v>168</v>
      </c>
      <c r="D7" s="12" t="s">
        <v>169</v>
      </c>
      <c r="E7" s="12" t="s">
        <v>170</v>
      </c>
      <c r="F7" s="12" t="s">
        <v>171</v>
      </c>
      <c r="G7" s="13" t="s">
        <v>172</v>
      </c>
      <c r="L7" s="14">
        <v>42306</v>
      </c>
      <c r="M7" s="5">
        <v>161.96</v>
      </c>
      <c r="N7" s="14">
        <v>42306</v>
      </c>
      <c r="O7" s="5">
        <v>1108.5999999999999</v>
      </c>
      <c r="P7" s="14">
        <v>42306</v>
      </c>
      <c r="Q7" s="5">
        <v>17.14</v>
      </c>
      <c r="R7" s="14">
        <v>42307</v>
      </c>
      <c r="S7" s="5">
        <v>1006.393</v>
      </c>
      <c r="T7" s="14">
        <v>42306</v>
      </c>
      <c r="U7" s="5">
        <v>61.3</v>
      </c>
    </row>
    <row r="8" spans="2:21" x14ac:dyDescent="0.75">
      <c r="B8" s="15" t="s">
        <v>173</v>
      </c>
      <c r="C8" s="16">
        <v>0.15</v>
      </c>
      <c r="D8" s="17">
        <v>0.15</v>
      </c>
      <c r="E8" s="17">
        <v>0.6</v>
      </c>
      <c r="F8" s="17">
        <v>0.05</v>
      </c>
      <c r="G8" s="18">
        <v>0.05</v>
      </c>
      <c r="L8" s="14">
        <v>42305</v>
      </c>
      <c r="M8" s="5">
        <v>161.30000000000001</v>
      </c>
      <c r="N8" s="14">
        <v>42305</v>
      </c>
      <c r="O8" s="5">
        <v>1108.5999999999999</v>
      </c>
      <c r="P8" s="14">
        <v>42305</v>
      </c>
      <c r="Q8" s="5">
        <v>17.2</v>
      </c>
      <c r="R8" s="14">
        <v>42306</v>
      </c>
      <c r="S8" s="5">
        <v>1011.967</v>
      </c>
      <c r="T8" s="14">
        <v>42305</v>
      </c>
      <c r="U8" s="5">
        <v>61.35</v>
      </c>
    </row>
    <row r="9" spans="2:21" x14ac:dyDescent="0.75">
      <c r="L9" s="14">
        <v>42304</v>
      </c>
      <c r="M9" s="5">
        <v>160.05000000000001</v>
      </c>
      <c r="N9" s="14">
        <v>42304</v>
      </c>
      <c r="O9" s="5">
        <v>1106.1500000000001</v>
      </c>
      <c r="P9" s="14">
        <v>42304</v>
      </c>
      <c r="Q9" s="5">
        <v>17.16</v>
      </c>
      <c r="R9" s="14">
        <v>42305</v>
      </c>
      <c r="S9" s="5">
        <v>1021.206</v>
      </c>
      <c r="T9" s="14">
        <v>42304</v>
      </c>
      <c r="U9" s="5">
        <v>61.83</v>
      </c>
    </row>
    <row r="10" spans="2:21" x14ac:dyDescent="0.75">
      <c r="L10" s="14">
        <v>42303</v>
      </c>
      <c r="M10" s="5">
        <v>160.9</v>
      </c>
      <c r="N10" s="14">
        <v>42303</v>
      </c>
      <c r="O10" s="5">
        <v>1106.43</v>
      </c>
      <c r="P10" s="14">
        <v>42303</v>
      </c>
      <c r="Q10" s="5">
        <v>17.190000000000001</v>
      </c>
      <c r="R10" s="14">
        <v>42304</v>
      </c>
      <c r="S10" s="5">
        <v>996.73699999999997</v>
      </c>
      <c r="T10" s="14">
        <v>42303</v>
      </c>
      <c r="U10" s="5">
        <v>61.950499999999998</v>
      </c>
    </row>
    <row r="11" spans="2:21" x14ac:dyDescent="0.75">
      <c r="L11" s="14">
        <v>42300</v>
      </c>
      <c r="M11" s="5">
        <v>161.29</v>
      </c>
      <c r="N11" s="14">
        <v>42300</v>
      </c>
      <c r="O11" s="5">
        <v>1106.3800000000001</v>
      </c>
      <c r="P11" s="14">
        <v>42300</v>
      </c>
      <c r="Q11" s="5">
        <v>17.16</v>
      </c>
      <c r="R11" s="14">
        <v>42303</v>
      </c>
      <c r="S11" s="5">
        <v>1000.877</v>
      </c>
      <c r="T11" s="14">
        <v>42300</v>
      </c>
      <c r="U11" s="5">
        <v>61.93</v>
      </c>
    </row>
    <row r="12" spans="2:21" x14ac:dyDescent="0.75">
      <c r="E12" s="4" t="e">
        <f ca="1">_xll.RHistory($C$5:$G$5,".Timestamp;.Close","START:2004-12-31 INTERVAL:1D",,"CH:In;Fd",$L$5)</f>
        <v>#NAME?</v>
      </c>
      <c r="L12" s="14">
        <v>42299</v>
      </c>
      <c r="M12" s="5">
        <v>157.79</v>
      </c>
      <c r="N12" s="14">
        <v>42299</v>
      </c>
      <c r="O12" s="5">
        <v>1103.1300000000001</v>
      </c>
      <c r="P12" s="14">
        <v>42299</v>
      </c>
      <c r="Q12" s="5">
        <v>17.135000000000002</v>
      </c>
      <c r="R12" s="14">
        <v>42300</v>
      </c>
      <c r="S12" s="5">
        <v>1007.576</v>
      </c>
      <c r="T12" s="14">
        <v>42299</v>
      </c>
      <c r="U12" s="5">
        <v>62.71</v>
      </c>
    </row>
    <row r="13" spans="2:21" x14ac:dyDescent="0.75">
      <c r="L13" s="14">
        <v>42298</v>
      </c>
      <c r="M13" s="5">
        <v>153.72999999999999</v>
      </c>
      <c r="N13" s="14">
        <v>42298</v>
      </c>
      <c r="O13" s="5">
        <v>1103.2</v>
      </c>
      <c r="P13" s="14">
        <v>42298</v>
      </c>
      <c r="Q13" s="5">
        <v>17.170000000000002</v>
      </c>
      <c r="R13" s="14">
        <v>42299</v>
      </c>
      <c r="S13" s="5">
        <v>1003.963</v>
      </c>
      <c r="T13" s="14">
        <v>42298</v>
      </c>
      <c r="U13" s="5">
        <v>62.47</v>
      </c>
    </row>
    <row r="14" spans="2:21" x14ac:dyDescent="0.75">
      <c r="L14" s="14">
        <v>42297</v>
      </c>
      <c r="M14" s="5">
        <v>154.37</v>
      </c>
      <c r="N14" s="14">
        <v>42296</v>
      </c>
      <c r="O14" s="5">
        <v>1105.1600000000001</v>
      </c>
      <c r="P14" s="14">
        <v>42297</v>
      </c>
      <c r="Q14" s="5">
        <v>17.12</v>
      </c>
      <c r="R14" s="14">
        <v>42298</v>
      </c>
      <c r="S14" s="5">
        <v>981.98699999999997</v>
      </c>
      <c r="T14" s="14">
        <v>42297</v>
      </c>
      <c r="U14" s="5">
        <v>62.48</v>
      </c>
    </row>
    <row r="15" spans="2:21" x14ac:dyDescent="0.75">
      <c r="L15" s="14">
        <v>42296</v>
      </c>
      <c r="M15" s="5">
        <v>155.06</v>
      </c>
      <c r="N15" s="14">
        <v>42293</v>
      </c>
      <c r="O15" s="5">
        <v>1103.44</v>
      </c>
      <c r="P15" s="14">
        <v>42296</v>
      </c>
      <c r="Q15" s="5">
        <v>17.11</v>
      </c>
      <c r="R15" s="14">
        <v>42297</v>
      </c>
      <c r="S15" s="5">
        <v>988.76199999999994</v>
      </c>
      <c r="T15" s="14">
        <v>42296</v>
      </c>
      <c r="U15" s="5">
        <v>62.51</v>
      </c>
    </row>
    <row r="16" spans="2:21" x14ac:dyDescent="0.75">
      <c r="L16" s="14">
        <v>42293</v>
      </c>
      <c r="M16" s="5">
        <v>154.41</v>
      </c>
      <c r="N16" s="14">
        <v>42292</v>
      </c>
      <c r="O16" s="5">
        <v>1102.6199999999999</v>
      </c>
      <c r="P16" s="14">
        <v>42293</v>
      </c>
      <c r="Q16" s="5">
        <v>17.16</v>
      </c>
      <c r="R16" s="14">
        <v>42296</v>
      </c>
      <c r="S16" s="5">
        <v>988.77300000000002</v>
      </c>
      <c r="T16" s="14">
        <v>42293</v>
      </c>
      <c r="U16" s="5">
        <v>61.53</v>
      </c>
    </row>
    <row r="17" spans="12:21" x14ac:dyDescent="0.75">
      <c r="L17" s="14">
        <v>42292</v>
      </c>
      <c r="M17" s="5">
        <v>153.63</v>
      </c>
      <c r="N17" s="14">
        <v>42291</v>
      </c>
      <c r="O17" s="5">
        <v>1100.49</v>
      </c>
      <c r="P17" s="14">
        <v>42292</v>
      </c>
      <c r="Q17" s="5">
        <v>17.149999999999999</v>
      </c>
      <c r="R17" s="14">
        <v>42293</v>
      </c>
      <c r="S17" s="5">
        <v>998.83600000000001</v>
      </c>
      <c r="T17" s="14">
        <v>42292</v>
      </c>
      <c r="U17" s="5">
        <v>60.93</v>
      </c>
    </row>
    <row r="18" spans="12:21" x14ac:dyDescent="0.75">
      <c r="L18" s="14">
        <v>42291</v>
      </c>
      <c r="M18" s="5">
        <v>150.82</v>
      </c>
      <c r="N18" s="14">
        <v>42286</v>
      </c>
      <c r="O18" s="5">
        <v>1102.71</v>
      </c>
      <c r="P18" s="14">
        <v>42291</v>
      </c>
      <c r="Q18" s="5">
        <v>17.18</v>
      </c>
      <c r="R18" s="14">
        <v>42292</v>
      </c>
      <c r="S18" s="5">
        <v>996.86699999999996</v>
      </c>
      <c r="T18" s="14">
        <v>42291</v>
      </c>
      <c r="U18" s="5">
        <v>60.09</v>
      </c>
    </row>
    <row r="19" spans="12:21" x14ac:dyDescent="0.75">
      <c r="L19" s="14">
        <v>42290</v>
      </c>
      <c r="M19" s="5">
        <v>152.4</v>
      </c>
      <c r="N19" s="14">
        <v>42285</v>
      </c>
      <c r="O19" s="5">
        <v>1102.48</v>
      </c>
      <c r="P19" s="14">
        <v>42290</v>
      </c>
      <c r="Q19" s="5">
        <v>17.11</v>
      </c>
      <c r="R19" s="14">
        <v>42291</v>
      </c>
      <c r="S19" s="5">
        <v>992.66600000000005</v>
      </c>
      <c r="T19" s="14">
        <v>42290</v>
      </c>
      <c r="U19" s="5">
        <v>60.77</v>
      </c>
    </row>
    <row r="20" spans="12:21" x14ac:dyDescent="0.75">
      <c r="L20" s="14">
        <v>42289</v>
      </c>
      <c r="M20" s="5">
        <v>153.69999999999999</v>
      </c>
      <c r="N20" s="14">
        <v>42284</v>
      </c>
      <c r="O20" s="5">
        <v>1100.92</v>
      </c>
      <c r="P20" s="14">
        <v>42289</v>
      </c>
      <c r="Q20" s="5">
        <v>17.14</v>
      </c>
      <c r="R20" s="14">
        <v>42290</v>
      </c>
      <c r="S20" s="5">
        <v>999.38800000000003</v>
      </c>
      <c r="T20" s="14">
        <v>42289</v>
      </c>
      <c r="U20" s="5">
        <v>61.31</v>
      </c>
    </row>
    <row r="21" spans="12:21" x14ac:dyDescent="0.75">
      <c r="L21" s="14">
        <v>42286</v>
      </c>
      <c r="M21" s="5">
        <v>153.78</v>
      </c>
      <c r="N21" s="14">
        <v>42283</v>
      </c>
      <c r="O21" s="5">
        <v>1100.3800000000001</v>
      </c>
      <c r="P21" s="14">
        <v>42286</v>
      </c>
      <c r="Q21" s="5">
        <v>17.07</v>
      </c>
      <c r="R21" s="14">
        <v>42289</v>
      </c>
      <c r="S21" s="5">
        <v>1004.989</v>
      </c>
      <c r="T21" s="14">
        <v>42286</v>
      </c>
      <c r="U21" s="5">
        <v>60.97</v>
      </c>
    </row>
    <row r="22" spans="12:21" x14ac:dyDescent="0.75">
      <c r="L22" s="14">
        <v>42285</v>
      </c>
      <c r="M22" s="5">
        <v>153.78</v>
      </c>
      <c r="N22" s="14">
        <v>42282</v>
      </c>
      <c r="O22" s="5">
        <v>1100.27</v>
      </c>
      <c r="P22" s="14">
        <v>42285</v>
      </c>
      <c r="Q22" s="5">
        <v>17.13</v>
      </c>
      <c r="R22" s="14">
        <v>42286</v>
      </c>
      <c r="S22" s="5">
        <v>1016.615</v>
      </c>
      <c r="T22" s="14">
        <v>42285</v>
      </c>
      <c r="U22" s="5">
        <v>61.15</v>
      </c>
    </row>
    <row r="23" spans="12:21" x14ac:dyDescent="0.75">
      <c r="L23" s="14">
        <v>42284</v>
      </c>
      <c r="M23" s="5">
        <v>153.53</v>
      </c>
      <c r="N23" s="14">
        <v>42279</v>
      </c>
      <c r="O23" s="5">
        <v>1096.72</v>
      </c>
      <c r="P23" s="14">
        <v>42284</v>
      </c>
      <c r="Q23" s="5">
        <v>17.09</v>
      </c>
      <c r="R23" s="14">
        <v>42285</v>
      </c>
      <c r="S23" s="5">
        <v>1011.628</v>
      </c>
      <c r="T23" s="14">
        <v>42284</v>
      </c>
      <c r="U23" s="5">
        <v>60.72</v>
      </c>
    </row>
    <row r="24" spans="12:21" x14ac:dyDescent="0.75">
      <c r="L24" s="14">
        <v>42283</v>
      </c>
      <c r="M24" s="5">
        <v>151.72</v>
      </c>
      <c r="N24" s="14">
        <v>42278</v>
      </c>
      <c r="O24" s="5">
        <v>1096.6199999999999</v>
      </c>
      <c r="P24" s="14">
        <v>42283</v>
      </c>
      <c r="Q24" s="5">
        <v>17.09</v>
      </c>
      <c r="R24" s="14">
        <v>42284</v>
      </c>
      <c r="S24" s="5">
        <v>1013.655</v>
      </c>
      <c r="T24" s="14">
        <v>42283</v>
      </c>
      <c r="U24" s="5">
        <v>60.21</v>
      </c>
    </row>
    <row r="25" spans="12:21" x14ac:dyDescent="0.75">
      <c r="L25" s="14">
        <v>42282</v>
      </c>
      <c r="M25" s="5">
        <v>151.99</v>
      </c>
      <c r="N25" s="14">
        <v>42276</v>
      </c>
      <c r="O25" s="5">
        <v>1092.49</v>
      </c>
      <c r="P25" s="14">
        <v>42282</v>
      </c>
      <c r="Q25" s="5">
        <v>17.12</v>
      </c>
      <c r="R25" s="14">
        <v>42283</v>
      </c>
      <c r="S25" s="5">
        <v>1011.085</v>
      </c>
      <c r="T25" s="14">
        <v>42282</v>
      </c>
      <c r="U25" s="5">
        <v>60.66</v>
      </c>
    </row>
    <row r="26" spans="12:21" x14ac:dyDescent="0.75">
      <c r="L26" s="14">
        <v>42279</v>
      </c>
      <c r="M26" s="5">
        <v>148.28</v>
      </c>
      <c r="N26" s="14">
        <v>42275</v>
      </c>
      <c r="O26" s="5">
        <v>1095.3399999999999</v>
      </c>
      <c r="P26" s="14">
        <v>42279</v>
      </c>
      <c r="Q26" s="5">
        <v>17.13</v>
      </c>
      <c r="R26" s="14">
        <v>42282</v>
      </c>
      <c r="S26" s="5">
        <v>1003.572</v>
      </c>
      <c r="T26" s="14">
        <v>42279</v>
      </c>
      <c r="U26" s="5">
        <v>59.838000000000001</v>
      </c>
    </row>
    <row r="27" spans="12:21" x14ac:dyDescent="0.75">
      <c r="L27" s="14">
        <v>42278</v>
      </c>
      <c r="M27" s="5">
        <v>147.49</v>
      </c>
      <c r="N27" s="14">
        <v>42272</v>
      </c>
      <c r="O27" s="5">
        <v>1102.3399999999999</v>
      </c>
      <c r="P27" s="14">
        <v>42278</v>
      </c>
      <c r="Q27" s="5">
        <v>17.149999999999999</v>
      </c>
      <c r="R27" s="14">
        <v>42279</v>
      </c>
      <c r="S27" s="5">
        <v>986.83</v>
      </c>
      <c r="T27" s="14">
        <v>42278</v>
      </c>
      <c r="U27" s="5">
        <v>59.242800000000003</v>
      </c>
    </row>
    <row r="28" spans="12:21" x14ac:dyDescent="0.75">
      <c r="L28" s="14">
        <v>42277</v>
      </c>
      <c r="M28" s="5">
        <v>147.43</v>
      </c>
      <c r="N28" s="14">
        <v>42271</v>
      </c>
      <c r="O28" s="5">
        <v>1102.6600000000001</v>
      </c>
      <c r="P28" s="14">
        <v>42277</v>
      </c>
      <c r="Q28" s="5">
        <v>17.100000000000001</v>
      </c>
      <c r="R28" s="14">
        <v>42278</v>
      </c>
      <c r="S28" s="5">
        <v>985.76499999999999</v>
      </c>
      <c r="T28" s="14">
        <v>42277</v>
      </c>
      <c r="U28" s="5">
        <v>59.289000000000001</v>
      </c>
    </row>
    <row r="29" spans="12:21" x14ac:dyDescent="0.75">
      <c r="L29" s="14">
        <v>42276</v>
      </c>
      <c r="M29" s="5">
        <v>143.75</v>
      </c>
      <c r="N29" s="14">
        <v>42270</v>
      </c>
      <c r="O29" s="5">
        <v>1104.54</v>
      </c>
      <c r="P29" s="14">
        <v>42276</v>
      </c>
      <c r="Q29" s="5">
        <v>17.100000000000001</v>
      </c>
      <c r="R29" s="14">
        <v>42277</v>
      </c>
      <c r="S29" s="5">
        <v>993.66800000000001</v>
      </c>
      <c r="T29" s="14">
        <v>42276</v>
      </c>
      <c r="U29" s="5">
        <v>58.81</v>
      </c>
    </row>
    <row r="30" spans="12:21" x14ac:dyDescent="0.75">
      <c r="L30" s="14">
        <v>42275</v>
      </c>
      <c r="M30" s="5">
        <v>144.79</v>
      </c>
      <c r="N30" s="14">
        <v>42269</v>
      </c>
      <c r="O30" s="5">
        <v>1105.29</v>
      </c>
      <c r="P30" s="14">
        <v>42275</v>
      </c>
      <c r="Q30" s="5">
        <v>17.07</v>
      </c>
      <c r="R30" s="14">
        <v>42276</v>
      </c>
      <c r="S30" s="5">
        <v>979.47299999999996</v>
      </c>
      <c r="T30" s="14">
        <v>42275</v>
      </c>
      <c r="U30" s="5">
        <v>57.87</v>
      </c>
    </row>
    <row r="31" spans="12:21" x14ac:dyDescent="0.75">
      <c r="L31" s="14">
        <v>42272</v>
      </c>
      <c r="M31" s="5">
        <v>148.19</v>
      </c>
      <c r="N31" s="14">
        <v>42268</v>
      </c>
      <c r="O31" s="5">
        <v>1109.0899999999999</v>
      </c>
      <c r="P31" s="14">
        <v>42272</v>
      </c>
      <c r="Q31" s="5">
        <v>17.059999999999999</v>
      </c>
      <c r="R31" s="14">
        <v>42275</v>
      </c>
      <c r="S31" s="5">
        <v>974.37699999999995</v>
      </c>
      <c r="T31" s="14">
        <v>42272</v>
      </c>
      <c r="U31" s="5">
        <v>58.8</v>
      </c>
    </row>
    <row r="32" spans="12:21" x14ac:dyDescent="0.75">
      <c r="L32" s="14">
        <v>42271</v>
      </c>
      <c r="M32" s="5">
        <v>146.01</v>
      </c>
      <c r="N32" s="14">
        <v>42265</v>
      </c>
      <c r="O32" s="5">
        <v>1108.6099999999999</v>
      </c>
      <c r="P32" s="14">
        <v>42271</v>
      </c>
      <c r="Q32" s="5">
        <v>17.14</v>
      </c>
      <c r="R32" s="14">
        <v>42272</v>
      </c>
      <c r="S32" s="5">
        <v>991.88499999999999</v>
      </c>
      <c r="T32" s="14">
        <v>42271</v>
      </c>
      <c r="U32" s="5">
        <v>59.09</v>
      </c>
    </row>
    <row r="33" spans="12:21" x14ac:dyDescent="0.75">
      <c r="L33" s="14">
        <v>42270</v>
      </c>
      <c r="M33" s="5">
        <v>148.78</v>
      </c>
      <c r="N33" s="14">
        <v>42264</v>
      </c>
      <c r="O33" s="5">
        <v>1111.3699999999999</v>
      </c>
      <c r="P33" s="14">
        <v>42270</v>
      </c>
      <c r="Q33" s="5">
        <v>17.100000000000001</v>
      </c>
      <c r="R33" s="14">
        <v>42271</v>
      </c>
      <c r="S33" s="5">
        <v>981.11099999999999</v>
      </c>
      <c r="T33" s="14">
        <v>42270</v>
      </c>
      <c r="U33" s="5">
        <v>59.45</v>
      </c>
    </row>
    <row r="34" spans="12:21" x14ac:dyDescent="0.75">
      <c r="L34" s="14">
        <v>42269</v>
      </c>
      <c r="M34" s="5">
        <v>149.57</v>
      </c>
      <c r="N34" s="14">
        <v>42263</v>
      </c>
      <c r="O34" s="5">
        <v>1110.4100000000001</v>
      </c>
      <c r="P34" s="14">
        <v>42269</v>
      </c>
      <c r="Q34" s="5">
        <v>17.05</v>
      </c>
      <c r="R34" s="14">
        <v>42270</v>
      </c>
      <c r="S34" s="5">
        <v>978.60199999999998</v>
      </c>
      <c r="T34" s="14">
        <v>42269</v>
      </c>
      <c r="U34" s="5">
        <v>58.99</v>
      </c>
    </row>
    <row r="35" spans="12:21" x14ac:dyDescent="0.75">
      <c r="L35" s="14">
        <v>42268</v>
      </c>
      <c r="M35" s="5">
        <v>151.24</v>
      </c>
      <c r="N35" s="14">
        <v>42261</v>
      </c>
      <c r="O35" s="5">
        <v>1108.32</v>
      </c>
      <c r="P35" s="14">
        <v>42268</v>
      </c>
      <c r="Q35" s="5">
        <v>17.07</v>
      </c>
      <c r="R35" s="14">
        <v>42269</v>
      </c>
      <c r="S35" s="5">
        <v>991.25</v>
      </c>
      <c r="T35" s="14">
        <v>42268</v>
      </c>
      <c r="U35" s="5">
        <v>59.49</v>
      </c>
    </row>
    <row r="36" spans="12:21" x14ac:dyDescent="0.75">
      <c r="L36" s="14">
        <v>42265</v>
      </c>
      <c r="M36" s="5">
        <v>149.21</v>
      </c>
      <c r="N36" s="14">
        <v>42258</v>
      </c>
      <c r="O36" s="5">
        <v>1109.23</v>
      </c>
      <c r="P36" s="14">
        <v>42265</v>
      </c>
      <c r="Q36" s="5">
        <v>17.100000000000001</v>
      </c>
      <c r="R36" s="14">
        <v>42268</v>
      </c>
      <c r="S36" s="5">
        <v>994.77300000000002</v>
      </c>
      <c r="T36" s="14">
        <v>42265</v>
      </c>
      <c r="U36" s="5">
        <v>58.89</v>
      </c>
    </row>
    <row r="37" spans="12:21" x14ac:dyDescent="0.75">
      <c r="L37" s="14">
        <v>42264</v>
      </c>
      <c r="M37" s="5">
        <v>151.80000000000001</v>
      </c>
      <c r="N37" s="14">
        <v>42257</v>
      </c>
      <c r="O37" s="5">
        <v>1109.3499999999999</v>
      </c>
      <c r="P37" s="14">
        <v>42264</v>
      </c>
      <c r="Q37" s="5">
        <v>16.989999999999998</v>
      </c>
      <c r="R37" s="14">
        <v>42265</v>
      </c>
      <c r="S37" s="5">
        <v>969.75400000000002</v>
      </c>
      <c r="T37" s="14">
        <v>42264</v>
      </c>
      <c r="U37" s="5">
        <v>58.75</v>
      </c>
    </row>
    <row r="38" spans="12:21" x14ac:dyDescent="0.75">
      <c r="L38" s="14">
        <v>42263</v>
      </c>
      <c r="M38" s="5">
        <v>152.06</v>
      </c>
      <c r="N38" s="14">
        <v>42256</v>
      </c>
      <c r="O38" s="5">
        <v>1110.0899999999999</v>
      </c>
      <c r="P38" s="14">
        <v>42263</v>
      </c>
      <c r="Q38" s="5">
        <v>16.96</v>
      </c>
      <c r="R38" s="14">
        <v>42264</v>
      </c>
      <c r="S38" s="5">
        <v>986.72</v>
      </c>
      <c r="T38" s="14">
        <v>42263</v>
      </c>
      <c r="U38" s="5">
        <v>57.92</v>
      </c>
    </row>
    <row r="39" spans="12:21" x14ac:dyDescent="0.75">
      <c r="L39" s="14">
        <v>42262</v>
      </c>
      <c r="M39" s="5">
        <v>150.4</v>
      </c>
      <c r="N39" s="14">
        <v>42251</v>
      </c>
      <c r="O39" s="5">
        <v>1108.46</v>
      </c>
      <c r="P39" s="14">
        <v>42262</v>
      </c>
      <c r="Q39" s="5">
        <v>17.03</v>
      </c>
      <c r="R39" s="14">
        <v>42263</v>
      </c>
      <c r="S39" s="5">
        <v>999.2</v>
      </c>
      <c r="T39" s="14">
        <v>42262</v>
      </c>
      <c r="U39" s="5">
        <v>57.307000000000002</v>
      </c>
    </row>
    <row r="40" spans="12:21" x14ac:dyDescent="0.75">
      <c r="L40" s="14">
        <v>42261</v>
      </c>
      <c r="M40" s="5">
        <v>149.04</v>
      </c>
      <c r="N40" s="14">
        <v>42250</v>
      </c>
      <c r="O40" s="5">
        <v>1109.55</v>
      </c>
      <c r="P40" s="14">
        <v>42261</v>
      </c>
      <c r="Q40" s="5">
        <v>17.079999999999998</v>
      </c>
      <c r="R40" s="14">
        <v>42262</v>
      </c>
      <c r="S40" s="5">
        <v>988.32299999999998</v>
      </c>
      <c r="T40" s="14">
        <v>42261</v>
      </c>
      <c r="U40" s="5">
        <v>56.566400000000002</v>
      </c>
    </row>
    <row r="41" spans="12:21" x14ac:dyDescent="0.75">
      <c r="L41" s="14">
        <v>42258</v>
      </c>
      <c r="M41" s="5">
        <v>149.57</v>
      </c>
      <c r="N41" s="14">
        <v>42249</v>
      </c>
      <c r="O41" s="5">
        <v>1107.96</v>
      </c>
      <c r="P41" s="14">
        <v>42258</v>
      </c>
      <c r="Q41" s="5">
        <v>17.07</v>
      </c>
      <c r="R41" s="14">
        <v>42261</v>
      </c>
      <c r="S41" s="5">
        <v>982.78300000000002</v>
      </c>
      <c r="T41" s="14">
        <v>42258</v>
      </c>
      <c r="U41" s="5">
        <v>56.55</v>
      </c>
    </row>
    <row r="42" spans="12:21" x14ac:dyDescent="0.75">
      <c r="L42" s="14">
        <v>42257</v>
      </c>
      <c r="M42" s="5">
        <v>150.31</v>
      </c>
      <c r="N42" s="14">
        <v>42248</v>
      </c>
      <c r="O42" s="5">
        <v>1107.08</v>
      </c>
      <c r="P42" s="14">
        <v>42257</v>
      </c>
      <c r="Q42" s="5">
        <v>17.03</v>
      </c>
      <c r="R42" s="14">
        <v>42258</v>
      </c>
      <c r="S42" s="5">
        <v>990.38699999999994</v>
      </c>
      <c r="T42" s="14">
        <v>42257</v>
      </c>
      <c r="U42" s="5">
        <v>55.5</v>
      </c>
    </row>
    <row r="43" spans="12:21" x14ac:dyDescent="0.75">
      <c r="L43" s="14">
        <v>42256</v>
      </c>
      <c r="M43" s="5">
        <v>151.36000000000001</v>
      </c>
      <c r="N43" s="14">
        <v>42244</v>
      </c>
      <c r="O43" s="5">
        <v>1110.57</v>
      </c>
      <c r="P43" s="14">
        <v>42256</v>
      </c>
      <c r="Q43" s="5">
        <v>17.03</v>
      </c>
      <c r="R43" s="14">
        <v>42257</v>
      </c>
      <c r="S43" s="5">
        <v>1000.193</v>
      </c>
      <c r="T43" s="14">
        <v>42256</v>
      </c>
      <c r="U43" s="5">
        <v>55.42</v>
      </c>
    </row>
    <row r="44" spans="12:21" x14ac:dyDescent="0.75">
      <c r="L44" s="14">
        <v>42255</v>
      </c>
      <c r="M44" s="5">
        <v>150.66</v>
      </c>
      <c r="N44" s="14">
        <v>42243</v>
      </c>
      <c r="O44" s="5">
        <v>1110.3900000000001</v>
      </c>
      <c r="P44" s="14">
        <v>42255</v>
      </c>
      <c r="Q44" s="5">
        <v>17.059999999999999</v>
      </c>
      <c r="R44" s="14">
        <v>42256</v>
      </c>
      <c r="S44" s="5">
        <v>998.73299999999995</v>
      </c>
      <c r="T44" s="14">
        <v>42255</v>
      </c>
      <c r="U44" s="5">
        <v>56.12</v>
      </c>
    </row>
    <row r="45" spans="12:21" x14ac:dyDescent="0.75">
      <c r="L45" s="14">
        <v>42254</v>
      </c>
      <c r="M45" s="5">
        <v>148.4</v>
      </c>
      <c r="N45" s="14">
        <v>42242</v>
      </c>
      <c r="O45" s="5">
        <v>1105.48</v>
      </c>
      <c r="P45" s="14">
        <v>42254</v>
      </c>
      <c r="Q45" s="5">
        <v>17.079999999999998</v>
      </c>
      <c r="R45" s="14">
        <v>42255</v>
      </c>
      <c r="S45" s="5">
        <v>1010.224</v>
      </c>
      <c r="T45" s="14">
        <v>42251</v>
      </c>
      <c r="U45" s="5">
        <v>55.47</v>
      </c>
    </row>
    <row r="46" spans="12:21" x14ac:dyDescent="0.75">
      <c r="L46" s="14">
        <v>42251</v>
      </c>
      <c r="M46" s="5">
        <v>148.91</v>
      </c>
      <c r="N46" s="14">
        <v>42241</v>
      </c>
      <c r="O46" s="5">
        <v>1104.27</v>
      </c>
      <c r="P46" s="14">
        <v>42251</v>
      </c>
      <c r="Q46" s="5">
        <v>17.05</v>
      </c>
      <c r="R46" s="14">
        <v>42251</v>
      </c>
      <c r="S46" s="5">
        <v>1002.138</v>
      </c>
      <c r="T46" s="14">
        <v>42250</v>
      </c>
      <c r="U46" s="5">
        <v>56.52</v>
      </c>
    </row>
    <row r="47" spans="12:21" x14ac:dyDescent="0.75">
      <c r="L47" s="14">
        <v>42250</v>
      </c>
      <c r="M47" s="5">
        <v>151.69</v>
      </c>
      <c r="N47" s="14">
        <v>42240</v>
      </c>
      <c r="O47" s="5">
        <v>1102.3800000000001</v>
      </c>
      <c r="P47" s="14">
        <v>42250</v>
      </c>
      <c r="Q47" s="5">
        <v>17.05</v>
      </c>
      <c r="R47" s="14">
        <v>42250</v>
      </c>
      <c r="S47" s="5">
        <v>1016.2089999999999</v>
      </c>
      <c r="T47" s="14">
        <v>42249</v>
      </c>
      <c r="U47" s="5">
        <v>56.42</v>
      </c>
    </row>
    <row r="48" spans="12:21" x14ac:dyDescent="0.75">
      <c r="L48" s="14">
        <v>42249</v>
      </c>
      <c r="M48" s="5">
        <v>149.18</v>
      </c>
      <c r="N48" s="14">
        <v>42237</v>
      </c>
      <c r="O48" s="5">
        <v>1109.82</v>
      </c>
      <c r="P48" s="14">
        <v>42249</v>
      </c>
      <c r="Q48" s="5">
        <v>17.05</v>
      </c>
      <c r="R48" s="14">
        <v>42249</v>
      </c>
      <c r="S48" s="5">
        <v>997.10299999999995</v>
      </c>
      <c r="T48" s="14">
        <v>42248</v>
      </c>
      <c r="U48" s="5">
        <v>56.03</v>
      </c>
    </row>
    <row r="49" spans="12:21" x14ac:dyDescent="0.75">
      <c r="L49" s="14">
        <v>42248</v>
      </c>
      <c r="M49" s="5">
        <v>147.63</v>
      </c>
      <c r="N49" s="14">
        <v>42236</v>
      </c>
      <c r="O49" s="5">
        <v>1115.08</v>
      </c>
      <c r="P49" s="14">
        <v>42248</v>
      </c>
      <c r="Q49" s="5">
        <v>17.02</v>
      </c>
      <c r="R49" s="14">
        <v>42248</v>
      </c>
      <c r="S49" s="5">
        <v>987.48299999999995</v>
      </c>
      <c r="T49" s="14">
        <v>42247</v>
      </c>
      <c r="U49" s="5">
        <v>57.03</v>
      </c>
    </row>
    <row r="50" spans="12:21" x14ac:dyDescent="0.75">
      <c r="L50" s="14">
        <v>42247</v>
      </c>
      <c r="M50" s="5">
        <v>152.38999999999999</v>
      </c>
      <c r="N50" s="14">
        <v>42235</v>
      </c>
      <c r="O50" s="5">
        <v>1119.1500000000001</v>
      </c>
      <c r="P50" s="14">
        <v>42247</v>
      </c>
      <c r="Q50" s="5">
        <v>17.05</v>
      </c>
      <c r="R50" s="14">
        <v>42244</v>
      </c>
      <c r="S50" s="5">
        <v>1006.528</v>
      </c>
      <c r="T50" s="14">
        <v>42244</v>
      </c>
      <c r="U50" s="5">
        <v>58.27</v>
      </c>
    </row>
    <row r="51" spans="12:21" x14ac:dyDescent="0.75">
      <c r="L51" s="14">
        <v>42244</v>
      </c>
      <c r="M51" s="5">
        <v>153.24</v>
      </c>
      <c r="N51" s="14">
        <v>42233</v>
      </c>
      <c r="O51" s="5">
        <v>1121.33</v>
      </c>
      <c r="P51" s="14">
        <v>42244</v>
      </c>
      <c r="Q51" s="5">
        <v>17</v>
      </c>
      <c r="R51" s="14">
        <v>42243</v>
      </c>
      <c r="S51" s="5">
        <v>979.06299999999999</v>
      </c>
      <c r="T51" s="14">
        <v>42243</v>
      </c>
      <c r="U51" s="5">
        <v>58.267200000000003</v>
      </c>
    </row>
    <row r="52" spans="12:21" x14ac:dyDescent="0.75">
      <c r="L52" s="14">
        <v>42243</v>
      </c>
      <c r="M52" s="5">
        <v>152.55000000000001</v>
      </c>
      <c r="N52" s="14">
        <v>42230</v>
      </c>
      <c r="O52" s="5">
        <v>1120.08</v>
      </c>
      <c r="P52" s="14">
        <v>42243</v>
      </c>
      <c r="Q52" s="5">
        <v>17.04</v>
      </c>
      <c r="R52" s="14">
        <v>42242</v>
      </c>
      <c r="S52" s="5">
        <v>933.02499999999998</v>
      </c>
      <c r="T52" s="14">
        <v>42242</v>
      </c>
      <c r="U52" s="5">
        <v>57.29</v>
      </c>
    </row>
    <row r="53" spans="12:21" x14ac:dyDescent="0.75">
      <c r="L53" s="14">
        <v>42242</v>
      </c>
      <c r="M53" s="5">
        <v>146.76</v>
      </c>
      <c r="N53" s="14">
        <v>42229</v>
      </c>
      <c r="O53" s="5">
        <v>1119.8900000000001</v>
      </c>
      <c r="P53" s="14">
        <v>42242</v>
      </c>
      <c r="Q53" s="5">
        <v>17.05</v>
      </c>
      <c r="R53" s="14">
        <v>42241</v>
      </c>
      <c r="S53" s="5">
        <v>939.96199999999999</v>
      </c>
      <c r="T53" s="14">
        <v>42241</v>
      </c>
      <c r="U53" s="5">
        <v>55.98</v>
      </c>
    </row>
    <row r="54" spans="12:21" x14ac:dyDescent="0.75">
      <c r="L54" s="14">
        <v>42241</v>
      </c>
      <c r="M54" s="5">
        <v>144.01</v>
      </c>
      <c r="N54" s="14">
        <v>42228</v>
      </c>
      <c r="O54" s="5">
        <v>1118.3900000000001</v>
      </c>
      <c r="P54" s="14">
        <v>42241</v>
      </c>
      <c r="Q54" s="5">
        <v>17.04</v>
      </c>
      <c r="R54" s="14">
        <v>42240</v>
      </c>
      <c r="S54" s="5">
        <v>920.50199999999995</v>
      </c>
      <c r="T54" s="14">
        <v>42240</v>
      </c>
      <c r="U54" s="5">
        <v>57.47</v>
      </c>
    </row>
    <row r="55" spans="12:21" x14ac:dyDescent="0.75">
      <c r="L55" s="14">
        <v>42240</v>
      </c>
      <c r="M55" s="5">
        <v>142.12</v>
      </c>
      <c r="N55" s="14">
        <v>42226</v>
      </c>
      <c r="O55" s="5">
        <v>1124.04</v>
      </c>
      <c r="P55" s="14">
        <v>42240</v>
      </c>
      <c r="Q55" s="5">
        <v>17.16</v>
      </c>
      <c r="R55" s="14">
        <v>42237</v>
      </c>
      <c r="S55" s="5">
        <v>960.76</v>
      </c>
      <c r="T55" s="14">
        <v>42237</v>
      </c>
      <c r="U55" s="5">
        <v>60.31</v>
      </c>
    </row>
    <row r="56" spans="12:21" x14ac:dyDescent="0.75">
      <c r="L56" s="14">
        <v>42237</v>
      </c>
      <c r="M56" s="5">
        <v>151.21</v>
      </c>
      <c r="N56" s="14">
        <v>42223</v>
      </c>
      <c r="O56" s="5">
        <v>1122.9100000000001</v>
      </c>
      <c r="P56" s="14">
        <v>42237</v>
      </c>
      <c r="Q56" s="5">
        <v>17.11</v>
      </c>
      <c r="R56" s="14">
        <v>42236</v>
      </c>
      <c r="S56" s="5">
        <v>992.52499999999998</v>
      </c>
      <c r="T56" s="14">
        <v>42236</v>
      </c>
      <c r="U56" s="5">
        <v>61.482999999999997</v>
      </c>
    </row>
    <row r="57" spans="12:21" x14ac:dyDescent="0.75">
      <c r="L57" s="14">
        <v>42236</v>
      </c>
      <c r="M57" s="5">
        <v>156.94999999999999</v>
      </c>
      <c r="N57" s="14">
        <v>42222</v>
      </c>
      <c r="O57" s="5">
        <v>1124.67</v>
      </c>
      <c r="P57" s="14">
        <v>42236</v>
      </c>
      <c r="Q57" s="5">
        <v>17.13</v>
      </c>
      <c r="R57" s="14">
        <v>42235</v>
      </c>
      <c r="S57" s="5">
        <v>995.51099999999997</v>
      </c>
      <c r="T57" s="14">
        <v>42235</v>
      </c>
      <c r="U57" s="5">
        <v>61.55</v>
      </c>
    </row>
    <row r="58" spans="12:21" x14ac:dyDescent="0.75">
      <c r="L58" s="14">
        <v>42235</v>
      </c>
      <c r="M58" s="5">
        <v>161.6</v>
      </c>
      <c r="N58" s="14">
        <v>42221</v>
      </c>
      <c r="O58" s="5">
        <v>1126.32</v>
      </c>
      <c r="P58" s="14">
        <v>42235</v>
      </c>
      <c r="Q58" s="5">
        <v>17.05</v>
      </c>
      <c r="R58" s="14">
        <v>42234</v>
      </c>
      <c r="S58" s="5">
        <v>1015.798</v>
      </c>
      <c r="T58" s="14">
        <v>42234</v>
      </c>
      <c r="U58" s="5">
        <v>61.920099999999998</v>
      </c>
    </row>
    <row r="59" spans="12:21" x14ac:dyDescent="0.75">
      <c r="L59" s="14">
        <v>42234</v>
      </c>
      <c r="M59" s="5">
        <v>163.58000000000001</v>
      </c>
      <c r="N59" s="14">
        <v>42220</v>
      </c>
      <c r="O59" s="5">
        <v>1126.99</v>
      </c>
      <c r="P59" s="14">
        <v>42234</v>
      </c>
      <c r="Q59" s="5">
        <v>16.975000000000001</v>
      </c>
      <c r="R59" s="14">
        <v>42233</v>
      </c>
      <c r="S59" s="5">
        <v>1017.4109999999999</v>
      </c>
      <c r="T59" s="14">
        <v>42233</v>
      </c>
      <c r="U59" s="5">
        <v>61.73</v>
      </c>
    </row>
    <row r="60" spans="12:21" x14ac:dyDescent="0.75">
      <c r="L60" s="14">
        <v>42233</v>
      </c>
      <c r="M60" s="5">
        <v>163.5</v>
      </c>
      <c r="N60" s="14">
        <v>42219</v>
      </c>
      <c r="O60" s="5">
        <v>1127.8699999999999</v>
      </c>
      <c r="P60" s="14">
        <v>42233</v>
      </c>
      <c r="Q60" s="5">
        <v>16.989999999999998</v>
      </c>
      <c r="R60" s="14">
        <v>42230</v>
      </c>
      <c r="S60" s="5">
        <v>1019.234</v>
      </c>
      <c r="T60" s="14">
        <v>42230</v>
      </c>
      <c r="U60" s="5">
        <v>61.12</v>
      </c>
    </row>
    <row r="61" spans="12:21" x14ac:dyDescent="0.75">
      <c r="L61" s="14">
        <v>42230</v>
      </c>
      <c r="M61" s="5">
        <v>162.66999999999999</v>
      </c>
      <c r="N61" s="14">
        <v>42216</v>
      </c>
      <c r="O61" s="5">
        <v>1127.271696</v>
      </c>
      <c r="P61" s="14">
        <v>42229</v>
      </c>
      <c r="Q61" s="5">
        <v>16.989999999999998</v>
      </c>
      <c r="R61" s="14">
        <v>42229</v>
      </c>
      <c r="S61" s="5">
        <v>1019.056</v>
      </c>
      <c r="T61" s="14">
        <v>42229</v>
      </c>
      <c r="U61" s="5">
        <v>60.73</v>
      </c>
    </row>
    <row r="62" spans="12:21" x14ac:dyDescent="0.75">
      <c r="L62" s="14">
        <v>42229</v>
      </c>
      <c r="M62" s="5">
        <v>162.24</v>
      </c>
      <c r="N62" s="14">
        <v>42215</v>
      </c>
      <c r="O62" s="5">
        <v>1126.56</v>
      </c>
      <c r="P62" s="14">
        <v>42228</v>
      </c>
      <c r="Q62" s="5">
        <v>17.07</v>
      </c>
      <c r="R62" s="14">
        <v>42228</v>
      </c>
      <c r="S62" s="5">
        <v>1016.968</v>
      </c>
      <c r="T62" s="14">
        <v>42228</v>
      </c>
      <c r="U62" s="5">
        <v>60.67</v>
      </c>
    </row>
    <row r="63" spans="12:21" x14ac:dyDescent="0.75">
      <c r="L63" s="14">
        <v>42228</v>
      </c>
      <c r="M63" s="5">
        <v>161.29</v>
      </c>
      <c r="N63" s="14">
        <v>42214</v>
      </c>
      <c r="O63" s="5">
        <v>1125.81</v>
      </c>
      <c r="P63" s="14">
        <v>42227</v>
      </c>
      <c r="Q63" s="5">
        <v>16.98</v>
      </c>
      <c r="R63" s="14">
        <v>42227</v>
      </c>
      <c r="S63" s="5">
        <v>1033.5820000000001</v>
      </c>
      <c r="T63" s="14">
        <v>42227</v>
      </c>
      <c r="U63" s="5">
        <v>60.32</v>
      </c>
    </row>
    <row r="64" spans="12:21" x14ac:dyDescent="0.75">
      <c r="L64" s="14">
        <v>42227</v>
      </c>
      <c r="M64" s="5">
        <v>164.26</v>
      </c>
      <c r="N64" s="14">
        <v>42213</v>
      </c>
      <c r="O64" s="5">
        <v>1122.83</v>
      </c>
      <c r="P64" s="14">
        <v>42223</v>
      </c>
      <c r="Q64" s="5">
        <v>17.03</v>
      </c>
      <c r="R64" s="14">
        <v>42226</v>
      </c>
      <c r="S64" s="5">
        <v>1054.329</v>
      </c>
      <c r="T64" s="14">
        <v>42226</v>
      </c>
      <c r="U64" s="5">
        <v>59.82</v>
      </c>
    </row>
    <row r="65" spans="12:21" x14ac:dyDescent="0.75">
      <c r="L65" s="14">
        <v>42226</v>
      </c>
      <c r="M65" s="5">
        <v>166.86</v>
      </c>
      <c r="N65" s="14">
        <v>42212</v>
      </c>
      <c r="O65" s="5">
        <v>1121.49</v>
      </c>
      <c r="P65" s="14">
        <v>42222</v>
      </c>
      <c r="Q65" s="5">
        <v>16.97</v>
      </c>
      <c r="R65" s="14">
        <v>42223</v>
      </c>
      <c r="S65" s="5">
        <v>1035.5419999999999</v>
      </c>
      <c r="T65" s="14">
        <v>42223</v>
      </c>
      <c r="U65" s="5">
        <v>60.14</v>
      </c>
    </row>
    <row r="66" spans="12:21" x14ac:dyDescent="0.75">
      <c r="L66" s="14">
        <v>42223</v>
      </c>
      <c r="M66" s="5">
        <v>165.78</v>
      </c>
      <c r="N66" s="14">
        <v>42209</v>
      </c>
      <c r="O66" s="5">
        <v>1125.49</v>
      </c>
      <c r="P66" s="14">
        <v>42221</v>
      </c>
      <c r="Q66" s="5">
        <v>17</v>
      </c>
      <c r="R66" s="14">
        <v>42222</v>
      </c>
      <c r="S66" s="5">
        <v>1040.865</v>
      </c>
      <c r="T66" s="14">
        <v>42222</v>
      </c>
      <c r="U66" s="5">
        <v>59.84</v>
      </c>
    </row>
    <row r="67" spans="12:21" x14ac:dyDescent="0.75">
      <c r="L67" s="14">
        <v>42222</v>
      </c>
      <c r="M67" s="5">
        <v>166.64</v>
      </c>
      <c r="N67" s="14">
        <v>42208</v>
      </c>
      <c r="O67" s="5">
        <v>1128.58</v>
      </c>
      <c r="P67" s="14">
        <v>42220</v>
      </c>
      <c r="Q67" s="5">
        <v>17.03</v>
      </c>
      <c r="R67" s="14">
        <v>42221</v>
      </c>
      <c r="S67" s="5">
        <v>1046.7819999999999</v>
      </c>
      <c r="T67" s="14">
        <v>42221</v>
      </c>
      <c r="U67" s="5">
        <v>59.72</v>
      </c>
    </row>
    <row r="68" spans="12:21" x14ac:dyDescent="0.75">
      <c r="L68" s="14">
        <v>42221</v>
      </c>
      <c r="M68" s="5">
        <v>168.31</v>
      </c>
      <c r="N68" s="14">
        <v>42207</v>
      </c>
      <c r="O68" s="5">
        <v>1130.1600000000001</v>
      </c>
      <c r="P68" s="14">
        <v>42219</v>
      </c>
      <c r="Q68" s="5">
        <v>17.02</v>
      </c>
      <c r="R68" s="14">
        <v>42220</v>
      </c>
      <c r="S68" s="5">
        <v>1051.7632000000001</v>
      </c>
      <c r="T68" s="14">
        <v>42220</v>
      </c>
      <c r="U68" s="5">
        <v>60.06</v>
      </c>
    </row>
    <row r="69" spans="12:21" x14ac:dyDescent="0.75">
      <c r="L69" s="14">
        <v>42220</v>
      </c>
      <c r="M69" s="5">
        <v>166.53</v>
      </c>
      <c r="N69" s="14">
        <v>42205</v>
      </c>
      <c r="O69" s="5">
        <v>1132.01</v>
      </c>
      <c r="P69" s="14">
        <v>42216</v>
      </c>
      <c r="Q69" s="5">
        <v>17</v>
      </c>
      <c r="R69" s="14">
        <v>42219</v>
      </c>
      <c r="S69" s="5">
        <v>1041.2298000000001</v>
      </c>
      <c r="T69" s="14">
        <v>42219</v>
      </c>
      <c r="U69" s="5">
        <v>60.36</v>
      </c>
    </row>
    <row r="70" spans="12:21" x14ac:dyDescent="0.75">
      <c r="L70" s="14">
        <v>42219</v>
      </c>
      <c r="M70" s="5">
        <v>166.5</v>
      </c>
      <c r="N70" s="14">
        <v>42202</v>
      </c>
      <c r="O70" s="5">
        <v>1132.33</v>
      </c>
      <c r="P70" s="14">
        <v>42215</v>
      </c>
      <c r="Q70" s="5">
        <v>16.95</v>
      </c>
      <c r="T70" s="14">
        <v>42216</v>
      </c>
      <c r="U70" s="5">
        <v>60</v>
      </c>
    </row>
    <row r="71" spans="12:21" x14ac:dyDescent="0.75">
      <c r="L71" s="14">
        <v>42216</v>
      </c>
      <c r="M71" s="5">
        <v>165.92</v>
      </c>
      <c r="N71" s="14">
        <v>42201</v>
      </c>
      <c r="O71" s="5">
        <v>1131.75</v>
      </c>
      <c r="P71" s="14">
        <v>42214</v>
      </c>
      <c r="Q71" s="5">
        <v>16.95</v>
      </c>
      <c r="T71" s="14">
        <v>42215</v>
      </c>
      <c r="U71" s="5">
        <v>59.49</v>
      </c>
    </row>
    <row r="72" spans="12:21" x14ac:dyDescent="0.75">
      <c r="L72" s="14">
        <v>42215</v>
      </c>
      <c r="M72" s="5">
        <v>167.16</v>
      </c>
      <c r="N72" s="14">
        <v>42200</v>
      </c>
      <c r="O72" s="5">
        <v>1130.45</v>
      </c>
      <c r="P72" s="14">
        <v>42213</v>
      </c>
      <c r="Q72" s="5">
        <v>16.940000000000001</v>
      </c>
      <c r="T72" s="14">
        <v>42214</v>
      </c>
      <c r="U72" s="5">
        <v>59.54</v>
      </c>
    </row>
    <row r="73" spans="12:21" x14ac:dyDescent="0.75">
      <c r="L73" s="14">
        <v>42214</v>
      </c>
      <c r="M73" s="5">
        <v>165.71</v>
      </c>
      <c r="N73" s="14">
        <v>42198</v>
      </c>
      <c r="O73" s="5">
        <v>1128.8800000000001</v>
      </c>
      <c r="P73" s="14">
        <v>42212</v>
      </c>
      <c r="Q73" s="5">
        <v>16.97</v>
      </c>
      <c r="T73" s="14">
        <v>42213</v>
      </c>
      <c r="U73" s="5">
        <v>59.34</v>
      </c>
    </row>
    <row r="74" spans="12:21" x14ac:dyDescent="0.75">
      <c r="L74" s="14">
        <v>42213</v>
      </c>
      <c r="M74" s="5">
        <v>164.3</v>
      </c>
      <c r="N74" s="14">
        <v>42195</v>
      </c>
      <c r="O74" s="5">
        <v>1125.6300000000001</v>
      </c>
      <c r="P74" s="14">
        <v>42209</v>
      </c>
      <c r="Q74" s="5">
        <v>16.989999999999998</v>
      </c>
      <c r="T74" s="14">
        <v>42212</v>
      </c>
      <c r="U74" s="5">
        <v>59.44</v>
      </c>
    </row>
    <row r="75" spans="12:21" x14ac:dyDescent="0.75">
      <c r="L75" s="14">
        <v>42212</v>
      </c>
      <c r="M75" s="5">
        <v>162.22999999999999</v>
      </c>
      <c r="N75" s="14">
        <v>42194</v>
      </c>
      <c r="O75" s="5">
        <v>1121.56</v>
      </c>
      <c r="P75" s="14">
        <v>42208</v>
      </c>
      <c r="Q75" s="5">
        <v>16.97</v>
      </c>
      <c r="T75" s="14">
        <v>42209</v>
      </c>
      <c r="U75" s="5">
        <v>59.24</v>
      </c>
    </row>
    <row r="76" spans="12:21" x14ac:dyDescent="0.75">
      <c r="L76" s="14">
        <v>42209</v>
      </c>
      <c r="M76" s="5">
        <v>165.58</v>
      </c>
      <c r="N76" s="14">
        <v>42193</v>
      </c>
      <c r="O76" s="5">
        <v>1119.21</v>
      </c>
      <c r="P76" s="14">
        <v>42207</v>
      </c>
      <c r="Q76" s="5">
        <v>16.899999999999999</v>
      </c>
      <c r="T76" s="14">
        <v>42208</v>
      </c>
      <c r="U76" s="5">
        <v>58.89</v>
      </c>
    </row>
    <row r="77" spans="12:21" x14ac:dyDescent="0.75">
      <c r="L77" s="14">
        <v>42208</v>
      </c>
      <c r="M77" s="5">
        <v>167.1</v>
      </c>
      <c r="N77" s="14">
        <v>42191</v>
      </c>
      <c r="O77" s="5">
        <v>1123.1600000000001</v>
      </c>
      <c r="P77" s="14">
        <v>42206</v>
      </c>
      <c r="Q77" s="5">
        <v>16.920000000000002</v>
      </c>
      <c r="T77" s="14">
        <v>42207</v>
      </c>
      <c r="U77" s="5">
        <v>59.34</v>
      </c>
    </row>
    <row r="78" spans="12:21" x14ac:dyDescent="0.75">
      <c r="L78" s="14">
        <v>42207</v>
      </c>
      <c r="M78" s="5">
        <v>168.89</v>
      </c>
      <c r="N78" s="14">
        <v>42187</v>
      </c>
      <c r="O78" s="5">
        <v>1126.0999999999999</v>
      </c>
      <c r="P78" s="14">
        <v>42205</v>
      </c>
      <c r="Q78" s="5">
        <v>16.899999999999999</v>
      </c>
      <c r="T78" s="14">
        <v>42206</v>
      </c>
      <c r="U78" s="5">
        <v>59.08</v>
      </c>
    </row>
    <row r="79" spans="12:21" x14ac:dyDescent="0.75">
      <c r="L79" s="14">
        <v>42206</v>
      </c>
      <c r="M79" s="5">
        <v>169.35</v>
      </c>
      <c r="N79" s="14">
        <v>42186</v>
      </c>
      <c r="O79" s="5">
        <v>1126.55</v>
      </c>
      <c r="P79" s="14">
        <v>42202</v>
      </c>
      <c r="Q79" s="5">
        <v>16.89</v>
      </c>
      <c r="T79" s="14">
        <v>42205</v>
      </c>
      <c r="U79" s="5">
        <v>59.19</v>
      </c>
    </row>
    <row r="80" spans="12:21" x14ac:dyDescent="0.75">
      <c r="L80" s="14">
        <v>42205</v>
      </c>
      <c r="M80" s="5">
        <v>170.73</v>
      </c>
      <c r="N80" s="14">
        <v>42184</v>
      </c>
      <c r="O80" s="5">
        <v>1125.76</v>
      </c>
      <c r="P80" s="14">
        <v>42201</v>
      </c>
      <c r="Q80" s="5">
        <v>16.920000000000002</v>
      </c>
      <c r="T80" s="14">
        <v>42202</v>
      </c>
      <c r="U80" s="5">
        <v>58.93</v>
      </c>
    </row>
    <row r="81" spans="12:21" x14ac:dyDescent="0.75">
      <c r="L81" s="14">
        <v>42202</v>
      </c>
      <c r="M81" s="5">
        <v>170.89</v>
      </c>
      <c r="N81" s="14">
        <v>42181</v>
      </c>
      <c r="O81" s="5">
        <v>1133.53</v>
      </c>
      <c r="P81" s="14">
        <v>42200</v>
      </c>
      <c r="Q81" s="5">
        <v>16.89</v>
      </c>
      <c r="T81" s="14">
        <v>42201</v>
      </c>
      <c r="U81" s="5">
        <v>59.16</v>
      </c>
    </row>
    <row r="82" spans="12:21" x14ac:dyDescent="0.75">
      <c r="L82" s="14">
        <v>42201</v>
      </c>
      <c r="M82" s="5">
        <v>170.2</v>
      </c>
      <c r="N82" s="14">
        <v>42180</v>
      </c>
      <c r="O82" s="5">
        <v>1133.6300000000001</v>
      </c>
      <c r="P82" s="14">
        <v>42199</v>
      </c>
      <c r="Q82" s="5">
        <v>16.899999999999999</v>
      </c>
      <c r="T82" s="14">
        <v>42200</v>
      </c>
      <c r="U82" s="5">
        <v>58.79</v>
      </c>
    </row>
    <row r="83" spans="12:21" x14ac:dyDescent="0.75">
      <c r="L83" s="14">
        <v>42200</v>
      </c>
      <c r="M83" s="5">
        <v>168.12</v>
      </c>
      <c r="N83" s="14">
        <v>42179</v>
      </c>
      <c r="O83" s="5">
        <v>1134.98</v>
      </c>
      <c r="P83" s="14">
        <v>42198</v>
      </c>
      <c r="Q83" s="5">
        <v>16.89</v>
      </c>
      <c r="T83" s="14">
        <v>42199</v>
      </c>
      <c r="U83" s="5">
        <v>58.84</v>
      </c>
    </row>
    <row r="84" spans="12:21" x14ac:dyDescent="0.75">
      <c r="L84" s="14">
        <v>42199</v>
      </c>
      <c r="M84" s="5">
        <v>167.6</v>
      </c>
      <c r="N84" s="14">
        <v>42177</v>
      </c>
      <c r="O84" s="5">
        <v>1134.3699999999999</v>
      </c>
      <c r="P84" s="14">
        <v>42195</v>
      </c>
      <c r="Q84" s="5">
        <v>16.93</v>
      </c>
      <c r="T84" s="14">
        <v>42198</v>
      </c>
      <c r="U84" s="5">
        <v>58.78</v>
      </c>
    </row>
    <row r="85" spans="12:21" x14ac:dyDescent="0.75">
      <c r="L85" s="14">
        <v>42198</v>
      </c>
      <c r="M85" s="5">
        <v>166.56</v>
      </c>
      <c r="N85" s="14">
        <v>42174</v>
      </c>
      <c r="O85" s="5">
        <v>1133.08</v>
      </c>
      <c r="P85" s="14">
        <v>42194</v>
      </c>
      <c r="Q85" s="5">
        <v>16.93</v>
      </c>
      <c r="T85" s="14">
        <v>42195</v>
      </c>
      <c r="U85" s="5">
        <v>58.78</v>
      </c>
    </row>
    <row r="86" spans="12:21" x14ac:dyDescent="0.75">
      <c r="L86" s="14">
        <v>42195</v>
      </c>
      <c r="M86" s="5">
        <v>162.66</v>
      </c>
      <c r="N86" s="14">
        <v>42173</v>
      </c>
      <c r="O86" s="5">
        <v>1134.18</v>
      </c>
      <c r="P86" s="14">
        <v>42193</v>
      </c>
      <c r="Q86" s="5">
        <v>16.989999999999998</v>
      </c>
      <c r="T86" s="14">
        <v>42194</v>
      </c>
      <c r="U86" s="5">
        <v>58.45</v>
      </c>
    </row>
    <row r="87" spans="12:21" x14ac:dyDescent="0.75">
      <c r="L87" s="14">
        <v>42194</v>
      </c>
      <c r="M87" s="5">
        <v>162.11000000000001</v>
      </c>
      <c r="N87" s="14">
        <v>42172</v>
      </c>
      <c r="O87" s="5">
        <v>1133.49</v>
      </c>
      <c r="P87" s="14">
        <v>42192</v>
      </c>
      <c r="Q87" s="5">
        <v>16.920000000000002</v>
      </c>
      <c r="T87" s="14">
        <v>42193</v>
      </c>
      <c r="U87" s="5">
        <v>58.52</v>
      </c>
    </row>
    <row r="88" spans="12:21" x14ac:dyDescent="0.75">
      <c r="L88" s="14">
        <v>42193</v>
      </c>
      <c r="M88" s="5">
        <v>160.65</v>
      </c>
      <c r="N88" s="14">
        <v>42170</v>
      </c>
      <c r="O88" s="5">
        <v>1133.07</v>
      </c>
      <c r="P88" s="14">
        <v>42191</v>
      </c>
      <c r="Q88" s="5">
        <v>16.95</v>
      </c>
      <c r="T88" s="14">
        <v>42192</v>
      </c>
      <c r="U88" s="5">
        <v>58.57</v>
      </c>
    </row>
    <row r="89" spans="12:21" x14ac:dyDescent="0.75">
      <c r="L89" s="14">
        <v>42192</v>
      </c>
      <c r="M89" s="5">
        <v>164.55</v>
      </c>
      <c r="N89" s="14">
        <v>42167</v>
      </c>
      <c r="O89" s="5">
        <v>1134.43</v>
      </c>
      <c r="P89" s="14">
        <v>42188</v>
      </c>
      <c r="Q89" s="5">
        <v>16.91</v>
      </c>
      <c r="T89" s="14">
        <v>42191</v>
      </c>
      <c r="U89" s="5">
        <v>57.59</v>
      </c>
    </row>
    <row r="90" spans="12:21" x14ac:dyDescent="0.75">
      <c r="L90" s="14">
        <v>42191</v>
      </c>
      <c r="M90" s="5">
        <v>163.1</v>
      </c>
      <c r="N90" s="14">
        <v>42166</v>
      </c>
      <c r="O90" s="5">
        <v>1135.25</v>
      </c>
      <c r="P90" s="14">
        <v>42187</v>
      </c>
      <c r="Q90" s="5">
        <v>16.82</v>
      </c>
      <c r="T90" s="14">
        <v>42187</v>
      </c>
      <c r="U90" s="5">
        <v>57.32</v>
      </c>
    </row>
    <row r="91" spans="12:21" x14ac:dyDescent="0.75">
      <c r="L91" s="14">
        <v>42188</v>
      </c>
      <c r="M91" s="5">
        <v>164.36</v>
      </c>
      <c r="N91" s="14">
        <v>42165</v>
      </c>
      <c r="O91" s="5">
        <v>1134.1099999999999</v>
      </c>
      <c r="P91" s="14">
        <v>42186</v>
      </c>
      <c r="Q91" s="5">
        <v>16.88</v>
      </c>
      <c r="T91" s="14">
        <v>42186</v>
      </c>
      <c r="U91" s="5">
        <v>57</v>
      </c>
    </row>
    <row r="92" spans="12:21" x14ac:dyDescent="0.75">
      <c r="L92" s="14">
        <v>42187</v>
      </c>
      <c r="M92" s="5">
        <v>164.66</v>
      </c>
      <c r="N92" s="14">
        <v>42163</v>
      </c>
      <c r="O92" s="5">
        <v>1133.1600000000001</v>
      </c>
      <c r="P92" s="14">
        <v>42185</v>
      </c>
      <c r="Q92" s="5">
        <v>16.88</v>
      </c>
      <c r="T92" s="14">
        <v>42185</v>
      </c>
      <c r="U92" s="5">
        <v>56.02</v>
      </c>
    </row>
    <row r="93" spans="12:21" x14ac:dyDescent="0.75">
      <c r="L93" s="14">
        <v>42186</v>
      </c>
      <c r="M93" s="5">
        <v>164.69</v>
      </c>
      <c r="N93" s="14">
        <v>42160</v>
      </c>
      <c r="O93" s="5">
        <v>1134.56</v>
      </c>
      <c r="P93" s="14">
        <v>42184</v>
      </c>
      <c r="Q93" s="5">
        <v>16.88</v>
      </c>
      <c r="T93" s="14">
        <v>42184</v>
      </c>
      <c r="U93" s="5">
        <v>56.05</v>
      </c>
    </row>
    <row r="94" spans="12:21" x14ac:dyDescent="0.75">
      <c r="L94" s="14">
        <v>42185</v>
      </c>
      <c r="M94" s="5">
        <v>163.11000000000001</v>
      </c>
      <c r="N94" s="14">
        <v>42159</v>
      </c>
      <c r="O94" s="5">
        <v>1135.01</v>
      </c>
      <c r="P94" s="14">
        <v>42181</v>
      </c>
      <c r="Q94" s="5">
        <v>16.86</v>
      </c>
      <c r="T94" s="14">
        <v>42181</v>
      </c>
      <c r="U94" s="5">
        <v>56.68</v>
      </c>
    </row>
    <row r="95" spans="12:21" x14ac:dyDescent="0.75">
      <c r="L95" s="14">
        <v>42184</v>
      </c>
      <c r="M95" s="5">
        <v>162.91999999999999</v>
      </c>
      <c r="N95" s="14">
        <v>42158</v>
      </c>
      <c r="O95" s="5">
        <v>1137.56</v>
      </c>
      <c r="P95" s="14">
        <v>42180</v>
      </c>
      <c r="Q95" s="5">
        <v>16.920000000000002</v>
      </c>
      <c r="T95" s="14">
        <v>42180</v>
      </c>
      <c r="U95" s="5">
        <v>56.23</v>
      </c>
    </row>
    <row r="96" spans="12:21" x14ac:dyDescent="0.75">
      <c r="L96" s="14">
        <v>42181</v>
      </c>
      <c r="M96" s="5">
        <v>166.65</v>
      </c>
      <c r="N96" s="14">
        <v>42156</v>
      </c>
      <c r="O96" s="5">
        <v>1137.51</v>
      </c>
      <c r="P96" s="14">
        <v>42179</v>
      </c>
      <c r="Q96" s="5">
        <v>16.93</v>
      </c>
      <c r="T96" s="14">
        <v>42179</v>
      </c>
      <c r="U96" s="5">
        <v>56.75</v>
      </c>
    </row>
    <row r="97" spans="12:21" x14ac:dyDescent="0.75">
      <c r="L97" s="14">
        <v>42180</v>
      </c>
      <c r="M97" s="5">
        <v>166.42</v>
      </c>
      <c r="N97" s="14">
        <v>42152</v>
      </c>
      <c r="O97" s="5">
        <v>1136.74</v>
      </c>
      <c r="P97" s="14">
        <v>42178</v>
      </c>
      <c r="Q97" s="5">
        <v>16.86</v>
      </c>
      <c r="T97" s="14">
        <v>42178</v>
      </c>
      <c r="U97" s="5">
        <v>57.57</v>
      </c>
    </row>
    <row r="98" spans="12:21" x14ac:dyDescent="0.75">
      <c r="L98" s="14">
        <v>42179</v>
      </c>
      <c r="M98" s="5">
        <v>166.96</v>
      </c>
      <c r="N98" s="14">
        <v>42151</v>
      </c>
      <c r="O98" s="5">
        <v>1137.5999999999999</v>
      </c>
      <c r="P98" s="14">
        <v>42177</v>
      </c>
      <c r="Q98" s="5">
        <v>16.940000000000001</v>
      </c>
      <c r="T98" s="14">
        <v>42177</v>
      </c>
      <c r="U98" s="5">
        <v>58.14</v>
      </c>
    </row>
    <row r="99" spans="12:21" x14ac:dyDescent="0.75">
      <c r="L99" s="14">
        <v>42178</v>
      </c>
      <c r="M99" s="5">
        <v>167.78</v>
      </c>
      <c r="N99" s="14">
        <v>42150</v>
      </c>
      <c r="O99" s="5">
        <v>1136.03</v>
      </c>
      <c r="P99" s="14">
        <v>42174</v>
      </c>
      <c r="Q99" s="5">
        <v>16.97</v>
      </c>
      <c r="T99" s="14">
        <v>42174</v>
      </c>
      <c r="U99" s="5">
        <v>58.89</v>
      </c>
    </row>
    <row r="100" spans="12:21" x14ac:dyDescent="0.75">
      <c r="L100" s="14">
        <v>42177</v>
      </c>
      <c r="M100" s="5">
        <v>164.58</v>
      </c>
      <c r="N100" s="14">
        <v>42146</v>
      </c>
      <c r="O100" s="5">
        <v>1137.55</v>
      </c>
      <c r="P100" s="14">
        <v>42173</v>
      </c>
      <c r="Q100" s="5">
        <v>16.96</v>
      </c>
      <c r="T100" s="14">
        <v>42173</v>
      </c>
      <c r="U100" s="5">
        <v>59.15</v>
      </c>
    </row>
    <row r="101" spans="12:21" x14ac:dyDescent="0.75">
      <c r="L101" s="14">
        <v>42174</v>
      </c>
      <c r="M101" s="5">
        <v>163.57</v>
      </c>
      <c r="N101" s="14">
        <v>42145</v>
      </c>
      <c r="O101" s="5">
        <v>1136.92</v>
      </c>
      <c r="P101" s="14">
        <v>42172</v>
      </c>
      <c r="Q101" s="5">
        <v>16.89</v>
      </c>
      <c r="T101" s="14">
        <v>42172</v>
      </c>
      <c r="U101" s="5">
        <v>58.4</v>
      </c>
    </row>
    <row r="102" spans="12:21" x14ac:dyDescent="0.75">
      <c r="L102" s="14">
        <v>42173</v>
      </c>
      <c r="M102" s="5">
        <v>163.03</v>
      </c>
      <c r="N102" s="14">
        <v>42142</v>
      </c>
      <c r="O102" s="5">
        <v>1135.6600000000001</v>
      </c>
      <c r="P102" s="14">
        <v>42171</v>
      </c>
      <c r="Q102" s="5">
        <v>16.91</v>
      </c>
      <c r="T102" s="14">
        <v>42171</v>
      </c>
      <c r="U102" s="5">
        <v>58.01</v>
      </c>
    </row>
    <row r="103" spans="12:21" x14ac:dyDescent="0.75">
      <c r="L103" s="14">
        <v>42172</v>
      </c>
      <c r="M103" s="5">
        <v>163.79</v>
      </c>
      <c r="N103" s="14">
        <v>42139</v>
      </c>
      <c r="O103" s="5">
        <v>1135.31</v>
      </c>
      <c r="P103" s="14">
        <v>42166</v>
      </c>
      <c r="Q103" s="5">
        <v>16.91</v>
      </c>
      <c r="T103" s="14">
        <v>42170</v>
      </c>
      <c r="U103" s="5">
        <v>57.41</v>
      </c>
    </row>
    <row r="104" spans="12:21" x14ac:dyDescent="0.75">
      <c r="L104" s="14">
        <v>42171</v>
      </c>
      <c r="M104" s="5">
        <v>163.83000000000001</v>
      </c>
      <c r="N104" s="14">
        <v>42138</v>
      </c>
      <c r="O104" s="5">
        <v>1133.8800000000001</v>
      </c>
      <c r="P104" s="14">
        <v>42165</v>
      </c>
      <c r="Q104" s="5">
        <v>16.809999999999999</v>
      </c>
      <c r="T104" s="14">
        <v>42167</v>
      </c>
      <c r="U104" s="5">
        <v>57.65</v>
      </c>
    </row>
    <row r="105" spans="12:21" x14ac:dyDescent="0.75">
      <c r="L105" s="14">
        <v>42170</v>
      </c>
      <c r="M105" s="5">
        <v>163.09</v>
      </c>
      <c r="N105" s="14">
        <v>42137</v>
      </c>
      <c r="O105" s="5">
        <v>1132.8499999999999</v>
      </c>
      <c r="P105" s="14">
        <v>42164</v>
      </c>
      <c r="Q105" s="5">
        <v>16.89</v>
      </c>
      <c r="T105" s="14">
        <v>42166</v>
      </c>
      <c r="U105" s="5">
        <v>57.68</v>
      </c>
    </row>
    <row r="106" spans="12:21" x14ac:dyDescent="0.75">
      <c r="L106" s="14">
        <v>42167</v>
      </c>
      <c r="M106" s="5">
        <v>164.12</v>
      </c>
      <c r="N106" s="14">
        <v>42135</v>
      </c>
      <c r="O106" s="5">
        <v>1135.07</v>
      </c>
      <c r="P106" s="14">
        <v>42163</v>
      </c>
      <c r="Q106" s="5">
        <v>16.88</v>
      </c>
      <c r="T106" s="14">
        <v>42165</v>
      </c>
      <c r="U106" s="5">
        <v>57.32</v>
      </c>
    </row>
    <row r="107" spans="12:21" x14ac:dyDescent="0.75">
      <c r="L107" s="14">
        <v>42166</v>
      </c>
      <c r="M107" s="5">
        <v>165.33</v>
      </c>
      <c r="N107" s="14">
        <v>42132</v>
      </c>
      <c r="O107" s="5">
        <v>1134.8</v>
      </c>
      <c r="P107" s="14">
        <v>42160</v>
      </c>
      <c r="Q107" s="5">
        <v>16.91</v>
      </c>
      <c r="T107" s="14">
        <v>42164</v>
      </c>
      <c r="U107" s="5">
        <v>56.9</v>
      </c>
    </row>
    <row r="108" spans="12:21" x14ac:dyDescent="0.75">
      <c r="L108" s="14">
        <v>42165</v>
      </c>
      <c r="M108" s="5">
        <v>164.09</v>
      </c>
      <c r="N108" s="14">
        <v>42131</v>
      </c>
      <c r="O108" s="5">
        <v>1132.25</v>
      </c>
      <c r="P108" s="14">
        <v>42159</v>
      </c>
      <c r="Q108" s="5">
        <v>16.91</v>
      </c>
      <c r="T108" s="14">
        <v>42163</v>
      </c>
      <c r="U108" s="5">
        <v>57.31</v>
      </c>
    </row>
    <row r="109" spans="12:21" x14ac:dyDescent="0.75">
      <c r="L109" s="14">
        <v>42164</v>
      </c>
      <c r="M109" s="5">
        <v>162.72999999999999</v>
      </c>
      <c r="N109" s="14">
        <v>42130</v>
      </c>
      <c r="O109" s="5">
        <v>1131.45</v>
      </c>
      <c r="P109" s="14">
        <v>42158</v>
      </c>
      <c r="Q109" s="5">
        <v>16.920000000000002</v>
      </c>
      <c r="T109" s="14">
        <v>42160</v>
      </c>
      <c r="U109" s="5">
        <v>57.3</v>
      </c>
    </row>
    <row r="110" spans="12:21" x14ac:dyDescent="0.75">
      <c r="L110" s="14">
        <v>42163</v>
      </c>
      <c r="M110" s="5">
        <v>163.46</v>
      </c>
      <c r="N110" s="14">
        <v>42128</v>
      </c>
      <c r="O110" s="5">
        <v>1135.8599999999999</v>
      </c>
      <c r="P110" s="14">
        <v>42157</v>
      </c>
      <c r="Q110" s="5">
        <v>17.059999999999999</v>
      </c>
      <c r="T110" s="14">
        <v>42159</v>
      </c>
      <c r="U110" s="5">
        <v>58.02</v>
      </c>
    </row>
    <row r="111" spans="12:21" x14ac:dyDescent="0.75">
      <c r="L111" s="14">
        <v>42160</v>
      </c>
      <c r="M111" s="5">
        <v>165.62</v>
      </c>
      <c r="N111" s="14">
        <v>42125</v>
      </c>
      <c r="O111" s="5">
        <v>1135.07</v>
      </c>
      <c r="P111" s="14">
        <v>42156</v>
      </c>
      <c r="Q111" s="5">
        <v>17.079999999999998</v>
      </c>
      <c r="T111" s="14">
        <v>42158</v>
      </c>
      <c r="U111" s="5">
        <v>58.06</v>
      </c>
    </row>
    <row r="112" spans="12:21" x14ac:dyDescent="0.75">
      <c r="L112" s="14">
        <v>42159</v>
      </c>
      <c r="M112" s="5">
        <v>164.43</v>
      </c>
      <c r="N112" s="14">
        <v>42123</v>
      </c>
      <c r="O112" s="5">
        <v>1135.8399999999999</v>
      </c>
      <c r="P112" s="14">
        <v>42153</v>
      </c>
      <c r="Q112" s="5">
        <v>17.14</v>
      </c>
      <c r="T112" s="14">
        <v>42157</v>
      </c>
      <c r="U112" s="5">
        <v>59.09</v>
      </c>
    </row>
    <row r="113" spans="12:21" x14ac:dyDescent="0.75">
      <c r="L113" s="14">
        <v>42158</v>
      </c>
      <c r="M113" s="5">
        <v>165.98</v>
      </c>
      <c r="N113" s="14">
        <v>42122</v>
      </c>
      <c r="O113" s="5">
        <v>1136.3399999999999</v>
      </c>
      <c r="P113" s="14">
        <v>42152</v>
      </c>
      <c r="Q113" s="5">
        <v>17.03</v>
      </c>
      <c r="T113" s="14">
        <v>42156</v>
      </c>
      <c r="U113" s="5">
        <v>59.74</v>
      </c>
    </row>
    <row r="114" spans="12:21" x14ac:dyDescent="0.75">
      <c r="L114" s="14">
        <v>42157</v>
      </c>
      <c r="M114" s="5">
        <v>167.45</v>
      </c>
      <c r="N114" s="14">
        <v>42121</v>
      </c>
      <c r="O114" s="5">
        <v>1138.54</v>
      </c>
      <c r="P114" s="14">
        <v>42151</v>
      </c>
      <c r="Q114" s="5">
        <v>17.09</v>
      </c>
      <c r="T114" s="14">
        <v>42153</v>
      </c>
      <c r="U114" s="5">
        <v>59.01</v>
      </c>
    </row>
    <row r="115" spans="12:21" x14ac:dyDescent="0.75">
      <c r="L115" s="14">
        <v>42156</v>
      </c>
      <c r="M115" s="5">
        <v>170.69</v>
      </c>
      <c r="N115" s="14">
        <v>42118</v>
      </c>
      <c r="O115" s="5">
        <v>1138.6600000000001</v>
      </c>
      <c r="P115" s="14">
        <v>42150</v>
      </c>
      <c r="Q115" s="5">
        <v>17.09</v>
      </c>
      <c r="T115" s="14">
        <v>42152</v>
      </c>
      <c r="U115" s="5">
        <v>59.637999999999998</v>
      </c>
    </row>
    <row r="116" spans="12:21" x14ac:dyDescent="0.75">
      <c r="L116" s="14">
        <v>42153</v>
      </c>
      <c r="M116" s="5">
        <v>169.76</v>
      </c>
      <c r="N116" s="14">
        <v>42117</v>
      </c>
      <c r="O116" s="5">
        <v>1138.03</v>
      </c>
      <c r="P116" s="14">
        <v>42146</v>
      </c>
      <c r="Q116" s="5">
        <v>17.03</v>
      </c>
      <c r="T116" s="14">
        <v>42151</v>
      </c>
      <c r="U116" s="5">
        <v>59.8</v>
      </c>
    </row>
    <row r="117" spans="12:21" x14ac:dyDescent="0.75">
      <c r="L117" s="14">
        <v>42152</v>
      </c>
      <c r="M117" s="5">
        <v>171.59</v>
      </c>
      <c r="N117" s="14">
        <v>42116</v>
      </c>
      <c r="O117" s="5">
        <v>1137.73</v>
      </c>
      <c r="P117" s="14">
        <v>42145</v>
      </c>
      <c r="Q117" s="5">
        <v>17.079999999999998</v>
      </c>
      <c r="T117" s="14">
        <v>42150</v>
      </c>
      <c r="U117" s="5">
        <v>59.15</v>
      </c>
    </row>
    <row r="118" spans="12:21" x14ac:dyDescent="0.75">
      <c r="L118" s="14">
        <v>42151</v>
      </c>
      <c r="M118" s="5">
        <v>172.6</v>
      </c>
      <c r="N118" s="14">
        <v>42114</v>
      </c>
      <c r="O118" s="5">
        <v>1138.04</v>
      </c>
      <c r="P118" s="14">
        <v>42144</v>
      </c>
      <c r="Q118" s="5">
        <v>17.09</v>
      </c>
      <c r="T118" s="14">
        <v>42146</v>
      </c>
      <c r="U118" s="5">
        <v>59.57</v>
      </c>
    </row>
    <row r="119" spans="12:21" x14ac:dyDescent="0.75">
      <c r="L119" s="14">
        <v>42150</v>
      </c>
      <c r="M119" s="5">
        <v>171.3</v>
      </c>
      <c r="N119" s="14">
        <v>42111</v>
      </c>
      <c r="O119" s="5">
        <v>1137.32</v>
      </c>
      <c r="P119" s="14">
        <v>42143</v>
      </c>
      <c r="Q119" s="5">
        <v>17.13</v>
      </c>
      <c r="T119" s="14">
        <v>42145</v>
      </c>
      <c r="U119" s="5">
        <v>59.48</v>
      </c>
    </row>
    <row r="120" spans="12:21" x14ac:dyDescent="0.75">
      <c r="L120" s="14">
        <v>42149</v>
      </c>
      <c r="M120" s="5">
        <v>171.41</v>
      </c>
      <c r="N120" s="14">
        <v>42110</v>
      </c>
      <c r="O120" s="5">
        <v>1140.68</v>
      </c>
      <c r="P120" s="14">
        <v>42142</v>
      </c>
      <c r="Q120" s="5">
        <v>17.04</v>
      </c>
      <c r="T120" s="14">
        <v>42144</v>
      </c>
      <c r="U120" s="5">
        <v>59.94</v>
      </c>
    </row>
    <row r="121" spans="12:21" x14ac:dyDescent="0.75">
      <c r="L121" s="14">
        <v>42146</v>
      </c>
      <c r="M121" s="5">
        <v>171.43</v>
      </c>
      <c r="N121" s="14">
        <v>42109</v>
      </c>
      <c r="O121" s="5">
        <v>1141.03</v>
      </c>
      <c r="P121" s="14">
        <v>42139</v>
      </c>
      <c r="Q121" s="5">
        <v>17.09</v>
      </c>
      <c r="T121" s="14">
        <v>42143</v>
      </c>
      <c r="U121" s="5">
        <v>59.93</v>
      </c>
    </row>
    <row r="122" spans="12:21" x14ac:dyDescent="0.75">
      <c r="L122" s="14">
        <v>42145</v>
      </c>
      <c r="M122" s="5">
        <v>170.43</v>
      </c>
      <c r="N122" s="14">
        <v>42107</v>
      </c>
      <c r="O122" s="5">
        <v>1139.81</v>
      </c>
      <c r="P122" s="14">
        <v>42137</v>
      </c>
      <c r="Q122" s="5">
        <v>17.07</v>
      </c>
      <c r="T122" s="14">
        <v>42142</v>
      </c>
      <c r="U122" s="5">
        <v>60.11</v>
      </c>
    </row>
    <row r="123" spans="12:21" x14ac:dyDescent="0.75">
      <c r="L123" s="14">
        <v>42144</v>
      </c>
      <c r="M123" s="5">
        <v>170.17</v>
      </c>
      <c r="N123" s="14">
        <v>42104</v>
      </c>
      <c r="O123" s="5">
        <v>1138.68</v>
      </c>
      <c r="P123" s="14">
        <v>42136</v>
      </c>
      <c r="Q123" s="5">
        <v>16.98</v>
      </c>
      <c r="T123" s="14">
        <v>42139</v>
      </c>
      <c r="U123" s="5">
        <v>60.38</v>
      </c>
    </row>
    <row r="124" spans="12:21" x14ac:dyDescent="0.75">
      <c r="L124" s="14">
        <v>42143</v>
      </c>
      <c r="M124" s="5">
        <v>169.84</v>
      </c>
      <c r="N124" s="14">
        <v>42103</v>
      </c>
      <c r="O124" s="5">
        <v>1138.07</v>
      </c>
      <c r="P124" s="14">
        <v>42135</v>
      </c>
      <c r="Q124" s="5">
        <v>17.079999999999998</v>
      </c>
      <c r="T124" s="14">
        <v>42138</v>
      </c>
      <c r="U124" s="5">
        <v>59.68</v>
      </c>
    </row>
    <row r="125" spans="12:21" x14ac:dyDescent="0.75">
      <c r="L125" s="14">
        <v>42142</v>
      </c>
      <c r="M125" s="5">
        <v>166.7</v>
      </c>
      <c r="N125" s="14">
        <v>42102</v>
      </c>
      <c r="O125" s="5">
        <v>1136.51</v>
      </c>
      <c r="P125" s="14">
        <v>42132</v>
      </c>
      <c r="Q125" s="5">
        <v>17.14</v>
      </c>
      <c r="T125" s="14">
        <v>42137</v>
      </c>
      <c r="U125" s="5">
        <v>58.475499999999997</v>
      </c>
    </row>
    <row r="126" spans="12:21" x14ac:dyDescent="0.75">
      <c r="L126" s="14">
        <v>42139</v>
      </c>
      <c r="M126" s="5">
        <v>165.45</v>
      </c>
      <c r="N126" s="14">
        <v>42100</v>
      </c>
      <c r="O126" s="5">
        <v>1133.23</v>
      </c>
      <c r="P126" s="14">
        <v>42131</v>
      </c>
      <c r="Q126" s="5">
        <v>17.07</v>
      </c>
      <c r="T126" s="14">
        <v>42136</v>
      </c>
      <c r="U126" s="5">
        <v>59.4</v>
      </c>
    </row>
    <row r="127" spans="12:21" x14ac:dyDescent="0.75">
      <c r="L127" s="14">
        <v>42138</v>
      </c>
      <c r="M127" s="5">
        <v>165.89</v>
      </c>
      <c r="N127" s="14">
        <v>42096</v>
      </c>
      <c r="O127" s="5">
        <v>1132.45</v>
      </c>
      <c r="P127" s="14">
        <v>42130</v>
      </c>
      <c r="Q127" s="5">
        <v>17.07</v>
      </c>
      <c r="T127" s="14">
        <v>42135</v>
      </c>
      <c r="U127" s="5">
        <v>59.01</v>
      </c>
    </row>
    <row r="128" spans="12:21" x14ac:dyDescent="0.75">
      <c r="L128" s="14">
        <v>42137</v>
      </c>
      <c r="M128" s="5">
        <v>165.12</v>
      </c>
      <c r="N128" s="14">
        <v>42095</v>
      </c>
      <c r="O128" s="5">
        <v>1131.51</v>
      </c>
      <c r="P128" s="14">
        <v>42129</v>
      </c>
      <c r="Q128" s="5">
        <v>17.14</v>
      </c>
      <c r="T128" s="14">
        <v>42132</v>
      </c>
      <c r="U128" s="5">
        <v>60.08</v>
      </c>
    </row>
    <row r="129" spans="12:21" x14ac:dyDescent="0.75">
      <c r="L129" s="14">
        <v>42136</v>
      </c>
      <c r="M129" s="5">
        <v>166.13</v>
      </c>
      <c r="N129" s="14">
        <v>42093</v>
      </c>
      <c r="O129" s="5">
        <v>1133.01</v>
      </c>
      <c r="P129" s="14">
        <v>42128</v>
      </c>
      <c r="Q129" s="5">
        <v>17.14</v>
      </c>
      <c r="T129" s="14">
        <v>42131</v>
      </c>
      <c r="U129" s="5">
        <v>59.28</v>
      </c>
    </row>
    <row r="130" spans="12:21" x14ac:dyDescent="0.75">
      <c r="L130" s="14">
        <v>42135</v>
      </c>
      <c r="M130" s="5">
        <v>168</v>
      </c>
      <c r="N130" s="14">
        <v>42090</v>
      </c>
      <c r="O130" s="5">
        <v>1130.4100000000001</v>
      </c>
      <c r="P130" s="14">
        <v>42124</v>
      </c>
      <c r="Q130" s="5">
        <v>17.18</v>
      </c>
      <c r="T130" s="14">
        <v>42130</v>
      </c>
      <c r="U130" s="5">
        <v>58.2</v>
      </c>
    </row>
    <row r="131" spans="12:21" x14ac:dyDescent="0.75">
      <c r="L131" s="14">
        <v>42132</v>
      </c>
      <c r="M131" s="5">
        <v>167.4</v>
      </c>
      <c r="N131" s="14">
        <v>42089</v>
      </c>
      <c r="O131" s="5">
        <v>1129.22</v>
      </c>
      <c r="P131" s="14">
        <v>42123</v>
      </c>
      <c r="Q131" s="5">
        <v>17.23</v>
      </c>
      <c r="T131" s="14">
        <v>42129</v>
      </c>
      <c r="U131" s="5">
        <v>58.338999999999999</v>
      </c>
    </row>
    <row r="132" spans="12:21" x14ac:dyDescent="0.75">
      <c r="L132" s="14">
        <v>42131</v>
      </c>
      <c r="M132" s="5">
        <v>164.46</v>
      </c>
      <c r="N132" s="14">
        <v>42088</v>
      </c>
      <c r="O132" s="5">
        <v>1130.29</v>
      </c>
      <c r="P132" s="14">
        <v>42122</v>
      </c>
      <c r="Q132" s="5">
        <v>17.260000000000002</v>
      </c>
      <c r="T132" s="14">
        <v>42128</v>
      </c>
      <c r="U132" s="5">
        <v>59.74</v>
      </c>
    </row>
    <row r="133" spans="12:21" x14ac:dyDescent="0.75">
      <c r="L133" s="14">
        <v>42130</v>
      </c>
      <c r="M133" s="5">
        <v>163.62</v>
      </c>
      <c r="N133" s="14">
        <v>42086</v>
      </c>
      <c r="O133" s="5">
        <v>1132.47</v>
      </c>
      <c r="P133" s="14">
        <v>42121</v>
      </c>
      <c r="Q133" s="5">
        <v>17.28</v>
      </c>
      <c r="T133" s="14">
        <v>42125</v>
      </c>
      <c r="U133" s="5">
        <v>59.59</v>
      </c>
    </row>
    <row r="134" spans="12:21" x14ac:dyDescent="0.75">
      <c r="L134" s="14">
        <v>42129</v>
      </c>
      <c r="M134" s="5">
        <v>166.22</v>
      </c>
      <c r="N134" s="14">
        <v>42083</v>
      </c>
      <c r="O134" s="5">
        <v>1133.01</v>
      </c>
      <c r="P134" s="14">
        <v>42118</v>
      </c>
      <c r="Q134" s="5">
        <v>17.29</v>
      </c>
      <c r="T134" s="14">
        <v>42124</v>
      </c>
      <c r="U134" s="5">
        <v>58.91</v>
      </c>
    </row>
    <row r="135" spans="12:21" x14ac:dyDescent="0.75">
      <c r="L135" s="14">
        <v>42128</v>
      </c>
      <c r="M135" s="5">
        <v>168.05</v>
      </c>
      <c r="N135" s="14">
        <v>42082</v>
      </c>
      <c r="O135" s="5">
        <v>1132.58</v>
      </c>
      <c r="P135" s="14">
        <v>42117</v>
      </c>
      <c r="Q135" s="5">
        <v>17.239999999999998</v>
      </c>
      <c r="T135" s="14">
        <v>42123</v>
      </c>
      <c r="U135" s="5">
        <v>60.156700000000001</v>
      </c>
    </row>
    <row r="136" spans="12:21" x14ac:dyDescent="0.75">
      <c r="L136" s="14">
        <v>42125</v>
      </c>
      <c r="M136" s="5">
        <v>166.78</v>
      </c>
      <c r="N136" s="14">
        <v>42081</v>
      </c>
      <c r="O136" s="5">
        <v>1131.6400000000001</v>
      </c>
      <c r="P136" s="14">
        <v>42116</v>
      </c>
      <c r="Q136" s="5">
        <v>17.28</v>
      </c>
      <c r="T136" s="14">
        <v>42122</v>
      </c>
      <c r="U136" s="5">
        <v>61.379899999999999</v>
      </c>
    </row>
    <row r="137" spans="12:21" x14ac:dyDescent="0.75">
      <c r="L137" s="14">
        <v>42124</v>
      </c>
      <c r="M137" s="5">
        <v>166.31</v>
      </c>
      <c r="N137" s="14">
        <v>42079</v>
      </c>
      <c r="O137" s="5">
        <v>1129.3</v>
      </c>
      <c r="P137" s="14">
        <v>42115</v>
      </c>
      <c r="Q137" s="5">
        <v>17.309999999999999</v>
      </c>
      <c r="T137" s="14">
        <v>42121</v>
      </c>
      <c r="U137" s="5">
        <v>61.37</v>
      </c>
    </row>
    <row r="138" spans="12:21" x14ac:dyDescent="0.75">
      <c r="L138" s="14">
        <v>42123</v>
      </c>
      <c r="M138" s="5">
        <v>168.78</v>
      </c>
      <c r="N138" s="14">
        <v>42076</v>
      </c>
      <c r="O138" s="5">
        <v>1127.8699999999999</v>
      </c>
      <c r="P138" s="14">
        <v>42114</v>
      </c>
      <c r="Q138" s="5">
        <v>17.32</v>
      </c>
      <c r="T138" s="14">
        <v>42118</v>
      </c>
      <c r="U138" s="5">
        <v>61.33</v>
      </c>
    </row>
    <row r="139" spans="12:21" x14ac:dyDescent="0.75">
      <c r="L139" s="14">
        <v>42122</v>
      </c>
      <c r="M139" s="5">
        <v>172.12</v>
      </c>
      <c r="N139" s="14">
        <v>42075</v>
      </c>
      <c r="O139" s="5">
        <v>1128.69</v>
      </c>
      <c r="P139" s="14">
        <v>42111</v>
      </c>
      <c r="Q139" s="5">
        <v>17.34</v>
      </c>
      <c r="T139" s="14">
        <v>42117</v>
      </c>
      <c r="U139" s="5">
        <v>61.244999999999997</v>
      </c>
    </row>
    <row r="140" spans="12:21" x14ac:dyDescent="0.75">
      <c r="L140" s="14">
        <v>42121</v>
      </c>
      <c r="M140" s="5">
        <v>173.48</v>
      </c>
      <c r="N140" s="14">
        <v>42074</v>
      </c>
      <c r="O140" s="5">
        <v>1126.0899999999999</v>
      </c>
      <c r="P140" s="14">
        <v>42110</v>
      </c>
      <c r="Q140" s="5">
        <v>17.38</v>
      </c>
      <c r="T140" s="14">
        <v>42116</v>
      </c>
      <c r="U140" s="5">
        <v>61.01</v>
      </c>
    </row>
    <row r="141" spans="12:21" x14ac:dyDescent="0.75">
      <c r="L141" s="14">
        <v>42118</v>
      </c>
      <c r="M141" s="5">
        <v>173.52</v>
      </c>
      <c r="N141" s="14">
        <v>42072</v>
      </c>
      <c r="O141" s="5">
        <v>1125.8800000000001</v>
      </c>
      <c r="P141" s="14">
        <v>42109</v>
      </c>
      <c r="Q141" s="5">
        <v>17.399999999999999</v>
      </c>
      <c r="T141" s="14">
        <v>42115</v>
      </c>
      <c r="U141" s="5">
        <v>60.616</v>
      </c>
    </row>
    <row r="142" spans="12:21" x14ac:dyDescent="0.75">
      <c r="L142" s="14">
        <v>42117</v>
      </c>
      <c r="M142" s="5">
        <v>173.76</v>
      </c>
      <c r="N142" s="14">
        <v>42069</v>
      </c>
      <c r="O142" s="5">
        <v>1126.7</v>
      </c>
      <c r="P142" s="14">
        <v>42108</v>
      </c>
      <c r="Q142" s="5">
        <v>17.39</v>
      </c>
      <c r="T142" s="14">
        <v>42114</v>
      </c>
      <c r="U142" s="5">
        <v>60.38</v>
      </c>
    </row>
    <row r="143" spans="12:21" x14ac:dyDescent="0.75">
      <c r="L143" s="14">
        <v>42116</v>
      </c>
      <c r="M143" s="5">
        <v>174.38</v>
      </c>
      <c r="N143" s="14">
        <v>42068</v>
      </c>
      <c r="O143" s="5">
        <v>1127.4100000000001</v>
      </c>
      <c r="P143" s="14">
        <v>42107</v>
      </c>
      <c r="Q143" s="5">
        <v>17.37</v>
      </c>
      <c r="T143" s="14">
        <v>42111</v>
      </c>
      <c r="U143" s="5">
        <v>60.23</v>
      </c>
    </row>
    <row r="144" spans="12:21" x14ac:dyDescent="0.75">
      <c r="L144" s="14">
        <v>42115</v>
      </c>
      <c r="M144" s="5">
        <v>173.57</v>
      </c>
      <c r="N144" s="14">
        <v>42067</v>
      </c>
      <c r="O144" s="5">
        <v>1128.19</v>
      </c>
      <c r="P144" s="14">
        <v>42104</v>
      </c>
      <c r="Q144" s="5">
        <v>17.32</v>
      </c>
      <c r="T144" s="14">
        <v>42110</v>
      </c>
      <c r="U144" s="5">
        <v>60.56</v>
      </c>
    </row>
    <row r="145" spans="12:21" x14ac:dyDescent="0.75">
      <c r="L145" s="14">
        <v>42114</v>
      </c>
      <c r="M145" s="5">
        <v>172.96</v>
      </c>
      <c r="N145" s="14">
        <v>42066</v>
      </c>
      <c r="O145" s="5">
        <v>1128.82</v>
      </c>
      <c r="P145" s="14">
        <v>42103</v>
      </c>
      <c r="Q145" s="5">
        <v>17.37</v>
      </c>
      <c r="T145" s="14">
        <v>42109</v>
      </c>
      <c r="U145" s="5">
        <v>60.312800000000003</v>
      </c>
    </row>
    <row r="146" spans="12:21" x14ac:dyDescent="0.75">
      <c r="L146" s="14">
        <v>42111</v>
      </c>
      <c r="M146" s="5">
        <v>171.89</v>
      </c>
      <c r="N146" s="14">
        <v>42065</v>
      </c>
      <c r="O146" s="5">
        <v>1128.8699999999999</v>
      </c>
      <c r="P146" s="14">
        <v>42102</v>
      </c>
      <c r="Q146" s="5">
        <v>17.350000000000001</v>
      </c>
      <c r="T146" s="14">
        <v>42108</v>
      </c>
      <c r="U146" s="5">
        <v>60.8</v>
      </c>
    </row>
    <row r="147" spans="12:21" x14ac:dyDescent="0.75">
      <c r="L147" s="14">
        <v>42110</v>
      </c>
      <c r="M147" s="5">
        <v>174.79</v>
      </c>
      <c r="N147" s="14">
        <v>42061</v>
      </c>
      <c r="O147" s="5">
        <v>1126.58</v>
      </c>
      <c r="P147" s="14">
        <v>42096</v>
      </c>
      <c r="Q147" s="5">
        <v>17.350000000000001</v>
      </c>
      <c r="T147" s="14">
        <v>42107</v>
      </c>
      <c r="U147" s="5">
        <v>60.5</v>
      </c>
    </row>
    <row r="148" spans="12:21" x14ac:dyDescent="0.75">
      <c r="L148" s="14">
        <v>42109</v>
      </c>
      <c r="M148" s="5">
        <v>175.74</v>
      </c>
      <c r="N148" s="14">
        <v>42060</v>
      </c>
      <c r="O148" s="5">
        <v>1125.0999999999999</v>
      </c>
      <c r="P148" s="14">
        <v>42095</v>
      </c>
      <c r="Q148" s="5">
        <v>17.350000000000001</v>
      </c>
      <c r="T148" s="14">
        <v>42104</v>
      </c>
      <c r="U148" s="5">
        <v>60.77</v>
      </c>
    </row>
    <row r="149" spans="12:21" x14ac:dyDescent="0.75">
      <c r="L149" s="14">
        <v>42108</v>
      </c>
      <c r="M149" s="5">
        <v>173.98</v>
      </c>
      <c r="N149" s="14">
        <v>42059</v>
      </c>
      <c r="O149" s="5">
        <v>1124.33</v>
      </c>
      <c r="P149" s="14">
        <v>42094</v>
      </c>
      <c r="Q149" s="5">
        <v>17.29</v>
      </c>
      <c r="T149" s="14">
        <v>42103</v>
      </c>
      <c r="U149" s="5">
        <v>60.84</v>
      </c>
    </row>
    <row r="150" spans="12:21" x14ac:dyDescent="0.75">
      <c r="L150" s="14">
        <v>42107</v>
      </c>
      <c r="M150" s="5">
        <v>175.39</v>
      </c>
      <c r="N150" s="14">
        <v>42058</v>
      </c>
      <c r="O150" s="5">
        <v>1123.06</v>
      </c>
      <c r="P150" s="14">
        <v>42093</v>
      </c>
      <c r="Q150" s="5">
        <v>17.3</v>
      </c>
      <c r="T150" s="14">
        <v>42102</v>
      </c>
      <c r="U150" s="5">
        <v>62.29</v>
      </c>
    </row>
    <row r="151" spans="12:21" x14ac:dyDescent="0.75">
      <c r="L151" s="14">
        <v>42104</v>
      </c>
      <c r="M151" s="5">
        <v>175.01</v>
      </c>
      <c r="N151" s="14">
        <v>42055</v>
      </c>
      <c r="O151" s="5">
        <v>1122.28</v>
      </c>
      <c r="P151" s="14">
        <v>42090</v>
      </c>
      <c r="Q151" s="5">
        <v>17.29</v>
      </c>
      <c r="T151" s="14">
        <v>42101</v>
      </c>
      <c r="U151" s="5">
        <v>62.145000000000003</v>
      </c>
    </row>
    <row r="152" spans="12:21" x14ac:dyDescent="0.75">
      <c r="L152" s="14">
        <v>42103</v>
      </c>
      <c r="M152" s="5">
        <v>173.39</v>
      </c>
      <c r="N152" s="14">
        <v>42054</v>
      </c>
      <c r="O152" s="5">
        <v>1121.58</v>
      </c>
      <c r="P152" s="14">
        <v>42089</v>
      </c>
      <c r="Q152" s="5">
        <v>17.36</v>
      </c>
      <c r="T152" s="14">
        <v>42100</v>
      </c>
      <c r="U152" s="5">
        <v>63.18</v>
      </c>
    </row>
    <row r="153" spans="12:21" x14ac:dyDescent="0.75">
      <c r="L153" s="14">
        <v>42102</v>
      </c>
      <c r="M153" s="5">
        <v>170.95</v>
      </c>
      <c r="N153" s="14">
        <v>42053</v>
      </c>
      <c r="O153" s="5">
        <v>1120.6400000000001</v>
      </c>
      <c r="P153" s="14">
        <v>42088</v>
      </c>
      <c r="Q153" s="5">
        <v>17.38</v>
      </c>
      <c r="T153" s="14">
        <v>42096</v>
      </c>
      <c r="U153" s="5">
        <v>62.460999999999999</v>
      </c>
    </row>
    <row r="154" spans="12:21" x14ac:dyDescent="0.75">
      <c r="L154" s="14">
        <v>42101</v>
      </c>
      <c r="M154" s="5">
        <v>169.39</v>
      </c>
      <c r="N154" s="14">
        <v>42048</v>
      </c>
      <c r="O154" s="5">
        <v>1118.47</v>
      </c>
      <c r="P154" s="14">
        <v>42087</v>
      </c>
      <c r="Q154" s="5">
        <v>17.36</v>
      </c>
      <c r="T154" s="14">
        <v>42095</v>
      </c>
      <c r="U154" s="5">
        <v>61.89</v>
      </c>
    </row>
    <row r="155" spans="12:21" x14ac:dyDescent="0.75">
      <c r="L155" s="14">
        <v>42100</v>
      </c>
      <c r="M155" s="5">
        <v>166.73</v>
      </c>
      <c r="N155" s="14">
        <v>42047</v>
      </c>
      <c r="O155" s="5">
        <v>1117.0999999999999</v>
      </c>
      <c r="P155" s="14">
        <v>42086</v>
      </c>
      <c r="Q155" s="5">
        <v>17.309999999999999</v>
      </c>
      <c r="T155" s="14">
        <v>42094</v>
      </c>
      <c r="U155" s="5">
        <v>62.15</v>
      </c>
    </row>
    <row r="156" spans="12:21" x14ac:dyDescent="0.75">
      <c r="L156" s="14">
        <v>42097</v>
      </c>
      <c r="M156" s="5">
        <v>167.61</v>
      </c>
      <c r="N156" s="14">
        <v>42046</v>
      </c>
      <c r="O156" s="5">
        <v>1116.17</v>
      </c>
      <c r="P156" s="14">
        <v>42083</v>
      </c>
      <c r="Q156" s="5">
        <v>17.329999999999998</v>
      </c>
      <c r="T156" s="14">
        <v>42093</v>
      </c>
      <c r="U156" s="5">
        <v>62.8</v>
      </c>
    </row>
    <row r="157" spans="12:21" x14ac:dyDescent="0.75">
      <c r="L157" s="14">
        <v>42096</v>
      </c>
      <c r="M157" s="5">
        <v>167.51</v>
      </c>
      <c r="N157" s="14">
        <v>42041</v>
      </c>
      <c r="O157" s="5">
        <v>1115.7</v>
      </c>
      <c r="P157" s="14">
        <v>42082</v>
      </c>
      <c r="Q157" s="5">
        <v>17.329999999999998</v>
      </c>
      <c r="T157" s="14">
        <v>42090</v>
      </c>
      <c r="U157" s="5">
        <v>62.03</v>
      </c>
    </row>
    <row r="158" spans="12:21" x14ac:dyDescent="0.75">
      <c r="L158" s="14">
        <v>42095</v>
      </c>
      <c r="M158" s="5">
        <v>168.28</v>
      </c>
      <c r="N158" s="14">
        <v>42040</v>
      </c>
      <c r="O158" s="5">
        <v>1115.04</v>
      </c>
      <c r="P158" s="14">
        <v>42080</v>
      </c>
      <c r="Q158" s="5">
        <v>17.25</v>
      </c>
      <c r="T158" s="14">
        <v>42089</v>
      </c>
      <c r="U158" s="5">
        <v>61.87</v>
      </c>
    </row>
    <row r="159" spans="12:21" x14ac:dyDescent="0.75">
      <c r="L159" s="14">
        <v>42094</v>
      </c>
      <c r="M159" s="5">
        <v>168.63</v>
      </c>
      <c r="N159" s="14">
        <v>42039</v>
      </c>
      <c r="O159" s="5">
        <v>1112.96</v>
      </c>
      <c r="P159" s="14">
        <v>42076</v>
      </c>
      <c r="Q159" s="5">
        <v>17.260000000000002</v>
      </c>
      <c r="T159" s="14">
        <v>42088</v>
      </c>
      <c r="U159" s="5">
        <v>62.17</v>
      </c>
    </row>
    <row r="160" spans="12:21" x14ac:dyDescent="0.75">
      <c r="L160" s="14">
        <v>42093</v>
      </c>
      <c r="M160" s="5">
        <v>168.54</v>
      </c>
      <c r="N160" s="14">
        <v>42038</v>
      </c>
      <c r="O160" s="5">
        <v>1111.7</v>
      </c>
      <c r="P160" s="14">
        <v>42075</v>
      </c>
      <c r="Q160" s="5">
        <v>17.36</v>
      </c>
      <c r="T160" s="14">
        <v>42087</v>
      </c>
      <c r="U160" s="5">
        <v>63.8</v>
      </c>
    </row>
    <row r="161" spans="12:21" x14ac:dyDescent="0.75">
      <c r="L161" s="14">
        <v>42090</v>
      </c>
      <c r="M161" s="5">
        <v>166.34</v>
      </c>
      <c r="N161" s="14">
        <v>42037</v>
      </c>
      <c r="O161" s="5">
        <v>1108.8900000000001</v>
      </c>
      <c r="P161" s="14">
        <v>42074</v>
      </c>
      <c r="Q161" s="5">
        <v>17.190000000000001</v>
      </c>
      <c r="T161" s="14">
        <v>42086</v>
      </c>
      <c r="U161" s="5">
        <v>64.36</v>
      </c>
    </row>
    <row r="162" spans="12:21" x14ac:dyDescent="0.75">
      <c r="L162" s="14">
        <v>42089</v>
      </c>
      <c r="M162" s="5">
        <v>165.89</v>
      </c>
      <c r="N162" s="14">
        <v>42033</v>
      </c>
      <c r="O162" s="5">
        <v>1110.98</v>
      </c>
      <c r="P162" s="14">
        <v>42073</v>
      </c>
      <c r="Q162" s="5">
        <v>17.28</v>
      </c>
      <c r="T162" s="14">
        <v>42083</v>
      </c>
      <c r="U162" s="5">
        <v>64.31</v>
      </c>
    </row>
    <row r="163" spans="12:21" x14ac:dyDescent="0.75">
      <c r="L163" s="14">
        <v>42088</v>
      </c>
      <c r="M163" s="5">
        <v>166.05</v>
      </c>
      <c r="N163" s="14">
        <v>42032</v>
      </c>
      <c r="O163" s="5">
        <v>1110.71</v>
      </c>
      <c r="P163" s="14">
        <v>42072</v>
      </c>
      <c r="Q163" s="5">
        <v>17.23</v>
      </c>
      <c r="T163" s="14">
        <v>42082</v>
      </c>
      <c r="U163" s="5">
        <v>62.49</v>
      </c>
    </row>
    <row r="164" spans="12:21" x14ac:dyDescent="0.75">
      <c r="L164" s="14">
        <v>42087</v>
      </c>
      <c r="M164" s="5">
        <v>168.68</v>
      </c>
      <c r="N164" s="14">
        <v>42031</v>
      </c>
      <c r="O164" s="5">
        <v>1110.94</v>
      </c>
      <c r="P164" s="14">
        <v>42069</v>
      </c>
      <c r="Q164" s="5">
        <v>17.18</v>
      </c>
      <c r="T164" s="14">
        <v>42081</v>
      </c>
      <c r="U164" s="5">
        <v>62.61</v>
      </c>
    </row>
    <row r="165" spans="12:21" x14ac:dyDescent="0.75">
      <c r="L165" s="14">
        <v>42086</v>
      </c>
      <c r="M165" s="5">
        <v>168.78</v>
      </c>
      <c r="N165" s="14">
        <v>42030</v>
      </c>
      <c r="O165" s="5">
        <v>1111.68</v>
      </c>
      <c r="P165" s="14">
        <v>42068</v>
      </c>
      <c r="Q165" s="5">
        <v>17.260000000000002</v>
      </c>
      <c r="T165" s="14">
        <v>42080</v>
      </c>
      <c r="U165" s="5">
        <v>61.28</v>
      </c>
    </row>
    <row r="166" spans="12:21" x14ac:dyDescent="0.75">
      <c r="L166" s="14">
        <v>42083</v>
      </c>
      <c r="M166" s="5">
        <v>170.43</v>
      </c>
      <c r="N166" s="14">
        <v>42027</v>
      </c>
      <c r="O166" s="5">
        <v>1110.6300000000001</v>
      </c>
      <c r="P166" s="14">
        <v>42066</v>
      </c>
      <c r="Q166" s="5">
        <v>17.2</v>
      </c>
      <c r="T166" s="14">
        <v>42079</v>
      </c>
      <c r="U166" s="5">
        <v>61.34</v>
      </c>
    </row>
    <row r="167" spans="12:21" x14ac:dyDescent="0.75">
      <c r="L167" s="14">
        <v>42082</v>
      </c>
      <c r="M167" s="5">
        <v>171.04</v>
      </c>
      <c r="N167" s="14">
        <v>42026</v>
      </c>
      <c r="O167" s="5">
        <v>1108.9100000000001</v>
      </c>
      <c r="P167" s="14">
        <v>42065</v>
      </c>
      <c r="Q167" s="5">
        <v>17.25</v>
      </c>
      <c r="T167" s="14">
        <v>42076</v>
      </c>
      <c r="U167" s="5">
        <v>60.61</v>
      </c>
    </row>
    <row r="168" spans="12:21" x14ac:dyDescent="0.75">
      <c r="L168" s="14">
        <v>42081</v>
      </c>
      <c r="M168" s="5">
        <v>170.79</v>
      </c>
      <c r="N168" s="14">
        <v>42025</v>
      </c>
      <c r="O168" s="5">
        <v>1106.02</v>
      </c>
      <c r="P168" s="14">
        <v>42062</v>
      </c>
      <c r="Q168" s="5">
        <v>17.28</v>
      </c>
      <c r="T168" s="14">
        <v>42075</v>
      </c>
      <c r="U168" s="5">
        <v>60.65</v>
      </c>
    </row>
    <row r="169" spans="12:21" x14ac:dyDescent="0.75">
      <c r="L169" s="14">
        <v>42080</v>
      </c>
      <c r="M169" s="5">
        <v>169.74</v>
      </c>
      <c r="N169" s="14">
        <v>42020</v>
      </c>
      <c r="O169" s="5">
        <v>1107.3399999999999</v>
      </c>
      <c r="P169" s="14">
        <v>42061</v>
      </c>
      <c r="Q169" s="5">
        <v>17.37</v>
      </c>
      <c r="T169" s="14">
        <v>42074</v>
      </c>
      <c r="U169" s="5">
        <v>59.56</v>
      </c>
    </row>
    <row r="170" spans="12:21" x14ac:dyDescent="0.75">
      <c r="L170" s="14">
        <v>42079</v>
      </c>
      <c r="M170" s="5">
        <v>170.3</v>
      </c>
      <c r="N170" s="14">
        <v>42019</v>
      </c>
      <c r="O170" s="5">
        <v>1107.08</v>
      </c>
      <c r="P170" s="14">
        <v>42060</v>
      </c>
      <c r="Q170" s="5">
        <v>17.260000000000002</v>
      </c>
      <c r="T170" s="14">
        <v>42073</v>
      </c>
      <c r="U170" s="5">
        <v>59.7</v>
      </c>
    </row>
    <row r="171" spans="12:21" x14ac:dyDescent="0.75">
      <c r="L171" s="14">
        <v>42076</v>
      </c>
      <c r="M171" s="5">
        <v>169.41</v>
      </c>
      <c r="N171" s="14">
        <v>42018</v>
      </c>
      <c r="O171" s="5">
        <v>1108.1500000000001</v>
      </c>
      <c r="P171" s="14">
        <v>42059</v>
      </c>
      <c r="Q171" s="5">
        <v>17.25</v>
      </c>
      <c r="T171" s="14">
        <v>42072</v>
      </c>
      <c r="U171" s="5">
        <v>59.63</v>
      </c>
    </row>
    <row r="172" spans="12:21" x14ac:dyDescent="0.75">
      <c r="L172" s="14">
        <v>42075</v>
      </c>
      <c r="M172" s="5">
        <v>168.82</v>
      </c>
      <c r="N172" s="14">
        <v>42016</v>
      </c>
      <c r="O172" s="5">
        <v>1110.1500000000001</v>
      </c>
      <c r="P172" s="14">
        <v>42058</v>
      </c>
      <c r="Q172" s="5">
        <v>17.23</v>
      </c>
      <c r="T172" s="14">
        <v>42069</v>
      </c>
      <c r="U172" s="5">
        <v>59.12</v>
      </c>
    </row>
    <row r="173" spans="12:21" x14ac:dyDescent="0.75">
      <c r="L173" s="14">
        <v>42074</v>
      </c>
      <c r="M173" s="5">
        <v>167.78</v>
      </c>
      <c r="N173" s="14">
        <v>42013</v>
      </c>
      <c r="O173" s="5">
        <v>1111.1500000000001</v>
      </c>
      <c r="P173" s="14">
        <v>42055</v>
      </c>
      <c r="Q173" s="5">
        <v>17.22</v>
      </c>
      <c r="T173" s="14">
        <v>42068</v>
      </c>
      <c r="U173" s="5">
        <v>61.17</v>
      </c>
    </row>
    <row r="174" spans="12:21" x14ac:dyDescent="0.75">
      <c r="L174" s="14">
        <v>42073</v>
      </c>
      <c r="M174" s="5">
        <v>165.85</v>
      </c>
      <c r="N174" s="14">
        <v>42012</v>
      </c>
      <c r="O174" s="5">
        <v>1111.75</v>
      </c>
      <c r="P174" s="14">
        <v>42054</v>
      </c>
      <c r="Q174" s="5">
        <v>17.23</v>
      </c>
      <c r="T174" s="14">
        <v>42067</v>
      </c>
      <c r="U174" s="5">
        <v>60.87</v>
      </c>
    </row>
    <row r="175" spans="12:21" x14ac:dyDescent="0.75">
      <c r="L175" s="14">
        <v>42072</v>
      </c>
      <c r="M175" s="5">
        <v>166.51</v>
      </c>
      <c r="N175" s="14">
        <v>42011</v>
      </c>
      <c r="O175" s="5">
        <v>1107.52</v>
      </c>
      <c r="P175" s="14">
        <v>42053</v>
      </c>
      <c r="Q175" s="5">
        <v>17.2</v>
      </c>
      <c r="T175" s="14">
        <v>42066</v>
      </c>
      <c r="U175" s="5">
        <v>61.37</v>
      </c>
    </row>
    <row r="176" spans="12:21" x14ac:dyDescent="0.75">
      <c r="L176" s="14">
        <v>42069</v>
      </c>
      <c r="M176" s="5">
        <v>166.49</v>
      </c>
      <c r="N176" s="14">
        <v>42010</v>
      </c>
      <c r="O176" s="5">
        <v>1105.68</v>
      </c>
      <c r="P176" s="14">
        <v>42052</v>
      </c>
      <c r="Q176" s="5">
        <v>17.25</v>
      </c>
      <c r="T176" s="14">
        <v>42065</v>
      </c>
      <c r="U176" s="5">
        <v>61.55</v>
      </c>
    </row>
    <row r="177" spans="12:21" x14ac:dyDescent="0.75">
      <c r="L177" s="14">
        <v>42068</v>
      </c>
      <c r="M177" s="5">
        <v>165.84</v>
      </c>
      <c r="N177" s="14">
        <v>42009</v>
      </c>
      <c r="O177" s="5">
        <v>1108.9100000000001</v>
      </c>
      <c r="P177" s="14">
        <v>42048</v>
      </c>
      <c r="Q177" s="5">
        <v>17.260000000000002</v>
      </c>
      <c r="T177" s="14">
        <v>42062</v>
      </c>
      <c r="U177" s="5">
        <v>61.27</v>
      </c>
    </row>
    <row r="178" spans="12:21" x14ac:dyDescent="0.75">
      <c r="L178" s="14">
        <v>42067</v>
      </c>
      <c r="M178" s="5">
        <v>165.01</v>
      </c>
      <c r="N178" s="14">
        <v>42003</v>
      </c>
      <c r="O178" s="5">
        <v>1111.8699999999999</v>
      </c>
      <c r="P178" s="14">
        <v>42047</v>
      </c>
      <c r="Q178" s="5">
        <v>17.239999999999998</v>
      </c>
      <c r="T178" s="14">
        <v>42061</v>
      </c>
      <c r="U178" s="5">
        <v>60.77</v>
      </c>
    </row>
    <row r="179" spans="12:21" x14ac:dyDescent="0.75">
      <c r="L179" s="14">
        <v>42066</v>
      </c>
      <c r="M179" s="5">
        <v>164.08</v>
      </c>
      <c r="N179" s="14">
        <v>42002</v>
      </c>
      <c r="O179" s="5">
        <v>1112.1600000000001</v>
      </c>
      <c r="P179" s="14">
        <v>42046</v>
      </c>
      <c r="Q179" s="5">
        <v>17.260000000000002</v>
      </c>
      <c r="T179" s="14">
        <v>42060</v>
      </c>
      <c r="U179" s="5">
        <v>61.52</v>
      </c>
    </row>
    <row r="180" spans="12:21" x14ac:dyDescent="0.75">
      <c r="L180" s="14">
        <v>42065</v>
      </c>
      <c r="M180" s="5">
        <v>164.6</v>
      </c>
      <c r="N180" s="14">
        <v>41999</v>
      </c>
      <c r="O180" s="5">
        <v>1111.0999999999999</v>
      </c>
      <c r="P180" s="14">
        <v>42045</v>
      </c>
      <c r="Q180" s="5">
        <v>17.260000000000002</v>
      </c>
      <c r="T180" s="14">
        <v>42059</v>
      </c>
      <c r="U180" s="5">
        <v>61.43</v>
      </c>
    </row>
    <row r="181" spans="12:21" x14ac:dyDescent="0.75">
      <c r="L181" s="14">
        <v>42062</v>
      </c>
      <c r="M181" s="5">
        <v>164.01</v>
      </c>
      <c r="N181" s="14">
        <v>41997</v>
      </c>
      <c r="O181" s="5">
        <v>1109.75</v>
      </c>
      <c r="P181" s="14">
        <v>42044</v>
      </c>
      <c r="Q181" s="5">
        <v>17.28</v>
      </c>
      <c r="T181" s="14">
        <v>42058</v>
      </c>
      <c r="U181" s="5">
        <v>62.77</v>
      </c>
    </row>
    <row r="182" spans="12:21" x14ac:dyDescent="0.75">
      <c r="L182" s="14">
        <v>42061</v>
      </c>
      <c r="M182" s="5">
        <v>164.2</v>
      </c>
      <c r="N182" s="14">
        <v>41996</v>
      </c>
      <c r="O182" s="5">
        <v>1109.99</v>
      </c>
      <c r="P182" s="14">
        <v>42041</v>
      </c>
      <c r="Q182" s="5">
        <v>17.36</v>
      </c>
      <c r="T182" s="14">
        <v>42055</v>
      </c>
      <c r="U182" s="5">
        <v>62.28</v>
      </c>
    </row>
    <row r="183" spans="12:21" x14ac:dyDescent="0.75">
      <c r="L183" s="14">
        <v>42060</v>
      </c>
      <c r="M183" s="5">
        <v>162.32</v>
      </c>
      <c r="N183" s="14">
        <v>41995</v>
      </c>
      <c r="O183" s="5">
        <v>1108.55</v>
      </c>
      <c r="P183" s="14">
        <v>42040</v>
      </c>
      <c r="Q183" s="5">
        <v>17.34</v>
      </c>
      <c r="T183" s="14">
        <v>42054</v>
      </c>
      <c r="U183" s="5">
        <v>61.42</v>
      </c>
    </row>
    <row r="184" spans="12:21" x14ac:dyDescent="0.75">
      <c r="L184" s="14">
        <v>42059</v>
      </c>
      <c r="M184" s="5">
        <v>162.35</v>
      </c>
      <c r="N184" s="14">
        <v>41992</v>
      </c>
      <c r="O184" s="5">
        <v>1107.4000000000001</v>
      </c>
      <c r="P184" s="14">
        <v>42039</v>
      </c>
      <c r="Q184" s="5">
        <v>17.329999999999998</v>
      </c>
      <c r="T184" s="14">
        <v>42053</v>
      </c>
      <c r="U184" s="5">
        <v>62.77</v>
      </c>
    </row>
    <row r="185" spans="12:21" x14ac:dyDescent="0.75">
      <c r="L185" s="14">
        <v>42058</v>
      </c>
      <c r="M185" s="5">
        <v>161.65</v>
      </c>
      <c r="N185" s="14">
        <v>41991</v>
      </c>
      <c r="O185" s="5">
        <v>1104.6300000000001</v>
      </c>
      <c r="P185" s="14">
        <v>42038</v>
      </c>
      <c r="Q185" s="5">
        <v>17.350000000000001</v>
      </c>
      <c r="T185" s="14">
        <v>42052</v>
      </c>
      <c r="U185" s="5">
        <v>62.05</v>
      </c>
    </row>
    <row r="186" spans="12:21" x14ac:dyDescent="0.75">
      <c r="L186" s="14">
        <v>42055</v>
      </c>
      <c r="M186" s="5">
        <v>161.27000000000001</v>
      </c>
      <c r="N186" s="14">
        <v>41990</v>
      </c>
      <c r="O186" s="5">
        <v>1096.96</v>
      </c>
      <c r="P186" s="14">
        <v>42037</v>
      </c>
      <c r="Q186" s="5">
        <v>17.489999999999998</v>
      </c>
      <c r="T186" s="14">
        <v>42048</v>
      </c>
      <c r="U186" s="5">
        <v>62.12</v>
      </c>
    </row>
    <row r="187" spans="12:21" x14ac:dyDescent="0.75">
      <c r="L187" s="14">
        <v>42054</v>
      </c>
      <c r="M187" s="5">
        <v>160.37</v>
      </c>
      <c r="N187" s="14">
        <v>41988</v>
      </c>
      <c r="O187" s="5">
        <v>1097.97</v>
      </c>
      <c r="P187" s="14">
        <v>42034</v>
      </c>
      <c r="Q187" s="5">
        <v>17.37</v>
      </c>
      <c r="T187" s="14">
        <v>42047</v>
      </c>
      <c r="U187" s="5">
        <v>62.53</v>
      </c>
    </row>
    <row r="188" spans="12:21" x14ac:dyDescent="0.75">
      <c r="L188" s="14">
        <v>42053</v>
      </c>
      <c r="M188" s="5">
        <v>160.61000000000001</v>
      </c>
      <c r="N188" s="14">
        <v>41985</v>
      </c>
      <c r="O188" s="5">
        <v>1100.8900000000001</v>
      </c>
      <c r="P188" s="14">
        <v>42033</v>
      </c>
      <c r="Q188" s="5">
        <v>17.37</v>
      </c>
      <c r="T188" s="14">
        <v>42046</v>
      </c>
      <c r="U188" s="5">
        <v>61.81</v>
      </c>
    </row>
    <row r="189" spans="12:21" x14ac:dyDescent="0.75">
      <c r="L189" s="14">
        <v>42052</v>
      </c>
      <c r="M189" s="5">
        <v>159.69</v>
      </c>
      <c r="N189" s="14">
        <v>41984</v>
      </c>
      <c r="O189" s="5">
        <v>1104.5999999999999</v>
      </c>
      <c r="P189" s="14">
        <v>42032</v>
      </c>
      <c r="Q189" s="5">
        <v>17.329999999999998</v>
      </c>
      <c r="T189" s="14">
        <v>42045</v>
      </c>
      <c r="U189" s="5">
        <v>61.93</v>
      </c>
    </row>
    <row r="190" spans="12:21" x14ac:dyDescent="0.75">
      <c r="L190" s="14">
        <v>42051</v>
      </c>
      <c r="M190" s="5">
        <v>159.46</v>
      </c>
      <c r="N190" s="14">
        <v>41983</v>
      </c>
      <c r="O190" s="5">
        <v>1105.01</v>
      </c>
      <c r="P190" s="14">
        <v>42031</v>
      </c>
      <c r="Q190" s="5">
        <v>17.23</v>
      </c>
      <c r="T190" s="14">
        <v>42044</v>
      </c>
      <c r="U190" s="5">
        <v>61.86</v>
      </c>
    </row>
    <row r="191" spans="12:21" x14ac:dyDescent="0.75">
      <c r="L191" s="14">
        <v>42048</v>
      </c>
      <c r="M191" s="5">
        <v>159.47</v>
      </c>
      <c r="N191" s="14">
        <v>41981</v>
      </c>
      <c r="O191" s="5">
        <v>1111.76</v>
      </c>
      <c r="P191" s="14">
        <v>42030</v>
      </c>
      <c r="Q191" s="5">
        <v>17.309999999999999</v>
      </c>
      <c r="T191" s="14">
        <v>42041</v>
      </c>
      <c r="U191" s="5">
        <v>62.24</v>
      </c>
    </row>
    <row r="192" spans="12:21" x14ac:dyDescent="0.75">
      <c r="L192" s="14">
        <v>42047</v>
      </c>
      <c r="M192" s="5">
        <v>158.72</v>
      </c>
      <c r="N192" s="14">
        <v>41978</v>
      </c>
      <c r="O192" s="5">
        <v>1115.47</v>
      </c>
      <c r="P192" s="14">
        <v>42027</v>
      </c>
      <c r="Q192" s="5">
        <v>17.32</v>
      </c>
      <c r="T192" s="14">
        <v>42040</v>
      </c>
      <c r="U192" s="5">
        <v>64.290000000000006</v>
      </c>
    </row>
    <row r="193" spans="12:21" x14ac:dyDescent="0.75">
      <c r="L193" s="14">
        <v>42046</v>
      </c>
      <c r="M193" s="5">
        <v>157.86000000000001</v>
      </c>
      <c r="N193" s="14">
        <v>41977</v>
      </c>
      <c r="O193" s="5">
        <v>1114.6300000000001</v>
      </c>
      <c r="P193" s="14">
        <v>42026</v>
      </c>
      <c r="Q193" s="5">
        <v>17.23</v>
      </c>
      <c r="T193" s="14">
        <v>42039</v>
      </c>
      <c r="U193" s="5">
        <v>63.56</v>
      </c>
    </row>
    <row r="194" spans="12:21" x14ac:dyDescent="0.75">
      <c r="L194" s="14">
        <v>42045</v>
      </c>
      <c r="M194" s="5">
        <v>158</v>
      </c>
      <c r="N194" s="14">
        <v>41976</v>
      </c>
      <c r="O194" s="5">
        <v>1115.72</v>
      </c>
      <c r="P194" s="14">
        <v>42025</v>
      </c>
      <c r="Q194" s="5">
        <v>17.3</v>
      </c>
      <c r="T194" s="14">
        <v>42038</v>
      </c>
      <c r="U194" s="5">
        <v>63.879899999999999</v>
      </c>
    </row>
    <row r="195" spans="12:21" x14ac:dyDescent="0.75">
      <c r="L195" s="14">
        <v>42044</v>
      </c>
      <c r="M195" s="5">
        <v>156.99</v>
      </c>
      <c r="N195" s="14">
        <v>41975</v>
      </c>
      <c r="O195" s="5">
        <v>1114.08</v>
      </c>
      <c r="P195" s="14">
        <v>42024</v>
      </c>
      <c r="Q195" s="5">
        <v>17.329999999999998</v>
      </c>
      <c r="T195" s="14">
        <v>42037</v>
      </c>
      <c r="U195" s="5">
        <v>63.588000000000001</v>
      </c>
    </row>
    <row r="196" spans="12:21" x14ac:dyDescent="0.75">
      <c r="L196" s="14">
        <v>42041</v>
      </c>
      <c r="M196" s="5">
        <v>157.47999999999999</v>
      </c>
      <c r="N196" s="14">
        <v>41974</v>
      </c>
      <c r="O196" s="5">
        <v>1113.72</v>
      </c>
      <c r="P196" s="14">
        <v>42023</v>
      </c>
      <c r="Q196" s="5">
        <v>17.34</v>
      </c>
      <c r="T196" s="14">
        <v>42034</v>
      </c>
      <c r="U196" s="5">
        <v>63.734000000000002</v>
      </c>
    </row>
    <row r="197" spans="12:21" x14ac:dyDescent="0.75">
      <c r="L197" s="14">
        <v>42040</v>
      </c>
      <c r="M197" s="5">
        <v>156.9</v>
      </c>
      <c r="N197" s="14">
        <v>41969</v>
      </c>
      <c r="O197" s="5">
        <v>1119.53</v>
      </c>
      <c r="P197" s="14">
        <v>42020</v>
      </c>
      <c r="Q197" s="5">
        <v>17.350000000000001</v>
      </c>
      <c r="T197" s="14">
        <v>42033</v>
      </c>
      <c r="U197" s="5">
        <v>64.855000000000004</v>
      </c>
    </row>
    <row r="198" spans="12:21" x14ac:dyDescent="0.75">
      <c r="L198" s="14">
        <v>42039</v>
      </c>
      <c r="M198" s="5">
        <v>155.93</v>
      </c>
      <c r="N198" s="14">
        <v>41968</v>
      </c>
      <c r="O198" s="5">
        <v>1119.07</v>
      </c>
      <c r="P198" s="14">
        <v>42019</v>
      </c>
      <c r="Q198" s="5">
        <v>17.32</v>
      </c>
      <c r="T198" s="14">
        <v>42032</v>
      </c>
      <c r="U198" s="5">
        <v>64.930000000000007</v>
      </c>
    </row>
    <row r="199" spans="12:21" x14ac:dyDescent="0.75">
      <c r="L199" s="14">
        <v>42038</v>
      </c>
      <c r="M199" s="5">
        <v>155.25</v>
      </c>
      <c r="N199" s="14">
        <v>41967</v>
      </c>
      <c r="O199" s="5">
        <v>1118.6099999999999</v>
      </c>
      <c r="P199" s="14">
        <v>42018</v>
      </c>
      <c r="Q199" s="5">
        <v>17.25</v>
      </c>
      <c r="T199" s="14">
        <v>42031</v>
      </c>
      <c r="U199" s="5">
        <v>65.13</v>
      </c>
    </row>
    <row r="200" spans="12:21" x14ac:dyDescent="0.75">
      <c r="L200" s="14">
        <v>42037</v>
      </c>
      <c r="M200" s="5">
        <v>155.04</v>
      </c>
      <c r="N200" s="14">
        <v>41964</v>
      </c>
      <c r="O200" s="5">
        <v>1116.3</v>
      </c>
      <c r="P200" s="14">
        <v>42017</v>
      </c>
      <c r="Q200" s="5">
        <v>17.309999999999999</v>
      </c>
      <c r="T200" s="14">
        <v>42030</v>
      </c>
      <c r="U200" s="5">
        <v>65.05</v>
      </c>
    </row>
    <row r="201" spans="12:21" x14ac:dyDescent="0.75">
      <c r="L201" s="14">
        <v>42034</v>
      </c>
      <c r="M201" s="5">
        <v>154.41999999999999</v>
      </c>
      <c r="N201" s="14">
        <v>41963</v>
      </c>
      <c r="O201" s="5">
        <v>1114.33</v>
      </c>
      <c r="P201" s="14">
        <v>42016</v>
      </c>
      <c r="Q201" s="5">
        <v>17.29</v>
      </c>
      <c r="T201" s="14">
        <v>42027</v>
      </c>
      <c r="U201" s="5">
        <v>64.680000000000007</v>
      </c>
    </row>
    <row r="202" spans="12:21" x14ac:dyDescent="0.75">
      <c r="L202" s="14">
        <v>42033</v>
      </c>
      <c r="M202" s="5">
        <v>155.22</v>
      </c>
      <c r="N202" s="14">
        <v>41962</v>
      </c>
      <c r="O202" s="5">
        <v>1114.53</v>
      </c>
      <c r="P202" s="14">
        <v>42012</v>
      </c>
      <c r="Q202" s="5">
        <v>17.239999999999998</v>
      </c>
      <c r="T202" s="14">
        <v>42026</v>
      </c>
      <c r="U202" s="5">
        <v>64.88</v>
      </c>
    </row>
    <row r="203" spans="12:21" x14ac:dyDescent="0.75">
      <c r="L203" s="14">
        <v>42032</v>
      </c>
      <c r="M203" s="5">
        <v>154.99</v>
      </c>
      <c r="N203" s="14">
        <v>41960</v>
      </c>
      <c r="O203" s="5">
        <v>1113.1600000000001</v>
      </c>
      <c r="P203" s="14">
        <v>42011</v>
      </c>
      <c r="Q203" s="5">
        <v>17.25</v>
      </c>
      <c r="T203" s="14">
        <v>42025</v>
      </c>
      <c r="U203" s="5">
        <v>63.870600000000003</v>
      </c>
    </row>
    <row r="204" spans="12:21" x14ac:dyDescent="0.75">
      <c r="L204" s="14">
        <v>42031</v>
      </c>
      <c r="M204" s="5">
        <v>155.59</v>
      </c>
      <c r="N204" s="14">
        <v>41957</v>
      </c>
      <c r="O204" s="5">
        <v>1115.57</v>
      </c>
      <c r="P204" s="14">
        <v>42010</v>
      </c>
      <c r="Q204" s="5">
        <v>17.260000000000002</v>
      </c>
      <c r="T204" s="14">
        <v>42024</v>
      </c>
      <c r="U204" s="5">
        <v>63.95</v>
      </c>
    </row>
    <row r="205" spans="12:21" x14ac:dyDescent="0.75">
      <c r="L205" s="14">
        <v>42030</v>
      </c>
      <c r="M205" s="5">
        <v>158.13999999999999</v>
      </c>
      <c r="N205" s="14">
        <v>41956</v>
      </c>
      <c r="O205" s="5">
        <v>1115.8599999999999</v>
      </c>
      <c r="P205" s="14">
        <v>42009</v>
      </c>
      <c r="Q205" s="5">
        <v>17.2</v>
      </c>
      <c r="T205" s="14">
        <v>42020</v>
      </c>
      <c r="U205" s="5">
        <v>64.569999999999993</v>
      </c>
    </row>
    <row r="206" spans="12:21" x14ac:dyDescent="0.75">
      <c r="L206" s="14">
        <v>42027</v>
      </c>
      <c r="M206" s="5">
        <v>157.87</v>
      </c>
      <c r="N206" s="14">
        <v>41955</v>
      </c>
      <c r="O206" s="5">
        <v>1116.1300000000001</v>
      </c>
      <c r="P206" s="14">
        <v>42002</v>
      </c>
      <c r="Q206" s="5">
        <v>17.05</v>
      </c>
      <c r="T206" s="14">
        <v>42019</v>
      </c>
      <c r="U206" s="5">
        <v>63.829900000000002</v>
      </c>
    </row>
    <row r="207" spans="12:21" x14ac:dyDescent="0.75">
      <c r="L207" s="14">
        <v>42026</v>
      </c>
      <c r="M207" s="5">
        <v>155.66</v>
      </c>
      <c r="N207" s="14">
        <v>41953</v>
      </c>
      <c r="O207" s="5">
        <v>1115.9100000000001</v>
      </c>
      <c r="P207" s="14">
        <v>41996</v>
      </c>
      <c r="Q207" s="5">
        <v>17.12</v>
      </c>
      <c r="T207" s="14">
        <v>42018</v>
      </c>
      <c r="U207" s="5">
        <v>63.59</v>
      </c>
    </row>
    <row r="208" spans="12:21" x14ac:dyDescent="0.75">
      <c r="L208" s="14">
        <v>42025</v>
      </c>
      <c r="M208" s="5">
        <v>151.94999999999999</v>
      </c>
      <c r="N208" s="14">
        <v>41950</v>
      </c>
      <c r="O208" s="5">
        <v>1117.32</v>
      </c>
      <c r="P208" s="14">
        <v>41995</v>
      </c>
      <c r="Q208" s="5">
        <v>17.079999999999998</v>
      </c>
      <c r="T208" s="14">
        <v>42017</v>
      </c>
      <c r="U208" s="5">
        <v>62.96</v>
      </c>
    </row>
    <row r="209" spans="12:21" x14ac:dyDescent="0.75">
      <c r="L209" s="14">
        <v>42024</v>
      </c>
      <c r="M209" s="5">
        <v>151.09</v>
      </c>
      <c r="N209" s="14">
        <v>41949</v>
      </c>
      <c r="O209" s="5">
        <v>1117.01</v>
      </c>
      <c r="P209" s="14">
        <v>41991</v>
      </c>
      <c r="Q209" s="5">
        <v>17.09</v>
      </c>
      <c r="T209" s="14">
        <v>42016</v>
      </c>
      <c r="U209" s="5">
        <v>63.1</v>
      </c>
    </row>
    <row r="210" spans="12:21" x14ac:dyDescent="0.75">
      <c r="L210" s="14">
        <v>42023</v>
      </c>
      <c r="M210" s="5">
        <v>149.97</v>
      </c>
      <c r="N210" s="14">
        <v>41948</v>
      </c>
      <c r="O210" s="5">
        <v>1116.9000000000001</v>
      </c>
      <c r="P210" s="14">
        <v>41990</v>
      </c>
      <c r="Q210" s="5">
        <v>17.14</v>
      </c>
      <c r="T210" s="14">
        <v>42013</v>
      </c>
      <c r="U210" s="5">
        <v>62.43</v>
      </c>
    </row>
    <row r="211" spans="12:21" x14ac:dyDescent="0.75">
      <c r="L211" s="14">
        <v>42020</v>
      </c>
      <c r="M211" s="5">
        <v>151.26</v>
      </c>
      <c r="N211" s="14">
        <v>41947</v>
      </c>
      <c r="O211" s="5">
        <v>1114.17</v>
      </c>
      <c r="P211" s="14">
        <v>41989</v>
      </c>
      <c r="Q211" s="5">
        <v>17.114999999999998</v>
      </c>
      <c r="T211" s="14">
        <v>42012</v>
      </c>
      <c r="U211" s="5">
        <v>62.28</v>
      </c>
    </row>
    <row r="212" spans="12:21" x14ac:dyDescent="0.75">
      <c r="L212" s="14">
        <v>42019</v>
      </c>
      <c r="M212" s="5">
        <v>149.1</v>
      </c>
      <c r="N212" s="14">
        <v>41946</v>
      </c>
      <c r="O212" s="5">
        <v>1121.1400000000001</v>
      </c>
      <c r="P212" s="14">
        <v>41985</v>
      </c>
      <c r="Q212" s="5">
        <v>17.11</v>
      </c>
      <c r="T212" s="14">
        <v>42011</v>
      </c>
      <c r="U212" s="5">
        <v>62.064999999999998</v>
      </c>
    </row>
    <row r="213" spans="12:21" x14ac:dyDescent="0.75">
      <c r="L213" s="14">
        <v>42018</v>
      </c>
      <c r="M213" s="5">
        <v>146.72999999999999</v>
      </c>
      <c r="N213" s="14">
        <v>41942</v>
      </c>
      <c r="O213" s="5">
        <v>1120.74</v>
      </c>
      <c r="P213" s="14">
        <v>41984</v>
      </c>
      <c r="Q213" s="5">
        <v>17.100000000000001</v>
      </c>
      <c r="T213" s="14">
        <v>42010</v>
      </c>
      <c r="U213" s="5">
        <v>61.169899999999998</v>
      </c>
    </row>
    <row r="214" spans="12:21" x14ac:dyDescent="0.75">
      <c r="L214" s="14">
        <v>42017</v>
      </c>
      <c r="M214" s="5">
        <v>147.88</v>
      </c>
      <c r="N214" s="14">
        <v>41941</v>
      </c>
      <c r="O214" s="5">
        <v>1118.68</v>
      </c>
      <c r="P214" s="14">
        <v>41983</v>
      </c>
      <c r="Q214" s="5">
        <v>17.11</v>
      </c>
      <c r="T214" s="14">
        <v>42009</v>
      </c>
      <c r="U214" s="5">
        <v>60.439</v>
      </c>
    </row>
    <row r="215" spans="12:21" x14ac:dyDescent="0.75">
      <c r="L215" s="14">
        <v>42016</v>
      </c>
      <c r="M215" s="5">
        <v>147.22999999999999</v>
      </c>
      <c r="N215" s="14">
        <v>41940</v>
      </c>
      <c r="O215" s="5">
        <v>1118.69</v>
      </c>
      <c r="P215" s="14">
        <v>41982</v>
      </c>
      <c r="Q215" s="5">
        <v>17.09</v>
      </c>
      <c r="T215" s="14">
        <v>42006</v>
      </c>
      <c r="U215" s="5">
        <v>59.92</v>
      </c>
    </row>
    <row r="216" spans="12:21" x14ac:dyDescent="0.75">
      <c r="L216" s="14">
        <v>42013</v>
      </c>
      <c r="M216" s="5">
        <v>147.66999999999999</v>
      </c>
      <c r="N216" s="14">
        <v>41939</v>
      </c>
      <c r="O216" s="5">
        <v>1115.77</v>
      </c>
      <c r="P216" s="14">
        <v>41981</v>
      </c>
      <c r="Q216" s="5">
        <v>17</v>
      </c>
      <c r="T216" s="14">
        <v>42004</v>
      </c>
      <c r="U216" s="5">
        <v>58.91</v>
      </c>
    </row>
    <row r="217" spans="12:21" x14ac:dyDescent="0.75">
      <c r="L217" s="14">
        <v>42012</v>
      </c>
      <c r="M217" s="5">
        <v>148.97999999999999</v>
      </c>
      <c r="N217" s="14">
        <v>41936</v>
      </c>
      <c r="O217" s="5">
        <v>1118.1400000000001</v>
      </c>
      <c r="P217" s="14">
        <v>41978</v>
      </c>
      <c r="Q217" s="5">
        <v>17.09</v>
      </c>
      <c r="T217" s="14">
        <v>42003</v>
      </c>
      <c r="U217" s="5">
        <v>59.79</v>
      </c>
    </row>
    <row r="218" spans="12:21" x14ac:dyDescent="0.75">
      <c r="L218" s="14">
        <v>42011</v>
      </c>
      <c r="M218" s="5">
        <v>146.03</v>
      </c>
      <c r="N218" s="14">
        <v>41935</v>
      </c>
      <c r="O218" s="5">
        <v>1117.5899999999999</v>
      </c>
      <c r="P218" s="14">
        <v>41977</v>
      </c>
      <c r="Q218" s="5">
        <v>17.079999999999998</v>
      </c>
      <c r="T218" s="14">
        <v>42002</v>
      </c>
      <c r="U218" s="5">
        <v>60</v>
      </c>
    </row>
    <row r="219" spans="12:21" x14ac:dyDescent="0.75">
      <c r="L219" s="14">
        <v>42010</v>
      </c>
      <c r="M219" s="5">
        <v>143.88</v>
      </c>
      <c r="N219" s="14">
        <v>41934</v>
      </c>
      <c r="O219" s="5">
        <v>1115.29</v>
      </c>
      <c r="P219" s="14">
        <v>41976</v>
      </c>
      <c r="Q219" s="5">
        <v>17.055</v>
      </c>
      <c r="T219" s="14">
        <v>41999</v>
      </c>
      <c r="U219" s="5">
        <v>59.789900000000003</v>
      </c>
    </row>
    <row r="220" spans="12:21" x14ac:dyDescent="0.75">
      <c r="L220" s="14">
        <v>42009</v>
      </c>
      <c r="M220" s="5">
        <v>145.08000000000001</v>
      </c>
      <c r="N220" s="14">
        <v>41932</v>
      </c>
      <c r="O220" s="5">
        <v>1112.24</v>
      </c>
      <c r="P220" s="14">
        <v>41975</v>
      </c>
      <c r="Q220" s="5">
        <v>17.100000000000001</v>
      </c>
      <c r="T220" s="14">
        <v>41997</v>
      </c>
      <c r="U220" s="5">
        <v>59.52</v>
      </c>
    </row>
    <row r="221" spans="12:21" x14ac:dyDescent="0.75">
      <c r="L221" s="14">
        <v>42006</v>
      </c>
      <c r="M221" s="5">
        <v>146.74</v>
      </c>
      <c r="N221" s="14">
        <v>41929</v>
      </c>
      <c r="O221" s="5">
        <v>1111.8499999999999</v>
      </c>
      <c r="P221" s="14">
        <v>41974</v>
      </c>
      <c r="Q221" s="5">
        <v>17.100000000000001</v>
      </c>
      <c r="T221" s="14">
        <v>41996</v>
      </c>
      <c r="U221" s="5">
        <v>60.140099999999997</v>
      </c>
    </row>
    <row r="222" spans="12:21" x14ac:dyDescent="0.75">
      <c r="L222" s="14">
        <v>42005</v>
      </c>
      <c r="M222" s="5">
        <v>146.30000000000001</v>
      </c>
      <c r="N222" s="14">
        <v>41928</v>
      </c>
      <c r="O222" s="5">
        <v>1105.56</v>
      </c>
      <c r="P222" s="14">
        <v>41971</v>
      </c>
      <c r="Q222" s="5">
        <v>17.11</v>
      </c>
      <c r="T222" s="14">
        <v>41995</v>
      </c>
      <c r="U222" s="5">
        <v>60.73</v>
      </c>
    </row>
    <row r="223" spans="12:21" x14ac:dyDescent="0.75">
      <c r="L223" s="14">
        <v>42004</v>
      </c>
      <c r="M223" s="5">
        <v>146.30000000000001</v>
      </c>
      <c r="N223" s="14">
        <v>41927</v>
      </c>
      <c r="O223" s="5">
        <v>1104.25</v>
      </c>
      <c r="P223" s="14">
        <v>41970</v>
      </c>
      <c r="Q223" s="5">
        <v>17.059999999999999</v>
      </c>
      <c r="T223" s="14">
        <v>41992</v>
      </c>
      <c r="U223" s="5">
        <v>59.603700000000003</v>
      </c>
    </row>
    <row r="224" spans="12:21" x14ac:dyDescent="0.75">
      <c r="L224" s="14">
        <v>42003</v>
      </c>
      <c r="M224" s="5">
        <v>146.36000000000001</v>
      </c>
      <c r="N224" s="14">
        <v>41925</v>
      </c>
      <c r="O224" s="5">
        <v>1113.4000000000001</v>
      </c>
      <c r="P224" s="14">
        <v>41969</v>
      </c>
      <c r="Q224" s="5">
        <v>17.09</v>
      </c>
      <c r="T224" s="14">
        <v>41991</v>
      </c>
      <c r="U224" s="5">
        <v>59.32</v>
      </c>
    </row>
    <row r="225" spans="12:21" x14ac:dyDescent="0.75">
      <c r="L225" s="14">
        <v>42002</v>
      </c>
      <c r="M225" s="5">
        <v>147.04</v>
      </c>
      <c r="N225" s="14">
        <v>41922</v>
      </c>
      <c r="O225" s="5">
        <v>1115.76</v>
      </c>
      <c r="P225" s="14">
        <v>41968</v>
      </c>
      <c r="Q225" s="5">
        <v>17.059999999999999</v>
      </c>
      <c r="T225" s="14">
        <v>41990</v>
      </c>
      <c r="U225" s="5">
        <v>59.07</v>
      </c>
    </row>
    <row r="226" spans="12:21" x14ac:dyDescent="0.75">
      <c r="L226" s="14">
        <v>41999</v>
      </c>
      <c r="M226" s="5">
        <v>146.85</v>
      </c>
      <c r="N226" s="14">
        <v>41921</v>
      </c>
      <c r="O226" s="5">
        <v>1119.75</v>
      </c>
      <c r="P226" s="14">
        <v>41967</v>
      </c>
      <c r="Q226" s="5">
        <v>17.004999999999999</v>
      </c>
      <c r="T226" s="14">
        <v>41989</v>
      </c>
      <c r="U226" s="5">
        <v>57.89</v>
      </c>
    </row>
    <row r="227" spans="12:21" x14ac:dyDescent="0.75">
      <c r="L227" s="14">
        <v>41998</v>
      </c>
      <c r="M227" s="5">
        <v>146.31</v>
      </c>
      <c r="N227" s="14">
        <v>41920</v>
      </c>
      <c r="O227" s="5">
        <v>1124.69</v>
      </c>
      <c r="P227" s="14">
        <v>41964</v>
      </c>
      <c r="Q227" s="5">
        <v>17.004999999999999</v>
      </c>
      <c r="T227" s="14">
        <v>41988</v>
      </c>
      <c r="U227" s="5">
        <v>58.072400000000002</v>
      </c>
    </row>
    <row r="228" spans="12:21" x14ac:dyDescent="0.75">
      <c r="L228" s="14">
        <v>41997</v>
      </c>
      <c r="M228" s="5">
        <v>146.35</v>
      </c>
      <c r="N228" s="14">
        <v>41918</v>
      </c>
      <c r="O228" s="5">
        <v>1130.6199999999999</v>
      </c>
      <c r="P228" s="14">
        <v>41963</v>
      </c>
      <c r="Q228" s="5">
        <v>16.97</v>
      </c>
      <c r="T228" s="14">
        <v>41985</v>
      </c>
      <c r="U228" s="5">
        <v>58.89</v>
      </c>
    </row>
    <row r="229" spans="12:21" x14ac:dyDescent="0.75">
      <c r="L229" s="14">
        <v>41996</v>
      </c>
      <c r="M229" s="5">
        <v>146.35</v>
      </c>
      <c r="N229" s="14">
        <v>41915</v>
      </c>
      <c r="O229" s="5">
        <v>1131.78</v>
      </c>
      <c r="P229" s="14">
        <v>41961</v>
      </c>
      <c r="Q229" s="5">
        <v>17</v>
      </c>
      <c r="T229" s="14">
        <v>41984</v>
      </c>
      <c r="U229" s="5">
        <v>59.26</v>
      </c>
    </row>
    <row r="230" spans="12:21" x14ac:dyDescent="0.75">
      <c r="L230" s="14">
        <v>41995</v>
      </c>
      <c r="M230" s="5">
        <v>145.4</v>
      </c>
      <c r="N230" s="14">
        <v>41914</v>
      </c>
      <c r="O230" s="5">
        <v>1127.82</v>
      </c>
      <c r="P230" s="14">
        <v>41960</v>
      </c>
      <c r="Q230" s="5">
        <v>17.010000000000002</v>
      </c>
      <c r="T230" s="14">
        <v>41983</v>
      </c>
      <c r="U230" s="5">
        <v>59.188000000000002</v>
      </c>
    </row>
    <row r="231" spans="12:21" x14ac:dyDescent="0.75">
      <c r="L231" s="14">
        <v>41992</v>
      </c>
      <c r="M231" s="5">
        <v>144.65</v>
      </c>
      <c r="N231" s="14">
        <v>41913</v>
      </c>
      <c r="O231" s="5">
        <v>1129.6199999999999</v>
      </c>
      <c r="P231" s="14">
        <v>41957</v>
      </c>
      <c r="Q231" s="5">
        <v>16.97</v>
      </c>
      <c r="T231" s="14">
        <v>41982</v>
      </c>
      <c r="U231" s="5">
        <v>59.009900000000002</v>
      </c>
    </row>
    <row r="232" spans="12:21" x14ac:dyDescent="0.75">
      <c r="L232" s="14">
        <v>41991</v>
      </c>
      <c r="M232" s="5">
        <v>143.5</v>
      </c>
      <c r="N232" s="14">
        <v>41911</v>
      </c>
      <c r="O232" s="5">
        <v>1136.0899999999999</v>
      </c>
      <c r="P232" s="14">
        <v>41956</v>
      </c>
      <c r="Q232" s="5">
        <v>16.940000000000001</v>
      </c>
      <c r="T232" s="14">
        <v>41981</v>
      </c>
      <c r="U232" s="5">
        <v>58.75</v>
      </c>
    </row>
    <row r="233" spans="12:21" x14ac:dyDescent="0.75">
      <c r="L233" s="14">
        <v>41990</v>
      </c>
      <c r="M233" s="5">
        <v>139.36000000000001</v>
      </c>
      <c r="N233" s="14">
        <v>41908</v>
      </c>
      <c r="O233" s="5">
        <v>1137.71</v>
      </c>
      <c r="P233" s="14">
        <v>41955</v>
      </c>
      <c r="Q233" s="5">
        <v>16.940000000000001</v>
      </c>
      <c r="T233" s="14">
        <v>41978</v>
      </c>
      <c r="U233" s="5">
        <v>58.18</v>
      </c>
    </row>
    <row r="234" spans="12:21" x14ac:dyDescent="0.75">
      <c r="L234" s="14">
        <v>41989</v>
      </c>
      <c r="M234" s="5">
        <v>136.69999999999999</v>
      </c>
      <c r="N234" s="14">
        <v>41907</v>
      </c>
      <c r="O234" s="5">
        <v>1136.76</v>
      </c>
      <c r="P234" s="14">
        <v>41954</v>
      </c>
      <c r="Q234" s="5">
        <v>16.940000000000001</v>
      </c>
      <c r="T234" s="14">
        <v>41977</v>
      </c>
      <c r="U234" s="5">
        <v>58.81</v>
      </c>
    </row>
    <row r="235" spans="12:21" x14ac:dyDescent="0.75">
      <c r="L235" s="14">
        <v>41988</v>
      </c>
      <c r="M235" s="5">
        <v>137.80000000000001</v>
      </c>
      <c r="N235" s="14">
        <v>41906</v>
      </c>
      <c r="O235" s="5">
        <v>1138.8399999999999</v>
      </c>
      <c r="P235" s="14">
        <v>41953</v>
      </c>
      <c r="Q235" s="5">
        <v>16.96</v>
      </c>
      <c r="T235" s="14">
        <v>41976</v>
      </c>
      <c r="U235" s="5">
        <v>58.64</v>
      </c>
    </row>
    <row r="236" spans="12:21" x14ac:dyDescent="0.75">
      <c r="L236" s="14">
        <v>41985</v>
      </c>
      <c r="M236" s="5">
        <v>139.1</v>
      </c>
      <c r="N236" s="14">
        <v>41904</v>
      </c>
      <c r="O236" s="5">
        <v>1140.29</v>
      </c>
      <c r="P236" s="14">
        <v>41950</v>
      </c>
      <c r="Q236" s="5">
        <v>16.920000000000002</v>
      </c>
      <c r="T236" s="14">
        <v>41975</v>
      </c>
      <c r="U236" s="5">
        <v>58.688000000000002</v>
      </c>
    </row>
    <row r="237" spans="12:21" x14ac:dyDescent="0.75">
      <c r="L237" s="14">
        <v>41984</v>
      </c>
      <c r="M237" s="5">
        <v>141.91</v>
      </c>
      <c r="N237" s="14">
        <v>41901</v>
      </c>
      <c r="O237" s="5">
        <v>1143.06</v>
      </c>
      <c r="P237" s="14">
        <v>41949</v>
      </c>
      <c r="Q237" s="5">
        <v>16.98</v>
      </c>
      <c r="T237" s="14">
        <v>41974</v>
      </c>
      <c r="U237" s="5">
        <v>58.45</v>
      </c>
    </row>
    <row r="238" spans="12:21" x14ac:dyDescent="0.75">
      <c r="L238" s="14">
        <v>41983</v>
      </c>
      <c r="M238" s="5">
        <v>141.65</v>
      </c>
      <c r="N238" s="14">
        <v>41900</v>
      </c>
      <c r="O238" s="5">
        <v>1142.6099999999999</v>
      </c>
      <c r="P238" s="14">
        <v>41948</v>
      </c>
      <c r="Q238" s="5">
        <v>16.98</v>
      </c>
      <c r="T238" s="14">
        <v>41971</v>
      </c>
      <c r="U238" s="5">
        <v>58.52</v>
      </c>
    </row>
    <row r="239" spans="12:21" x14ac:dyDescent="0.75">
      <c r="L239" s="14">
        <v>41982</v>
      </c>
      <c r="M239" s="5">
        <v>143.43</v>
      </c>
      <c r="N239" s="14">
        <v>41899</v>
      </c>
      <c r="O239" s="5">
        <v>1140.5899999999999</v>
      </c>
      <c r="P239" s="14">
        <v>41947</v>
      </c>
      <c r="Q239" s="5">
        <v>16.98</v>
      </c>
      <c r="T239" s="14">
        <v>41969</v>
      </c>
      <c r="U239" s="5">
        <v>58.38</v>
      </c>
    </row>
    <row r="240" spans="12:21" x14ac:dyDescent="0.75">
      <c r="L240" s="14">
        <v>41981</v>
      </c>
      <c r="M240" s="5">
        <v>145.47999999999999</v>
      </c>
      <c r="N240" s="14">
        <v>41897</v>
      </c>
      <c r="O240" s="5">
        <v>1141.56</v>
      </c>
      <c r="P240" s="14">
        <v>41946</v>
      </c>
      <c r="Q240" s="5">
        <v>17</v>
      </c>
      <c r="T240" s="14">
        <v>41968</v>
      </c>
      <c r="U240" s="5">
        <v>57.76</v>
      </c>
    </row>
    <row r="241" spans="12:21" x14ac:dyDescent="0.75">
      <c r="L241" s="14">
        <v>41978</v>
      </c>
      <c r="M241" s="5">
        <v>146.44999999999999</v>
      </c>
      <c r="N241" s="14">
        <v>41894</v>
      </c>
      <c r="O241" s="5">
        <v>1142.57</v>
      </c>
      <c r="P241" s="14">
        <v>41943</v>
      </c>
      <c r="Q241" s="5">
        <v>16.940000000000001</v>
      </c>
      <c r="T241" s="14">
        <v>41967</v>
      </c>
      <c r="U241" s="5">
        <v>57.6</v>
      </c>
    </row>
    <row r="242" spans="12:21" x14ac:dyDescent="0.75">
      <c r="L242" s="14">
        <v>41977</v>
      </c>
      <c r="M242" s="5">
        <v>144.68</v>
      </c>
      <c r="N242" s="14">
        <v>41893</v>
      </c>
      <c r="O242" s="5">
        <v>1143.97</v>
      </c>
      <c r="P242" s="14">
        <v>41941</v>
      </c>
      <c r="Q242" s="5">
        <v>16.93</v>
      </c>
      <c r="T242" s="14">
        <v>41964</v>
      </c>
      <c r="U242" s="5">
        <v>57.57</v>
      </c>
    </row>
    <row r="243" spans="12:21" x14ac:dyDescent="0.75">
      <c r="L243" s="14">
        <v>41976</v>
      </c>
      <c r="M243" s="5">
        <v>146.25</v>
      </c>
      <c r="N243" s="14">
        <v>41892</v>
      </c>
      <c r="O243" s="5">
        <v>1142.5899999999999</v>
      </c>
      <c r="P243" s="14">
        <v>41940</v>
      </c>
      <c r="Q243" s="5">
        <v>16.98</v>
      </c>
      <c r="T243" s="14">
        <v>41963</v>
      </c>
      <c r="U243" s="5">
        <v>56.99</v>
      </c>
    </row>
    <row r="244" spans="12:21" x14ac:dyDescent="0.75">
      <c r="L244" s="14">
        <v>41975</v>
      </c>
      <c r="M244" s="5">
        <v>144.97999999999999</v>
      </c>
      <c r="N244" s="14">
        <v>41890</v>
      </c>
      <c r="O244" s="5">
        <v>1144.0999999999999</v>
      </c>
      <c r="P244" s="14">
        <v>41939</v>
      </c>
      <c r="Q244" s="5">
        <v>16.96</v>
      </c>
      <c r="T244" s="14">
        <v>41962</v>
      </c>
      <c r="U244" s="5">
        <v>56.86</v>
      </c>
    </row>
    <row r="245" spans="12:21" x14ac:dyDescent="0.75">
      <c r="L245" s="14">
        <v>41974</v>
      </c>
      <c r="M245" s="5">
        <v>143.66999999999999</v>
      </c>
      <c r="N245" s="14">
        <v>41887</v>
      </c>
      <c r="O245" s="5">
        <v>1144.1500000000001</v>
      </c>
      <c r="P245" s="14">
        <v>41936</v>
      </c>
      <c r="Q245" s="5">
        <v>16.97</v>
      </c>
      <c r="T245" s="14">
        <v>41961</v>
      </c>
      <c r="U245" s="5">
        <v>57.64</v>
      </c>
    </row>
    <row r="246" spans="12:21" x14ac:dyDescent="0.75">
      <c r="L246" s="14">
        <v>41971</v>
      </c>
      <c r="M246" s="5">
        <v>144.79</v>
      </c>
      <c r="N246" s="14">
        <v>41886</v>
      </c>
      <c r="O246" s="5">
        <v>1144.3900000000001</v>
      </c>
      <c r="P246" s="14">
        <v>41935</v>
      </c>
      <c r="Q246" s="5">
        <v>16.989999999999998</v>
      </c>
      <c r="T246" s="14">
        <v>41960</v>
      </c>
      <c r="U246" s="5">
        <v>57.42</v>
      </c>
    </row>
    <row r="247" spans="12:21" x14ac:dyDescent="0.75">
      <c r="L247" s="14">
        <v>41970</v>
      </c>
      <c r="M247" s="5">
        <v>145.13</v>
      </c>
      <c r="N247" s="14">
        <v>41885</v>
      </c>
      <c r="O247" s="5">
        <v>1143.5999999999999</v>
      </c>
      <c r="P247" s="14">
        <v>41934</v>
      </c>
      <c r="Q247" s="5">
        <v>16.989999999999998</v>
      </c>
      <c r="T247" s="14">
        <v>41957</v>
      </c>
      <c r="U247" s="5">
        <v>57.02</v>
      </c>
    </row>
    <row r="248" spans="12:21" x14ac:dyDescent="0.75">
      <c r="L248" s="14">
        <v>41969</v>
      </c>
      <c r="M248" s="5">
        <v>144.81</v>
      </c>
      <c r="N248" s="14">
        <v>41884</v>
      </c>
      <c r="O248" s="5">
        <v>1143.6400000000001</v>
      </c>
      <c r="P248" s="14">
        <v>41933</v>
      </c>
      <c r="Q248" s="5">
        <v>17</v>
      </c>
      <c r="T248" s="14">
        <v>41956</v>
      </c>
      <c r="U248" s="5">
        <v>57.56</v>
      </c>
    </row>
    <row r="249" spans="12:21" x14ac:dyDescent="0.75">
      <c r="L249" s="14">
        <v>41968</v>
      </c>
      <c r="M249" s="5">
        <v>144.87</v>
      </c>
      <c r="N249" s="14">
        <v>41878</v>
      </c>
      <c r="O249" s="5">
        <v>1142.21</v>
      </c>
      <c r="P249" s="14">
        <v>41932</v>
      </c>
      <c r="Q249" s="5">
        <v>16.95</v>
      </c>
      <c r="T249" s="14">
        <v>41955</v>
      </c>
      <c r="U249" s="5">
        <v>57.14</v>
      </c>
    </row>
    <row r="250" spans="12:21" x14ac:dyDescent="0.75">
      <c r="L250" s="14">
        <v>41967</v>
      </c>
      <c r="M250" s="5">
        <v>145.26</v>
      </c>
      <c r="N250" s="14">
        <v>41877</v>
      </c>
      <c r="O250" s="5">
        <v>1141.72</v>
      </c>
      <c r="P250" s="14">
        <v>41929</v>
      </c>
      <c r="Q250" s="5">
        <v>16.98</v>
      </c>
      <c r="T250" s="14">
        <v>41954</v>
      </c>
      <c r="U250" s="5">
        <v>57.5</v>
      </c>
    </row>
    <row r="251" spans="12:21" x14ac:dyDescent="0.75">
      <c r="L251" s="14">
        <v>41964</v>
      </c>
      <c r="M251" s="5">
        <v>145.22</v>
      </c>
      <c r="N251" s="14">
        <v>41876</v>
      </c>
      <c r="O251" s="5">
        <v>1141.25</v>
      </c>
      <c r="P251" s="14">
        <v>41928</v>
      </c>
      <c r="Q251" s="5">
        <v>17.010000000000002</v>
      </c>
      <c r="T251" s="14">
        <v>41953</v>
      </c>
      <c r="U251" s="5">
        <v>57.67</v>
      </c>
    </row>
    <row r="252" spans="12:21" x14ac:dyDescent="0.75">
      <c r="L252" s="14">
        <v>41963</v>
      </c>
      <c r="M252" s="5">
        <v>142.63999999999999</v>
      </c>
      <c r="N252" s="14">
        <v>41873</v>
      </c>
      <c r="O252" s="5">
        <v>1139.8900000000001</v>
      </c>
      <c r="P252" s="14">
        <v>41927</v>
      </c>
      <c r="Q252" s="5">
        <v>17.02</v>
      </c>
      <c r="T252" s="14">
        <v>41950</v>
      </c>
      <c r="U252" s="5">
        <v>57.15</v>
      </c>
    </row>
    <row r="253" spans="12:21" x14ac:dyDescent="0.75">
      <c r="L253" s="14">
        <v>41962</v>
      </c>
      <c r="M253" s="5">
        <v>142.57</v>
      </c>
      <c r="N253" s="14">
        <v>41872</v>
      </c>
      <c r="O253" s="5">
        <v>1139.92</v>
      </c>
      <c r="P253" s="14">
        <v>41926</v>
      </c>
      <c r="Q253" s="5">
        <v>16.989999999999998</v>
      </c>
      <c r="T253" s="14">
        <v>41949</v>
      </c>
      <c r="U253" s="5">
        <v>57.15</v>
      </c>
    </row>
    <row r="254" spans="12:21" x14ac:dyDescent="0.75">
      <c r="L254" s="14">
        <v>41961</v>
      </c>
      <c r="M254" s="5">
        <v>142.91</v>
      </c>
      <c r="N254" s="14">
        <v>41871</v>
      </c>
      <c r="O254" s="5">
        <v>1139.17</v>
      </c>
      <c r="P254" s="14">
        <v>41925</v>
      </c>
      <c r="Q254" s="5">
        <v>16.98</v>
      </c>
      <c r="T254" s="14">
        <v>41948</v>
      </c>
      <c r="U254" s="5">
        <v>57.59</v>
      </c>
    </row>
    <row r="255" spans="12:21" x14ac:dyDescent="0.75">
      <c r="L255" s="14">
        <v>41960</v>
      </c>
      <c r="M255" s="5">
        <v>142.72999999999999</v>
      </c>
      <c r="N255" s="14">
        <v>41869</v>
      </c>
      <c r="O255" s="5">
        <v>1137.43</v>
      </c>
      <c r="P255" s="14">
        <v>41922</v>
      </c>
      <c r="Q255" s="5">
        <v>16.96</v>
      </c>
      <c r="T255" s="14">
        <v>41947</v>
      </c>
      <c r="U255" s="5">
        <v>57.77</v>
      </c>
    </row>
    <row r="256" spans="12:21" x14ac:dyDescent="0.75">
      <c r="L256" s="14">
        <v>41957</v>
      </c>
      <c r="M256" s="5">
        <v>142.69999999999999</v>
      </c>
      <c r="N256" s="14">
        <v>41866</v>
      </c>
      <c r="O256" s="5">
        <v>1135.4000000000001</v>
      </c>
      <c r="P256" s="14">
        <v>41921</v>
      </c>
      <c r="Q256" s="5">
        <v>16.989999999999998</v>
      </c>
      <c r="T256" s="14">
        <v>41946</v>
      </c>
      <c r="U256" s="5">
        <v>57.68</v>
      </c>
    </row>
    <row r="257" spans="12:21" x14ac:dyDescent="0.75">
      <c r="L257" s="14">
        <v>41956</v>
      </c>
      <c r="M257" s="5">
        <v>142.71</v>
      </c>
      <c r="N257" s="14">
        <v>41865</v>
      </c>
      <c r="O257" s="5">
        <v>1134.98</v>
      </c>
      <c r="P257" s="14">
        <v>41920</v>
      </c>
      <c r="Q257" s="5">
        <v>16.97</v>
      </c>
      <c r="T257" s="14">
        <v>41943</v>
      </c>
      <c r="U257" s="5">
        <v>57.18</v>
      </c>
    </row>
    <row r="258" spans="12:21" x14ac:dyDescent="0.75">
      <c r="L258" s="14">
        <v>41955</v>
      </c>
      <c r="M258" s="5">
        <v>142.62</v>
      </c>
      <c r="N258" s="14">
        <v>41864</v>
      </c>
      <c r="O258" s="5">
        <v>1134.1500000000001</v>
      </c>
      <c r="P258" s="14">
        <v>41919</v>
      </c>
      <c r="Q258" s="5">
        <v>16.940000000000001</v>
      </c>
      <c r="T258" s="14">
        <v>41942</v>
      </c>
      <c r="U258" s="5">
        <v>56.150100000000002</v>
      </c>
    </row>
    <row r="259" spans="12:21" x14ac:dyDescent="0.75">
      <c r="L259" s="14">
        <v>41954</v>
      </c>
      <c r="M259" s="5">
        <v>143.28</v>
      </c>
      <c r="N259" s="14">
        <v>41862</v>
      </c>
      <c r="O259" s="5">
        <v>1133.28</v>
      </c>
      <c r="P259" s="14">
        <v>41918</v>
      </c>
      <c r="Q259" s="5">
        <v>16.93</v>
      </c>
      <c r="T259" s="14">
        <v>41941</v>
      </c>
      <c r="U259" s="5">
        <v>55.87</v>
      </c>
    </row>
    <row r="260" spans="12:21" x14ac:dyDescent="0.75">
      <c r="L260" s="14">
        <v>41953</v>
      </c>
      <c r="M260" s="5">
        <v>142.97999999999999</v>
      </c>
      <c r="N260" s="14">
        <v>41859</v>
      </c>
      <c r="O260" s="5">
        <v>1130.24</v>
      </c>
      <c r="P260" s="14">
        <v>41915</v>
      </c>
      <c r="Q260" s="5">
        <v>16.88</v>
      </c>
      <c r="T260" s="14">
        <v>41940</v>
      </c>
      <c r="U260" s="5">
        <v>55.92</v>
      </c>
    </row>
    <row r="261" spans="12:21" x14ac:dyDescent="0.75">
      <c r="L261" s="14">
        <v>41950</v>
      </c>
      <c r="M261" s="5">
        <v>142.58000000000001</v>
      </c>
      <c r="N261" s="14">
        <v>41858</v>
      </c>
      <c r="O261" s="5">
        <v>1129.23</v>
      </c>
      <c r="P261" s="14">
        <v>41914</v>
      </c>
      <c r="Q261" s="5">
        <v>16.95</v>
      </c>
      <c r="T261" s="14">
        <v>41939</v>
      </c>
      <c r="U261" s="5">
        <v>55.86</v>
      </c>
    </row>
    <row r="262" spans="12:21" x14ac:dyDescent="0.75">
      <c r="L262" s="14">
        <v>41949</v>
      </c>
      <c r="M262" s="5">
        <v>142.38999999999999</v>
      </c>
      <c r="N262" s="14">
        <v>41857</v>
      </c>
      <c r="O262" s="5">
        <v>1130.67</v>
      </c>
      <c r="P262" s="14">
        <v>41913</v>
      </c>
      <c r="Q262" s="5">
        <v>16.899999999999999</v>
      </c>
      <c r="T262" s="14">
        <v>41936</v>
      </c>
      <c r="U262" s="5">
        <v>55.45</v>
      </c>
    </row>
    <row r="263" spans="12:21" x14ac:dyDescent="0.75">
      <c r="L263" s="14">
        <v>41948</v>
      </c>
      <c r="M263" s="5">
        <v>141.80000000000001</v>
      </c>
      <c r="N263" s="14">
        <v>41856</v>
      </c>
      <c r="O263" s="5">
        <v>1132.5999999999999</v>
      </c>
      <c r="P263" s="14">
        <v>41912</v>
      </c>
      <c r="Q263" s="5">
        <v>16.89</v>
      </c>
      <c r="T263" s="14">
        <v>41935</v>
      </c>
      <c r="U263" s="5">
        <v>55.68</v>
      </c>
    </row>
    <row r="264" spans="12:21" x14ac:dyDescent="0.75">
      <c r="L264" s="14">
        <v>41947</v>
      </c>
      <c r="M264" s="5">
        <v>140.36000000000001</v>
      </c>
      <c r="N264" s="14">
        <v>41855</v>
      </c>
      <c r="O264" s="5">
        <v>1133.53</v>
      </c>
      <c r="P264" s="14">
        <v>41911</v>
      </c>
      <c r="Q264" s="5">
        <v>16.88</v>
      </c>
      <c r="T264" s="14">
        <v>41934</v>
      </c>
      <c r="U264" s="5">
        <v>55.3</v>
      </c>
    </row>
    <row r="265" spans="12:21" x14ac:dyDescent="0.75">
      <c r="L265" s="14">
        <v>41946</v>
      </c>
      <c r="M265" s="5">
        <v>141.44999999999999</v>
      </c>
      <c r="N265" s="14">
        <v>41852</v>
      </c>
      <c r="O265" s="5">
        <v>1133.58</v>
      </c>
      <c r="P265" s="14">
        <v>41908</v>
      </c>
      <c r="Q265" s="5">
        <v>16.89</v>
      </c>
      <c r="T265" s="14">
        <v>41933</v>
      </c>
      <c r="U265" s="5">
        <v>55.21</v>
      </c>
    </row>
    <row r="266" spans="12:21" x14ac:dyDescent="0.75">
      <c r="L266" s="14">
        <v>41943</v>
      </c>
      <c r="M266" s="5">
        <v>141.69999999999999</v>
      </c>
      <c r="N266" s="14">
        <v>41850</v>
      </c>
      <c r="O266" s="5">
        <v>1139.74</v>
      </c>
      <c r="P266" s="14">
        <v>41907</v>
      </c>
      <c r="Q266" s="5">
        <v>16.87</v>
      </c>
      <c r="T266" s="14">
        <v>41932</v>
      </c>
      <c r="U266" s="5">
        <v>54.9101</v>
      </c>
    </row>
    <row r="267" spans="12:21" x14ac:dyDescent="0.75">
      <c r="L267" s="14">
        <v>41942</v>
      </c>
      <c r="M267" s="5">
        <v>139.15</v>
      </c>
      <c r="N267" s="14">
        <v>41849</v>
      </c>
      <c r="O267" s="5">
        <v>1140.42</v>
      </c>
      <c r="P267" s="14">
        <v>41906</v>
      </c>
      <c r="Q267" s="5">
        <v>16.87</v>
      </c>
      <c r="T267" s="14">
        <v>41929</v>
      </c>
      <c r="U267" s="5">
        <v>54.12</v>
      </c>
    </row>
    <row r="268" spans="12:21" x14ac:dyDescent="0.75">
      <c r="L268" s="14">
        <v>41941</v>
      </c>
      <c r="M268" s="5">
        <v>137.37</v>
      </c>
      <c r="N268" s="14">
        <v>41848</v>
      </c>
      <c r="O268" s="5">
        <v>1141.01</v>
      </c>
      <c r="P268" s="14">
        <v>41905</v>
      </c>
      <c r="Q268" s="5">
        <v>16.87</v>
      </c>
      <c r="T268" s="14">
        <v>41928</v>
      </c>
      <c r="U268" s="5">
        <v>54.31</v>
      </c>
    </row>
    <row r="269" spans="12:21" x14ac:dyDescent="0.75">
      <c r="L269" s="14">
        <v>41940</v>
      </c>
      <c r="M269" s="5">
        <v>137.19999999999999</v>
      </c>
      <c r="N269" s="14">
        <v>41845</v>
      </c>
      <c r="O269" s="5">
        <v>1142.8900000000001</v>
      </c>
      <c r="P269" s="14">
        <v>41901</v>
      </c>
      <c r="Q269" s="5">
        <v>16.809999999999999</v>
      </c>
      <c r="T269" s="14">
        <v>41927</v>
      </c>
      <c r="U269" s="5">
        <v>54.43</v>
      </c>
    </row>
    <row r="270" spans="12:21" x14ac:dyDescent="0.75">
      <c r="L270" s="14">
        <v>41939</v>
      </c>
      <c r="M270" s="5">
        <v>136.07</v>
      </c>
      <c r="N270" s="14">
        <v>41844</v>
      </c>
      <c r="O270" s="5">
        <v>1143.3800000000001</v>
      </c>
      <c r="P270" s="14">
        <v>41899</v>
      </c>
      <c r="Q270" s="5">
        <v>16.82</v>
      </c>
      <c r="T270" s="14">
        <v>41926</v>
      </c>
      <c r="U270" s="5">
        <v>54.4</v>
      </c>
    </row>
    <row r="271" spans="12:21" x14ac:dyDescent="0.75">
      <c r="L271" s="14">
        <v>41936</v>
      </c>
      <c r="M271" s="5">
        <v>136.71</v>
      </c>
      <c r="N271" s="14">
        <v>41843</v>
      </c>
      <c r="O271" s="5">
        <v>1143.29</v>
      </c>
      <c r="P271" s="14">
        <v>41898</v>
      </c>
      <c r="Q271" s="5">
        <v>16.829999999999998</v>
      </c>
      <c r="T271" s="14">
        <v>41925</v>
      </c>
      <c r="U271" s="5">
        <v>53.47</v>
      </c>
    </row>
    <row r="272" spans="12:21" x14ac:dyDescent="0.75">
      <c r="L272" s="14">
        <v>41935</v>
      </c>
      <c r="M272" s="5">
        <v>136.30000000000001</v>
      </c>
      <c r="N272" s="14">
        <v>41841</v>
      </c>
      <c r="O272" s="5">
        <v>1140.33</v>
      </c>
      <c r="P272" s="14">
        <v>41897</v>
      </c>
      <c r="Q272" s="5">
        <v>16.809999999999999</v>
      </c>
      <c r="T272" s="14">
        <v>41922</v>
      </c>
      <c r="U272" s="5">
        <v>53.13</v>
      </c>
    </row>
    <row r="273" spans="12:21" x14ac:dyDescent="0.75">
      <c r="L273" s="14">
        <v>41934</v>
      </c>
      <c r="M273" s="5">
        <v>135.24</v>
      </c>
      <c r="N273" s="14">
        <v>41838</v>
      </c>
      <c r="O273" s="5">
        <v>1140.81</v>
      </c>
      <c r="P273" s="14">
        <v>41892</v>
      </c>
      <c r="Q273" s="5">
        <v>16.850000000000001</v>
      </c>
      <c r="T273" s="14">
        <v>41921</v>
      </c>
      <c r="U273" s="5">
        <v>52.87</v>
      </c>
    </row>
    <row r="274" spans="12:21" x14ac:dyDescent="0.75">
      <c r="L274" s="14">
        <v>41933</v>
      </c>
      <c r="M274" s="5">
        <v>134.77000000000001</v>
      </c>
      <c r="N274" s="14">
        <v>41837</v>
      </c>
      <c r="O274" s="5">
        <v>1139.3499999999999</v>
      </c>
      <c r="P274" s="14">
        <v>41891</v>
      </c>
      <c r="Q274" s="5">
        <v>16.87</v>
      </c>
      <c r="T274" s="14">
        <v>41920</v>
      </c>
      <c r="U274" s="5">
        <v>52.607999999999997</v>
      </c>
    </row>
    <row r="275" spans="12:21" x14ac:dyDescent="0.75">
      <c r="L275" s="14">
        <v>41932</v>
      </c>
      <c r="M275" s="5">
        <v>132.41</v>
      </c>
      <c r="N275" s="14">
        <v>41836</v>
      </c>
      <c r="O275" s="5">
        <v>1141.01</v>
      </c>
      <c r="P275" s="14">
        <v>41890</v>
      </c>
      <c r="Q275" s="5">
        <v>16.91</v>
      </c>
      <c r="T275" s="14">
        <v>41919</v>
      </c>
      <c r="U275" s="5">
        <v>51.58</v>
      </c>
    </row>
    <row r="276" spans="12:21" x14ac:dyDescent="0.75">
      <c r="L276" s="14">
        <v>41929</v>
      </c>
      <c r="M276" s="5">
        <v>131.57</v>
      </c>
      <c r="N276" s="14">
        <v>41834</v>
      </c>
      <c r="O276" s="5">
        <v>1140.6099999999999</v>
      </c>
      <c r="P276" s="14">
        <v>41887</v>
      </c>
      <c r="Q276" s="5">
        <v>16.89</v>
      </c>
      <c r="T276" s="14">
        <v>41918</v>
      </c>
      <c r="U276" s="5">
        <v>51.9</v>
      </c>
    </row>
    <row r="277" spans="12:21" x14ac:dyDescent="0.75">
      <c r="L277" s="14">
        <v>41928</v>
      </c>
      <c r="M277" s="5">
        <v>129.82</v>
      </c>
      <c r="N277" s="14">
        <v>41831</v>
      </c>
      <c r="O277" s="5">
        <v>1138.93</v>
      </c>
      <c r="P277" s="14">
        <v>41886</v>
      </c>
      <c r="Q277" s="5">
        <v>16.899999999999999</v>
      </c>
      <c r="T277" s="14">
        <v>41915</v>
      </c>
      <c r="U277" s="5">
        <v>51.58</v>
      </c>
    </row>
    <row r="278" spans="12:21" x14ac:dyDescent="0.75">
      <c r="L278" s="14">
        <v>41927</v>
      </c>
      <c r="M278" s="5">
        <v>130.4</v>
      </c>
      <c r="N278" s="14">
        <v>41830</v>
      </c>
      <c r="O278" s="5">
        <v>1139.1400000000001</v>
      </c>
      <c r="P278" s="14">
        <v>41885</v>
      </c>
      <c r="Q278" s="5">
        <v>16.88</v>
      </c>
      <c r="T278" s="14">
        <v>41914</v>
      </c>
      <c r="U278" s="5">
        <v>51.37</v>
      </c>
    </row>
    <row r="279" spans="12:21" x14ac:dyDescent="0.75">
      <c r="L279" s="14">
        <v>41926</v>
      </c>
      <c r="M279" s="5">
        <v>132.62</v>
      </c>
      <c r="N279" s="14">
        <v>41829</v>
      </c>
      <c r="O279" s="5">
        <v>1141.6300000000001</v>
      </c>
      <c r="P279" s="14">
        <v>41884</v>
      </c>
      <c r="Q279" s="5">
        <v>16.91</v>
      </c>
      <c r="T279" s="14">
        <v>41913</v>
      </c>
      <c r="U279" s="5">
        <v>51.37</v>
      </c>
    </row>
    <row r="280" spans="12:21" x14ac:dyDescent="0.75">
      <c r="L280" s="14">
        <v>41925</v>
      </c>
      <c r="M280" s="5">
        <v>132.68</v>
      </c>
      <c r="N280" s="14">
        <v>41827</v>
      </c>
      <c r="O280" s="5">
        <v>1144.17</v>
      </c>
      <c r="P280" s="14">
        <v>41880</v>
      </c>
      <c r="Q280" s="5">
        <v>16.93</v>
      </c>
      <c r="T280" s="14">
        <v>41912</v>
      </c>
      <c r="U280" s="5">
        <v>51.13</v>
      </c>
    </row>
    <row r="281" spans="12:21" x14ac:dyDescent="0.75">
      <c r="L281" s="14">
        <v>41922</v>
      </c>
      <c r="M281" s="5">
        <v>134.19</v>
      </c>
      <c r="N281" s="14">
        <v>41823</v>
      </c>
      <c r="O281" s="5">
        <v>1146.57</v>
      </c>
      <c r="P281" s="14">
        <v>41879</v>
      </c>
      <c r="Q281" s="5">
        <v>16.93</v>
      </c>
      <c r="T281" s="14">
        <v>41911</v>
      </c>
      <c r="U281" s="5">
        <v>51.31</v>
      </c>
    </row>
    <row r="282" spans="12:21" x14ac:dyDescent="0.75">
      <c r="L282" s="14">
        <v>41921</v>
      </c>
      <c r="M282" s="5">
        <v>135.46</v>
      </c>
      <c r="N282" s="14">
        <v>41822</v>
      </c>
      <c r="O282" s="5">
        <v>1145.02</v>
      </c>
      <c r="P282" s="14">
        <v>41877</v>
      </c>
      <c r="Q282" s="5">
        <v>16.91</v>
      </c>
      <c r="T282" s="14">
        <v>41908</v>
      </c>
      <c r="U282" s="5">
        <v>51.35</v>
      </c>
    </row>
    <row r="283" spans="12:21" x14ac:dyDescent="0.75">
      <c r="L283" s="14">
        <v>41920</v>
      </c>
      <c r="M283" s="5">
        <v>137.08000000000001</v>
      </c>
      <c r="N283" s="14">
        <v>41821</v>
      </c>
      <c r="O283" s="5">
        <v>1144.1600000000001</v>
      </c>
      <c r="P283" s="14">
        <v>41872</v>
      </c>
      <c r="Q283" s="5">
        <v>16.84</v>
      </c>
      <c r="T283" s="14">
        <v>41907</v>
      </c>
      <c r="U283" s="5">
        <v>50.9099</v>
      </c>
    </row>
    <row r="284" spans="12:21" x14ac:dyDescent="0.75">
      <c r="L284" s="14">
        <v>41919</v>
      </c>
      <c r="M284" s="5">
        <v>136.97999999999999</v>
      </c>
      <c r="N284" s="14">
        <v>41817</v>
      </c>
      <c r="O284" s="5">
        <v>1141.03</v>
      </c>
      <c r="P284" s="14">
        <v>41870</v>
      </c>
      <c r="Q284" s="5">
        <v>16.95</v>
      </c>
      <c r="T284" s="14">
        <v>41906</v>
      </c>
      <c r="U284" s="5">
        <v>50.88</v>
      </c>
    </row>
    <row r="285" spans="12:21" x14ac:dyDescent="0.75">
      <c r="L285" s="14">
        <v>41918</v>
      </c>
      <c r="M285" s="5">
        <v>138.99</v>
      </c>
      <c r="N285" s="14">
        <v>41816</v>
      </c>
      <c r="O285" s="5">
        <v>1140.8699999999999</v>
      </c>
      <c r="P285" s="14">
        <v>41866</v>
      </c>
      <c r="Q285" s="5">
        <v>16.850000000000001</v>
      </c>
      <c r="T285" s="14">
        <v>41905</v>
      </c>
      <c r="U285" s="5">
        <v>51.56</v>
      </c>
    </row>
    <row r="286" spans="12:21" x14ac:dyDescent="0.75">
      <c r="L286" s="14">
        <v>41915</v>
      </c>
      <c r="M286" s="5">
        <v>139.09</v>
      </c>
      <c r="N286" s="14">
        <v>41815</v>
      </c>
      <c r="O286" s="5">
        <v>1140.82</v>
      </c>
      <c r="P286" s="14">
        <v>41863</v>
      </c>
      <c r="Q286" s="5">
        <v>16.55</v>
      </c>
      <c r="T286" s="14">
        <v>41904</v>
      </c>
      <c r="U286" s="5">
        <v>51.85</v>
      </c>
    </row>
    <row r="287" spans="12:21" x14ac:dyDescent="0.75">
      <c r="L287" s="14">
        <v>41914</v>
      </c>
      <c r="M287" s="5">
        <v>136.91999999999999</v>
      </c>
      <c r="N287" s="14">
        <v>41814</v>
      </c>
      <c r="O287" s="5">
        <v>1140.77</v>
      </c>
      <c r="P287" s="14">
        <v>41862</v>
      </c>
      <c r="Q287" s="5">
        <v>16.809999999999999</v>
      </c>
      <c r="T287" s="14">
        <v>41901</v>
      </c>
      <c r="U287" s="5">
        <v>52.12</v>
      </c>
    </row>
    <row r="288" spans="12:21" x14ac:dyDescent="0.75">
      <c r="L288" s="14">
        <v>41913</v>
      </c>
      <c r="M288" s="5">
        <v>138.44</v>
      </c>
      <c r="N288" s="14">
        <v>41813</v>
      </c>
      <c r="O288" s="5">
        <v>1142.33</v>
      </c>
      <c r="P288" s="14">
        <v>41859</v>
      </c>
      <c r="Q288" s="5">
        <v>16.84</v>
      </c>
      <c r="T288" s="14">
        <v>41900</v>
      </c>
      <c r="U288" s="5">
        <v>51.98</v>
      </c>
    </row>
    <row r="289" spans="12:21" x14ac:dyDescent="0.75">
      <c r="L289" s="14">
        <v>41912</v>
      </c>
      <c r="M289" s="5">
        <v>139.56</v>
      </c>
      <c r="N289" s="14">
        <v>41810</v>
      </c>
      <c r="O289" s="5">
        <v>1142.6099999999999</v>
      </c>
      <c r="P289" s="14">
        <v>41858</v>
      </c>
      <c r="Q289" s="5">
        <v>16.79</v>
      </c>
      <c r="T289" s="14">
        <v>41899</v>
      </c>
      <c r="U289" s="5">
        <v>52.64</v>
      </c>
    </row>
    <row r="290" spans="12:21" x14ac:dyDescent="0.75">
      <c r="L290" s="14">
        <v>41911</v>
      </c>
      <c r="M290" s="5">
        <v>139.30000000000001</v>
      </c>
      <c r="N290" s="14">
        <v>41809</v>
      </c>
      <c r="O290" s="5">
        <v>1142.1600000000001</v>
      </c>
      <c r="P290" s="14">
        <v>41850</v>
      </c>
      <c r="Q290" s="5">
        <v>16.73</v>
      </c>
      <c r="T290" s="14">
        <v>41898</v>
      </c>
      <c r="U290" s="5">
        <v>52.61</v>
      </c>
    </row>
    <row r="291" spans="12:21" x14ac:dyDescent="0.75">
      <c r="L291" s="14">
        <v>41908</v>
      </c>
      <c r="M291" s="5">
        <v>139.82</v>
      </c>
      <c r="N291" s="14">
        <v>41808</v>
      </c>
      <c r="O291" s="5">
        <v>1140.44</v>
      </c>
      <c r="P291" s="14">
        <v>41806</v>
      </c>
      <c r="Q291" s="5">
        <v>16.62</v>
      </c>
      <c r="T291" s="14">
        <v>41897</v>
      </c>
      <c r="U291" s="5">
        <v>52.22</v>
      </c>
    </row>
    <row r="292" spans="12:21" x14ac:dyDescent="0.75">
      <c r="L292" s="14">
        <v>41907</v>
      </c>
      <c r="M292" s="5">
        <v>138.85</v>
      </c>
      <c r="N292" s="14">
        <v>41806</v>
      </c>
      <c r="O292" s="5">
        <v>1138.69</v>
      </c>
      <c r="P292" s="14">
        <v>41795</v>
      </c>
      <c r="Q292" s="5">
        <v>16.579999999999998</v>
      </c>
      <c r="T292" s="14">
        <v>41894</v>
      </c>
      <c r="U292" s="5">
        <v>52.46</v>
      </c>
    </row>
    <row r="293" spans="12:21" x14ac:dyDescent="0.75">
      <c r="L293" s="14">
        <v>41906</v>
      </c>
      <c r="M293" s="5">
        <v>139.91999999999999</v>
      </c>
      <c r="N293" s="14">
        <v>41803</v>
      </c>
      <c r="O293" s="5">
        <v>1138.47</v>
      </c>
      <c r="P293" s="14">
        <v>41789</v>
      </c>
      <c r="Q293" s="5">
        <v>16.62</v>
      </c>
      <c r="T293" s="14">
        <v>41893</v>
      </c>
      <c r="U293" s="5">
        <v>54.42</v>
      </c>
    </row>
    <row r="294" spans="12:21" x14ac:dyDescent="0.75">
      <c r="L294" s="14">
        <v>41905</v>
      </c>
      <c r="M294" s="5">
        <v>138.63999999999999</v>
      </c>
      <c r="N294" s="14">
        <v>41802</v>
      </c>
      <c r="O294" s="5">
        <v>1139.28</v>
      </c>
      <c r="P294" s="14"/>
      <c r="T294" s="14">
        <v>41892</v>
      </c>
      <c r="U294" s="5">
        <v>54.34</v>
      </c>
    </row>
    <row r="295" spans="12:21" x14ac:dyDescent="0.75">
      <c r="L295" s="14">
        <v>41904</v>
      </c>
      <c r="M295" s="5">
        <v>139.91999999999999</v>
      </c>
      <c r="N295" s="14">
        <v>41801</v>
      </c>
      <c r="O295" s="5">
        <v>1140.8</v>
      </c>
      <c r="P295" s="14"/>
      <c r="T295" s="14">
        <v>41891</v>
      </c>
      <c r="U295" s="5">
        <v>55.331000000000003</v>
      </c>
    </row>
    <row r="296" spans="12:21" x14ac:dyDescent="0.75">
      <c r="L296" s="14">
        <v>41901</v>
      </c>
      <c r="M296" s="5">
        <v>140.91999999999999</v>
      </c>
      <c r="N296" s="14">
        <v>41799</v>
      </c>
      <c r="O296" s="5">
        <v>1140.6400000000001</v>
      </c>
      <c r="P296" s="14"/>
      <c r="T296" s="14">
        <v>41890</v>
      </c>
      <c r="U296" s="5">
        <v>55.81</v>
      </c>
    </row>
    <row r="297" spans="12:21" x14ac:dyDescent="0.75">
      <c r="L297" s="14">
        <v>41900</v>
      </c>
      <c r="M297" s="5">
        <v>140.24</v>
      </c>
      <c r="N297" s="14">
        <v>41796</v>
      </c>
      <c r="O297" s="5">
        <v>1139.2</v>
      </c>
      <c r="P297" s="14"/>
      <c r="T297" s="14">
        <v>41887</v>
      </c>
      <c r="U297" s="5">
        <v>55.92</v>
      </c>
    </row>
    <row r="298" spans="12:21" x14ac:dyDescent="0.75">
      <c r="L298" s="14">
        <v>41899</v>
      </c>
      <c r="M298" s="5">
        <v>139.38999999999999</v>
      </c>
      <c r="N298" s="14">
        <v>41795</v>
      </c>
      <c r="O298" s="5">
        <v>1137.6600000000001</v>
      </c>
      <c r="P298" s="14"/>
      <c r="T298" s="14">
        <v>41886</v>
      </c>
      <c r="U298" s="5">
        <v>55.43</v>
      </c>
    </row>
    <row r="299" spans="12:21" x14ac:dyDescent="0.75">
      <c r="L299" s="14">
        <v>41898</v>
      </c>
      <c r="M299" s="5">
        <v>139.25</v>
      </c>
      <c r="N299" s="14">
        <v>41794</v>
      </c>
      <c r="O299" s="5">
        <v>1135.1600000000001</v>
      </c>
      <c r="P299" s="14"/>
      <c r="T299" s="14">
        <v>41885</v>
      </c>
      <c r="U299" s="5">
        <v>55.56</v>
      </c>
    </row>
    <row r="300" spans="12:21" x14ac:dyDescent="0.75">
      <c r="L300" s="14">
        <v>41897</v>
      </c>
      <c r="M300" s="5">
        <v>138.9</v>
      </c>
      <c r="N300" s="14">
        <v>41793</v>
      </c>
      <c r="O300" s="5">
        <v>1134.04</v>
      </c>
      <c r="P300" s="14"/>
      <c r="T300" s="14">
        <v>41884</v>
      </c>
      <c r="U300" s="5">
        <v>55.35</v>
      </c>
    </row>
    <row r="301" spans="12:21" x14ac:dyDescent="0.75">
      <c r="L301" s="14">
        <v>41894</v>
      </c>
      <c r="M301" s="5">
        <v>139.18</v>
      </c>
      <c r="N301" s="14">
        <v>41792</v>
      </c>
      <c r="O301" s="5">
        <v>1134.1600000000001</v>
      </c>
      <c r="P301" s="14"/>
      <c r="T301" s="14">
        <v>41880</v>
      </c>
      <c r="U301" s="5">
        <v>55.48</v>
      </c>
    </row>
    <row r="302" spans="12:21" x14ac:dyDescent="0.75">
      <c r="L302" s="14">
        <v>41893</v>
      </c>
      <c r="M302" s="5">
        <v>139.79</v>
      </c>
      <c r="N302" s="14">
        <v>41788</v>
      </c>
      <c r="O302" s="5">
        <v>1134.45</v>
      </c>
      <c r="P302" s="14"/>
      <c r="T302" s="14">
        <v>41879</v>
      </c>
      <c r="U302" s="5">
        <v>55.21</v>
      </c>
    </row>
    <row r="303" spans="12:21" x14ac:dyDescent="0.75">
      <c r="L303" s="14">
        <v>41892</v>
      </c>
      <c r="M303" s="5">
        <v>140.03</v>
      </c>
      <c r="N303" s="14">
        <v>41787</v>
      </c>
      <c r="O303" s="5">
        <v>1133.73</v>
      </c>
      <c r="P303" s="14"/>
      <c r="T303" s="14">
        <v>41878</v>
      </c>
      <c r="U303" s="5">
        <v>55.15</v>
      </c>
    </row>
    <row r="304" spans="12:21" x14ac:dyDescent="0.75">
      <c r="L304" s="14">
        <v>41891</v>
      </c>
      <c r="M304" s="5">
        <v>140.04</v>
      </c>
      <c r="N304" s="14">
        <v>41786</v>
      </c>
      <c r="O304" s="5">
        <v>1133.24</v>
      </c>
      <c r="P304" s="14"/>
      <c r="T304" s="14">
        <v>41877</v>
      </c>
      <c r="U304" s="5">
        <v>55.03</v>
      </c>
    </row>
    <row r="305" spans="12:21" x14ac:dyDescent="0.75">
      <c r="L305" s="14">
        <v>41890</v>
      </c>
      <c r="M305" s="5">
        <v>140.57</v>
      </c>
      <c r="N305" s="14">
        <v>41782</v>
      </c>
      <c r="O305" s="5">
        <v>1131.04</v>
      </c>
      <c r="P305" s="14"/>
      <c r="T305" s="14">
        <v>41876</v>
      </c>
      <c r="U305" s="5">
        <v>54.899799999999999</v>
      </c>
    </row>
    <row r="306" spans="12:21" x14ac:dyDescent="0.75">
      <c r="L306" s="14">
        <v>41887</v>
      </c>
      <c r="M306" s="5">
        <v>140.91999999999999</v>
      </c>
      <c r="N306" s="14">
        <v>41781</v>
      </c>
      <c r="O306" s="5">
        <v>1130.23</v>
      </c>
      <c r="P306" s="14"/>
      <c r="T306" s="14">
        <v>41873</v>
      </c>
      <c r="U306" s="5">
        <v>55.06</v>
      </c>
    </row>
    <row r="307" spans="12:21" x14ac:dyDescent="0.75">
      <c r="L307" s="14">
        <v>41886</v>
      </c>
      <c r="M307" s="5">
        <v>140.74</v>
      </c>
      <c r="N307" s="14">
        <v>41780</v>
      </c>
      <c r="O307" s="5">
        <v>1128.03</v>
      </c>
      <c r="P307" s="14"/>
      <c r="T307" s="14">
        <v>41872</v>
      </c>
      <c r="U307" s="5">
        <v>55.48</v>
      </c>
    </row>
    <row r="308" spans="12:21" x14ac:dyDescent="0.75">
      <c r="L308" s="14">
        <v>41885</v>
      </c>
      <c r="M308" s="5">
        <v>139.15</v>
      </c>
      <c r="N308" s="14">
        <v>41778</v>
      </c>
      <c r="O308" s="5">
        <v>1127.1199999999999</v>
      </c>
      <c r="P308" s="14"/>
      <c r="T308" s="14">
        <v>41871</v>
      </c>
      <c r="U308" s="5">
        <v>55.62</v>
      </c>
    </row>
    <row r="309" spans="12:21" x14ac:dyDescent="0.75">
      <c r="L309" s="14">
        <v>41884</v>
      </c>
      <c r="M309" s="5">
        <v>138.74</v>
      </c>
      <c r="N309" s="14">
        <v>41775</v>
      </c>
      <c r="O309" s="5">
        <v>1126.21</v>
      </c>
      <c r="P309" s="14"/>
      <c r="T309" s="14">
        <v>41870</v>
      </c>
      <c r="U309" s="5">
        <v>55.32</v>
      </c>
    </row>
    <row r="310" spans="12:21" x14ac:dyDescent="0.75">
      <c r="L310" s="14">
        <v>41883</v>
      </c>
      <c r="M310" s="5">
        <v>138.71</v>
      </c>
      <c r="N310" s="14">
        <v>41774</v>
      </c>
      <c r="O310" s="5">
        <v>1126.1199999999999</v>
      </c>
      <c r="P310" s="14"/>
      <c r="T310" s="14">
        <v>41869</v>
      </c>
      <c r="U310" s="5">
        <v>55.19</v>
      </c>
    </row>
    <row r="311" spans="12:21" x14ac:dyDescent="0.75">
      <c r="L311" s="14">
        <v>41880</v>
      </c>
      <c r="M311" s="5">
        <v>138.33000000000001</v>
      </c>
      <c r="N311" s="14">
        <v>41773</v>
      </c>
      <c r="O311" s="5">
        <v>1129.78</v>
      </c>
      <c r="P311" s="14"/>
      <c r="T311" s="14">
        <v>41866</v>
      </c>
      <c r="U311" s="5">
        <v>54.64</v>
      </c>
    </row>
    <row r="312" spans="12:21" x14ac:dyDescent="0.75">
      <c r="L312" s="14">
        <v>41879</v>
      </c>
      <c r="M312" s="5">
        <v>137.96</v>
      </c>
      <c r="N312" s="14">
        <v>41771</v>
      </c>
      <c r="O312" s="5">
        <v>1130.72</v>
      </c>
      <c r="P312" s="14"/>
      <c r="T312" s="14">
        <v>41865</v>
      </c>
      <c r="U312" s="5">
        <v>54.75</v>
      </c>
    </row>
    <row r="313" spans="12:21" x14ac:dyDescent="0.75">
      <c r="L313" s="14">
        <v>41878</v>
      </c>
      <c r="M313" s="5">
        <v>138.21</v>
      </c>
      <c r="N313" s="14">
        <v>41768</v>
      </c>
      <c r="O313" s="5">
        <v>1128.21</v>
      </c>
      <c r="P313" s="14"/>
      <c r="T313" s="14">
        <v>41864</v>
      </c>
      <c r="U313" s="5">
        <v>54.72</v>
      </c>
    </row>
    <row r="314" spans="12:21" x14ac:dyDescent="0.75">
      <c r="L314" s="14">
        <v>41877</v>
      </c>
      <c r="M314" s="5">
        <v>137.97999999999999</v>
      </c>
      <c r="N314" s="14">
        <v>41767</v>
      </c>
      <c r="O314" s="5">
        <v>1129.45</v>
      </c>
      <c r="P314" s="14"/>
      <c r="T314" s="14">
        <v>41863</v>
      </c>
      <c r="U314" s="5">
        <v>53.93</v>
      </c>
    </row>
    <row r="315" spans="12:21" x14ac:dyDescent="0.75">
      <c r="L315" s="14">
        <v>41876</v>
      </c>
      <c r="M315" s="5">
        <v>137.72999999999999</v>
      </c>
      <c r="N315" s="14">
        <v>41766</v>
      </c>
      <c r="O315" s="5">
        <v>1130.2</v>
      </c>
      <c r="P315" s="14"/>
      <c r="T315" s="14">
        <v>41862</v>
      </c>
      <c r="U315" s="5">
        <v>53.97</v>
      </c>
    </row>
    <row r="316" spans="12:21" x14ac:dyDescent="0.75">
      <c r="L316" s="14">
        <v>41873</v>
      </c>
      <c r="M316" s="5">
        <v>136.69</v>
      </c>
      <c r="N316" s="14">
        <v>41764</v>
      </c>
      <c r="O316" s="5">
        <v>1132.82</v>
      </c>
      <c r="P316" s="14"/>
      <c r="T316" s="14">
        <v>41859</v>
      </c>
      <c r="U316" s="5">
        <v>53.75</v>
      </c>
    </row>
    <row r="317" spans="12:21" x14ac:dyDescent="0.75">
      <c r="L317" s="14">
        <v>41872</v>
      </c>
      <c r="M317" s="5">
        <v>136.53</v>
      </c>
      <c r="N317" s="14">
        <v>41761</v>
      </c>
      <c r="O317" s="5">
        <v>1133.71</v>
      </c>
      <c r="P317" s="14"/>
      <c r="T317" s="14">
        <v>41858</v>
      </c>
      <c r="U317" s="5">
        <v>53.53</v>
      </c>
    </row>
    <row r="318" spans="12:21" x14ac:dyDescent="0.75">
      <c r="L318" s="14">
        <v>41871</v>
      </c>
      <c r="M318" s="5">
        <v>136.12</v>
      </c>
      <c r="N318" s="14">
        <v>41760</v>
      </c>
      <c r="O318" s="5">
        <v>1133.1600000000001</v>
      </c>
      <c r="P318" s="14"/>
      <c r="T318" s="14">
        <v>41857</v>
      </c>
      <c r="U318" s="5">
        <v>53.51</v>
      </c>
    </row>
    <row r="319" spans="12:21" x14ac:dyDescent="0.75">
      <c r="L319" s="14">
        <v>41870</v>
      </c>
      <c r="M319" s="5">
        <v>135.71</v>
      </c>
      <c r="N319" s="14">
        <v>41758</v>
      </c>
      <c r="O319" s="5">
        <v>1132.77</v>
      </c>
      <c r="P319" s="14"/>
      <c r="T319" s="14">
        <v>41856</v>
      </c>
      <c r="U319" s="5">
        <v>53.49</v>
      </c>
    </row>
    <row r="320" spans="12:21" x14ac:dyDescent="0.75">
      <c r="L320" s="14">
        <v>41869</v>
      </c>
      <c r="M320" s="5">
        <v>134.61000000000001</v>
      </c>
      <c r="N320" s="14">
        <v>41757</v>
      </c>
      <c r="O320" s="5">
        <v>1131.3699999999999</v>
      </c>
      <c r="P320" s="14"/>
      <c r="T320" s="14">
        <v>41855</v>
      </c>
      <c r="U320" s="5">
        <v>53.99</v>
      </c>
    </row>
    <row r="321" spans="12:21" x14ac:dyDescent="0.75">
      <c r="L321" s="14">
        <v>41866</v>
      </c>
      <c r="M321" s="5">
        <v>133.47</v>
      </c>
      <c r="N321" s="14">
        <v>41753</v>
      </c>
      <c r="O321" s="5">
        <v>1135.8900000000001</v>
      </c>
      <c r="P321" s="14"/>
      <c r="T321" s="14">
        <v>41852</v>
      </c>
      <c r="U321" s="5">
        <v>53.7</v>
      </c>
    </row>
    <row r="322" spans="12:21" x14ac:dyDescent="0.75">
      <c r="L322" s="14">
        <v>41865</v>
      </c>
      <c r="M322" s="5">
        <v>133.56</v>
      </c>
      <c r="N322" s="14">
        <v>41752</v>
      </c>
      <c r="O322" s="5">
        <v>1135.04</v>
      </c>
      <c r="P322" s="14"/>
      <c r="T322" s="14">
        <v>41851</v>
      </c>
      <c r="U322" s="5">
        <v>53.68</v>
      </c>
    </row>
    <row r="323" spans="12:21" x14ac:dyDescent="0.75">
      <c r="L323" s="14">
        <v>41864</v>
      </c>
      <c r="M323" s="5">
        <v>133.05000000000001</v>
      </c>
      <c r="N323" s="14">
        <v>41750</v>
      </c>
      <c r="O323" s="5">
        <v>1133.1500000000001</v>
      </c>
      <c r="P323" s="14"/>
      <c r="T323" s="14">
        <v>41850</v>
      </c>
      <c r="U323" s="5">
        <v>54.57</v>
      </c>
    </row>
    <row r="324" spans="12:21" x14ac:dyDescent="0.75">
      <c r="L324" s="14">
        <v>41863</v>
      </c>
      <c r="M324" s="5">
        <v>132.47999999999999</v>
      </c>
      <c r="N324" s="14">
        <v>41746</v>
      </c>
      <c r="O324" s="5">
        <v>1132.1300000000001</v>
      </c>
      <c r="P324" s="14"/>
      <c r="T324" s="14">
        <v>41849</v>
      </c>
      <c r="U324" s="5">
        <v>54.52</v>
      </c>
    </row>
    <row r="325" spans="12:21" x14ac:dyDescent="0.75">
      <c r="L325" s="14">
        <v>41862</v>
      </c>
      <c r="M325" s="5">
        <v>132.30000000000001</v>
      </c>
      <c r="N325" s="14">
        <v>41745</v>
      </c>
      <c r="O325" s="5">
        <v>1131.0999999999999</v>
      </c>
      <c r="P325" s="14"/>
      <c r="T325" s="14">
        <v>41848</v>
      </c>
      <c r="U325" s="5">
        <v>54.74</v>
      </c>
    </row>
    <row r="326" spans="12:21" x14ac:dyDescent="0.75">
      <c r="L326" s="14">
        <v>41859</v>
      </c>
      <c r="M326" s="5">
        <v>131.04</v>
      </c>
      <c r="N326" s="14">
        <v>41743</v>
      </c>
      <c r="O326" s="5">
        <v>1128.32</v>
      </c>
      <c r="P326" s="14"/>
      <c r="T326" s="14">
        <v>41845</v>
      </c>
      <c r="U326" s="5">
        <v>54.31</v>
      </c>
    </row>
    <row r="327" spans="12:21" x14ac:dyDescent="0.75">
      <c r="L327" s="14">
        <v>41858</v>
      </c>
      <c r="M327" s="5">
        <v>131.33000000000001</v>
      </c>
      <c r="N327" s="14">
        <v>41740</v>
      </c>
      <c r="O327" s="5">
        <v>1129.76</v>
      </c>
      <c r="P327" s="14"/>
      <c r="T327" s="14">
        <v>41844</v>
      </c>
      <c r="U327" s="5">
        <v>54.72</v>
      </c>
    </row>
    <row r="328" spans="12:21" x14ac:dyDescent="0.75">
      <c r="L328" s="14">
        <v>41857</v>
      </c>
      <c r="M328" s="5">
        <v>131.93</v>
      </c>
      <c r="N328" s="14">
        <v>41739</v>
      </c>
      <c r="O328" s="5">
        <v>1132.48</v>
      </c>
      <c r="P328" s="14"/>
      <c r="T328" s="14">
        <v>41843</v>
      </c>
      <c r="U328" s="5">
        <v>54.48</v>
      </c>
    </row>
    <row r="329" spans="12:21" x14ac:dyDescent="0.75">
      <c r="L329" s="14">
        <v>41856</v>
      </c>
      <c r="M329" s="5">
        <v>132.19999999999999</v>
      </c>
      <c r="N329" s="14">
        <v>41738</v>
      </c>
      <c r="O329" s="5">
        <v>1135.07</v>
      </c>
      <c r="P329" s="14"/>
      <c r="T329" s="14">
        <v>41842</v>
      </c>
      <c r="U329" s="5">
        <v>54.38</v>
      </c>
    </row>
    <row r="330" spans="12:21" x14ac:dyDescent="0.75">
      <c r="L330" s="14">
        <v>41855</v>
      </c>
      <c r="M330" s="5">
        <v>132.61000000000001</v>
      </c>
      <c r="N330" s="14">
        <v>41736</v>
      </c>
      <c r="O330" s="5">
        <v>1135.26</v>
      </c>
      <c r="P330" s="14"/>
      <c r="T330" s="14">
        <v>41841</v>
      </c>
      <c r="U330" s="5">
        <v>54.23</v>
      </c>
    </row>
    <row r="331" spans="12:21" x14ac:dyDescent="0.75">
      <c r="L331" s="14">
        <v>41852</v>
      </c>
      <c r="M331" s="5">
        <v>132.08000000000001</v>
      </c>
      <c r="N331" s="14">
        <v>41733</v>
      </c>
      <c r="O331" s="5">
        <v>1138.82</v>
      </c>
      <c r="P331" s="14"/>
      <c r="T331" s="14">
        <v>41838</v>
      </c>
      <c r="U331" s="5">
        <v>54.41</v>
      </c>
    </row>
    <row r="332" spans="12:21" x14ac:dyDescent="0.75">
      <c r="L332" s="14">
        <v>41851</v>
      </c>
      <c r="M332" s="5">
        <v>133.22999999999999</v>
      </c>
      <c r="N332" s="14">
        <v>41732</v>
      </c>
      <c r="O332" s="5">
        <v>1140.1099999999999</v>
      </c>
      <c r="P332" s="14"/>
      <c r="T332" s="14">
        <v>41837</v>
      </c>
      <c r="U332" s="5">
        <v>53.98</v>
      </c>
    </row>
    <row r="333" spans="12:21" x14ac:dyDescent="0.75">
      <c r="L333" s="14">
        <v>41850</v>
      </c>
      <c r="M333" s="5">
        <v>135.21</v>
      </c>
      <c r="N333" s="14">
        <v>41731</v>
      </c>
      <c r="O333" s="5">
        <v>1140.45</v>
      </c>
      <c r="P333" s="14"/>
      <c r="T333" s="14">
        <v>41836</v>
      </c>
      <c r="U333" s="5">
        <v>54.12</v>
      </c>
    </row>
    <row r="334" spans="12:21" x14ac:dyDescent="0.75">
      <c r="L334" s="14">
        <v>41849</v>
      </c>
      <c r="M334" s="5">
        <v>135.16999999999999</v>
      </c>
      <c r="N334" s="14">
        <v>41730</v>
      </c>
      <c r="O334" s="5">
        <v>1139.45</v>
      </c>
      <c r="P334" s="14"/>
      <c r="T334" s="14">
        <v>41835</v>
      </c>
      <c r="U334" s="5">
        <v>53.93</v>
      </c>
    </row>
    <row r="335" spans="12:21" x14ac:dyDescent="0.75">
      <c r="L335" s="14">
        <v>41848</v>
      </c>
      <c r="M335" s="5">
        <v>135.13999999999999</v>
      </c>
      <c r="N335" s="14">
        <v>41726</v>
      </c>
      <c r="O335" s="5">
        <v>1135.93</v>
      </c>
      <c r="P335" s="14"/>
      <c r="T335" s="14">
        <v>41834</v>
      </c>
      <c r="U335" s="5">
        <v>53.802</v>
      </c>
    </row>
    <row r="336" spans="12:21" x14ac:dyDescent="0.75">
      <c r="L336" s="14">
        <v>41845</v>
      </c>
      <c r="M336" s="5">
        <v>135.19999999999999</v>
      </c>
      <c r="N336" s="14">
        <v>41725</v>
      </c>
      <c r="O336" s="5">
        <v>1134.24</v>
      </c>
      <c r="P336" s="14"/>
      <c r="T336" s="14">
        <v>41831</v>
      </c>
      <c r="U336" s="5">
        <v>53.63</v>
      </c>
    </row>
    <row r="337" spans="12:21" x14ac:dyDescent="0.75">
      <c r="L337" s="14">
        <v>41844</v>
      </c>
      <c r="M337" s="5">
        <v>135.41</v>
      </c>
      <c r="N337" s="14">
        <v>41724</v>
      </c>
      <c r="O337" s="5">
        <v>1134.27</v>
      </c>
      <c r="P337" s="14"/>
      <c r="T337" s="14">
        <v>41830</v>
      </c>
      <c r="U337" s="5">
        <v>53.66</v>
      </c>
    </row>
    <row r="338" spans="12:21" x14ac:dyDescent="0.75">
      <c r="L338" s="14">
        <v>41843</v>
      </c>
      <c r="M338" s="5">
        <v>135.28</v>
      </c>
      <c r="N338" s="14">
        <v>41722</v>
      </c>
      <c r="O338" s="5">
        <v>1133.5999999999999</v>
      </c>
      <c r="P338" s="14"/>
      <c r="T338" s="14">
        <v>41829</v>
      </c>
      <c r="U338" s="5">
        <v>53.46</v>
      </c>
    </row>
    <row r="339" spans="12:21" x14ac:dyDescent="0.75">
      <c r="L339" s="14">
        <v>41842</v>
      </c>
      <c r="M339" s="5">
        <v>134.96</v>
      </c>
      <c r="N339" s="14">
        <v>41719</v>
      </c>
      <c r="O339" s="5">
        <v>1134.43</v>
      </c>
      <c r="P339" s="14"/>
      <c r="T339" s="14">
        <v>41828</v>
      </c>
      <c r="U339" s="5">
        <v>53.4</v>
      </c>
    </row>
    <row r="340" spans="12:21" x14ac:dyDescent="0.75">
      <c r="L340" s="14">
        <v>41841</v>
      </c>
      <c r="M340" s="5">
        <v>133.54</v>
      </c>
      <c r="N340" s="14">
        <v>41718</v>
      </c>
      <c r="O340" s="5">
        <v>1134.5899999999999</v>
      </c>
      <c r="P340" s="14"/>
      <c r="T340" s="14">
        <v>41827</v>
      </c>
      <c r="U340" s="5">
        <v>53.17</v>
      </c>
    </row>
    <row r="341" spans="12:21" x14ac:dyDescent="0.75">
      <c r="L341" s="14">
        <v>41838</v>
      </c>
      <c r="M341" s="5">
        <v>133.93</v>
      </c>
      <c r="N341" s="14">
        <v>41717</v>
      </c>
      <c r="O341" s="5">
        <v>1136.18</v>
      </c>
      <c r="P341" s="14"/>
      <c r="T341" s="14">
        <v>41823</v>
      </c>
      <c r="U341" s="5">
        <v>53.02</v>
      </c>
    </row>
    <row r="342" spans="12:21" x14ac:dyDescent="0.75">
      <c r="L342" s="14">
        <v>41837</v>
      </c>
      <c r="M342" s="5">
        <v>133.21</v>
      </c>
      <c r="N342" s="14">
        <v>41715</v>
      </c>
      <c r="O342" s="5">
        <v>1133.81</v>
      </c>
      <c r="P342" s="14"/>
      <c r="T342" s="14">
        <v>41822</v>
      </c>
      <c r="U342" s="5">
        <v>53.35</v>
      </c>
    </row>
    <row r="343" spans="12:21" x14ac:dyDescent="0.75">
      <c r="L343" s="14">
        <v>41836</v>
      </c>
      <c r="M343" s="5">
        <v>134.21</v>
      </c>
      <c r="N343" s="14">
        <v>41712</v>
      </c>
      <c r="O343" s="5">
        <v>1132.8499999999999</v>
      </c>
      <c r="P343" s="14"/>
      <c r="T343" s="14">
        <v>41821</v>
      </c>
      <c r="U343" s="5">
        <v>53.6</v>
      </c>
    </row>
    <row r="344" spans="12:21" x14ac:dyDescent="0.75">
      <c r="L344" s="14">
        <v>41835</v>
      </c>
      <c r="M344" s="5">
        <v>133.16</v>
      </c>
      <c r="N344" s="14">
        <v>41711</v>
      </c>
      <c r="O344" s="5">
        <v>1134.6400000000001</v>
      </c>
      <c r="P344" s="14"/>
      <c r="T344" s="14">
        <v>41820</v>
      </c>
      <c r="U344" s="5">
        <v>53.329000000000001</v>
      </c>
    </row>
    <row r="345" spans="12:21" x14ac:dyDescent="0.75">
      <c r="L345" s="14">
        <v>41834</v>
      </c>
      <c r="M345" s="5">
        <v>132.94</v>
      </c>
      <c r="N345" s="14">
        <v>41710</v>
      </c>
      <c r="O345" s="5">
        <v>1136.17</v>
      </c>
      <c r="P345" s="14"/>
      <c r="T345" s="14">
        <v>41817</v>
      </c>
      <c r="U345" s="5">
        <v>53.420999999999999</v>
      </c>
    </row>
    <row r="346" spans="12:21" x14ac:dyDescent="0.75">
      <c r="L346" s="14">
        <v>41831</v>
      </c>
      <c r="M346" s="5">
        <v>132.38</v>
      </c>
      <c r="N346" s="14">
        <v>41708</v>
      </c>
      <c r="O346" s="5">
        <v>1138.54</v>
      </c>
      <c r="P346" s="14"/>
      <c r="T346" s="14">
        <v>41816</v>
      </c>
      <c r="U346" s="5">
        <v>53.09</v>
      </c>
    </row>
    <row r="347" spans="12:21" x14ac:dyDescent="0.75">
      <c r="L347" s="14">
        <v>41830</v>
      </c>
      <c r="M347" s="5">
        <v>132.31</v>
      </c>
      <c r="N347" s="14">
        <v>41705</v>
      </c>
      <c r="O347" s="5">
        <v>1139.83</v>
      </c>
      <c r="P347" s="14"/>
      <c r="T347" s="14">
        <v>41815</v>
      </c>
      <c r="U347" s="5">
        <v>52.994</v>
      </c>
    </row>
    <row r="348" spans="12:21" x14ac:dyDescent="0.75">
      <c r="L348" s="14">
        <v>41829</v>
      </c>
      <c r="M348" s="5">
        <v>132.68</v>
      </c>
      <c r="N348" s="14">
        <v>41704</v>
      </c>
      <c r="O348" s="5">
        <v>1139.5</v>
      </c>
      <c r="P348" s="14"/>
      <c r="T348" s="14">
        <v>41814</v>
      </c>
      <c r="U348" s="5">
        <v>53.09</v>
      </c>
    </row>
    <row r="349" spans="12:21" x14ac:dyDescent="0.75">
      <c r="L349" s="14">
        <v>41828</v>
      </c>
      <c r="M349" s="5">
        <v>132.69</v>
      </c>
      <c r="N349" s="14">
        <v>41703</v>
      </c>
      <c r="O349" s="5">
        <v>1139.32</v>
      </c>
      <c r="P349" s="14"/>
      <c r="T349" s="14">
        <v>41813</v>
      </c>
      <c r="U349" s="5">
        <v>53.52</v>
      </c>
    </row>
    <row r="350" spans="12:21" x14ac:dyDescent="0.75">
      <c r="L350" s="14">
        <v>41827</v>
      </c>
      <c r="M350" s="5">
        <v>133.74</v>
      </c>
      <c r="N350" s="14">
        <v>41702</v>
      </c>
      <c r="O350" s="5">
        <v>1139.07</v>
      </c>
      <c r="P350" s="14"/>
      <c r="T350" s="14">
        <v>41810</v>
      </c>
      <c r="U350" s="5">
        <v>53.7</v>
      </c>
    </row>
    <row r="351" spans="12:21" x14ac:dyDescent="0.75">
      <c r="L351" s="14">
        <v>41824</v>
      </c>
      <c r="M351" s="5">
        <v>134.36000000000001</v>
      </c>
      <c r="N351" s="14">
        <v>41701</v>
      </c>
      <c r="O351" s="5">
        <v>1135.97</v>
      </c>
      <c r="P351" s="14"/>
      <c r="T351" s="14">
        <v>41809</v>
      </c>
      <c r="U351" s="5">
        <v>53.37</v>
      </c>
    </row>
    <row r="352" spans="12:21" x14ac:dyDescent="0.75">
      <c r="L352" s="14">
        <v>41823</v>
      </c>
      <c r="M352" s="5">
        <v>134.19</v>
      </c>
      <c r="N352" s="14">
        <v>41697</v>
      </c>
      <c r="O352" s="5">
        <v>1137.05</v>
      </c>
      <c r="P352" s="14"/>
      <c r="T352" s="14">
        <v>41808</v>
      </c>
      <c r="U352" s="5">
        <v>52.912199999999999</v>
      </c>
    </row>
    <row r="353" spans="12:21" x14ac:dyDescent="0.75">
      <c r="L353" s="14">
        <v>41822</v>
      </c>
      <c r="M353" s="5">
        <v>133.24</v>
      </c>
      <c r="N353" s="14">
        <v>41696</v>
      </c>
      <c r="O353" s="5">
        <v>1135.07</v>
      </c>
      <c r="P353" s="14"/>
      <c r="T353" s="14">
        <v>41807</v>
      </c>
      <c r="U353" s="5">
        <v>52.6</v>
      </c>
    </row>
    <row r="354" spans="12:21" x14ac:dyDescent="0.75">
      <c r="L354" s="14">
        <v>41821</v>
      </c>
      <c r="M354" s="5">
        <v>132.69999999999999</v>
      </c>
      <c r="N354" s="14">
        <v>41695</v>
      </c>
      <c r="O354" s="5">
        <v>1134.3</v>
      </c>
      <c r="P354" s="14"/>
      <c r="T354" s="14">
        <v>41806</v>
      </c>
      <c r="U354" s="5">
        <v>52.66</v>
      </c>
    </row>
    <row r="355" spans="12:21" x14ac:dyDescent="0.75">
      <c r="L355" s="14">
        <v>41820</v>
      </c>
      <c r="M355" s="5">
        <v>131.80000000000001</v>
      </c>
      <c r="N355" s="14">
        <v>41694</v>
      </c>
      <c r="O355" s="5">
        <v>1133.8800000000001</v>
      </c>
      <c r="P355" s="14"/>
      <c r="T355" s="14">
        <v>41803</v>
      </c>
      <c r="U355" s="5">
        <v>53</v>
      </c>
    </row>
    <row r="356" spans="12:21" x14ac:dyDescent="0.75">
      <c r="L356" s="14">
        <v>41817</v>
      </c>
      <c r="M356" s="5">
        <v>132.05000000000001</v>
      </c>
      <c r="N356" s="14">
        <v>41691</v>
      </c>
      <c r="O356" s="5">
        <v>1132.3499999999999</v>
      </c>
      <c r="P356" s="14"/>
      <c r="T356" s="14">
        <v>41802</v>
      </c>
      <c r="U356" s="5">
        <v>52.88</v>
      </c>
    </row>
    <row r="357" spans="12:21" x14ac:dyDescent="0.75">
      <c r="L357" s="14">
        <v>41816</v>
      </c>
      <c r="M357" s="5">
        <v>132.31</v>
      </c>
      <c r="N357" s="14">
        <v>41690</v>
      </c>
      <c r="O357" s="5">
        <v>1131.6600000000001</v>
      </c>
      <c r="P357" s="14"/>
      <c r="T357" s="14">
        <v>41801</v>
      </c>
      <c r="U357" s="5">
        <v>52.9</v>
      </c>
    </row>
    <row r="358" spans="12:21" x14ac:dyDescent="0.75">
      <c r="L358" s="14">
        <v>41815</v>
      </c>
      <c r="M358" s="5">
        <v>131.85</v>
      </c>
      <c r="N358" s="14">
        <v>41689</v>
      </c>
      <c r="O358" s="5">
        <v>1131.9100000000001</v>
      </c>
      <c r="P358" s="14"/>
      <c r="T358" s="14">
        <v>41800</v>
      </c>
      <c r="U358" s="5">
        <v>52.905999999999999</v>
      </c>
    </row>
    <row r="359" spans="12:21" x14ac:dyDescent="0.75">
      <c r="L359" s="14">
        <v>41814</v>
      </c>
      <c r="M359" s="5">
        <v>132.25</v>
      </c>
      <c r="N359" s="14">
        <v>41684</v>
      </c>
      <c r="O359" s="5">
        <v>1129.4000000000001</v>
      </c>
      <c r="P359" s="14"/>
      <c r="T359" s="14">
        <v>41799</v>
      </c>
      <c r="U359" s="5">
        <v>53.3</v>
      </c>
    </row>
    <row r="360" spans="12:21" x14ac:dyDescent="0.75">
      <c r="L360" s="14">
        <v>41813</v>
      </c>
      <c r="M360" s="5">
        <v>132.78</v>
      </c>
      <c r="N360" s="14">
        <v>41683</v>
      </c>
      <c r="O360" s="5">
        <v>1128.5999999999999</v>
      </c>
      <c r="P360" s="14"/>
      <c r="T360" s="14">
        <v>41796</v>
      </c>
      <c r="U360" s="5">
        <v>54.02</v>
      </c>
    </row>
    <row r="361" spans="12:21" x14ac:dyDescent="0.75">
      <c r="L361" s="14">
        <v>41810</v>
      </c>
      <c r="M361" s="5">
        <v>133.04</v>
      </c>
      <c r="N361" s="14">
        <v>41682</v>
      </c>
      <c r="O361" s="5">
        <v>1127.03</v>
      </c>
      <c r="P361" s="14"/>
      <c r="T361" s="14">
        <v>41795</v>
      </c>
      <c r="U361" s="5">
        <v>54.37</v>
      </c>
    </row>
    <row r="362" spans="12:21" x14ac:dyDescent="0.75">
      <c r="L362" s="14">
        <v>41809</v>
      </c>
      <c r="M362" s="5">
        <v>132.63999999999999</v>
      </c>
      <c r="N362" s="14">
        <v>41680</v>
      </c>
      <c r="O362" s="5">
        <v>1125.4000000000001</v>
      </c>
      <c r="P362" s="14"/>
      <c r="T362" s="14">
        <v>41794</v>
      </c>
      <c r="U362" s="5">
        <v>53.585999999999999</v>
      </c>
    </row>
    <row r="363" spans="12:21" x14ac:dyDescent="0.75">
      <c r="L363" s="14">
        <v>41808</v>
      </c>
      <c r="M363" s="5">
        <v>132.41</v>
      </c>
      <c r="N363" s="14">
        <v>41677</v>
      </c>
      <c r="O363" s="5">
        <v>1124.9100000000001</v>
      </c>
      <c r="P363" s="14"/>
      <c r="T363" s="14">
        <v>41793</v>
      </c>
      <c r="U363" s="5">
        <v>53.429900000000004</v>
      </c>
    </row>
    <row r="364" spans="12:21" x14ac:dyDescent="0.75">
      <c r="L364" s="14">
        <v>41807</v>
      </c>
      <c r="M364" s="5">
        <v>132.05000000000001</v>
      </c>
      <c r="N364" s="14">
        <v>41676</v>
      </c>
      <c r="O364" s="5">
        <v>1121.0999999999999</v>
      </c>
      <c r="P364" s="14"/>
      <c r="T364" s="14">
        <v>41792</v>
      </c>
      <c r="U364" s="5">
        <v>53.360999999999997</v>
      </c>
    </row>
    <row r="365" spans="12:21" x14ac:dyDescent="0.75">
      <c r="L365" s="14">
        <v>41806</v>
      </c>
      <c r="M365" s="5">
        <v>131.71</v>
      </c>
      <c r="N365" s="14">
        <v>41675</v>
      </c>
      <c r="O365" s="5">
        <v>1118.7</v>
      </c>
      <c r="P365" s="14"/>
      <c r="T365" s="14">
        <v>41789</v>
      </c>
      <c r="U365" s="5">
        <v>53.33</v>
      </c>
    </row>
    <row r="366" spans="12:21" x14ac:dyDescent="0.75">
      <c r="L366" s="14">
        <v>41803</v>
      </c>
      <c r="M366" s="5">
        <v>132.16</v>
      </c>
      <c r="N366" s="14">
        <v>41674</v>
      </c>
      <c r="O366" s="5">
        <v>1118.6600000000001</v>
      </c>
      <c r="P366" s="14"/>
      <c r="T366" s="14">
        <v>41788</v>
      </c>
      <c r="U366" s="5">
        <v>53</v>
      </c>
    </row>
    <row r="367" spans="12:21" x14ac:dyDescent="0.75">
      <c r="L367" s="14">
        <v>41802</v>
      </c>
      <c r="M367" s="5">
        <v>131.88999999999999</v>
      </c>
      <c r="N367" s="14">
        <v>41673</v>
      </c>
      <c r="O367" s="5">
        <v>1119.69</v>
      </c>
      <c r="P367" s="14"/>
      <c r="T367" s="14">
        <v>41787</v>
      </c>
      <c r="U367" s="5">
        <v>52.9</v>
      </c>
    </row>
    <row r="368" spans="12:21" x14ac:dyDescent="0.75">
      <c r="L368" s="14">
        <v>41801</v>
      </c>
      <c r="M368" s="5">
        <v>132.46</v>
      </c>
      <c r="N368" s="14">
        <v>41669</v>
      </c>
      <c r="O368" s="5">
        <v>1124.7</v>
      </c>
      <c r="P368" s="14"/>
      <c r="T368" s="14">
        <v>41786</v>
      </c>
      <c r="U368" s="5">
        <v>53.400199999999998</v>
      </c>
    </row>
    <row r="369" spans="12:21" x14ac:dyDescent="0.75">
      <c r="L369" s="14">
        <v>41800</v>
      </c>
      <c r="M369" s="5">
        <v>132.61000000000001</v>
      </c>
      <c r="N369" s="14">
        <v>41668</v>
      </c>
      <c r="O369" s="5">
        <v>1123.5999999999999</v>
      </c>
      <c r="P369" s="14"/>
      <c r="T369" s="14">
        <v>41782</v>
      </c>
      <c r="U369" s="5">
        <v>53.1</v>
      </c>
    </row>
    <row r="370" spans="12:21" x14ac:dyDescent="0.75">
      <c r="L370" s="14">
        <v>41799</v>
      </c>
      <c r="M370" s="5">
        <v>132.07</v>
      </c>
      <c r="N370" s="14">
        <v>41667</v>
      </c>
      <c r="O370" s="5">
        <v>1123.47</v>
      </c>
      <c r="P370" s="14"/>
      <c r="T370" s="14">
        <v>41781</v>
      </c>
      <c r="U370" s="5">
        <v>52.63</v>
      </c>
    </row>
    <row r="371" spans="12:21" x14ac:dyDescent="0.75">
      <c r="L371" s="14">
        <v>41796</v>
      </c>
      <c r="M371" s="5">
        <v>131.46</v>
      </c>
      <c r="N371" s="14">
        <v>41666</v>
      </c>
      <c r="O371" s="5">
        <v>1119.6500000000001</v>
      </c>
      <c r="P371" s="14"/>
      <c r="T371" s="14">
        <v>41780</v>
      </c>
      <c r="U371" s="5">
        <v>52.83</v>
      </c>
    </row>
    <row r="372" spans="12:21" x14ac:dyDescent="0.75">
      <c r="L372" s="14">
        <v>41795</v>
      </c>
      <c r="M372" s="5">
        <v>130.94999999999999</v>
      </c>
      <c r="N372" s="14">
        <v>41663</v>
      </c>
      <c r="O372" s="5">
        <v>1122.5899999999999</v>
      </c>
      <c r="P372" s="14"/>
      <c r="T372" s="14">
        <v>41779</v>
      </c>
      <c r="U372" s="5">
        <v>53.3</v>
      </c>
    </row>
    <row r="373" spans="12:21" x14ac:dyDescent="0.75">
      <c r="L373" s="14">
        <v>41794</v>
      </c>
      <c r="M373" s="5">
        <v>130.29</v>
      </c>
      <c r="N373" s="14">
        <v>41662</v>
      </c>
      <c r="O373" s="5">
        <v>1127</v>
      </c>
      <c r="P373" s="14"/>
      <c r="T373" s="14">
        <v>41778</v>
      </c>
      <c r="U373" s="5">
        <v>53.39</v>
      </c>
    </row>
    <row r="374" spans="12:21" x14ac:dyDescent="0.75">
      <c r="L374" s="14">
        <v>41793</v>
      </c>
      <c r="M374" s="5">
        <v>130.22</v>
      </c>
      <c r="N374" s="14">
        <v>41661</v>
      </c>
      <c r="O374" s="5">
        <v>1128.46</v>
      </c>
      <c r="P374" s="14"/>
      <c r="T374" s="14">
        <v>41775</v>
      </c>
      <c r="U374" s="5">
        <v>53.57</v>
      </c>
    </row>
    <row r="375" spans="12:21" x14ac:dyDescent="0.75">
      <c r="L375" s="14">
        <v>41792</v>
      </c>
      <c r="M375" s="5">
        <v>130.35</v>
      </c>
      <c r="N375" s="14">
        <v>41656</v>
      </c>
      <c r="O375" s="5">
        <v>1127.97</v>
      </c>
      <c r="P375" s="14"/>
      <c r="T375" s="14">
        <v>41774</v>
      </c>
      <c r="U375" s="5">
        <v>53.07</v>
      </c>
    </row>
    <row r="376" spans="12:21" x14ac:dyDescent="0.75">
      <c r="L376" s="14">
        <v>41789</v>
      </c>
      <c r="M376" s="5">
        <v>129.80000000000001</v>
      </c>
      <c r="N376" s="14">
        <v>41655</v>
      </c>
      <c r="O376" s="5">
        <v>1127.2943680000001</v>
      </c>
      <c r="P376" s="14"/>
      <c r="T376" s="14">
        <v>41773</v>
      </c>
      <c r="U376" s="5">
        <v>53.08</v>
      </c>
    </row>
    <row r="377" spans="12:21" x14ac:dyDescent="0.75">
      <c r="L377" s="14">
        <v>41788</v>
      </c>
      <c r="M377" s="5">
        <v>130.1</v>
      </c>
      <c r="N377" s="14">
        <v>41654</v>
      </c>
      <c r="O377" s="5">
        <v>1126.75</v>
      </c>
      <c r="P377" s="14"/>
      <c r="T377" s="14">
        <v>41772</v>
      </c>
      <c r="U377" s="5">
        <v>52.92</v>
      </c>
    </row>
    <row r="378" spans="12:21" x14ac:dyDescent="0.75">
      <c r="L378" s="14">
        <v>41787</v>
      </c>
      <c r="M378" s="5">
        <v>129.77000000000001</v>
      </c>
      <c r="N378" s="14">
        <v>41652</v>
      </c>
      <c r="O378" s="5">
        <v>1124.4000000000001</v>
      </c>
      <c r="P378" s="14"/>
      <c r="T378" s="14">
        <v>41771</v>
      </c>
      <c r="U378" s="5">
        <v>53.32</v>
      </c>
    </row>
    <row r="379" spans="12:21" x14ac:dyDescent="0.75">
      <c r="L379" s="14">
        <v>41786</v>
      </c>
      <c r="M379" s="5">
        <v>129.62</v>
      </c>
      <c r="N379" s="14">
        <v>41649</v>
      </c>
      <c r="O379" s="5">
        <v>1125.83</v>
      </c>
      <c r="P379" s="14"/>
      <c r="T379" s="14">
        <v>41768</v>
      </c>
      <c r="U379" s="5">
        <v>53.28</v>
      </c>
    </row>
    <row r="380" spans="12:21" x14ac:dyDescent="0.75">
      <c r="L380" s="14">
        <v>41785</v>
      </c>
      <c r="M380" s="5">
        <v>129.08000000000001</v>
      </c>
      <c r="N380" s="14">
        <v>41648</v>
      </c>
      <c r="O380" s="5">
        <v>1124.8800000000001</v>
      </c>
      <c r="P380" s="14"/>
      <c r="T380" s="14">
        <v>41767</v>
      </c>
      <c r="U380" s="5">
        <v>53.29</v>
      </c>
    </row>
    <row r="381" spans="12:21" x14ac:dyDescent="0.75">
      <c r="L381" s="14">
        <v>41782</v>
      </c>
      <c r="M381" s="5">
        <v>128.91999999999999</v>
      </c>
      <c r="N381" s="14">
        <v>41646</v>
      </c>
      <c r="O381" s="5">
        <v>1121.6300000000001</v>
      </c>
      <c r="P381" s="14"/>
      <c r="T381" s="14">
        <v>41766</v>
      </c>
      <c r="U381" s="5">
        <v>53.19</v>
      </c>
    </row>
    <row r="382" spans="12:21" x14ac:dyDescent="0.75">
      <c r="L382" s="14">
        <v>41781</v>
      </c>
      <c r="M382" s="5">
        <v>128.28</v>
      </c>
      <c r="N382" s="14">
        <v>41645</v>
      </c>
      <c r="O382" s="5">
        <v>1120.1600000000001</v>
      </c>
      <c r="P382" s="14"/>
      <c r="T382" s="14">
        <v>41765</v>
      </c>
      <c r="U382" s="5">
        <v>52.551099999999998</v>
      </c>
    </row>
    <row r="383" spans="12:21" x14ac:dyDescent="0.75">
      <c r="L383" s="14">
        <v>41780</v>
      </c>
      <c r="M383" s="5">
        <v>127.67</v>
      </c>
      <c r="N383" s="14">
        <v>41638</v>
      </c>
      <c r="O383" s="5">
        <v>1121.33</v>
      </c>
      <c r="P383" s="14"/>
      <c r="T383" s="14">
        <v>41764</v>
      </c>
      <c r="U383" s="5">
        <v>52.71</v>
      </c>
    </row>
    <row r="384" spans="12:21" x14ac:dyDescent="0.75">
      <c r="L384" s="14">
        <v>41779</v>
      </c>
      <c r="M384" s="5">
        <v>126.76</v>
      </c>
      <c r="N384" s="14">
        <v>41635</v>
      </c>
      <c r="O384" s="5">
        <v>1120.58</v>
      </c>
      <c r="P384" s="14"/>
      <c r="T384" s="14">
        <v>41761</v>
      </c>
      <c r="U384" s="5">
        <v>52.47</v>
      </c>
    </row>
    <row r="385" spans="12:21" x14ac:dyDescent="0.75">
      <c r="L385" s="14">
        <v>41778</v>
      </c>
      <c r="M385" s="5">
        <v>127.13</v>
      </c>
      <c r="N385" s="14">
        <v>41634</v>
      </c>
      <c r="O385" s="5">
        <v>1121.3399999999999</v>
      </c>
      <c r="P385" s="14"/>
      <c r="T385" s="14">
        <v>41760</v>
      </c>
      <c r="U385" s="5">
        <v>52.43</v>
      </c>
    </row>
    <row r="386" spans="12:21" x14ac:dyDescent="0.75">
      <c r="L386" s="14">
        <v>41775</v>
      </c>
      <c r="M386" s="5">
        <v>127.06</v>
      </c>
      <c r="N386" s="14">
        <v>41632</v>
      </c>
      <c r="O386" s="5">
        <v>1120.6199999999999</v>
      </c>
      <c r="P386" s="14"/>
      <c r="T386" s="14">
        <v>41759</v>
      </c>
      <c r="U386" s="5">
        <v>52.25</v>
      </c>
    </row>
    <row r="387" spans="12:21" x14ac:dyDescent="0.75">
      <c r="L387" s="14">
        <v>41774</v>
      </c>
      <c r="M387" s="5">
        <v>126.8</v>
      </c>
      <c r="N387" s="14">
        <v>41631</v>
      </c>
      <c r="O387" s="5">
        <v>1119.45</v>
      </c>
      <c r="P387" s="14"/>
      <c r="T387" s="14">
        <v>41758</v>
      </c>
      <c r="U387" s="5">
        <v>52.16</v>
      </c>
    </row>
    <row r="388" spans="12:21" x14ac:dyDescent="0.75">
      <c r="L388" s="14">
        <v>41773</v>
      </c>
      <c r="M388" s="5">
        <v>127.72</v>
      </c>
      <c r="N388" s="14">
        <v>41628</v>
      </c>
      <c r="O388" s="5">
        <v>1118.08</v>
      </c>
      <c r="P388" s="14"/>
      <c r="T388" s="14">
        <v>41757</v>
      </c>
      <c r="U388" s="5">
        <v>52.16</v>
      </c>
    </row>
    <row r="389" spans="12:21" x14ac:dyDescent="0.75">
      <c r="L389" s="14">
        <v>41772</v>
      </c>
      <c r="M389" s="5">
        <v>127.78</v>
      </c>
      <c r="N389" s="14">
        <v>41627</v>
      </c>
      <c r="O389" s="5">
        <v>1117.56</v>
      </c>
      <c r="P389" s="14"/>
      <c r="T389" s="14">
        <v>41754</v>
      </c>
      <c r="U389" s="5">
        <v>51.56</v>
      </c>
    </row>
    <row r="390" spans="12:21" x14ac:dyDescent="0.75">
      <c r="L390" s="14">
        <v>41771</v>
      </c>
      <c r="M390" s="5">
        <v>127.01</v>
      </c>
      <c r="N390" s="14">
        <v>41626</v>
      </c>
      <c r="O390" s="5">
        <v>1116.1099999999999</v>
      </c>
      <c r="P390" s="14"/>
      <c r="T390" s="14">
        <v>41753</v>
      </c>
      <c r="U390" s="5">
        <v>51.54</v>
      </c>
    </row>
    <row r="391" spans="12:21" x14ac:dyDescent="0.75">
      <c r="L391" s="14">
        <v>41768</v>
      </c>
      <c r="M391" s="5">
        <v>126.08</v>
      </c>
      <c r="N391" s="14">
        <v>41624</v>
      </c>
      <c r="O391" s="5">
        <v>1114.4000000000001</v>
      </c>
      <c r="P391" s="14"/>
      <c r="T391" s="14">
        <v>41752</v>
      </c>
      <c r="U391" s="5">
        <v>51.21</v>
      </c>
    </row>
    <row r="392" spans="12:21" x14ac:dyDescent="0.75">
      <c r="L392" s="14">
        <v>41767</v>
      </c>
      <c r="M392" s="5">
        <v>125.34</v>
      </c>
      <c r="N392" s="14">
        <v>41621</v>
      </c>
      <c r="O392" s="5">
        <v>1112.8399999999999</v>
      </c>
      <c r="P392" s="14"/>
      <c r="T392" s="14">
        <v>41751</v>
      </c>
      <c r="U392" s="5">
        <v>51.37</v>
      </c>
    </row>
    <row r="393" spans="12:21" x14ac:dyDescent="0.75">
      <c r="L393" s="14">
        <v>41766</v>
      </c>
      <c r="M393" s="5">
        <v>124.54</v>
      </c>
      <c r="N393" s="14">
        <v>41620</v>
      </c>
      <c r="O393" s="5">
        <v>1112.97</v>
      </c>
      <c r="P393" s="14"/>
      <c r="T393" s="14">
        <v>41750</v>
      </c>
      <c r="U393" s="5">
        <v>51.38</v>
      </c>
    </row>
    <row r="394" spans="12:21" x14ac:dyDescent="0.75">
      <c r="L394" s="14">
        <v>41765</v>
      </c>
      <c r="M394" s="5">
        <v>124.37</v>
      </c>
      <c r="N394" s="14">
        <v>41619</v>
      </c>
      <c r="O394" s="5">
        <v>1113.69</v>
      </c>
      <c r="P394" s="14"/>
      <c r="T394" s="14">
        <v>41746</v>
      </c>
      <c r="U394" s="5">
        <v>51.08</v>
      </c>
    </row>
    <row r="395" spans="12:21" x14ac:dyDescent="0.75">
      <c r="L395" s="14">
        <v>41764</v>
      </c>
      <c r="M395" s="5">
        <v>125.23</v>
      </c>
      <c r="N395" s="14">
        <v>41617</v>
      </c>
      <c r="O395" s="5">
        <v>1115.04</v>
      </c>
      <c r="P395" s="14"/>
      <c r="T395" s="14">
        <v>41745</v>
      </c>
      <c r="U395" s="5">
        <v>51.16</v>
      </c>
    </row>
    <row r="396" spans="12:21" x14ac:dyDescent="0.75">
      <c r="L396" s="14">
        <v>41761</v>
      </c>
      <c r="M396" s="5">
        <v>125.3</v>
      </c>
      <c r="N396" s="14">
        <v>41614</v>
      </c>
      <c r="O396" s="5">
        <v>1113.94</v>
      </c>
      <c r="P396" s="14"/>
      <c r="T396" s="14">
        <v>41744</v>
      </c>
      <c r="U396" s="5">
        <v>51.22</v>
      </c>
    </row>
    <row r="397" spans="12:21" x14ac:dyDescent="0.75">
      <c r="L397" s="14">
        <v>41760</v>
      </c>
      <c r="M397" s="5">
        <v>125.27</v>
      </c>
      <c r="N397" s="14">
        <v>41613</v>
      </c>
      <c r="O397" s="5">
        <v>1112.6199999999999</v>
      </c>
      <c r="P397" s="14"/>
      <c r="T397" s="14">
        <v>41743</v>
      </c>
      <c r="U397" s="5">
        <v>50.67</v>
      </c>
    </row>
    <row r="398" spans="12:21" x14ac:dyDescent="0.75">
      <c r="L398" s="14">
        <v>41759</v>
      </c>
      <c r="M398" s="5">
        <v>125.08</v>
      </c>
      <c r="N398" s="14">
        <v>41612</v>
      </c>
      <c r="O398" s="5">
        <v>1113.26</v>
      </c>
      <c r="P398" s="14"/>
      <c r="T398" s="14">
        <v>41740</v>
      </c>
      <c r="U398" s="5">
        <v>50.42</v>
      </c>
    </row>
    <row r="399" spans="12:21" x14ac:dyDescent="0.75">
      <c r="L399" s="14">
        <v>41758</v>
      </c>
      <c r="M399" s="5">
        <v>125.19</v>
      </c>
      <c r="N399" s="14">
        <v>41611</v>
      </c>
      <c r="O399" s="5">
        <v>1114.82</v>
      </c>
      <c r="P399" s="14"/>
      <c r="T399" s="14">
        <v>41739</v>
      </c>
      <c r="U399" s="5">
        <v>50.72</v>
      </c>
    </row>
    <row r="400" spans="12:21" x14ac:dyDescent="0.75">
      <c r="L400" s="14">
        <v>41757</v>
      </c>
      <c r="M400" s="5">
        <v>124.19</v>
      </c>
      <c r="N400" s="14">
        <v>41610</v>
      </c>
      <c r="O400" s="5">
        <v>1116.68</v>
      </c>
      <c r="P400" s="14"/>
      <c r="T400" s="14">
        <v>41738</v>
      </c>
      <c r="U400" s="5">
        <v>51.06</v>
      </c>
    </row>
    <row r="401" spans="12:21" x14ac:dyDescent="0.75">
      <c r="L401" s="14">
        <v>41754</v>
      </c>
      <c r="M401" s="5">
        <v>124.13</v>
      </c>
      <c r="N401" s="14">
        <v>41605</v>
      </c>
      <c r="O401" s="5">
        <v>1115.3</v>
      </c>
      <c r="P401" s="14"/>
      <c r="T401" s="14">
        <v>41737</v>
      </c>
      <c r="U401" s="5">
        <v>51.25</v>
      </c>
    </row>
    <row r="402" spans="12:21" x14ac:dyDescent="0.75">
      <c r="L402" s="14">
        <v>41753</v>
      </c>
      <c r="M402" s="5">
        <v>125.11</v>
      </c>
      <c r="N402" s="14">
        <v>41604</v>
      </c>
      <c r="O402" s="5">
        <v>1114.6500000000001</v>
      </c>
      <c r="P402" s="14"/>
      <c r="T402" s="14">
        <v>41736</v>
      </c>
      <c r="U402" s="5">
        <v>50.895200000000003</v>
      </c>
    </row>
    <row r="403" spans="12:21" x14ac:dyDescent="0.75">
      <c r="L403" s="14">
        <v>41752</v>
      </c>
      <c r="M403" s="5">
        <v>124.88</v>
      </c>
      <c r="N403" s="14">
        <v>41603</v>
      </c>
      <c r="O403" s="5">
        <v>1114.1500000000001</v>
      </c>
      <c r="P403" s="14"/>
      <c r="T403" s="14">
        <v>41733</v>
      </c>
      <c r="U403" s="5">
        <v>50.54</v>
      </c>
    </row>
    <row r="404" spans="12:21" x14ac:dyDescent="0.75">
      <c r="L404" s="14">
        <v>41751</v>
      </c>
      <c r="M404" s="5">
        <v>125.41</v>
      </c>
      <c r="N404" s="14">
        <v>41600</v>
      </c>
      <c r="O404" s="5">
        <v>1114.1400000000001</v>
      </c>
      <c r="P404" s="14"/>
      <c r="T404" s="14">
        <v>41732</v>
      </c>
      <c r="U404" s="5">
        <v>50.23</v>
      </c>
    </row>
    <row r="405" spans="12:21" x14ac:dyDescent="0.75">
      <c r="L405" s="14">
        <v>41750</v>
      </c>
      <c r="M405" s="5">
        <v>124.72</v>
      </c>
      <c r="N405" s="14">
        <v>41599</v>
      </c>
      <c r="O405" s="5">
        <v>1112.75</v>
      </c>
      <c r="P405" s="14"/>
      <c r="T405" s="14">
        <v>41731</v>
      </c>
      <c r="U405" s="5">
        <v>50.42</v>
      </c>
    </row>
    <row r="406" spans="12:21" x14ac:dyDescent="0.75">
      <c r="L406" s="14">
        <v>41747</v>
      </c>
      <c r="M406" s="5">
        <v>124.33</v>
      </c>
      <c r="N406" s="14">
        <v>41598</v>
      </c>
      <c r="O406" s="5">
        <v>1111.97</v>
      </c>
      <c r="P406" s="14"/>
      <c r="T406" s="14">
        <v>41730</v>
      </c>
      <c r="U406" s="5">
        <v>50.29</v>
      </c>
    </row>
    <row r="407" spans="12:21" x14ac:dyDescent="0.75">
      <c r="L407" s="14">
        <v>41746</v>
      </c>
      <c r="M407" s="5">
        <v>124.24</v>
      </c>
      <c r="N407" s="14">
        <v>41596</v>
      </c>
      <c r="O407" s="5">
        <v>1114.33</v>
      </c>
      <c r="P407" s="14"/>
      <c r="T407" s="14">
        <v>41729</v>
      </c>
      <c r="U407" s="5">
        <v>50.05</v>
      </c>
    </row>
    <row r="408" spans="12:21" x14ac:dyDescent="0.75">
      <c r="L408" s="14">
        <v>41745</v>
      </c>
      <c r="M408" s="5">
        <v>124.07</v>
      </c>
      <c r="N408" s="14">
        <v>41593</v>
      </c>
      <c r="O408" s="5">
        <v>1113.9000000000001</v>
      </c>
      <c r="P408" s="14"/>
      <c r="T408" s="14">
        <v>41726</v>
      </c>
      <c r="U408" s="5">
        <v>49.643999999999998</v>
      </c>
    </row>
    <row r="409" spans="12:21" x14ac:dyDescent="0.75">
      <c r="L409" s="14">
        <v>41744</v>
      </c>
      <c r="M409" s="5">
        <v>122.67</v>
      </c>
      <c r="N409" s="14">
        <v>41592</v>
      </c>
      <c r="O409" s="5">
        <v>1113.3499999999999</v>
      </c>
      <c r="P409" s="14"/>
      <c r="T409" s="14">
        <v>41725</v>
      </c>
      <c r="U409" s="5">
        <v>49.42</v>
      </c>
    </row>
    <row r="410" spans="12:21" x14ac:dyDescent="0.75">
      <c r="L410" s="14">
        <v>41743</v>
      </c>
      <c r="M410" s="5">
        <v>122.74</v>
      </c>
      <c r="N410" s="14">
        <v>41591</v>
      </c>
      <c r="O410" s="5">
        <v>1112.46</v>
      </c>
      <c r="P410" s="14"/>
      <c r="T410" s="14">
        <v>41724</v>
      </c>
      <c r="U410" s="5">
        <v>49.14</v>
      </c>
    </row>
    <row r="411" spans="12:21" x14ac:dyDescent="0.75">
      <c r="L411" s="14">
        <v>41740</v>
      </c>
      <c r="M411" s="5">
        <v>121.73</v>
      </c>
      <c r="N411" s="14">
        <v>41585</v>
      </c>
      <c r="O411" s="5">
        <v>1112.1099999999999</v>
      </c>
      <c r="P411" s="14"/>
      <c r="T411" s="14">
        <v>41723</v>
      </c>
      <c r="U411" s="5">
        <v>49.68</v>
      </c>
    </row>
    <row r="412" spans="12:21" x14ac:dyDescent="0.75">
      <c r="L412" s="14">
        <v>41739</v>
      </c>
      <c r="M412" s="5">
        <v>123.03</v>
      </c>
      <c r="N412" s="14">
        <v>41584</v>
      </c>
      <c r="O412" s="5">
        <v>1112.8499999999999</v>
      </c>
      <c r="P412" s="14"/>
      <c r="T412" s="14">
        <v>41722</v>
      </c>
      <c r="U412" s="5">
        <v>49.53</v>
      </c>
    </row>
    <row r="413" spans="12:21" x14ac:dyDescent="0.75">
      <c r="L413" s="14">
        <v>41738</v>
      </c>
      <c r="M413" s="5">
        <v>124.71</v>
      </c>
      <c r="N413" s="14">
        <v>41583</v>
      </c>
      <c r="O413" s="5">
        <v>1113.21</v>
      </c>
      <c r="P413" s="14"/>
      <c r="T413" s="14">
        <v>41719</v>
      </c>
      <c r="U413" s="5">
        <v>49.76</v>
      </c>
    </row>
    <row r="414" spans="12:21" x14ac:dyDescent="0.75">
      <c r="L414" s="14">
        <v>41737</v>
      </c>
      <c r="M414" s="5">
        <v>124.16</v>
      </c>
      <c r="N414" s="14">
        <v>41582</v>
      </c>
      <c r="O414" s="5">
        <v>1114.51</v>
      </c>
      <c r="P414" s="14"/>
      <c r="T414" s="14">
        <v>41718</v>
      </c>
      <c r="U414" s="5">
        <v>49.35</v>
      </c>
    </row>
    <row r="415" spans="12:21" x14ac:dyDescent="0.75">
      <c r="L415" s="14">
        <v>41736</v>
      </c>
      <c r="M415" s="5">
        <v>124.22</v>
      </c>
      <c r="N415" s="14">
        <v>41579</v>
      </c>
      <c r="O415" s="5">
        <v>1113.33</v>
      </c>
      <c r="P415" s="14"/>
      <c r="T415" s="14">
        <v>41717</v>
      </c>
      <c r="U415" s="5">
        <v>49.17</v>
      </c>
    </row>
    <row r="416" spans="12:21" x14ac:dyDescent="0.75">
      <c r="L416" s="14">
        <v>41733</v>
      </c>
      <c r="M416" s="5">
        <v>125.77</v>
      </c>
      <c r="N416" s="14">
        <v>41577</v>
      </c>
      <c r="O416" s="5">
        <v>1112.6600000000001</v>
      </c>
      <c r="P416" s="14"/>
      <c r="T416" s="14">
        <v>41716</v>
      </c>
      <c r="U416" s="5">
        <v>50.11</v>
      </c>
    </row>
    <row r="417" spans="12:21" x14ac:dyDescent="0.75">
      <c r="L417" s="14">
        <v>41732</v>
      </c>
      <c r="M417" s="5">
        <v>126.11</v>
      </c>
      <c r="N417" s="14">
        <v>41576</v>
      </c>
      <c r="O417" s="5">
        <v>1113.07</v>
      </c>
      <c r="P417" s="14"/>
      <c r="T417" s="14">
        <v>41715</v>
      </c>
      <c r="U417" s="5">
        <v>50.02</v>
      </c>
    </row>
    <row r="418" spans="12:21" x14ac:dyDescent="0.75">
      <c r="L418" s="14">
        <v>41731</v>
      </c>
      <c r="M418" s="5">
        <v>125.84</v>
      </c>
      <c r="N418" s="14">
        <v>41575</v>
      </c>
      <c r="O418" s="5">
        <v>1112.9000000000001</v>
      </c>
      <c r="P418" s="14"/>
      <c r="T418" s="14">
        <v>41712</v>
      </c>
      <c r="U418" s="5">
        <v>50.09</v>
      </c>
    </row>
    <row r="419" spans="12:21" x14ac:dyDescent="0.75">
      <c r="L419" s="14">
        <v>41730</v>
      </c>
      <c r="M419" s="5">
        <v>125.28</v>
      </c>
      <c r="N419" s="14">
        <v>41571</v>
      </c>
      <c r="O419" s="5">
        <v>1113.81</v>
      </c>
      <c r="P419" s="14"/>
      <c r="T419" s="14">
        <v>41711</v>
      </c>
      <c r="U419" s="5">
        <v>49.85</v>
      </c>
    </row>
    <row r="420" spans="12:21" x14ac:dyDescent="0.75">
      <c r="L420" s="14">
        <v>41729</v>
      </c>
      <c r="M420" s="5">
        <v>124.65</v>
      </c>
      <c r="N420" s="14">
        <v>41570</v>
      </c>
      <c r="O420" s="5">
        <v>1112.46</v>
      </c>
      <c r="P420" s="14"/>
      <c r="T420" s="14">
        <v>41710</v>
      </c>
      <c r="U420" s="5">
        <v>50.09</v>
      </c>
    </row>
    <row r="421" spans="12:21" x14ac:dyDescent="0.75">
      <c r="L421" s="14">
        <v>41726</v>
      </c>
      <c r="M421" s="5">
        <v>123.98</v>
      </c>
      <c r="N421" s="14">
        <v>41568</v>
      </c>
      <c r="O421" s="5">
        <v>1113.5999999999999</v>
      </c>
      <c r="P421" s="14"/>
      <c r="T421" s="14">
        <v>41709</v>
      </c>
      <c r="U421" s="5">
        <v>49.96</v>
      </c>
    </row>
    <row r="422" spans="12:21" x14ac:dyDescent="0.75">
      <c r="L422" s="14">
        <v>41725</v>
      </c>
      <c r="M422" s="5">
        <v>123.39</v>
      </c>
      <c r="N422" s="14">
        <v>41565</v>
      </c>
      <c r="O422" s="5">
        <v>1112.93</v>
      </c>
      <c r="P422" s="14"/>
      <c r="T422" s="14">
        <v>41708</v>
      </c>
      <c r="U422" s="5">
        <v>49.59</v>
      </c>
    </row>
    <row r="423" spans="12:21" x14ac:dyDescent="0.75">
      <c r="L423" s="14">
        <v>41724</v>
      </c>
      <c r="M423" s="5">
        <v>122.88</v>
      </c>
      <c r="N423" s="14">
        <v>41564</v>
      </c>
      <c r="O423" s="5">
        <v>1111.8</v>
      </c>
      <c r="P423" s="14"/>
      <c r="T423" s="14">
        <v>41705</v>
      </c>
      <c r="U423" s="5">
        <v>49.89</v>
      </c>
    </row>
    <row r="424" spans="12:21" x14ac:dyDescent="0.75">
      <c r="L424" s="14">
        <v>41723</v>
      </c>
      <c r="M424" s="5">
        <v>122.9</v>
      </c>
      <c r="N424" s="14">
        <v>41563</v>
      </c>
      <c r="O424" s="5">
        <v>1109.6199999999999</v>
      </c>
      <c r="P424" s="14"/>
      <c r="T424" s="14">
        <v>41704</v>
      </c>
      <c r="U424" s="5">
        <v>50.37</v>
      </c>
    </row>
    <row r="425" spans="12:21" x14ac:dyDescent="0.75">
      <c r="L425" s="14">
        <v>41722</v>
      </c>
      <c r="M425" s="5">
        <v>122.14</v>
      </c>
      <c r="N425" s="14">
        <v>41561</v>
      </c>
      <c r="O425" s="5">
        <v>1108.01</v>
      </c>
      <c r="P425" s="14"/>
      <c r="T425" s="14">
        <v>41703</v>
      </c>
      <c r="U425" s="5">
        <v>50.94</v>
      </c>
    </row>
    <row r="426" spans="12:21" x14ac:dyDescent="0.75">
      <c r="L426" s="14">
        <v>41719</v>
      </c>
      <c r="M426" s="5">
        <v>122.51</v>
      </c>
      <c r="N426" s="14">
        <v>41557</v>
      </c>
      <c r="O426" s="5">
        <v>1105.3</v>
      </c>
      <c r="P426" s="14"/>
      <c r="T426" s="14">
        <v>41702</v>
      </c>
      <c r="U426" s="5">
        <v>51.06</v>
      </c>
    </row>
    <row r="427" spans="12:21" x14ac:dyDescent="0.75">
      <c r="L427" s="14">
        <v>41718</v>
      </c>
      <c r="M427" s="5">
        <v>122.5</v>
      </c>
      <c r="N427" s="14">
        <v>41556</v>
      </c>
      <c r="O427" s="5">
        <v>1102.58</v>
      </c>
      <c r="P427" s="14"/>
      <c r="T427" s="14">
        <v>41701</v>
      </c>
      <c r="U427" s="5">
        <v>50.26</v>
      </c>
    </row>
    <row r="428" spans="12:21" x14ac:dyDescent="0.75">
      <c r="L428" s="14">
        <v>41717</v>
      </c>
      <c r="M428" s="5">
        <v>121.76</v>
      </c>
      <c r="N428" s="14">
        <v>41554</v>
      </c>
      <c r="O428" s="5">
        <v>1104.81</v>
      </c>
      <c r="P428" s="14"/>
      <c r="T428" s="14">
        <v>41698</v>
      </c>
      <c r="U428" s="5">
        <v>50.16</v>
      </c>
    </row>
    <row r="429" spans="12:21" x14ac:dyDescent="0.75">
      <c r="L429" s="14">
        <v>41716</v>
      </c>
      <c r="M429" s="5">
        <v>122.24</v>
      </c>
      <c r="N429" s="14">
        <v>41551</v>
      </c>
      <c r="O429" s="5">
        <v>1106.04</v>
      </c>
      <c r="P429" s="14"/>
      <c r="T429" s="14">
        <v>41697</v>
      </c>
      <c r="U429" s="5">
        <v>49.71</v>
      </c>
    </row>
    <row r="430" spans="12:21" x14ac:dyDescent="0.75">
      <c r="L430" s="14">
        <v>41715</v>
      </c>
      <c r="M430" s="5">
        <v>121.23</v>
      </c>
      <c r="N430" s="14">
        <v>41550</v>
      </c>
      <c r="O430" s="5">
        <v>1105.02</v>
      </c>
      <c r="P430" s="14"/>
      <c r="T430" s="14">
        <v>41696</v>
      </c>
      <c r="U430" s="5">
        <v>49.86</v>
      </c>
    </row>
    <row r="431" spans="12:21" x14ac:dyDescent="0.75">
      <c r="L431" s="14">
        <v>41712</v>
      </c>
      <c r="M431" s="5">
        <v>120.32</v>
      </c>
      <c r="N431" s="14">
        <v>41549</v>
      </c>
      <c r="O431" s="5">
        <v>1105.26</v>
      </c>
      <c r="P431" s="14"/>
      <c r="T431" s="14">
        <v>41695</v>
      </c>
      <c r="U431" s="5">
        <v>49.68</v>
      </c>
    </row>
    <row r="432" spans="12:21" x14ac:dyDescent="0.75">
      <c r="L432" s="14">
        <v>41711</v>
      </c>
      <c r="M432" s="5">
        <v>121.07</v>
      </c>
      <c r="N432" s="14">
        <v>41548</v>
      </c>
      <c r="O432" s="5">
        <v>1104.78</v>
      </c>
      <c r="P432" s="14"/>
      <c r="T432" s="14">
        <v>41694</v>
      </c>
      <c r="U432" s="5">
        <v>49.6</v>
      </c>
    </row>
    <row r="433" spans="12:21" x14ac:dyDescent="0.75">
      <c r="L433" s="14">
        <v>41710</v>
      </c>
      <c r="M433" s="5">
        <v>122.19</v>
      </c>
      <c r="N433" s="14">
        <v>41544</v>
      </c>
      <c r="O433" s="5">
        <v>1103.8900000000001</v>
      </c>
      <c r="P433" s="14"/>
      <c r="T433" s="14">
        <v>41691</v>
      </c>
      <c r="U433" s="5">
        <v>49.3</v>
      </c>
    </row>
    <row r="434" spans="12:21" x14ac:dyDescent="0.75">
      <c r="L434" s="14">
        <v>41709</v>
      </c>
      <c r="M434" s="5">
        <v>123.07</v>
      </c>
      <c r="N434" s="14">
        <v>41543</v>
      </c>
      <c r="O434" s="5">
        <v>1104.46</v>
      </c>
      <c r="P434" s="14"/>
      <c r="T434" s="14">
        <v>41690</v>
      </c>
      <c r="U434" s="5">
        <v>49.34</v>
      </c>
    </row>
    <row r="435" spans="12:21" x14ac:dyDescent="0.75">
      <c r="L435" s="14">
        <v>41708</v>
      </c>
      <c r="M435" s="5">
        <v>123.23</v>
      </c>
      <c r="N435" s="14">
        <v>41542</v>
      </c>
      <c r="O435" s="5">
        <v>1103.95</v>
      </c>
      <c r="P435" s="14"/>
      <c r="T435" s="14">
        <v>41689</v>
      </c>
      <c r="U435" s="5">
        <v>49.55</v>
      </c>
    </row>
    <row r="436" spans="12:21" x14ac:dyDescent="0.75">
      <c r="L436" s="14">
        <v>41705</v>
      </c>
      <c r="M436" s="5">
        <v>123.84</v>
      </c>
      <c r="N436" s="14">
        <v>41540</v>
      </c>
      <c r="O436" s="5">
        <v>1104.42</v>
      </c>
      <c r="P436" s="14"/>
      <c r="T436" s="14">
        <v>41688</v>
      </c>
      <c r="U436" s="5">
        <v>49.54</v>
      </c>
    </row>
    <row r="437" spans="12:21" x14ac:dyDescent="0.75">
      <c r="L437" s="14">
        <v>41704</v>
      </c>
      <c r="M437" s="5">
        <v>124.4</v>
      </c>
      <c r="N437" s="14">
        <v>41537</v>
      </c>
      <c r="O437" s="5">
        <v>1105.1600000000001</v>
      </c>
      <c r="P437" s="14"/>
      <c r="T437" s="14">
        <v>41684</v>
      </c>
      <c r="U437" s="5">
        <v>49.4</v>
      </c>
    </row>
    <row r="438" spans="12:21" x14ac:dyDescent="0.75">
      <c r="L438" s="14">
        <v>41703</v>
      </c>
      <c r="M438" s="5">
        <v>124.67</v>
      </c>
      <c r="N438" s="14">
        <v>41536</v>
      </c>
      <c r="O438" s="5">
        <v>1105.45</v>
      </c>
      <c r="P438" s="14"/>
      <c r="T438" s="14">
        <v>41683</v>
      </c>
      <c r="U438" s="5">
        <v>49.51</v>
      </c>
    </row>
    <row r="439" spans="12:21" x14ac:dyDescent="0.75">
      <c r="L439" s="14">
        <v>41702</v>
      </c>
      <c r="M439" s="5">
        <v>124.5</v>
      </c>
      <c r="N439" s="14">
        <v>41535</v>
      </c>
      <c r="O439" s="5">
        <v>1104.9100000000001</v>
      </c>
      <c r="P439" s="14"/>
      <c r="T439" s="14">
        <v>41682</v>
      </c>
      <c r="U439" s="5">
        <v>49.24</v>
      </c>
    </row>
    <row r="440" spans="12:21" x14ac:dyDescent="0.75">
      <c r="L440" s="14">
        <v>41701</v>
      </c>
      <c r="M440" s="5">
        <v>122.65</v>
      </c>
      <c r="N440" s="14">
        <v>41533</v>
      </c>
      <c r="O440" s="5">
        <v>1103.5</v>
      </c>
      <c r="P440" s="14"/>
      <c r="T440" s="14">
        <v>41681</v>
      </c>
      <c r="U440" s="5">
        <v>49.45</v>
      </c>
    </row>
    <row r="441" spans="12:21" x14ac:dyDescent="0.75">
      <c r="L441" s="14">
        <v>41698</v>
      </c>
      <c r="M441" s="5">
        <v>123.84</v>
      </c>
      <c r="N441" s="14">
        <v>41530</v>
      </c>
      <c r="O441" s="5">
        <v>1102.74</v>
      </c>
      <c r="P441" s="14"/>
      <c r="T441" s="14">
        <v>41680</v>
      </c>
      <c r="U441" s="5">
        <v>49.4</v>
      </c>
    </row>
    <row r="442" spans="12:21" x14ac:dyDescent="0.75">
      <c r="L442" s="14">
        <v>41697</v>
      </c>
      <c r="M442" s="5">
        <v>124.5</v>
      </c>
      <c r="N442" s="14">
        <v>41529</v>
      </c>
      <c r="O442" s="5">
        <v>1102.74</v>
      </c>
      <c r="P442" s="14"/>
      <c r="T442" s="14">
        <v>41677</v>
      </c>
      <c r="U442" s="5">
        <v>48.8</v>
      </c>
    </row>
    <row r="443" spans="12:21" x14ac:dyDescent="0.75">
      <c r="L443" s="14">
        <v>41696</v>
      </c>
      <c r="M443" s="5">
        <v>124.28</v>
      </c>
      <c r="N443" s="14">
        <v>41528</v>
      </c>
      <c r="O443" s="5">
        <v>1102.3900000000001</v>
      </c>
      <c r="P443" s="14"/>
      <c r="T443" s="14">
        <v>41676</v>
      </c>
      <c r="U443" s="5">
        <v>48.4</v>
      </c>
    </row>
    <row r="444" spans="12:21" x14ac:dyDescent="0.75">
      <c r="L444" s="14">
        <v>41695</v>
      </c>
      <c r="M444" s="5">
        <v>123.95</v>
      </c>
      <c r="N444" s="14">
        <v>41526</v>
      </c>
      <c r="O444" s="5">
        <v>1100.3900000000001</v>
      </c>
      <c r="P444" s="14"/>
      <c r="T444" s="14">
        <v>41675</v>
      </c>
      <c r="U444" s="5">
        <v>48.02</v>
      </c>
    </row>
    <row r="445" spans="12:21" x14ac:dyDescent="0.75">
      <c r="L445" s="14">
        <v>41694</v>
      </c>
      <c r="M445" s="5">
        <v>123.98</v>
      </c>
      <c r="N445" s="14">
        <v>41523</v>
      </c>
      <c r="O445" s="5">
        <v>1098.52</v>
      </c>
      <c r="P445" s="14"/>
      <c r="T445" s="14">
        <v>41674</v>
      </c>
      <c r="U445" s="5">
        <v>48.080100000000002</v>
      </c>
    </row>
    <row r="446" spans="12:21" x14ac:dyDescent="0.75">
      <c r="L446" s="14">
        <v>41691</v>
      </c>
      <c r="M446" s="5">
        <v>123.25</v>
      </c>
      <c r="N446" s="14">
        <v>41522</v>
      </c>
      <c r="O446" s="5">
        <v>1098.8900000000001</v>
      </c>
      <c r="P446" s="14"/>
      <c r="T446" s="14">
        <v>41673</v>
      </c>
      <c r="U446" s="5">
        <v>47.61</v>
      </c>
    </row>
    <row r="447" spans="12:21" x14ac:dyDescent="0.75">
      <c r="L447" s="14">
        <v>41690</v>
      </c>
      <c r="M447" s="5">
        <v>123.16</v>
      </c>
      <c r="N447" s="14">
        <v>41521</v>
      </c>
      <c r="O447" s="5">
        <v>1097.44</v>
      </c>
      <c r="P447" s="14"/>
      <c r="T447" s="14">
        <v>41670</v>
      </c>
      <c r="U447" s="5">
        <v>48.129199999999997</v>
      </c>
    </row>
    <row r="448" spans="12:21" x14ac:dyDescent="0.75">
      <c r="L448" s="14">
        <v>41689</v>
      </c>
      <c r="M448" s="5">
        <v>122.83</v>
      </c>
      <c r="N448" s="14">
        <v>41520</v>
      </c>
      <c r="O448" s="5">
        <v>1096.8499999999999</v>
      </c>
      <c r="P448" s="14"/>
      <c r="T448" s="14">
        <v>41669</v>
      </c>
      <c r="U448" s="5">
        <v>47.87</v>
      </c>
    </row>
    <row r="449" spans="12:21" x14ac:dyDescent="0.75">
      <c r="L449" s="14">
        <v>41688</v>
      </c>
      <c r="M449" s="5">
        <v>123.19</v>
      </c>
      <c r="N449" s="14">
        <v>41515</v>
      </c>
      <c r="O449" s="5">
        <v>1096.58</v>
      </c>
      <c r="P449" s="14"/>
      <c r="T449" s="14">
        <v>41668</v>
      </c>
      <c r="U449" s="5">
        <v>47.13</v>
      </c>
    </row>
    <row r="450" spans="12:21" x14ac:dyDescent="0.75">
      <c r="L450" s="14">
        <v>41687</v>
      </c>
      <c r="M450" s="5">
        <v>123.23</v>
      </c>
      <c r="N450" s="14">
        <v>41514</v>
      </c>
      <c r="O450" s="5">
        <v>1095.6600000000001</v>
      </c>
      <c r="P450" s="14"/>
      <c r="T450" s="14">
        <v>41667</v>
      </c>
      <c r="U450" s="5">
        <v>47.22</v>
      </c>
    </row>
    <row r="451" spans="12:21" x14ac:dyDescent="0.75">
      <c r="L451" s="14">
        <v>41684</v>
      </c>
      <c r="M451" s="5">
        <v>123.04</v>
      </c>
      <c r="N451" s="14">
        <v>41513</v>
      </c>
      <c r="O451" s="5">
        <v>1096.04</v>
      </c>
      <c r="P451" s="14"/>
      <c r="T451" s="14">
        <v>41666</v>
      </c>
      <c r="U451" s="5">
        <v>46.74</v>
      </c>
    </row>
    <row r="452" spans="12:21" x14ac:dyDescent="0.75">
      <c r="L452" s="14">
        <v>41683</v>
      </c>
      <c r="M452" s="5">
        <v>122.6</v>
      </c>
      <c r="N452" s="14">
        <v>41512</v>
      </c>
      <c r="O452" s="5">
        <v>1099.45</v>
      </c>
      <c r="P452" s="14"/>
      <c r="T452" s="14">
        <v>41663</v>
      </c>
      <c r="U452" s="5">
        <v>46.95</v>
      </c>
    </row>
    <row r="453" spans="12:21" x14ac:dyDescent="0.75">
      <c r="L453" s="14">
        <v>41682</v>
      </c>
      <c r="M453" s="5">
        <v>123.02</v>
      </c>
      <c r="N453" s="14">
        <v>41509</v>
      </c>
      <c r="O453" s="5">
        <v>1099.5899999999999</v>
      </c>
      <c r="P453" s="14"/>
      <c r="T453" s="14">
        <v>41662</v>
      </c>
      <c r="U453" s="5">
        <v>47.23</v>
      </c>
    </row>
    <row r="454" spans="12:21" x14ac:dyDescent="0.75">
      <c r="L454" s="14">
        <v>41681</v>
      </c>
      <c r="M454" s="5">
        <v>121.87</v>
      </c>
      <c r="N454" s="14">
        <v>41508</v>
      </c>
      <c r="O454" s="5">
        <v>1099.68</v>
      </c>
      <c r="P454" s="14"/>
      <c r="T454" s="14">
        <v>41661</v>
      </c>
      <c r="U454" s="5">
        <v>47.38</v>
      </c>
    </row>
    <row r="455" spans="12:21" x14ac:dyDescent="0.75">
      <c r="L455" s="14">
        <v>41680</v>
      </c>
      <c r="M455" s="5">
        <v>120.81</v>
      </c>
      <c r="N455" s="14">
        <v>41507</v>
      </c>
      <c r="O455" s="5">
        <v>1098.56</v>
      </c>
      <c r="P455" s="14"/>
      <c r="T455" s="14">
        <v>41660</v>
      </c>
      <c r="U455" s="5">
        <v>47.31</v>
      </c>
    </row>
    <row r="456" spans="12:21" x14ac:dyDescent="0.75">
      <c r="L456" s="14">
        <v>41677</v>
      </c>
      <c r="M456" s="5">
        <v>120.75</v>
      </c>
      <c r="N456" s="14">
        <v>41505</v>
      </c>
      <c r="O456" s="5">
        <v>1098.3800000000001</v>
      </c>
      <c r="P456" s="14"/>
      <c r="T456" s="14">
        <v>41656</v>
      </c>
      <c r="U456" s="5">
        <v>47</v>
      </c>
    </row>
    <row r="457" spans="12:21" x14ac:dyDescent="0.75">
      <c r="L457" s="14">
        <v>41676</v>
      </c>
      <c r="M457" s="5">
        <v>119.54</v>
      </c>
      <c r="N457" s="14">
        <v>41502</v>
      </c>
      <c r="O457" s="5">
        <v>1099.78</v>
      </c>
      <c r="P457" s="14"/>
      <c r="T457" s="14">
        <v>41655</v>
      </c>
      <c r="U457" s="5">
        <v>47.15</v>
      </c>
    </row>
    <row r="458" spans="12:21" x14ac:dyDescent="0.75">
      <c r="L458" s="14">
        <v>41675</v>
      </c>
      <c r="M458" s="5">
        <v>118.56</v>
      </c>
      <c r="N458" s="14">
        <v>41501</v>
      </c>
      <c r="O458" s="5">
        <v>1099.77</v>
      </c>
      <c r="P458" s="14"/>
      <c r="T458" s="14">
        <v>41654</v>
      </c>
      <c r="U458" s="5">
        <v>46.91</v>
      </c>
    </row>
    <row r="459" spans="12:21" x14ac:dyDescent="0.75">
      <c r="L459" s="14">
        <v>41674</v>
      </c>
      <c r="M459" s="5">
        <v>118.58</v>
      </c>
      <c r="N459" s="14">
        <v>41500</v>
      </c>
      <c r="O459" s="5">
        <v>1101.9000000000001</v>
      </c>
      <c r="P459" s="14"/>
      <c r="T459" s="14">
        <v>41653</v>
      </c>
      <c r="U459" s="5">
        <v>46.73</v>
      </c>
    </row>
    <row r="460" spans="12:21" x14ac:dyDescent="0.75">
      <c r="L460" s="14">
        <v>41673</v>
      </c>
      <c r="M460" s="5">
        <v>118.77</v>
      </c>
      <c r="N460" s="14">
        <v>41498</v>
      </c>
      <c r="O460" s="5">
        <v>1102.9100000000001</v>
      </c>
      <c r="P460" s="14"/>
      <c r="T460" s="14">
        <v>41652</v>
      </c>
      <c r="U460" s="5">
        <v>46.47</v>
      </c>
    </row>
    <row r="461" spans="12:21" x14ac:dyDescent="0.75">
      <c r="L461" s="14">
        <v>41670</v>
      </c>
      <c r="M461" s="5">
        <v>120.99</v>
      </c>
      <c r="N461" s="14">
        <v>41495</v>
      </c>
      <c r="O461" s="5">
        <v>1103.3</v>
      </c>
      <c r="P461" s="14"/>
      <c r="T461" s="14">
        <v>41649</v>
      </c>
      <c r="U461" s="5">
        <v>46.71</v>
      </c>
    </row>
    <row r="462" spans="12:21" x14ac:dyDescent="0.75">
      <c r="L462" s="14">
        <v>41669</v>
      </c>
      <c r="M462" s="5">
        <v>120.89</v>
      </c>
      <c r="N462" s="14">
        <v>41494</v>
      </c>
      <c r="O462" s="5">
        <v>1103.77</v>
      </c>
      <c r="P462" s="14"/>
      <c r="T462" s="14">
        <v>41648</v>
      </c>
      <c r="U462" s="5">
        <v>45.96</v>
      </c>
    </row>
    <row r="463" spans="12:21" x14ac:dyDescent="0.75">
      <c r="L463" s="14">
        <v>41668</v>
      </c>
      <c r="M463" s="5">
        <v>119.92</v>
      </c>
      <c r="N463" s="14">
        <v>41493</v>
      </c>
      <c r="O463" s="5">
        <v>1102.8699999999999</v>
      </c>
      <c r="P463" s="14"/>
      <c r="T463" s="14">
        <v>41647</v>
      </c>
      <c r="U463" s="5">
        <v>45.77</v>
      </c>
    </row>
    <row r="464" spans="12:21" x14ac:dyDescent="0.75">
      <c r="L464" s="14">
        <v>41667</v>
      </c>
      <c r="M464" s="5">
        <v>120.22</v>
      </c>
      <c r="N464" s="14">
        <v>41492</v>
      </c>
      <c r="O464" s="5">
        <v>1103.1600000000001</v>
      </c>
      <c r="P464" s="14"/>
      <c r="T464" s="14">
        <v>41646</v>
      </c>
      <c r="U464" s="5">
        <v>45.88</v>
      </c>
    </row>
    <row r="465" spans="12:21" x14ac:dyDescent="0.75">
      <c r="L465" s="14">
        <v>41666</v>
      </c>
      <c r="M465" s="5">
        <v>119.67</v>
      </c>
      <c r="N465" s="14">
        <v>41491</v>
      </c>
      <c r="O465" s="5">
        <v>1104.6400000000001</v>
      </c>
      <c r="P465" s="14"/>
      <c r="T465" s="14">
        <v>41645</v>
      </c>
      <c r="U465" s="5">
        <v>45.84</v>
      </c>
    </row>
    <row r="466" spans="12:21" x14ac:dyDescent="0.75">
      <c r="L466" s="14">
        <v>41663</v>
      </c>
      <c r="M466" s="5">
        <v>120.69</v>
      </c>
      <c r="N466" s="14">
        <v>41488</v>
      </c>
      <c r="O466" s="5">
        <v>1105.22</v>
      </c>
      <c r="P466" s="14"/>
      <c r="T466" s="14">
        <v>41642</v>
      </c>
      <c r="U466" s="5">
        <v>45.43</v>
      </c>
    </row>
    <row r="467" spans="12:21" x14ac:dyDescent="0.75">
      <c r="L467" s="14">
        <v>41662</v>
      </c>
      <c r="M467" s="5">
        <v>123.07</v>
      </c>
      <c r="N467" s="14">
        <v>41487</v>
      </c>
      <c r="O467" s="5">
        <v>1104.53</v>
      </c>
      <c r="P467" s="14"/>
      <c r="T467" s="14">
        <v>41641</v>
      </c>
      <c r="U467" s="5">
        <v>45.07</v>
      </c>
    </row>
    <row r="468" spans="12:21" x14ac:dyDescent="0.75">
      <c r="L468" s="14">
        <v>41661</v>
      </c>
      <c r="M468" s="5">
        <v>125.05</v>
      </c>
      <c r="N468" s="14">
        <v>41485</v>
      </c>
      <c r="O468" s="5">
        <v>1102.6500000000001</v>
      </c>
      <c r="P468" s="14"/>
      <c r="T468" s="14">
        <v>41639</v>
      </c>
      <c r="U468" s="5">
        <v>45.11</v>
      </c>
    </row>
    <row r="469" spans="12:21" x14ac:dyDescent="0.75">
      <c r="L469" s="14">
        <v>41660</v>
      </c>
      <c r="M469" s="5">
        <v>124.99</v>
      </c>
      <c r="N469" s="14">
        <v>41484</v>
      </c>
      <c r="O469" s="5">
        <v>1101.8900000000001</v>
      </c>
      <c r="P469" s="14"/>
      <c r="T469" s="14">
        <v>41638</v>
      </c>
      <c r="U469" s="5">
        <v>45.41</v>
      </c>
    </row>
    <row r="470" spans="12:21" x14ac:dyDescent="0.75">
      <c r="L470" s="14">
        <v>41659</v>
      </c>
      <c r="M470" s="5">
        <v>124.66</v>
      </c>
      <c r="N470" s="14">
        <v>41481</v>
      </c>
      <c r="O470" s="5">
        <v>1101.8599999999999</v>
      </c>
      <c r="P470" s="14"/>
      <c r="T470" s="14">
        <v>41635</v>
      </c>
      <c r="U470" s="5">
        <v>45.23</v>
      </c>
    </row>
    <row r="471" spans="12:21" x14ac:dyDescent="0.75">
      <c r="L471" s="14">
        <v>41656</v>
      </c>
      <c r="M471" s="5">
        <v>124.75</v>
      </c>
      <c r="N471" s="14">
        <v>41480</v>
      </c>
      <c r="O471" s="5">
        <v>1103.3699999999999</v>
      </c>
      <c r="P471" s="14"/>
      <c r="T471" s="14">
        <v>41634</v>
      </c>
      <c r="U471" s="5">
        <v>45.17</v>
      </c>
    </row>
    <row r="472" spans="12:21" x14ac:dyDescent="0.75">
      <c r="L472" s="14">
        <v>41655</v>
      </c>
      <c r="M472" s="5">
        <v>124.51</v>
      </c>
      <c r="N472" s="14">
        <v>41479</v>
      </c>
      <c r="O472" s="5">
        <v>1104.26</v>
      </c>
      <c r="P472" s="14"/>
      <c r="T472" s="14">
        <v>41632</v>
      </c>
      <c r="U472" s="5">
        <v>45.09</v>
      </c>
    </row>
    <row r="473" spans="12:21" x14ac:dyDescent="0.75">
      <c r="L473" s="14">
        <v>41654</v>
      </c>
      <c r="M473" s="5">
        <v>124.66</v>
      </c>
      <c r="N473" s="14">
        <v>41477</v>
      </c>
      <c r="O473" s="5">
        <v>1105.24</v>
      </c>
      <c r="P473" s="14"/>
      <c r="T473" s="14">
        <v>41631</v>
      </c>
      <c r="U473" s="5">
        <v>44.99</v>
      </c>
    </row>
    <row r="474" spans="12:21" x14ac:dyDescent="0.75">
      <c r="L474" s="14">
        <v>41653</v>
      </c>
      <c r="M474" s="5">
        <v>123.22</v>
      </c>
      <c r="N474" s="14">
        <v>41474</v>
      </c>
      <c r="O474" s="5">
        <v>1104.57</v>
      </c>
      <c r="P474" s="14"/>
      <c r="T474" s="14">
        <v>41628</v>
      </c>
      <c r="U474" s="5">
        <v>45.5</v>
      </c>
    </row>
    <row r="475" spans="12:21" x14ac:dyDescent="0.75">
      <c r="L475" s="14">
        <v>41652</v>
      </c>
      <c r="M475" s="5">
        <v>123.13</v>
      </c>
      <c r="N475" s="14">
        <v>41473</v>
      </c>
      <c r="O475" s="5">
        <v>1104.67</v>
      </c>
      <c r="P475" s="14"/>
      <c r="T475" s="14">
        <v>41627</v>
      </c>
      <c r="U475" s="5">
        <v>45.23</v>
      </c>
    </row>
    <row r="476" spans="12:21" x14ac:dyDescent="0.75">
      <c r="L476" s="14">
        <v>41649</v>
      </c>
      <c r="M476" s="5">
        <v>123.51</v>
      </c>
      <c r="N476" s="14">
        <v>41472</v>
      </c>
      <c r="O476" s="5">
        <v>1102.43</v>
      </c>
      <c r="P476" s="14"/>
      <c r="T476" s="14">
        <v>41626</v>
      </c>
      <c r="U476" s="5">
        <v>46.1</v>
      </c>
    </row>
    <row r="477" spans="12:21" x14ac:dyDescent="0.75">
      <c r="L477" s="14">
        <v>41648</v>
      </c>
      <c r="M477" s="5">
        <v>123.61</v>
      </c>
      <c r="N477" s="14">
        <v>41470</v>
      </c>
      <c r="O477" s="5">
        <v>1101.51</v>
      </c>
      <c r="P477" s="14"/>
      <c r="T477" s="14">
        <v>41625</v>
      </c>
      <c r="U477" s="5">
        <v>45.45</v>
      </c>
    </row>
    <row r="478" spans="12:21" x14ac:dyDescent="0.75">
      <c r="L478" s="14">
        <v>41647</v>
      </c>
      <c r="M478" s="5">
        <v>123.86</v>
      </c>
      <c r="N478" s="14">
        <v>41467</v>
      </c>
      <c r="O478" s="5">
        <v>1100.8399999999999</v>
      </c>
      <c r="P478" s="14"/>
      <c r="T478" s="14">
        <v>41624</v>
      </c>
      <c r="U478" s="5">
        <v>45.38</v>
      </c>
    </row>
    <row r="479" spans="12:21" x14ac:dyDescent="0.75">
      <c r="L479" s="14">
        <v>41646</v>
      </c>
      <c r="M479" s="5">
        <v>123.61</v>
      </c>
      <c r="N479" s="14">
        <v>41466</v>
      </c>
      <c r="O479" s="5">
        <v>1100.3</v>
      </c>
      <c r="P479" s="14"/>
      <c r="T479" s="14">
        <v>41621</v>
      </c>
      <c r="U479" s="5">
        <v>45.27</v>
      </c>
    </row>
    <row r="480" spans="12:21" x14ac:dyDescent="0.75">
      <c r="L480" s="14">
        <v>41645</v>
      </c>
      <c r="M480" s="5">
        <v>122.86</v>
      </c>
      <c r="N480" s="14">
        <v>41465</v>
      </c>
      <c r="O480" s="5">
        <v>1098.03</v>
      </c>
      <c r="P480" s="14"/>
      <c r="T480" s="14">
        <v>41620</v>
      </c>
      <c r="U480" s="5">
        <v>45.17</v>
      </c>
    </row>
    <row r="481" spans="12:21" x14ac:dyDescent="0.75">
      <c r="L481" s="14">
        <v>41642</v>
      </c>
      <c r="M481" s="5">
        <v>123.54</v>
      </c>
      <c r="N481" s="14">
        <v>41463</v>
      </c>
      <c r="O481" s="5">
        <v>1096.67</v>
      </c>
      <c r="P481" s="14"/>
      <c r="T481" s="14">
        <v>41619</v>
      </c>
      <c r="U481" s="5">
        <v>45.58</v>
      </c>
    </row>
    <row r="482" spans="12:21" x14ac:dyDescent="0.75">
      <c r="L482" s="14">
        <v>41641</v>
      </c>
      <c r="M482" s="5">
        <v>123.22</v>
      </c>
      <c r="N482" s="14">
        <v>41460</v>
      </c>
      <c r="O482" s="5">
        <v>1095.54</v>
      </c>
      <c r="P482" s="14"/>
      <c r="T482" s="14">
        <v>41618</v>
      </c>
      <c r="U482" s="5">
        <v>46.64</v>
      </c>
    </row>
    <row r="483" spans="12:21" x14ac:dyDescent="0.75">
      <c r="L483" s="14">
        <v>41640</v>
      </c>
      <c r="M483" s="5">
        <v>123.34</v>
      </c>
      <c r="N483" s="14">
        <v>41458</v>
      </c>
      <c r="O483" s="5">
        <v>1094.1500000000001</v>
      </c>
      <c r="P483" s="14"/>
      <c r="T483" s="14">
        <v>41617</v>
      </c>
      <c r="U483" s="5">
        <v>46.65</v>
      </c>
    </row>
    <row r="484" spans="12:21" x14ac:dyDescent="0.75">
      <c r="L484" s="14">
        <v>41639</v>
      </c>
      <c r="M484" s="5">
        <v>123.34</v>
      </c>
      <c r="N484" s="14">
        <v>41457</v>
      </c>
      <c r="O484" s="5">
        <v>1094.6199999999999</v>
      </c>
      <c r="P484" s="14"/>
      <c r="T484" s="14">
        <v>41614</v>
      </c>
      <c r="U484" s="5">
        <v>46.47</v>
      </c>
    </row>
    <row r="485" spans="12:21" x14ac:dyDescent="0.75">
      <c r="L485" s="14">
        <v>41638</v>
      </c>
      <c r="M485" s="5">
        <v>122.69</v>
      </c>
      <c r="N485" s="14">
        <v>41456</v>
      </c>
      <c r="O485" s="5">
        <v>1094.18</v>
      </c>
      <c r="P485" s="14"/>
      <c r="T485" s="14">
        <v>41613</v>
      </c>
      <c r="U485" s="5">
        <v>46.26</v>
      </c>
    </row>
    <row r="486" spans="12:21" x14ac:dyDescent="0.75">
      <c r="L486" s="14">
        <v>41635</v>
      </c>
      <c r="M486" s="5">
        <v>122.82</v>
      </c>
      <c r="N486" s="14">
        <v>41452</v>
      </c>
      <c r="O486" s="5">
        <v>1091.45</v>
      </c>
      <c r="P486" s="14"/>
      <c r="T486" s="14">
        <v>41612</v>
      </c>
      <c r="U486" s="5">
        <v>46.14</v>
      </c>
    </row>
    <row r="487" spans="12:21" x14ac:dyDescent="0.75">
      <c r="L487" s="14">
        <v>41634</v>
      </c>
      <c r="M487" s="5">
        <v>122.99</v>
      </c>
      <c r="N487" s="14">
        <v>41451</v>
      </c>
      <c r="O487" s="5">
        <v>1088.6400000000001</v>
      </c>
      <c r="P487" s="14"/>
      <c r="T487" s="14">
        <v>41611</v>
      </c>
      <c r="U487" s="5">
        <v>45.62</v>
      </c>
    </row>
    <row r="488" spans="12:21" x14ac:dyDescent="0.75">
      <c r="L488" s="14">
        <v>41633</v>
      </c>
      <c r="M488" s="5">
        <v>122.79</v>
      </c>
      <c r="N488" s="14">
        <v>41450</v>
      </c>
      <c r="O488" s="5">
        <v>1087.52</v>
      </c>
      <c r="P488" s="14"/>
      <c r="T488" s="14">
        <v>41610</v>
      </c>
      <c r="U488" s="5">
        <v>45.6</v>
      </c>
    </row>
    <row r="489" spans="12:21" x14ac:dyDescent="0.75">
      <c r="L489" s="14">
        <v>41632</v>
      </c>
      <c r="M489" s="5">
        <v>122.8</v>
      </c>
      <c r="N489" s="14">
        <v>41449</v>
      </c>
      <c r="O489" s="5">
        <v>1087.43</v>
      </c>
      <c r="P489" s="14"/>
      <c r="T489" s="14">
        <v>41607</v>
      </c>
      <c r="U489" s="5">
        <v>45.89</v>
      </c>
    </row>
    <row r="490" spans="12:21" x14ac:dyDescent="0.75">
      <c r="L490" s="14">
        <v>41631</v>
      </c>
      <c r="M490" s="5">
        <v>122.24</v>
      </c>
      <c r="N490" s="14">
        <v>41446</v>
      </c>
      <c r="O490" s="5">
        <v>1091.4100000000001</v>
      </c>
      <c r="P490" s="14"/>
      <c r="T490" s="14">
        <v>41605</v>
      </c>
      <c r="U490" s="5">
        <v>46.37</v>
      </c>
    </row>
    <row r="491" spans="12:21" x14ac:dyDescent="0.75">
      <c r="L491" s="14">
        <v>41628</v>
      </c>
      <c r="M491" s="5">
        <v>121.78</v>
      </c>
      <c r="N491" s="14">
        <v>41445</v>
      </c>
      <c r="O491" s="5">
        <v>1092.28</v>
      </c>
      <c r="P491" s="14"/>
      <c r="T491" s="14">
        <v>41604</v>
      </c>
      <c r="U491" s="5">
        <v>45.79</v>
      </c>
    </row>
    <row r="492" spans="12:21" x14ac:dyDescent="0.75">
      <c r="L492" s="14">
        <v>41627</v>
      </c>
      <c r="M492" s="5">
        <v>121.28</v>
      </c>
      <c r="N492" s="14">
        <v>41444</v>
      </c>
      <c r="O492" s="5">
        <v>1098.83</v>
      </c>
      <c r="P492" s="14"/>
      <c r="T492" s="14">
        <v>41603</v>
      </c>
      <c r="U492" s="5">
        <v>46.15</v>
      </c>
    </row>
    <row r="493" spans="12:21" x14ac:dyDescent="0.75">
      <c r="L493" s="14">
        <v>41626</v>
      </c>
      <c r="M493" s="5">
        <v>120.16</v>
      </c>
      <c r="N493" s="14">
        <v>41442</v>
      </c>
      <c r="O493" s="5">
        <v>1098.97</v>
      </c>
      <c r="P493" s="14"/>
      <c r="T493" s="14">
        <v>41600</v>
      </c>
      <c r="U493" s="5">
        <v>46.44</v>
      </c>
    </row>
    <row r="494" spans="12:21" x14ac:dyDescent="0.75">
      <c r="L494" s="14">
        <v>41625</v>
      </c>
      <c r="M494" s="5">
        <v>119.01</v>
      </c>
      <c r="N494" s="14">
        <v>41439</v>
      </c>
      <c r="O494" s="5">
        <v>1097.57</v>
      </c>
      <c r="P494" s="14"/>
      <c r="T494" s="14">
        <v>41599</v>
      </c>
      <c r="U494" s="5">
        <v>46.67</v>
      </c>
    </row>
    <row r="495" spans="12:21" x14ac:dyDescent="0.75">
      <c r="L495" s="14">
        <v>41624</v>
      </c>
      <c r="M495" s="5">
        <v>119.17</v>
      </c>
      <c r="N495" s="14">
        <v>41438</v>
      </c>
      <c r="O495" s="5">
        <v>1096.53</v>
      </c>
      <c r="P495" s="14"/>
      <c r="T495" s="14">
        <v>41598</v>
      </c>
      <c r="U495" s="5">
        <v>46.36</v>
      </c>
    </row>
    <row r="496" spans="12:21" x14ac:dyDescent="0.75">
      <c r="L496" s="14">
        <v>41621</v>
      </c>
      <c r="M496" s="5">
        <v>118.67</v>
      </c>
      <c r="N496" s="14">
        <v>41437</v>
      </c>
      <c r="O496" s="5">
        <v>1096.3</v>
      </c>
      <c r="P496" s="14"/>
      <c r="T496" s="14">
        <v>41597</v>
      </c>
      <c r="U496" s="5">
        <v>46.84</v>
      </c>
    </row>
    <row r="497" spans="12:21" x14ac:dyDescent="0.75">
      <c r="L497" s="14">
        <v>41620</v>
      </c>
      <c r="M497" s="5">
        <v>118.55</v>
      </c>
      <c r="N497" s="14">
        <v>41435</v>
      </c>
      <c r="O497" s="5">
        <v>1099.67</v>
      </c>
      <c r="P497" s="14"/>
      <c r="T497" s="14">
        <v>41596</v>
      </c>
      <c r="U497" s="5">
        <v>47.32</v>
      </c>
    </row>
    <row r="498" spans="12:21" x14ac:dyDescent="0.75">
      <c r="L498" s="14">
        <v>41619</v>
      </c>
      <c r="M498" s="5">
        <v>119.12</v>
      </c>
      <c r="N498" s="14">
        <v>41432</v>
      </c>
      <c r="O498" s="5">
        <v>1098.8499999999999</v>
      </c>
      <c r="P498" s="14"/>
      <c r="T498" s="14">
        <v>41593</v>
      </c>
      <c r="U498" s="5">
        <v>47.68</v>
      </c>
    </row>
    <row r="499" spans="12:21" x14ac:dyDescent="0.75">
      <c r="L499" s="14">
        <v>41618</v>
      </c>
      <c r="M499" s="5">
        <v>120.34</v>
      </c>
      <c r="N499" s="14">
        <v>41431</v>
      </c>
      <c r="O499" s="5">
        <v>1096.5899999999999</v>
      </c>
      <c r="P499" s="14"/>
      <c r="T499" s="14">
        <v>41592</v>
      </c>
      <c r="U499" s="5">
        <v>47.76</v>
      </c>
    </row>
    <row r="500" spans="12:21" x14ac:dyDescent="0.75">
      <c r="L500" s="14">
        <v>41617</v>
      </c>
      <c r="M500" s="5">
        <v>121.02</v>
      </c>
      <c r="N500" s="14">
        <v>41430</v>
      </c>
      <c r="O500" s="5">
        <v>1098.1600000000001</v>
      </c>
      <c r="P500" s="14"/>
      <c r="T500" s="14">
        <v>41591</v>
      </c>
      <c r="U500" s="5">
        <v>47.57</v>
      </c>
    </row>
    <row r="501" spans="12:21" x14ac:dyDescent="0.75">
      <c r="L501" s="14">
        <v>41614</v>
      </c>
      <c r="M501" s="5">
        <v>120.86</v>
      </c>
      <c r="N501" s="14">
        <v>41429</v>
      </c>
      <c r="O501" s="5">
        <v>1101.6400000000001</v>
      </c>
      <c r="P501" s="14"/>
      <c r="T501" s="14">
        <v>41590</v>
      </c>
      <c r="U501" s="5">
        <v>47.27</v>
      </c>
    </row>
    <row r="502" spans="12:21" x14ac:dyDescent="0.75">
      <c r="L502" s="14">
        <v>41613</v>
      </c>
      <c r="M502" s="5">
        <v>120.13</v>
      </c>
      <c r="N502" s="14">
        <v>41428</v>
      </c>
      <c r="O502" s="5">
        <v>1101.3399999999999</v>
      </c>
      <c r="P502" s="14"/>
      <c r="T502" s="14">
        <v>41589</v>
      </c>
      <c r="U502" s="5">
        <v>47.52</v>
      </c>
    </row>
    <row r="503" spans="12:21" x14ac:dyDescent="0.75">
      <c r="L503" s="14">
        <v>41612</v>
      </c>
      <c r="M503" s="5">
        <v>121.37</v>
      </c>
      <c r="N503" s="14">
        <v>41424</v>
      </c>
      <c r="O503" s="5">
        <v>1105.6099999999999</v>
      </c>
      <c r="P503" s="14"/>
      <c r="T503" s="14">
        <v>41586</v>
      </c>
      <c r="U503" s="5">
        <v>47.58</v>
      </c>
    </row>
    <row r="504" spans="12:21" x14ac:dyDescent="0.75">
      <c r="L504" s="14">
        <v>41611</v>
      </c>
      <c r="M504" s="5">
        <v>121.75</v>
      </c>
      <c r="N504" s="14">
        <v>41423</v>
      </c>
      <c r="O504" s="5">
        <v>1106</v>
      </c>
      <c r="P504" s="14"/>
      <c r="T504" s="14">
        <v>41585</v>
      </c>
      <c r="U504" s="5">
        <v>48.38</v>
      </c>
    </row>
    <row r="505" spans="12:21" x14ac:dyDescent="0.75">
      <c r="L505" s="14">
        <v>41610</v>
      </c>
      <c r="M505" s="5">
        <v>122.7</v>
      </c>
      <c r="N505" s="14">
        <v>41422</v>
      </c>
      <c r="O505" s="5">
        <v>1107.03</v>
      </c>
      <c r="P505" s="14"/>
      <c r="T505" s="14">
        <v>41584</v>
      </c>
      <c r="U505" s="5">
        <v>49.01</v>
      </c>
    </row>
    <row r="506" spans="12:21" x14ac:dyDescent="0.75">
      <c r="L506" s="14">
        <v>41607</v>
      </c>
      <c r="M506" s="5">
        <v>122.71</v>
      </c>
      <c r="N506" s="14">
        <v>41418</v>
      </c>
      <c r="O506" s="5">
        <v>1105.69</v>
      </c>
      <c r="P506" s="14"/>
      <c r="T506" s="14">
        <v>41583</v>
      </c>
      <c r="U506" s="5">
        <v>48.93</v>
      </c>
    </row>
    <row r="507" spans="12:21" x14ac:dyDescent="0.75">
      <c r="L507" s="14">
        <v>41606</v>
      </c>
      <c r="M507" s="5">
        <v>122.8</v>
      </c>
      <c r="N507" s="14">
        <v>41417</v>
      </c>
      <c r="O507" s="5">
        <v>1104.5999999999999</v>
      </c>
      <c r="P507" s="14"/>
      <c r="T507" s="14">
        <v>41582</v>
      </c>
      <c r="U507" s="5">
        <v>50</v>
      </c>
    </row>
    <row r="508" spans="12:21" x14ac:dyDescent="0.75">
      <c r="L508" s="14">
        <v>41605</v>
      </c>
      <c r="M508" s="5">
        <v>122.7</v>
      </c>
      <c r="N508" s="14">
        <v>41416</v>
      </c>
      <c r="O508" s="5">
        <v>1106.3699999999999</v>
      </c>
      <c r="P508" s="14"/>
      <c r="T508" s="14">
        <v>41579</v>
      </c>
      <c r="U508" s="5">
        <v>49.83</v>
      </c>
    </row>
    <row r="509" spans="12:21" x14ac:dyDescent="0.75">
      <c r="L509" s="14">
        <v>41604</v>
      </c>
      <c r="M509" s="5">
        <v>122.58</v>
      </c>
      <c r="N509" s="14">
        <v>41414</v>
      </c>
      <c r="O509" s="5">
        <v>1106.3399999999999</v>
      </c>
      <c r="P509" s="14"/>
      <c r="T509" s="14">
        <v>41578</v>
      </c>
      <c r="U509" s="5">
        <v>49.84</v>
      </c>
    </row>
    <row r="510" spans="12:21" x14ac:dyDescent="0.75">
      <c r="L510" s="14">
        <v>41603</v>
      </c>
      <c r="M510" s="5">
        <v>123.25</v>
      </c>
      <c r="N510" s="14">
        <v>41411</v>
      </c>
      <c r="O510" s="5">
        <v>1106.94</v>
      </c>
      <c r="P510" s="14"/>
      <c r="T510" s="14">
        <v>41577</v>
      </c>
      <c r="U510" s="5">
        <v>50.1</v>
      </c>
    </row>
    <row r="511" spans="12:21" x14ac:dyDescent="0.75">
      <c r="L511" s="14">
        <v>41600</v>
      </c>
      <c r="M511" s="5">
        <v>123.03</v>
      </c>
      <c r="N511" s="14">
        <v>41410</v>
      </c>
      <c r="O511" s="5">
        <v>1105.79</v>
      </c>
      <c r="P511" s="14"/>
      <c r="T511" s="14">
        <v>41576</v>
      </c>
      <c r="U511" s="5">
        <v>50.43</v>
      </c>
    </row>
    <row r="512" spans="12:21" x14ac:dyDescent="0.75">
      <c r="L512" s="14">
        <v>41599</v>
      </c>
      <c r="M512" s="5">
        <v>123.07</v>
      </c>
      <c r="N512" s="14">
        <v>41409</v>
      </c>
      <c r="O512" s="5">
        <v>1104.81</v>
      </c>
      <c r="P512" s="14"/>
      <c r="T512" s="14">
        <v>41575</v>
      </c>
      <c r="U512" s="5">
        <v>50.84</v>
      </c>
    </row>
    <row r="513" spans="12:21" x14ac:dyDescent="0.75">
      <c r="L513" s="14">
        <v>41598</v>
      </c>
      <c r="M513" s="5">
        <v>122.91</v>
      </c>
      <c r="N513" s="14">
        <v>41407</v>
      </c>
      <c r="O513" s="5">
        <v>1101.5</v>
      </c>
      <c r="P513" s="14"/>
      <c r="T513" s="14">
        <v>41572</v>
      </c>
      <c r="U513" s="5">
        <v>51.22</v>
      </c>
    </row>
    <row r="514" spans="12:21" x14ac:dyDescent="0.75">
      <c r="L514" s="14">
        <v>41597</v>
      </c>
      <c r="M514" s="5">
        <v>122.75</v>
      </c>
      <c r="N514" s="14">
        <v>41404</v>
      </c>
      <c r="O514" s="5">
        <v>1102.3599999999999</v>
      </c>
      <c r="P514" s="14"/>
      <c r="T514" s="14">
        <v>41571</v>
      </c>
      <c r="U514" s="5">
        <v>50.46</v>
      </c>
    </row>
    <row r="515" spans="12:21" x14ac:dyDescent="0.75">
      <c r="L515" s="14">
        <v>41596</v>
      </c>
      <c r="M515" s="5">
        <v>123.18</v>
      </c>
      <c r="N515" s="14">
        <v>41403</v>
      </c>
      <c r="O515" s="5">
        <v>1101.9000000000001</v>
      </c>
      <c r="P515" s="14"/>
      <c r="T515" s="14">
        <v>41570</v>
      </c>
      <c r="U515" s="5">
        <v>50.87</v>
      </c>
    </row>
    <row r="516" spans="12:21" x14ac:dyDescent="0.75">
      <c r="L516" s="14">
        <v>41593</v>
      </c>
      <c r="M516" s="5">
        <v>123.28</v>
      </c>
      <c r="N516" s="14">
        <v>41402</v>
      </c>
      <c r="O516" s="5">
        <v>1100.97</v>
      </c>
      <c r="P516" s="14"/>
      <c r="T516" s="14">
        <v>41569</v>
      </c>
      <c r="U516" s="5">
        <v>50.74</v>
      </c>
    </row>
    <row r="517" spans="12:21" x14ac:dyDescent="0.75">
      <c r="L517" s="14">
        <v>41592</v>
      </c>
      <c r="M517" s="5">
        <v>122.66</v>
      </c>
      <c r="N517" s="14">
        <v>41400</v>
      </c>
      <c r="O517" s="5">
        <v>1096.6099999999999</v>
      </c>
      <c r="P517" s="14"/>
      <c r="T517" s="14">
        <v>41568</v>
      </c>
      <c r="U517" s="5">
        <v>50.32</v>
      </c>
    </row>
    <row r="518" spans="12:21" x14ac:dyDescent="0.75">
      <c r="L518" s="14">
        <v>41591</v>
      </c>
      <c r="M518" s="5">
        <v>122.21</v>
      </c>
      <c r="N518" s="14">
        <v>41396</v>
      </c>
      <c r="O518" s="5">
        <v>1094.1400000000001</v>
      </c>
      <c r="P518" s="14"/>
      <c r="T518" s="14">
        <v>41565</v>
      </c>
      <c r="U518" s="5">
        <v>50.603999999999999</v>
      </c>
    </row>
    <row r="519" spans="12:21" x14ac:dyDescent="0.75">
      <c r="L519" s="14">
        <v>41590</v>
      </c>
      <c r="M519" s="5">
        <v>121.83</v>
      </c>
      <c r="N519" s="14">
        <v>41395</v>
      </c>
      <c r="O519" s="5">
        <v>1092.52</v>
      </c>
      <c r="P519" s="14"/>
      <c r="T519" s="14">
        <v>41564</v>
      </c>
      <c r="U519" s="5">
        <v>50.79</v>
      </c>
    </row>
    <row r="520" spans="12:21" x14ac:dyDescent="0.75">
      <c r="L520" s="14">
        <v>41589</v>
      </c>
      <c r="M520" s="5">
        <v>122.28</v>
      </c>
      <c r="N520" s="14">
        <v>41393</v>
      </c>
      <c r="O520" s="5">
        <v>1092.73</v>
      </c>
      <c r="P520" s="14"/>
      <c r="T520" s="14">
        <v>41563</v>
      </c>
      <c r="U520" s="5">
        <v>49.99</v>
      </c>
    </row>
    <row r="521" spans="12:21" x14ac:dyDescent="0.75">
      <c r="L521" s="14">
        <v>41586</v>
      </c>
      <c r="M521" s="5">
        <v>122.52</v>
      </c>
      <c r="N521" s="14">
        <v>41390</v>
      </c>
      <c r="O521" s="5">
        <v>1092.17</v>
      </c>
      <c r="P521" s="14"/>
      <c r="T521" s="14">
        <v>41562</v>
      </c>
      <c r="U521" s="5">
        <v>49.12</v>
      </c>
    </row>
    <row r="522" spans="12:21" x14ac:dyDescent="0.75">
      <c r="L522" s="14">
        <v>41585</v>
      </c>
      <c r="M522" s="5">
        <v>121.87</v>
      </c>
      <c r="N522" s="14">
        <v>41389</v>
      </c>
      <c r="O522" s="5">
        <v>1092.43</v>
      </c>
      <c r="P522" s="14"/>
      <c r="T522" s="14">
        <v>41561</v>
      </c>
      <c r="U522" s="5">
        <v>49.24</v>
      </c>
    </row>
    <row r="523" spans="12:21" x14ac:dyDescent="0.75">
      <c r="L523" s="14">
        <v>41584</v>
      </c>
      <c r="M523" s="5">
        <v>121.92</v>
      </c>
      <c r="N523" s="14">
        <v>41388</v>
      </c>
      <c r="O523" s="5">
        <v>1091.3399999999999</v>
      </c>
      <c r="P523" s="14"/>
      <c r="T523" s="14">
        <v>41558</v>
      </c>
      <c r="U523" s="5">
        <v>49.3</v>
      </c>
    </row>
    <row r="524" spans="12:21" x14ac:dyDescent="0.75">
      <c r="L524" s="14">
        <v>41583</v>
      </c>
      <c r="M524" s="5">
        <v>121.8</v>
      </c>
      <c r="N524" s="14">
        <v>41386</v>
      </c>
      <c r="O524" s="5">
        <v>1087.55</v>
      </c>
      <c r="P524" s="14"/>
      <c r="T524" s="14">
        <v>41557</v>
      </c>
      <c r="U524" s="5">
        <v>48.83</v>
      </c>
    </row>
    <row r="525" spans="12:21" x14ac:dyDescent="0.75">
      <c r="L525" s="14">
        <v>41582</v>
      </c>
      <c r="M525" s="5">
        <v>121.9</v>
      </c>
      <c r="N525" s="14">
        <v>41383</v>
      </c>
      <c r="O525" s="5">
        <v>1087.04</v>
      </c>
      <c r="P525" s="14"/>
      <c r="T525" s="14">
        <v>41556</v>
      </c>
      <c r="U525" s="5">
        <v>47.64</v>
      </c>
    </row>
    <row r="526" spans="12:21" x14ac:dyDescent="0.75">
      <c r="L526" s="14">
        <v>41579</v>
      </c>
      <c r="M526" s="5">
        <v>121.72</v>
      </c>
      <c r="N526" s="14">
        <v>41382</v>
      </c>
      <c r="O526" s="5">
        <v>1086.95</v>
      </c>
      <c r="P526" s="14"/>
      <c r="T526" s="14">
        <v>41555</v>
      </c>
      <c r="U526" s="5">
        <v>47.55</v>
      </c>
    </row>
    <row r="527" spans="12:21" x14ac:dyDescent="0.75">
      <c r="L527" s="14">
        <v>41578</v>
      </c>
      <c r="M527" s="5">
        <v>121.18</v>
      </c>
      <c r="N527" s="14">
        <v>41381</v>
      </c>
      <c r="O527" s="5">
        <v>1086.68</v>
      </c>
      <c r="P527" s="14"/>
      <c r="T527" s="14">
        <v>41554</v>
      </c>
      <c r="U527" s="5">
        <v>47.85</v>
      </c>
    </row>
    <row r="528" spans="12:21" x14ac:dyDescent="0.75">
      <c r="L528" s="14">
        <v>41577</v>
      </c>
      <c r="M528" s="5">
        <v>120.33</v>
      </c>
      <c r="N528" s="14">
        <v>41379</v>
      </c>
      <c r="O528" s="5">
        <v>1087.58</v>
      </c>
      <c r="P528" s="14"/>
      <c r="T528" s="14">
        <v>41551</v>
      </c>
      <c r="U528" s="5">
        <v>47.58</v>
      </c>
    </row>
    <row r="529" spans="12:21" x14ac:dyDescent="0.75">
      <c r="L529" s="14">
        <v>41576</v>
      </c>
      <c r="M529" s="5">
        <v>120.42</v>
      </c>
      <c r="N529" s="14">
        <v>41376</v>
      </c>
      <c r="O529" s="5">
        <v>1090.52</v>
      </c>
      <c r="P529" s="14"/>
      <c r="T529" s="14">
        <v>41550</v>
      </c>
      <c r="U529" s="5">
        <v>47.77</v>
      </c>
    </row>
    <row r="530" spans="12:21" x14ac:dyDescent="0.75">
      <c r="L530" s="14">
        <v>41575</v>
      </c>
      <c r="M530" s="5">
        <v>119.97</v>
      </c>
      <c r="N530" s="14">
        <v>41375</v>
      </c>
      <c r="O530" s="5">
        <v>1090.04</v>
      </c>
      <c r="P530" s="14"/>
      <c r="T530" s="14">
        <v>41549</v>
      </c>
      <c r="U530" s="5">
        <v>48.72</v>
      </c>
    </row>
    <row r="531" spans="12:21" x14ac:dyDescent="0.75">
      <c r="L531" s="14">
        <v>41572</v>
      </c>
      <c r="M531" s="5">
        <v>119.66</v>
      </c>
      <c r="N531" s="14">
        <v>41374</v>
      </c>
      <c r="O531" s="5">
        <v>1087.3499999999999</v>
      </c>
      <c r="P531" s="14"/>
      <c r="T531" s="14">
        <v>41548</v>
      </c>
      <c r="U531" s="5">
        <v>48.8</v>
      </c>
    </row>
    <row r="532" spans="12:21" x14ac:dyDescent="0.75">
      <c r="L532" s="14">
        <v>41571</v>
      </c>
      <c r="M532" s="5">
        <v>119.62</v>
      </c>
      <c r="N532" s="14">
        <v>41372</v>
      </c>
      <c r="O532" s="5">
        <v>1082.6099999999999</v>
      </c>
      <c r="P532" s="14"/>
      <c r="T532" s="14">
        <v>41547</v>
      </c>
      <c r="U532" s="5">
        <v>47.97</v>
      </c>
    </row>
    <row r="533" spans="12:21" x14ac:dyDescent="0.75">
      <c r="L533" s="14">
        <v>41570</v>
      </c>
      <c r="M533" s="5">
        <v>119.42</v>
      </c>
      <c r="N533" s="14">
        <v>41369</v>
      </c>
      <c r="O533" s="5">
        <v>1083.1400000000001</v>
      </c>
      <c r="P533" s="14"/>
      <c r="T533" s="14">
        <v>41544</v>
      </c>
      <c r="U533" s="5">
        <v>48.56</v>
      </c>
    </row>
    <row r="534" spans="12:21" x14ac:dyDescent="0.75">
      <c r="L534" s="14">
        <v>41569</v>
      </c>
      <c r="M534" s="5">
        <v>120.24</v>
      </c>
      <c r="N534" s="14">
        <v>41368</v>
      </c>
      <c r="O534" s="5">
        <v>1083.6600000000001</v>
      </c>
      <c r="P534" s="14"/>
      <c r="T534" s="14">
        <v>41543</v>
      </c>
      <c r="U534" s="5">
        <v>48.73</v>
      </c>
    </row>
    <row r="535" spans="12:21" x14ac:dyDescent="0.75">
      <c r="L535" s="14">
        <v>41568</v>
      </c>
      <c r="M535" s="5">
        <v>120.33</v>
      </c>
      <c r="N535" s="14">
        <v>41367</v>
      </c>
      <c r="O535" s="5">
        <v>1084.3</v>
      </c>
      <c r="P535" s="14"/>
      <c r="T535" s="14">
        <v>41542</v>
      </c>
      <c r="U535" s="5">
        <v>48.47</v>
      </c>
    </row>
    <row r="536" spans="12:21" x14ac:dyDescent="0.75">
      <c r="L536" s="14">
        <v>41565</v>
      </c>
      <c r="M536" s="5">
        <v>120.04</v>
      </c>
      <c r="N536" s="14">
        <v>41366</v>
      </c>
      <c r="O536" s="5">
        <v>1084.29</v>
      </c>
      <c r="P536" s="14"/>
      <c r="T536" s="14">
        <v>41541</v>
      </c>
      <c r="U536" s="5">
        <v>48.19</v>
      </c>
    </row>
    <row r="537" spans="12:21" x14ac:dyDescent="0.75">
      <c r="L537" s="14">
        <v>41564</v>
      </c>
      <c r="M537" s="5">
        <v>119.44</v>
      </c>
      <c r="N537" s="14">
        <v>41360</v>
      </c>
      <c r="O537" s="5">
        <v>1085.67</v>
      </c>
      <c r="P537" s="14"/>
      <c r="T537" s="14">
        <v>41540</v>
      </c>
      <c r="U537" s="5">
        <v>49.04</v>
      </c>
    </row>
    <row r="538" spans="12:21" x14ac:dyDescent="0.75">
      <c r="N538" s="14">
        <v>41359</v>
      </c>
      <c r="O538" s="5">
        <v>1085.02</v>
      </c>
      <c r="P538" s="14"/>
      <c r="T538" s="14">
        <v>41537</v>
      </c>
      <c r="U538" s="5">
        <v>49.55</v>
      </c>
    </row>
    <row r="539" spans="12:21" x14ac:dyDescent="0.75">
      <c r="N539" s="14">
        <v>41358</v>
      </c>
      <c r="O539" s="5">
        <v>1084.49</v>
      </c>
      <c r="P539" s="14"/>
      <c r="T539" s="14">
        <v>41536</v>
      </c>
      <c r="U539" s="5">
        <v>50.4</v>
      </c>
    </row>
    <row r="540" spans="12:21" x14ac:dyDescent="0.75">
      <c r="N540" s="14">
        <v>41355</v>
      </c>
      <c r="O540" s="5">
        <v>1084.31</v>
      </c>
      <c r="P540" s="14"/>
      <c r="T540" s="14">
        <v>41535</v>
      </c>
      <c r="U540" s="5">
        <v>50.53</v>
      </c>
    </row>
    <row r="541" spans="12:21" x14ac:dyDescent="0.75">
      <c r="N541" s="14">
        <v>41354</v>
      </c>
      <c r="O541" s="5">
        <v>1085.75</v>
      </c>
      <c r="P541" s="14"/>
      <c r="T541" s="14">
        <v>41534</v>
      </c>
      <c r="U541" s="5">
        <v>48.61</v>
      </c>
    </row>
    <row r="542" spans="12:21" x14ac:dyDescent="0.75">
      <c r="N542" s="14">
        <v>41353</v>
      </c>
      <c r="O542" s="5">
        <v>1085.71</v>
      </c>
      <c r="P542" s="14"/>
      <c r="T542" s="14">
        <v>41533</v>
      </c>
      <c r="U542" s="5">
        <v>48.76</v>
      </c>
    </row>
    <row r="543" spans="12:21" x14ac:dyDescent="0.75">
      <c r="N543" s="14">
        <v>41351</v>
      </c>
      <c r="O543" s="5">
        <v>1084.93</v>
      </c>
      <c r="P543" s="14"/>
      <c r="T543" s="14">
        <v>41530</v>
      </c>
      <c r="U543" s="5">
        <v>48.27</v>
      </c>
    </row>
    <row r="544" spans="12:21" x14ac:dyDescent="0.75">
      <c r="N544" s="14">
        <v>41348</v>
      </c>
      <c r="O544" s="5">
        <v>1085.76</v>
      </c>
      <c r="P544" s="14"/>
      <c r="T544" s="14">
        <v>41529</v>
      </c>
      <c r="U544" s="5">
        <v>48.02</v>
      </c>
    </row>
    <row r="545" spans="14:21" x14ac:dyDescent="0.75">
      <c r="N545" s="14">
        <v>41347</v>
      </c>
      <c r="O545" s="5">
        <v>1085.46</v>
      </c>
      <c r="P545" s="14"/>
      <c r="T545" s="14">
        <v>41528</v>
      </c>
      <c r="U545" s="5">
        <v>48.26</v>
      </c>
    </row>
    <row r="546" spans="14:21" x14ac:dyDescent="0.75">
      <c r="N546" s="14">
        <v>41346</v>
      </c>
      <c r="O546" s="5">
        <v>1084.42</v>
      </c>
      <c r="P546" s="14"/>
      <c r="T546" s="14">
        <v>41527</v>
      </c>
      <c r="U546" s="5">
        <v>47.88</v>
      </c>
    </row>
    <row r="547" spans="14:21" x14ac:dyDescent="0.75">
      <c r="N547" s="14">
        <v>41344</v>
      </c>
      <c r="O547" s="5">
        <v>1083.49</v>
      </c>
      <c r="P547" s="14"/>
      <c r="T547" s="14">
        <v>41526</v>
      </c>
      <c r="U547" s="5">
        <v>47.92</v>
      </c>
    </row>
    <row r="548" spans="14:21" x14ac:dyDescent="0.75">
      <c r="N548" s="14">
        <v>41341</v>
      </c>
      <c r="O548" s="5">
        <v>1082.8900000000001</v>
      </c>
      <c r="P548" s="14"/>
      <c r="T548" s="14">
        <v>41523</v>
      </c>
      <c r="U548" s="5">
        <v>46.95</v>
      </c>
    </row>
    <row r="549" spans="14:21" x14ac:dyDescent="0.75">
      <c r="N549" s="14">
        <v>41340</v>
      </c>
      <c r="O549" s="5">
        <v>1082.3</v>
      </c>
      <c r="P549" s="14"/>
      <c r="T549" s="14">
        <v>41522</v>
      </c>
      <c r="U549" s="5">
        <v>46.13</v>
      </c>
    </row>
    <row r="550" spans="14:21" x14ac:dyDescent="0.75">
      <c r="N550" s="14">
        <v>41339</v>
      </c>
      <c r="O550" s="5">
        <v>1081.46</v>
      </c>
      <c r="P550" s="14"/>
      <c r="T550" s="14">
        <v>41521</v>
      </c>
      <c r="U550" s="5">
        <v>46.69</v>
      </c>
    </row>
    <row r="551" spans="14:21" x14ac:dyDescent="0.75">
      <c r="N551" s="14">
        <v>41338</v>
      </c>
      <c r="O551" s="5">
        <v>1080.6500000000001</v>
      </c>
      <c r="P551" s="14"/>
      <c r="T551" s="14">
        <v>41520</v>
      </c>
      <c r="U551" s="5">
        <v>46.27</v>
      </c>
    </row>
    <row r="552" spans="14:21" x14ac:dyDescent="0.75">
      <c r="N552" s="14">
        <v>41337</v>
      </c>
      <c r="O552" s="5">
        <v>1078.3800000000001</v>
      </c>
      <c r="P552" s="14"/>
      <c r="T552" s="14">
        <v>41516</v>
      </c>
      <c r="U552" s="5">
        <v>46.8</v>
      </c>
    </row>
    <row r="553" spans="14:21" x14ac:dyDescent="0.75">
      <c r="N553" s="14">
        <v>41334</v>
      </c>
      <c r="O553" s="5">
        <v>1078.8</v>
      </c>
      <c r="P553" s="14"/>
      <c r="T553" s="14">
        <v>41515</v>
      </c>
      <c r="U553" s="5">
        <v>47.09</v>
      </c>
    </row>
    <row r="554" spans="14:21" x14ac:dyDescent="0.75">
      <c r="N554" s="14">
        <v>41332</v>
      </c>
      <c r="O554" s="5">
        <v>1077.69</v>
      </c>
      <c r="P554" s="14"/>
      <c r="T554" s="14">
        <v>41514</v>
      </c>
      <c r="U554" s="5">
        <v>47.19</v>
      </c>
    </row>
    <row r="555" spans="14:21" x14ac:dyDescent="0.75">
      <c r="N555" s="14">
        <v>41331</v>
      </c>
      <c r="O555" s="5">
        <v>1075.8499999999999</v>
      </c>
      <c r="P555" s="14"/>
      <c r="T555" s="14">
        <v>41513</v>
      </c>
      <c r="U555" s="5">
        <v>47.57</v>
      </c>
    </row>
    <row r="556" spans="14:21" x14ac:dyDescent="0.75">
      <c r="N556" s="14">
        <v>41330</v>
      </c>
      <c r="O556" s="5">
        <v>1075.1199999999999</v>
      </c>
      <c r="P556" s="14"/>
      <c r="T556" s="14">
        <v>41512</v>
      </c>
      <c r="U556" s="5">
        <v>47.59</v>
      </c>
    </row>
    <row r="557" spans="14:21" x14ac:dyDescent="0.75">
      <c r="N557" s="14">
        <v>41327</v>
      </c>
      <c r="O557" s="5">
        <v>1076.4100000000001</v>
      </c>
      <c r="P557" s="14"/>
      <c r="T557" s="14">
        <v>41509</v>
      </c>
      <c r="U557" s="5">
        <v>47.84</v>
      </c>
    </row>
    <row r="558" spans="14:21" x14ac:dyDescent="0.75">
      <c r="N558" s="14">
        <v>41326</v>
      </c>
      <c r="O558" s="5">
        <v>1075.42</v>
      </c>
      <c r="P558" s="14"/>
      <c r="T558" s="14">
        <v>41508</v>
      </c>
      <c r="U558" s="5">
        <v>47.370699999999999</v>
      </c>
    </row>
    <row r="559" spans="14:21" x14ac:dyDescent="0.75">
      <c r="N559" s="14">
        <v>41325</v>
      </c>
      <c r="O559" s="5">
        <v>1077.8599999999999</v>
      </c>
      <c r="P559" s="14"/>
      <c r="T559" s="14">
        <v>41507</v>
      </c>
      <c r="U559" s="5">
        <v>47.21</v>
      </c>
    </row>
    <row r="560" spans="14:21" x14ac:dyDescent="0.75">
      <c r="N560" s="14">
        <v>41320</v>
      </c>
      <c r="O560" s="5">
        <v>1077.98</v>
      </c>
      <c r="P560" s="14"/>
      <c r="T560" s="14">
        <v>41506</v>
      </c>
      <c r="U560" s="5">
        <v>47.01</v>
      </c>
    </row>
    <row r="561" spans="14:21" x14ac:dyDescent="0.75">
      <c r="N561" s="14">
        <v>41319</v>
      </c>
      <c r="O561" s="5">
        <v>1078.1500000000001</v>
      </c>
      <c r="P561" s="14"/>
      <c r="T561" s="14">
        <v>41505</v>
      </c>
      <c r="U561" s="5">
        <v>45.98</v>
      </c>
    </row>
    <row r="562" spans="14:21" x14ac:dyDescent="0.75">
      <c r="N562" s="14">
        <v>41318</v>
      </c>
      <c r="O562" s="5">
        <v>1077.6500000000001</v>
      </c>
      <c r="P562" s="14"/>
      <c r="T562" s="14">
        <v>41502</v>
      </c>
      <c r="U562" s="5">
        <v>46.4</v>
      </c>
    </row>
    <row r="563" spans="14:21" x14ac:dyDescent="0.75">
      <c r="N563" s="14">
        <v>41316</v>
      </c>
      <c r="O563" s="5">
        <v>1075.53</v>
      </c>
      <c r="P563" s="14"/>
      <c r="T563" s="14">
        <v>41501</v>
      </c>
      <c r="U563" s="5">
        <v>47.59</v>
      </c>
    </row>
    <row r="564" spans="14:21" x14ac:dyDescent="0.75">
      <c r="N564" s="14">
        <v>41313</v>
      </c>
      <c r="O564" s="5">
        <v>1075.82</v>
      </c>
      <c r="P564" s="14"/>
      <c r="T564" s="14">
        <v>41500</v>
      </c>
      <c r="U564" s="5">
        <v>48.6</v>
      </c>
    </row>
    <row r="565" spans="14:21" x14ac:dyDescent="0.75">
      <c r="N565" s="14">
        <v>41312</v>
      </c>
      <c r="O565" s="5">
        <v>1076.3599999999999</v>
      </c>
      <c r="P565" s="14"/>
      <c r="T565" s="14">
        <v>41499</v>
      </c>
      <c r="U565" s="5">
        <v>48.79</v>
      </c>
    </row>
    <row r="566" spans="14:21" x14ac:dyDescent="0.75">
      <c r="N566" s="14">
        <v>41311</v>
      </c>
      <c r="O566" s="5">
        <v>1074.74</v>
      </c>
      <c r="P566" s="14"/>
      <c r="T566" s="14">
        <v>41498</v>
      </c>
      <c r="U566" s="5">
        <v>49.58</v>
      </c>
    </row>
    <row r="567" spans="14:21" x14ac:dyDescent="0.75">
      <c r="N567" s="14">
        <v>41310</v>
      </c>
      <c r="O567" s="5">
        <v>1074.6500000000001</v>
      </c>
      <c r="P567" s="14"/>
      <c r="T567" s="14">
        <v>41495</v>
      </c>
      <c r="U567" s="5">
        <v>49.94</v>
      </c>
    </row>
    <row r="568" spans="14:21" x14ac:dyDescent="0.75">
      <c r="N568" s="14">
        <v>41309</v>
      </c>
      <c r="O568" s="5">
        <v>1073.68</v>
      </c>
      <c r="P568" s="14"/>
      <c r="T568" s="14">
        <v>41494</v>
      </c>
      <c r="U568" s="5">
        <v>49.51</v>
      </c>
    </row>
    <row r="569" spans="14:21" x14ac:dyDescent="0.75">
      <c r="N569" s="14">
        <v>41306</v>
      </c>
      <c r="O569" s="5">
        <v>1075.05</v>
      </c>
      <c r="P569" s="14"/>
      <c r="T569" s="14">
        <v>41493</v>
      </c>
      <c r="U569" s="5">
        <v>49.62</v>
      </c>
    </row>
    <row r="570" spans="14:21" x14ac:dyDescent="0.75">
      <c r="N570" s="14">
        <v>41304</v>
      </c>
      <c r="O570" s="5">
        <v>1070.8900000000001</v>
      </c>
      <c r="P570" s="14"/>
      <c r="T570" s="14">
        <v>41492</v>
      </c>
      <c r="U570" s="5">
        <v>49.91</v>
      </c>
    </row>
    <row r="571" spans="14:21" x14ac:dyDescent="0.75">
      <c r="N571" s="14">
        <v>41303</v>
      </c>
      <c r="O571" s="5">
        <v>1072.98</v>
      </c>
      <c r="P571" s="14"/>
      <c r="T571" s="14">
        <v>41491</v>
      </c>
      <c r="U571" s="5">
        <v>50.12</v>
      </c>
    </row>
    <row r="572" spans="14:21" x14ac:dyDescent="0.75">
      <c r="N572" s="14">
        <v>41302</v>
      </c>
      <c r="O572" s="5">
        <v>1071.3800000000001</v>
      </c>
      <c r="P572" s="14"/>
      <c r="T572" s="14">
        <v>41488</v>
      </c>
      <c r="U572" s="5">
        <v>50.04</v>
      </c>
    </row>
    <row r="573" spans="14:21" x14ac:dyDescent="0.75">
      <c r="N573" s="14">
        <v>41299</v>
      </c>
      <c r="O573" s="5">
        <v>1071.1300000000001</v>
      </c>
      <c r="P573" s="14"/>
      <c r="T573" s="14">
        <v>41487</v>
      </c>
      <c r="U573" s="5">
        <v>50.2</v>
      </c>
    </row>
    <row r="574" spans="14:21" x14ac:dyDescent="0.75">
      <c r="N574" s="14">
        <v>41298</v>
      </c>
      <c r="O574" s="5">
        <v>1071.0999999999999</v>
      </c>
      <c r="P574" s="14"/>
      <c r="T574" s="14">
        <v>41486</v>
      </c>
      <c r="U574" s="5">
        <v>50.59</v>
      </c>
    </row>
    <row r="575" spans="14:21" x14ac:dyDescent="0.75">
      <c r="N575" s="14">
        <v>41297</v>
      </c>
      <c r="O575" s="5">
        <v>1070.24</v>
      </c>
      <c r="P575" s="14"/>
      <c r="T575" s="14">
        <v>41485</v>
      </c>
      <c r="U575" s="5">
        <v>51.42</v>
      </c>
    </row>
    <row r="576" spans="14:21" x14ac:dyDescent="0.75">
      <c r="N576" s="14">
        <v>41292</v>
      </c>
      <c r="O576" s="5">
        <v>1069.08</v>
      </c>
      <c r="P576" s="14"/>
      <c r="T576" s="14">
        <v>41484</v>
      </c>
      <c r="U576" s="5">
        <v>51.64</v>
      </c>
    </row>
    <row r="577" spans="14:21" x14ac:dyDescent="0.75">
      <c r="N577" s="14">
        <v>41291</v>
      </c>
      <c r="O577" s="5">
        <v>1069.43</v>
      </c>
      <c r="P577" s="14"/>
      <c r="T577" s="14">
        <v>41481</v>
      </c>
      <c r="U577" s="5">
        <v>52.03</v>
      </c>
    </row>
    <row r="578" spans="14:21" x14ac:dyDescent="0.75">
      <c r="N578" s="14">
        <v>41290</v>
      </c>
      <c r="O578" s="5">
        <v>1067.8499999999999</v>
      </c>
      <c r="P578" s="14"/>
      <c r="T578" s="14">
        <v>41480</v>
      </c>
      <c r="U578" s="5">
        <v>51.95</v>
      </c>
    </row>
    <row r="579" spans="14:21" x14ac:dyDescent="0.75">
      <c r="N579" s="14">
        <v>41288</v>
      </c>
      <c r="O579" s="5">
        <v>1067.1600000000001</v>
      </c>
      <c r="P579" s="14"/>
      <c r="T579" s="14">
        <v>41479</v>
      </c>
      <c r="U579" s="5">
        <v>51.77</v>
      </c>
    </row>
    <row r="580" spans="14:21" x14ac:dyDescent="0.75">
      <c r="N580" s="14">
        <v>41285</v>
      </c>
      <c r="O580" s="5">
        <v>1065.57</v>
      </c>
      <c r="P580" s="14"/>
      <c r="T580" s="14">
        <v>41478</v>
      </c>
      <c r="U580" s="5">
        <v>53.15</v>
      </c>
    </row>
    <row r="581" spans="14:21" x14ac:dyDescent="0.75">
      <c r="N581" s="14">
        <v>41284</v>
      </c>
      <c r="O581" s="5">
        <v>1066.52</v>
      </c>
      <c r="P581" s="14"/>
      <c r="T581" s="14">
        <v>41477</v>
      </c>
      <c r="U581" s="5">
        <v>53.18</v>
      </c>
    </row>
    <row r="582" spans="14:21" x14ac:dyDescent="0.75">
      <c r="N582" s="14">
        <v>41282</v>
      </c>
      <c r="O582" s="5">
        <v>1064.23</v>
      </c>
      <c r="P582" s="14"/>
      <c r="T582" s="14">
        <v>41474</v>
      </c>
      <c r="U582" s="5">
        <v>53.1</v>
      </c>
    </row>
    <row r="583" spans="14:21" x14ac:dyDescent="0.75">
      <c r="N583" s="14">
        <v>41281</v>
      </c>
      <c r="O583" s="5">
        <v>1063.24</v>
      </c>
      <c r="P583" s="14"/>
      <c r="T583" s="14">
        <v>41473</v>
      </c>
      <c r="U583" s="5">
        <v>53.35</v>
      </c>
    </row>
    <row r="584" spans="14:21" x14ac:dyDescent="0.75">
      <c r="N584" s="14">
        <v>41278</v>
      </c>
      <c r="O584" s="5">
        <v>1062.55</v>
      </c>
      <c r="P584" s="14"/>
      <c r="T584" s="14">
        <v>41472</v>
      </c>
      <c r="U584" s="5">
        <v>53.05</v>
      </c>
    </row>
    <row r="585" spans="14:21" x14ac:dyDescent="0.75">
      <c r="N585" s="14">
        <v>41271</v>
      </c>
      <c r="O585" s="5">
        <v>1056.93</v>
      </c>
      <c r="P585" s="14"/>
      <c r="T585" s="14">
        <v>41471</v>
      </c>
      <c r="U585" s="5">
        <v>52.72</v>
      </c>
    </row>
    <row r="586" spans="14:21" x14ac:dyDescent="0.75">
      <c r="N586" s="14">
        <v>41270</v>
      </c>
      <c r="O586" s="5">
        <v>1057.3800000000001</v>
      </c>
      <c r="P586" s="14"/>
      <c r="T586" s="14">
        <v>41470</v>
      </c>
      <c r="U586" s="5">
        <v>52.66</v>
      </c>
    </row>
    <row r="587" spans="14:21" x14ac:dyDescent="0.75">
      <c r="N587" s="14">
        <v>41269</v>
      </c>
      <c r="O587" s="5">
        <v>1057.33</v>
      </c>
      <c r="P587" s="14"/>
      <c r="T587" s="14">
        <v>41467</v>
      </c>
      <c r="U587" s="5">
        <v>52.5</v>
      </c>
    </row>
    <row r="588" spans="14:21" x14ac:dyDescent="0.75">
      <c r="N588" s="14">
        <v>41267</v>
      </c>
      <c r="O588" s="5">
        <v>1058.2</v>
      </c>
      <c r="P588" s="14"/>
      <c r="T588" s="14">
        <v>41466</v>
      </c>
      <c r="U588" s="5">
        <v>52.92</v>
      </c>
    </row>
    <row r="589" spans="14:21" x14ac:dyDescent="0.75">
      <c r="N589" s="14">
        <v>41264</v>
      </c>
      <c r="O589" s="5">
        <v>1057.49</v>
      </c>
      <c r="P589" s="14"/>
      <c r="T589" s="14">
        <v>41465</v>
      </c>
      <c r="U589" s="5">
        <v>51.49</v>
      </c>
    </row>
    <row r="590" spans="14:21" x14ac:dyDescent="0.75">
      <c r="N590" s="14">
        <v>41263</v>
      </c>
      <c r="O590" s="5">
        <v>1058.5</v>
      </c>
      <c r="P590" s="14"/>
      <c r="T590" s="14">
        <v>41464</v>
      </c>
      <c r="U590" s="5">
        <v>51.52</v>
      </c>
    </row>
    <row r="591" spans="14:21" x14ac:dyDescent="0.75">
      <c r="N591" s="14">
        <v>41260</v>
      </c>
      <c r="O591" s="5">
        <v>1054.02</v>
      </c>
      <c r="P591" s="14"/>
      <c r="T591" s="14">
        <v>41463</v>
      </c>
      <c r="U591" s="5">
        <v>50.86</v>
      </c>
    </row>
    <row r="592" spans="14:21" x14ac:dyDescent="0.75">
      <c r="N592" s="14">
        <v>41257</v>
      </c>
      <c r="O592" s="5">
        <v>1053.28</v>
      </c>
      <c r="P592" s="14"/>
      <c r="T592" s="14">
        <v>41460</v>
      </c>
      <c r="U592" s="5">
        <v>50.8</v>
      </c>
    </row>
    <row r="593" spans="14:21" x14ac:dyDescent="0.75">
      <c r="N593" s="14">
        <v>41256</v>
      </c>
      <c r="O593" s="5">
        <v>1053.72</v>
      </c>
      <c r="P593" s="14"/>
      <c r="T593" s="14">
        <v>41458</v>
      </c>
      <c r="U593" s="5">
        <v>51.21</v>
      </c>
    </row>
    <row r="594" spans="14:21" x14ac:dyDescent="0.75">
      <c r="N594" s="14">
        <v>41255</v>
      </c>
      <c r="O594" s="5">
        <v>1055.4000000000001</v>
      </c>
      <c r="P594" s="14"/>
      <c r="T594" s="14">
        <v>41457</v>
      </c>
      <c r="U594" s="5">
        <v>51.62</v>
      </c>
    </row>
    <row r="595" spans="14:21" x14ac:dyDescent="0.75">
      <c r="N595" s="14">
        <v>41253</v>
      </c>
      <c r="O595" s="5">
        <v>1053.46</v>
      </c>
      <c r="P595" s="14"/>
      <c r="T595" s="14">
        <v>41456</v>
      </c>
      <c r="U595" s="5">
        <v>50.91</v>
      </c>
    </row>
    <row r="596" spans="14:21" x14ac:dyDescent="0.75">
      <c r="N596" s="14">
        <v>41250</v>
      </c>
      <c r="O596" s="5">
        <v>1052.49</v>
      </c>
      <c r="P596" s="14"/>
      <c r="T596" s="14">
        <v>41453</v>
      </c>
      <c r="U596" s="5">
        <v>51.18</v>
      </c>
    </row>
    <row r="597" spans="14:21" x14ac:dyDescent="0.75">
      <c r="N597" s="14">
        <v>41249</v>
      </c>
      <c r="O597" s="5">
        <v>1052.0999999999999</v>
      </c>
      <c r="P597" s="14"/>
      <c r="T597" s="14">
        <v>41452</v>
      </c>
      <c r="U597" s="5">
        <v>51.329099999999997</v>
      </c>
    </row>
    <row r="598" spans="14:21" x14ac:dyDescent="0.75">
      <c r="N598" s="14">
        <v>41248</v>
      </c>
      <c r="O598" s="5">
        <v>1050.6199999999999</v>
      </c>
      <c r="P598" s="14"/>
      <c r="T598" s="14">
        <v>41451</v>
      </c>
      <c r="U598" s="5">
        <v>50.35</v>
      </c>
    </row>
    <row r="599" spans="14:21" x14ac:dyDescent="0.75">
      <c r="N599" s="14">
        <v>41247</v>
      </c>
      <c r="O599" s="5">
        <v>1049.52</v>
      </c>
      <c r="P599" s="14"/>
      <c r="T599" s="14">
        <v>41450</v>
      </c>
      <c r="U599" s="5">
        <v>49.98</v>
      </c>
    </row>
    <row r="600" spans="14:21" x14ac:dyDescent="0.75">
      <c r="N600" s="14">
        <v>41246</v>
      </c>
      <c r="O600" s="5">
        <v>1049.6600000000001</v>
      </c>
      <c r="P600" s="14"/>
      <c r="T600" s="14">
        <v>41449</v>
      </c>
      <c r="U600" s="5">
        <v>48.98</v>
      </c>
    </row>
    <row r="601" spans="14:21" x14ac:dyDescent="0.75">
      <c r="N601" s="14">
        <v>41242</v>
      </c>
      <c r="O601" s="5">
        <v>1048.9000000000001</v>
      </c>
      <c r="P601" s="14"/>
      <c r="T601" s="14">
        <v>41446</v>
      </c>
      <c r="U601" s="5">
        <v>49.05</v>
      </c>
    </row>
    <row r="602" spans="14:21" x14ac:dyDescent="0.75">
      <c r="N602" s="14">
        <v>41241</v>
      </c>
      <c r="O602" s="5">
        <v>1048.28</v>
      </c>
      <c r="P602" s="14"/>
      <c r="T602" s="14">
        <v>41445</v>
      </c>
      <c r="U602" s="5">
        <v>48.04</v>
      </c>
    </row>
    <row r="603" spans="14:21" x14ac:dyDescent="0.75">
      <c r="N603" s="14">
        <v>41240</v>
      </c>
      <c r="O603" s="5">
        <v>1048.44</v>
      </c>
      <c r="P603" s="14"/>
      <c r="T603" s="14">
        <v>41444</v>
      </c>
      <c r="U603" s="5">
        <v>49.82</v>
      </c>
    </row>
    <row r="604" spans="14:21" x14ac:dyDescent="0.75">
      <c r="N604" s="14">
        <v>41239</v>
      </c>
      <c r="O604" s="5">
        <v>1048.3800000000001</v>
      </c>
      <c r="P604" s="14"/>
      <c r="T604" s="14">
        <v>41443</v>
      </c>
      <c r="U604" s="5">
        <v>51.41</v>
      </c>
    </row>
    <row r="605" spans="14:21" x14ac:dyDescent="0.75">
      <c r="N605" s="14">
        <v>41236</v>
      </c>
      <c r="O605" s="5">
        <v>1048.52</v>
      </c>
      <c r="P605" s="14"/>
      <c r="T605" s="14">
        <v>41442</v>
      </c>
      <c r="U605" s="5">
        <v>51.08</v>
      </c>
    </row>
    <row r="606" spans="14:21" x14ac:dyDescent="0.75">
      <c r="N606" s="14">
        <v>41234</v>
      </c>
      <c r="O606" s="5">
        <v>1046.72</v>
      </c>
      <c r="P606" s="14"/>
      <c r="T606" s="14">
        <v>41439</v>
      </c>
      <c r="U606" s="5">
        <v>50.98</v>
      </c>
    </row>
    <row r="607" spans="14:21" x14ac:dyDescent="0.75">
      <c r="N607" s="14">
        <v>41232</v>
      </c>
      <c r="O607" s="5">
        <v>1045.8699999999999</v>
      </c>
      <c r="P607" s="14"/>
      <c r="T607" s="14">
        <v>41438</v>
      </c>
      <c r="U607" s="5">
        <v>50.88</v>
      </c>
    </row>
    <row r="608" spans="14:21" x14ac:dyDescent="0.75">
      <c r="N608" s="14">
        <v>41229</v>
      </c>
      <c r="O608" s="5">
        <v>1044.06</v>
      </c>
      <c r="P608" s="14"/>
      <c r="T608" s="14">
        <v>41437</v>
      </c>
      <c r="U608" s="5">
        <v>49.71</v>
      </c>
    </row>
    <row r="609" spans="14:21" x14ac:dyDescent="0.75">
      <c r="N609" s="14">
        <v>41228</v>
      </c>
      <c r="O609" s="5">
        <v>1043.23</v>
      </c>
      <c r="P609" s="14"/>
      <c r="T609" s="14">
        <v>41436</v>
      </c>
      <c r="U609" s="5">
        <v>50.36</v>
      </c>
    </row>
    <row r="610" spans="14:21" x14ac:dyDescent="0.75">
      <c r="N610" s="14">
        <v>41227</v>
      </c>
      <c r="O610" s="5">
        <v>1044.05</v>
      </c>
      <c r="P610" s="14"/>
      <c r="T610" s="14">
        <v>41435</v>
      </c>
      <c r="U610" s="5">
        <v>50.99</v>
      </c>
    </row>
    <row r="611" spans="14:21" x14ac:dyDescent="0.75">
      <c r="N611" s="14">
        <v>41225</v>
      </c>
      <c r="O611" s="5">
        <v>1045.9100000000001</v>
      </c>
      <c r="P611" s="14"/>
      <c r="T611" s="14">
        <v>41432</v>
      </c>
      <c r="U611" s="5">
        <v>51.58</v>
      </c>
    </row>
    <row r="612" spans="14:21" x14ac:dyDescent="0.75">
      <c r="N612" s="14">
        <v>41221</v>
      </c>
      <c r="O612" s="5">
        <v>1045.8</v>
      </c>
      <c r="P612" s="14"/>
      <c r="T612" s="14">
        <v>41431</v>
      </c>
      <c r="U612" s="5">
        <v>51.73</v>
      </c>
    </row>
    <row r="613" spans="14:21" x14ac:dyDescent="0.75">
      <c r="N613" s="14">
        <v>41220</v>
      </c>
      <c r="O613" s="5">
        <v>1046.79</v>
      </c>
      <c r="P613" s="14"/>
      <c r="T613" s="14">
        <v>41430</v>
      </c>
      <c r="U613" s="5">
        <v>51</v>
      </c>
    </row>
    <row r="614" spans="14:21" x14ac:dyDescent="0.75">
      <c r="N614" s="14">
        <v>41218</v>
      </c>
      <c r="O614" s="5">
        <v>1047.05</v>
      </c>
      <c r="P614" s="14"/>
      <c r="T614" s="14">
        <v>41429</v>
      </c>
      <c r="U614" s="5">
        <v>51.41</v>
      </c>
    </row>
    <row r="615" spans="14:21" x14ac:dyDescent="0.75">
      <c r="N615" s="14">
        <v>41215</v>
      </c>
      <c r="O615" s="5">
        <v>1047.3699999999999</v>
      </c>
      <c r="P615" s="14"/>
      <c r="T615" s="14">
        <v>41428</v>
      </c>
      <c r="U615" s="5">
        <v>52.06</v>
      </c>
    </row>
    <row r="616" spans="14:21" x14ac:dyDescent="0.75">
      <c r="N616" s="14">
        <v>41214</v>
      </c>
      <c r="O616" s="5">
        <v>1047.79</v>
      </c>
      <c r="P616" s="14"/>
      <c r="T616" s="14">
        <v>41425</v>
      </c>
      <c r="U616" s="5">
        <v>51.38</v>
      </c>
    </row>
    <row r="617" spans="14:21" x14ac:dyDescent="0.75">
      <c r="N617" s="14">
        <v>41212</v>
      </c>
      <c r="O617" s="5">
        <v>1047.79</v>
      </c>
      <c r="P617" s="14"/>
      <c r="T617" s="14">
        <v>41424</v>
      </c>
      <c r="U617" s="5">
        <v>52.026000000000003</v>
      </c>
    </row>
    <row r="618" spans="14:21" x14ac:dyDescent="0.75">
      <c r="N618" s="14">
        <v>41211</v>
      </c>
      <c r="O618" s="5">
        <v>1048.26</v>
      </c>
      <c r="P618" s="14"/>
      <c r="T618" s="14">
        <v>41423</v>
      </c>
      <c r="U618" s="5">
        <v>52.49</v>
      </c>
    </row>
    <row r="619" spans="14:21" x14ac:dyDescent="0.75">
      <c r="N619" s="14">
        <v>41208</v>
      </c>
      <c r="O619" s="5">
        <v>1048.26</v>
      </c>
      <c r="P619" s="14"/>
      <c r="T619" s="14">
        <v>41422</v>
      </c>
      <c r="U619" s="5">
        <v>53.82</v>
      </c>
    </row>
    <row r="620" spans="14:21" x14ac:dyDescent="0.75">
      <c r="N620" s="14">
        <v>41207</v>
      </c>
      <c r="O620" s="5">
        <v>1049.3399999999999</v>
      </c>
      <c r="P620" s="14"/>
      <c r="T620" s="14">
        <v>41418</v>
      </c>
      <c r="U620" s="5">
        <v>54.59</v>
      </c>
    </row>
    <row r="621" spans="14:21" x14ac:dyDescent="0.75">
      <c r="N621" s="14">
        <v>41206</v>
      </c>
      <c r="O621" s="5">
        <v>1048.8399999999999</v>
      </c>
      <c r="P621" s="14"/>
      <c r="T621" s="14">
        <v>41417</v>
      </c>
      <c r="U621" s="5">
        <v>54.83</v>
      </c>
    </row>
    <row r="622" spans="14:21" x14ac:dyDescent="0.75">
      <c r="N622" s="14">
        <v>41204</v>
      </c>
      <c r="O622" s="5">
        <v>1051.6300000000001</v>
      </c>
      <c r="P622" s="14"/>
      <c r="T622" s="14">
        <v>41416</v>
      </c>
      <c r="U622" s="5">
        <v>56.02</v>
      </c>
    </row>
    <row r="623" spans="14:21" x14ac:dyDescent="0.75">
      <c r="N623" s="14">
        <v>41201</v>
      </c>
      <c r="O623" s="5">
        <v>1053.22</v>
      </c>
      <c r="P623" s="14"/>
      <c r="T623" s="14">
        <v>41415</v>
      </c>
      <c r="U623" s="5">
        <v>57.5</v>
      </c>
    </row>
    <row r="624" spans="14:21" x14ac:dyDescent="0.75">
      <c r="N624" s="14">
        <v>41200</v>
      </c>
      <c r="O624" s="5">
        <v>1054.18</v>
      </c>
      <c r="P624" s="14"/>
      <c r="T624" s="14">
        <v>41414</v>
      </c>
      <c r="U624" s="5">
        <v>56.952599999999997</v>
      </c>
    </row>
    <row r="625" spans="14:21" x14ac:dyDescent="0.75">
      <c r="N625" s="14">
        <v>41199</v>
      </c>
      <c r="O625" s="5">
        <v>1054.6099999999999</v>
      </c>
      <c r="P625" s="14"/>
      <c r="T625" s="14">
        <v>41411</v>
      </c>
      <c r="U625" s="5">
        <v>56.86</v>
      </c>
    </row>
    <row r="626" spans="14:21" x14ac:dyDescent="0.75">
      <c r="N626" s="14">
        <v>41197</v>
      </c>
      <c r="O626" s="5">
        <v>1054.03</v>
      </c>
      <c r="P626" s="14"/>
      <c r="T626" s="14">
        <v>41410</v>
      </c>
      <c r="U626" s="5">
        <v>56.42</v>
      </c>
    </row>
    <row r="627" spans="14:21" x14ac:dyDescent="0.75">
      <c r="N627" s="14">
        <v>41194</v>
      </c>
      <c r="O627" s="5">
        <v>1054.02</v>
      </c>
      <c r="P627" s="14"/>
      <c r="T627" s="14">
        <v>41409</v>
      </c>
      <c r="U627" s="5">
        <v>56.54</v>
      </c>
    </row>
    <row r="628" spans="14:21" x14ac:dyDescent="0.75">
      <c r="N628" s="14">
        <v>41193</v>
      </c>
      <c r="O628" s="5">
        <v>1054.42</v>
      </c>
      <c r="P628" s="14"/>
      <c r="T628" s="14">
        <v>41408</v>
      </c>
      <c r="U628" s="5">
        <v>56.03</v>
      </c>
    </row>
    <row r="629" spans="14:21" x14ac:dyDescent="0.75">
      <c r="N629" s="14">
        <v>41192</v>
      </c>
      <c r="O629" s="5">
        <v>1053.53</v>
      </c>
      <c r="P629" s="14"/>
      <c r="T629" s="14">
        <v>41407</v>
      </c>
      <c r="U629" s="5">
        <v>55.463999999999999</v>
      </c>
    </row>
    <row r="630" spans="14:21" x14ac:dyDescent="0.75">
      <c r="N630" s="14">
        <v>41190</v>
      </c>
      <c r="O630" s="5">
        <v>1055.43</v>
      </c>
      <c r="P630" s="14"/>
      <c r="T630" s="14">
        <v>41404</v>
      </c>
      <c r="U630" s="5">
        <v>55.19</v>
      </c>
    </row>
    <row r="631" spans="14:21" x14ac:dyDescent="0.75">
      <c r="N631" s="14">
        <v>41186</v>
      </c>
      <c r="O631" s="5">
        <v>1055.57</v>
      </c>
      <c r="P631" s="14"/>
      <c r="T631" s="14">
        <v>41403</v>
      </c>
      <c r="U631" s="5">
        <v>54.84</v>
      </c>
    </row>
    <row r="632" spans="14:21" x14ac:dyDescent="0.75">
      <c r="N632" s="14">
        <v>41185</v>
      </c>
      <c r="O632" s="5">
        <v>1055.05</v>
      </c>
      <c r="P632" s="14"/>
      <c r="T632" s="14">
        <v>41402</v>
      </c>
      <c r="U632" s="5">
        <v>55.09</v>
      </c>
    </row>
    <row r="633" spans="14:21" x14ac:dyDescent="0.75">
      <c r="N633" s="14">
        <v>41184</v>
      </c>
      <c r="O633" s="5">
        <v>1055.04</v>
      </c>
      <c r="P633" s="14"/>
      <c r="T633" s="14">
        <v>41401</v>
      </c>
      <c r="U633" s="5">
        <v>55.38</v>
      </c>
    </row>
    <row r="634" spans="14:21" x14ac:dyDescent="0.75">
      <c r="N634" s="14">
        <v>41179</v>
      </c>
      <c r="O634" s="5">
        <v>1055.0899999999999</v>
      </c>
      <c r="P634" s="14"/>
      <c r="T634" s="14">
        <v>41400</v>
      </c>
      <c r="U634" s="5">
        <v>54.83</v>
      </c>
    </row>
    <row r="635" spans="14:21" x14ac:dyDescent="0.75">
      <c r="N635" s="14">
        <v>41178</v>
      </c>
      <c r="O635" s="5">
        <v>1054.3499999999999</v>
      </c>
      <c r="P635" s="14"/>
      <c r="T635" s="14">
        <v>41397</v>
      </c>
      <c r="U635" s="5">
        <v>54.58</v>
      </c>
    </row>
    <row r="636" spans="14:21" x14ac:dyDescent="0.75">
      <c r="N636" s="14">
        <v>41177</v>
      </c>
      <c r="O636" s="5">
        <v>1055.94</v>
      </c>
      <c r="P636" s="14"/>
      <c r="T636" s="14">
        <v>41396</v>
      </c>
      <c r="U636" s="5">
        <v>54.65</v>
      </c>
    </row>
    <row r="637" spans="14:21" x14ac:dyDescent="0.75">
      <c r="N637" s="14">
        <v>41176</v>
      </c>
      <c r="O637" s="5">
        <v>1056.6300000000001</v>
      </c>
      <c r="P637" s="14"/>
      <c r="T637" s="14">
        <v>41395</v>
      </c>
      <c r="U637" s="5">
        <v>54.31</v>
      </c>
    </row>
    <row r="638" spans="14:21" x14ac:dyDescent="0.75">
      <c r="N638" s="14">
        <v>41173</v>
      </c>
      <c r="O638" s="5">
        <v>1057.24</v>
      </c>
      <c r="P638" s="14"/>
      <c r="T638" s="14">
        <v>41394</v>
      </c>
      <c r="U638" s="5">
        <v>54.68</v>
      </c>
    </row>
    <row r="639" spans="14:21" x14ac:dyDescent="0.75">
      <c r="N639" s="14">
        <v>41172</v>
      </c>
      <c r="O639" s="5">
        <v>1056.43</v>
      </c>
      <c r="P639" s="14"/>
      <c r="T639" s="14">
        <v>41393</v>
      </c>
      <c r="U639" s="5">
        <v>54.1</v>
      </c>
    </row>
    <row r="640" spans="14:21" x14ac:dyDescent="0.75">
      <c r="N640" s="14">
        <v>41171</v>
      </c>
      <c r="O640" s="5">
        <v>1056.92</v>
      </c>
      <c r="P640" s="14"/>
      <c r="T640" s="14">
        <v>41390</v>
      </c>
      <c r="U640" s="5">
        <v>53.6</v>
      </c>
    </row>
    <row r="641" spans="14:21" x14ac:dyDescent="0.75">
      <c r="N641" s="14">
        <v>41169</v>
      </c>
      <c r="O641" s="5">
        <v>1057.1099999999999</v>
      </c>
      <c r="P641" s="14"/>
      <c r="T641" s="14">
        <v>41389</v>
      </c>
      <c r="U641" s="5">
        <v>53.74</v>
      </c>
    </row>
    <row r="642" spans="14:21" x14ac:dyDescent="0.75">
      <c r="N642" s="14">
        <v>41166</v>
      </c>
      <c r="O642" s="5">
        <v>1058.06</v>
      </c>
      <c r="P642" s="14"/>
      <c r="T642" s="14">
        <v>41388</v>
      </c>
      <c r="U642" s="5">
        <v>54.03</v>
      </c>
    </row>
    <row r="643" spans="14:21" x14ac:dyDescent="0.75">
      <c r="N643" s="14">
        <v>41165</v>
      </c>
      <c r="O643" s="5">
        <v>1055.82</v>
      </c>
      <c r="P643" s="14"/>
      <c r="T643" s="14">
        <v>41387</v>
      </c>
      <c r="U643" s="5">
        <v>54</v>
      </c>
    </row>
    <row r="644" spans="14:21" x14ac:dyDescent="0.75">
      <c r="N644" s="14">
        <v>41164</v>
      </c>
      <c r="O644" s="5">
        <v>1054.58</v>
      </c>
      <c r="P644" s="14"/>
      <c r="T644" s="14">
        <v>41386</v>
      </c>
      <c r="U644" s="5">
        <v>53.76</v>
      </c>
    </row>
    <row r="645" spans="14:21" x14ac:dyDescent="0.75">
      <c r="N645" s="14">
        <v>41162</v>
      </c>
      <c r="O645" s="5">
        <v>1054.1300000000001</v>
      </c>
      <c r="P645" s="14"/>
      <c r="T645" s="14">
        <v>41383</v>
      </c>
      <c r="U645" s="5">
        <v>53.95</v>
      </c>
    </row>
    <row r="646" spans="14:21" x14ac:dyDescent="0.75">
      <c r="N646" s="14">
        <v>41159</v>
      </c>
      <c r="O646" s="5">
        <v>1055.01</v>
      </c>
      <c r="P646" s="14"/>
      <c r="T646" s="14">
        <v>41382</v>
      </c>
      <c r="U646" s="5">
        <v>53.19</v>
      </c>
    </row>
    <row r="647" spans="14:21" x14ac:dyDescent="0.75">
      <c r="N647" s="14">
        <v>41158</v>
      </c>
      <c r="O647" s="5">
        <v>1054.6300000000001</v>
      </c>
      <c r="P647" s="14"/>
      <c r="T647" s="14">
        <v>41381</v>
      </c>
      <c r="U647" s="5">
        <v>53.23</v>
      </c>
    </row>
    <row r="648" spans="14:21" x14ac:dyDescent="0.75">
      <c r="N648" s="14">
        <v>41157</v>
      </c>
      <c r="O648" s="5">
        <v>1053.42</v>
      </c>
      <c r="P648" s="14"/>
      <c r="T648" s="14">
        <v>41380</v>
      </c>
      <c r="U648" s="5">
        <v>53.85</v>
      </c>
    </row>
    <row r="649" spans="14:21" x14ac:dyDescent="0.75">
      <c r="N649" s="14">
        <v>41156</v>
      </c>
      <c r="O649" s="5">
        <v>1053.46</v>
      </c>
      <c r="P649" s="14"/>
      <c r="T649" s="14">
        <v>41379</v>
      </c>
      <c r="U649" s="5">
        <v>53.03</v>
      </c>
    </row>
    <row r="650" spans="14:21" x14ac:dyDescent="0.75">
      <c r="N650" s="14">
        <v>41151</v>
      </c>
      <c r="O650" s="5">
        <v>1051.77</v>
      </c>
      <c r="P650" s="14"/>
      <c r="T650" s="14">
        <v>41376</v>
      </c>
      <c r="U650" s="5">
        <v>53.91</v>
      </c>
    </row>
    <row r="651" spans="14:21" x14ac:dyDescent="0.75">
      <c r="N651" s="14">
        <v>41150</v>
      </c>
      <c r="O651" s="5">
        <v>1052.5</v>
      </c>
      <c r="P651" s="14"/>
      <c r="T651" s="14">
        <v>41375</v>
      </c>
      <c r="U651" s="5">
        <v>53.680999999999997</v>
      </c>
    </row>
    <row r="652" spans="14:21" x14ac:dyDescent="0.75">
      <c r="N652" s="14">
        <v>41149</v>
      </c>
      <c r="O652" s="5">
        <v>1051.8399999999999</v>
      </c>
      <c r="P652" s="14"/>
      <c r="T652" s="14">
        <v>41374</v>
      </c>
      <c r="U652" s="5">
        <v>53.6999</v>
      </c>
    </row>
    <row r="653" spans="14:21" x14ac:dyDescent="0.75">
      <c r="N653" s="14">
        <v>41148</v>
      </c>
      <c r="O653" s="5">
        <v>1052.03</v>
      </c>
      <c r="P653" s="14"/>
      <c r="T653" s="14">
        <v>41373</v>
      </c>
      <c r="U653" s="5">
        <v>53.55</v>
      </c>
    </row>
    <row r="654" spans="14:21" x14ac:dyDescent="0.75">
      <c r="N654" s="14">
        <v>41145</v>
      </c>
      <c r="O654" s="5">
        <v>1052.3599999999999</v>
      </c>
      <c r="P654" s="14"/>
      <c r="T654" s="14">
        <v>41372</v>
      </c>
      <c r="U654" s="5">
        <v>53.54</v>
      </c>
    </row>
    <row r="655" spans="14:21" x14ac:dyDescent="0.75">
      <c r="N655" s="14">
        <v>41144</v>
      </c>
      <c r="O655" s="5">
        <v>1051.98</v>
      </c>
      <c r="P655" s="14"/>
      <c r="T655" s="14">
        <v>41369</v>
      </c>
      <c r="U655" s="5">
        <v>53.14</v>
      </c>
    </row>
    <row r="656" spans="14:21" x14ac:dyDescent="0.75">
      <c r="N656" s="14">
        <v>41143</v>
      </c>
      <c r="O656" s="5">
        <v>1052.1600000000001</v>
      </c>
      <c r="P656" s="14"/>
      <c r="T656" s="14">
        <v>41368</v>
      </c>
      <c r="U656" s="5">
        <v>52.83</v>
      </c>
    </row>
    <row r="657" spans="14:21" x14ac:dyDescent="0.75">
      <c r="N657" s="14">
        <v>41141</v>
      </c>
      <c r="O657" s="5">
        <v>1052.81</v>
      </c>
      <c r="P657" s="14"/>
      <c r="T657" s="14">
        <v>41367</v>
      </c>
      <c r="U657" s="5">
        <v>51.97</v>
      </c>
    </row>
    <row r="658" spans="14:21" x14ac:dyDescent="0.75">
      <c r="N658" s="14">
        <v>41138</v>
      </c>
      <c r="O658" s="5">
        <v>1052.8699999999999</v>
      </c>
      <c r="P658" s="14"/>
      <c r="T658" s="14">
        <v>41366</v>
      </c>
      <c r="U658" s="5">
        <v>52.14</v>
      </c>
    </row>
    <row r="659" spans="14:21" x14ac:dyDescent="0.75">
      <c r="N659" s="14">
        <v>41137</v>
      </c>
      <c r="O659" s="5">
        <v>1053.1300000000001</v>
      </c>
      <c r="P659" s="14"/>
      <c r="T659" s="14">
        <v>41365</v>
      </c>
      <c r="U659" s="5">
        <v>51.87</v>
      </c>
    </row>
    <row r="660" spans="14:21" x14ac:dyDescent="0.75">
      <c r="N660" s="14">
        <v>41136</v>
      </c>
      <c r="O660" s="5">
        <v>1053.44</v>
      </c>
      <c r="P660" s="14"/>
      <c r="T660" s="14">
        <v>41361</v>
      </c>
      <c r="U660" s="5">
        <v>51.58</v>
      </c>
    </row>
    <row r="661" spans="14:21" x14ac:dyDescent="0.75">
      <c r="N661" s="14">
        <v>41134</v>
      </c>
      <c r="O661" s="5">
        <v>1051.99</v>
      </c>
      <c r="P661" s="14"/>
      <c r="T661" s="14">
        <v>41360</v>
      </c>
      <c r="U661" s="5">
        <v>51.35</v>
      </c>
    </row>
    <row r="662" spans="14:21" x14ac:dyDescent="0.75">
      <c r="N662" s="14">
        <v>41131</v>
      </c>
      <c r="O662" s="5">
        <v>1052.33</v>
      </c>
      <c r="P662" s="14"/>
      <c r="T662" s="14">
        <v>41359</v>
      </c>
      <c r="U662" s="5">
        <v>51.34</v>
      </c>
    </row>
    <row r="663" spans="14:21" x14ac:dyDescent="0.75">
      <c r="N663" s="14">
        <v>41130</v>
      </c>
      <c r="O663" s="5">
        <v>1052.8800000000001</v>
      </c>
      <c r="P663" s="14"/>
      <c r="T663" s="14">
        <v>41358</v>
      </c>
      <c r="U663" s="5">
        <v>50.8</v>
      </c>
    </row>
    <row r="664" spans="14:21" x14ac:dyDescent="0.75">
      <c r="N664" s="14">
        <v>41129</v>
      </c>
      <c r="O664" s="5">
        <v>1052.3699999999999</v>
      </c>
      <c r="P664" s="14"/>
      <c r="T664" s="14">
        <v>41355</v>
      </c>
      <c r="U664" s="5">
        <v>51.19</v>
      </c>
    </row>
    <row r="665" spans="14:21" x14ac:dyDescent="0.75">
      <c r="N665" s="14">
        <v>41127</v>
      </c>
      <c r="O665" s="5">
        <v>1050.52</v>
      </c>
      <c r="P665" s="14"/>
      <c r="T665" s="14">
        <v>41354</v>
      </c>
      <c r="U665" s="5">
        <v>51.05</v>
      </c>
    </row>
    <row r="666" spans="14:21" x14ac:dyDescent="0.75">
      <c r="N666" s="14">
        <v>41124</v>
      </c>
      <c r="O666" s="5">
        <v>1049.8699999999999</v>
      </c>
      <c r="P666" s="14"/>
      <c r="T666" s="14">
        <v>41353</v>
      </c>
      <c r="U666" s="5">
        <v>51.11</v>
      </c>
    </row>
    <row r="667" spans="14:21" x14ac:dyDescent="0.75">
      <c r="N667" s="14">
        <v>41123</v>
      </c>
      <c r="O667" s="5">
        <v>1048.5999999999999</v>
      </c>
      <c r="P667" s="14"/>
      <c r="T667" s="14">
        <v>41352</v>
      </c>
      <c r="U667" s="5">
        <v>50.94</v>
      </c>
    </row>
    <row r="668" spans="14:21" x14ac:dyDescent="0.75">
      <c r="N668" s="14">
        <v>41122</v>
      </c>
      <c r="O668" s="5">
        <v>1048.74</v>
      </c>
      <c r="P668" s="14"/>
      <c r="T668" s="14">
        <v>41351</v>
      </c>
      <c r="U668" s="5">
        <v>51.04</v>
      </c>
    </row>
    <row r="669" spans="14:21" x14ac:dyDescent="0.75">
      <c r="N669" s="14">
        <v>41120</v>
      </c>
      <c r="O669" s="5">
        <v>1049.0899999999999</v>
      </c>
      <c r="P669" s="14"/>
      <c r="T669" s="14">
        <v>41348</v>
      </c>
      <c r="U669" s="5">
        <v>51.33</v>
      </c>
    </row>
    <row r="670" spans="14:21" x14ac:dyDescent="0.75">
      <c r="N670" s="14">
        <v>41117</v>
      </c>
      <c r="O670" s="5">
        <v>1049.4000000000001</v>
      </c>
      <c r="P670" s="14"/>
      <c r="T670" s="14">
        <v>41347</v>
      </c>
      <c r="U670" s="5">
        <v>51.19</v>
      </c>
    </row>
    <row r="671" spans="14:21" x14ac:dyDescent="0.75">
      <c r="N671" s="14">
        <v>41116</v>
      </c>
      <c r="O671" s="5">
        <v>1047.74</v>
      </c>
      <c r="P671" s="14"/>
      <c r="T671" s="14">
        <v>41346</v>
      </c>
      <c r="U671" s="5">
        <v>50.74</v>
      </c>
    </row>
    <row r="672" spans="14:21" x14ac:dyDescent="0.75">
      <c r="N672" s="14">
        <v>41113</v>
      </c>
      <c r="O672" s="5">
        <v>1049.3699999999999</v>
      </c>
      <c r="P672" s="14"/>
      <c r="T672" s="14">
        <v>41345</v>
      </c>
      <c r="U672" s="5">
        <v>50.73</v>
      </c>
    </row>
    <row r="673" spans="14:21" x14ac:dyDescent="0.75">
      <c r="N673" s="14">
        <v>41110</v>
      </c>
      <c r="O673" s="5">
        <v>1051.24</v>
      </c>
      <c r="P673" s="14"/>
      <c r="T673" s="14">
        <v>41344</v>
      </c>
      <c r="U673" s="5">
        <v>50.77</v>
      </c>
    </row>
    <row r="674" spans="14:21" x14ac:dyDescent="0.75">
      <c r="N674" s="14">
        <v>41109</v>
      </c>
      <c r="O674" s="5">
        <v>1051.07</v>
      </c>
      <c r="P674" s="14"/>
      <c r="T674" s="14">
        <v>41341</v>
      </c>
      <c r="U674" s="5">
        <v>50.88</v>
      </c>
    </row>
    <row r="675" spans="14:21" x14ac:dyDescent="0.75">
      <c r="N675" s="14">
        <v>41108</v>
      </c>
      <c r="O675" s="5">
        <v>1051.51</v>
      </c>
      <c r="P675" s="14"/>
      <c r="T675" s="14">
        <v>41340</v>
      </c>
      <c r="U675" s="5">
        <v>51.01</v>
      </c>
    </row>
    <row r="676" spans="14:21" x14ac:dyDescent="0.75">
      <c r="N676" s="14">
        <v>41106</v>
      </c>
      <c r="O676" s="5">
        <v>1051.4100000000001</v>
      </c>
      <c r="P676" s="14"/>
      <c r="T676" s="14">
        <v>41339</v>
      </c>
      <c r="U676" s="5">
        <v>51.31</v>
      </c>
    </row>
    <row r="677" spans="14:21" x14ac:dyDescent="0.75">
      <c r="N677" s="14">
        <v>41103</v>
      </c>
      <c r="O677" s="5">
        <v>1051.3599999999999</v>
      </c>
      <c r="P677" s="14"/>
      <c r="T677" s="14">
        <v>41338</v>
      </c>
      <c r="U677" s="5">
        <v>51.36</v>
      </c>
    </row>
    <row r="678" spans="14:21" x14ac:dyDescent="0.75">
      <c r="N678" s="14">
        <v>41102</v>
      </c>
      <c r="O678" s="5">
        <v>1050.2</v>
      </c>
      <c r="P678" s="14"/>
      <c r="T678" s="14">
        <v>41337</v>
      </c>
      <c r="U678" s="5">
        <v>51.04</v>
      </c>
    </row>
    <row r="679" spans="14:21" x14ac:dyDescent="0.75">
      <c r="N679" s="14">
        <v>41101</v>
      </c>
      <c r="O679" s="5">
        <v>1049.94</v>
      </c>
      <c r="P679" s="14"/>
      <c r="T679" s="14">
        <v>41334</v>
      </c>
      <c r="U679" s="5">
        <v>50.72</v>
      </c>
    </row>
    <row r="680" spans="14:21" x14ac:dyDescent="0.75">
      <c r="N680" s="14">
        <v>41099</v>
      </c>
      <c r="O680" s="5">
        <v>1049.3599999999999</v>
      </c>
      <c r="P680" s="14"/>
      <c r="T680" s="14">
        <v>41333</v>
      </c>
      <c r="U680" s="5">
        <v>50.51</v>
      </c>
    </row>
    <row r="681" spans="14:21" x14ac:dyDescent="0.75">
      <c r="N681" s="14">
        <v>41096</v>
      </c>
      <c r="O681" s="5">
        <v>1049.1199999999999</v>
      </c>
      <c r="P681" s="14"/>
      <c r="T681" s="14">
        <v>41332</v>
      </c>
      <c r="U681" s="5">
        <v>50.73</v>
      </c>
    </row>
    <row r="682" spans="14:21" x14ac:dyDescent="0.75">
      <c r="N682" s="14">
        <v>41095</v>
      </c>
      <c r="O682" s="5">
        <v>1049.3900000000001</v>
      </c>
      <c r="P682" s="14"/>
      <c r="T682" s="14">
        <v>41331</v>
      </c>
      <c r="U682" s="5">
        <v>50.53</v>
      </c>
    </row>
    <row r="683" spans="14:21" x14ac:dyDescent="0.75">
      <c r="N683" s="14">
        <v>41093</v>
      </c>
      <c r="O683" s="5">
        <v>1048.27</v>
      </c>
      <c r="P683" s="14"/>
      <c r="T683" s="14">
        <v>41330</v>
      </c>
      <c r="U683" s="5">
        <v>50.35</v>
      </c>
    </row>
    <row r="684" spans="14:21" x14ac:dyDescent="0.75">
      <c r="N684" s="14">
        <v>41092</v>
      </c>
      <c r="O684" s="5">
        <v>1046.5</v>
      </c>
      <c r="P684" s="14"/>
      <c r="T684" s="14">
        <v>41327</v>
      </c>
      <c r="U684" s="5">
        <v>51.12</v>
      </c>
    </row>
    <row r="685" spans="14:21" x14ac:dyDescent="0.75">
      <c r="N685" s="14">
        <v>41088</v>
      </c>
      <c r="O685" s="5">
        <v>1044.79</v>
      </c>
      <c r="P685" s="14"/>
      <c r="T685" s="14">
        <v>41326</v>
      </c>
      <c r="U685" s="5">
        <v>50.78</v>
      </c>
    </row>
    <row r="686" spans="14:21" x14ac:dyDescent="0.75">
      <c r="N686" s="14">
        <v>41087</v>
      </c>
      <c r="O686" s="5">
        <v>1045.5</v>
      </c>
      <c r="P686" s="14"/>
      <c r="T686" s="14">
        <v>41325</v>
      </c>
      <c r="U686" s="5">
        <v>51.03</v>
      </c>
    </row>
    <row r="687" spans="14:21" x14ac:dyDescent="0.75">
      <c r="N687" s="14">
        <v>41086</v>
      </c>
      <c r="O687" s="5">
        <v>1045.22</v>
      </c>
      <c r="P687" s="14"/>
      <c r="T687" s="14">
        <v>41324</v>
      </c>
      <c r="U687" s="5">
        <v>51.05</v>
      </c>
    </row>
    <row r="688" spans="14:21" x14ac:dyDescent="0.75">
      <c r="N688" s="14">
        <v>41085</v>
      </c>
      <c r="O688" s="5">
        <v>1044.5999999999999</v>
      </c>
      <c r="P688" s="14"/>
      <c r="T688" s="14">
        <v>41320</v>
      </c>
      <c r="U688" s="5">
        <v>50.79</v>
      </c>
    </row>
    <row r="689" spans="14:21" x14ac:dyDescent="0.75">
      <c r="N689" s="14">
        <v>41082</v>
      </c>
      <c r="O689" s="5">
        <v>1045.57</v>
      </c>
      <c r="P689" s="14"/>
      <c r="T689" s="14">
        <v>41319</v>
      </c>
      <c r="U689" s="5">
        <v>50.64</v>
      </c>
    </row>
    <row r="690" spans="14:21" x14ac:dyDescent="0.75">
      <c r="N690" s="14">
        <v>41081</v>
      </c>
      <c r="O690" s="5">
        <v>1045.94</v>
      </c>
      <c r="P690" s="14"/>
      <c r="T690" s="14">
        <v>41318</v>
      </c>
      <c r="U690" s="5">
        <v>50.74</v>
      </c>
    </row>
    <row r="691" spans="14:21" x14ac:dyDescent="0.75">
      <c r="N691" s="14">
        <v>41080</v>
      </c>
      <c r="O691" s="5">
        <v>1046.8499999999999</v>
      </c>
      <c r="P691" s="14"/>
      <c r="T691" s="14">
        <v>41317</v>
      </c>
      <c r="U691" s="5">
        <v>50.76</v>
      </c>
    </row>
    <row r="692" spans="14:21" x14ac:dyDescent="0.75">
      <c r="N692" s="14">
        <v>41078</v>
      </c>
      <c r="O692" s="5">
        <v>1044.8599999999999</v>
      </c>
      <c r="P692" s="14"/>
      <c r="T692" s="14">
        <v>41316</v>
      </c>
      <c r="U692" s="5">
        <v>50.34</v>
      </c>
    </row>
    <row r="693" spans="14:21" x14ac:dyDescent="0.75">
      <c r="N693" s="14">
        <v>41075</v>
      </c>
      <c r="O693" s="5">
        <v>1044.08</v>
      </c>
      <c r="P693" s="14"/>
      <c r="T693" s="14">
        <v>41313</v>
      </c>
      <c r="U693" s="5">
        <v>50.14</v>
      </c>
    </row>
    <row r="694" spans="14:21" x14ac:dyDescent="0.75">
      <c r="N694" s="14">
        <v>41074</v>
      </c>
      <c r="O694" s="5">
        <v>1043.97</v>
      </c>
      <c r="P694" s="14"/>
      <c r="T694" s="14">
        <v>41312</v>
      </c>
      <c r="U694" s="5">
        <v>49.63</v>
      </c>
    </row>
    <row r="695" spans="14:21" x14ac:dyDescent="0.75">
      <c r="N695" s="14">
        <v>41073</v>
      </c>
      <c r="O695" s="5">
        <v>1044.29</v>
      </c>
      <c r="P695" s="14"/>
      <c r="T695" s="14">
        <v>41311</v>
      </c>
      <c r="U695" s="5">
        <v>49.82</v>
      </c>
    </row>
    <row r="696" spans="14:21" x14ac:dyDescent="0.75">
      <c r="N696" s="14">
        <v>41071</v>
      </c>
      <c r="O696" s="5">
        <v>1045.46</v>
      </c>
      <c r="P696" s="14"/>
      <c r="T696" s="14">
        <v>41310</v>
      </c>
      <c r="U696" s="5">
        <v>49.55</v>
      </c>
    </row>
    <row r="697" spans="14:21" x14ac:dyDescent="0.75">
      <c r="N697" s="14">
        <v>41068</v>
      </c>
      <c r="O697" s="5">
        <v>1046.48</v>
      </c>
      <c r="P697" s="14"/>
      <c r="T697" s="14">
        <v>41309</v>
      </c>
      <c r="U697" s="5">
        <v>49.8</v>
      </c>
    </row>
    <row r="698" spans="14:21" x14ac:dyDescent="0.75">
      <c r="N698" s="14">
        <v>41067</v>
      </c>
      <c r="O698" s="5">
        <v>1045.29</v>
      </c>
      <c r="P698" s="14"/>
      <c r="T698" s="14">
        <v>41306</v>
      </c>
      <c r="U698" s="5">
        <v>49.89</v>
      </c>
    </row>
    <row r="699" spans="14:21" x14ac:dyDescent="0.75">
      <c r="N699" s="14">
        <v>41066</v>
      </c>
      <c r="O699" s="5">
        <v>1044.6600000000001</v>
      </c>
      <c r="P699" s="14"/>
      <c r="T699" s="14">
        <v>41305</v>
      </c>
      <c r="U699" s="5">
        <v>49.8</v>
      </c>
    </row>
    <row r="700" spans="14:21" x14ac:dyDescent="0.75">
      <c r="N700" s="14">
        <v>41065</v>
      </c>
      <c r="O700" s="5">
        <v>1044.17</v>
      </c>
      <c r="P700" s="14"/>
      <c r="T700" s="14">
        <v>41304</v>
      </c>
      <c r="U700" s="5">
        <v>50.36</v>
      </c>
    </row>
    <row r="701" spans="14:21" x14ac:dyDescent="0.75">
      <c r="N701" s="14">
        <v>41064</v>
      </c>
      <c r="O701" s="5">
        <v>1043.45</v>
      </c>
      <c r="P701" s="14"/>
      <c r="T701" s="14">
        <v>41303</v>
      </c>
      <c r="U701" s="5">
        <v>50.78</v>
      </c>
    </row>
    <row r="702" spans="14:21" x14ac:dyDescent="0.75">
      <c r="N702" s="14">
        <v>41061</v>
      </c>
      <c r="O702" s="5">
        <v>1046.17</v>
      </c>
      <c r="P702" s="14"/>
      <c r="T702" s="14">
        <v>41302</v>
      </c>
      <c r="U702" s="5">
        <v>50.54</v>
      </c>
    </row>
    <row r="703" spans="14:21" x14ac:dyDescent="0.75">
      <c r="N703" s="14">
        <v>41059</v>
      </c>
      <c r="O703" s="5">
        <v>1049.71</v>
      </c>
      <c r="P703" s="14"/>
      <c r="T703" s="14">
        <v>41299</v>
      </c>
      <c r="U703" s="5">
        <v>50.53</v>
      </c>
    </row>
    <row r="704" spans="14:21" x14ac:dyDescent="0.75">
      <c r="N704" s="14">
        <v>41058</v>
      </c>
      <c r="O704" s="5">
        <v>1050.6099999999999</v>
      </c>
      <c r="P704" s="14"/>
      <c r="T704" s="14">
        <v>41298</v>
      </c>
      <c r="U704" s="5">
        <v>50.270099999999999</v>
      </c>
    </row>
    <row r="705" spans="14:21" x14ac:dyDescent="0.75">
      <c r="N705" s="14">
        <v>41054</v>
      </c>
      <c r="O705" s="5">
        <v>1049.45</v>
      </c>
      <c r="P705" s="14"/>
      <c r="T705" s="14">
        <v>41297</v>
      </c>
      <c r="U705" s="5">
        <v>50.259</v>
      </c>
    </row>
    <row r="706" spans="14:21" x14ac:dyDescent="0.75">
      <c r="N706" s="14">
        <v>41053</v>
      </c>
      <c r="O706" s="5">
        <v>1048.95</v>
      </c>
      <c r="P706" s="14"/>
      <c r="T706" s="14">
        <v>41296</v>
      </c>
      <c r="U706" s="5">
        <v>50.32</v>
      </c>
    </row>
    <row r="707" spans="14:21" x14ac:dyDescent="0.75">
      <c r="N707" s="14">
        <v>41052</v>
      </c>
      <c r="O707" s="5">
        <v>1049.0999999999999</v>
      </c>
      <c r="P707" s="14"/>
      <c r="T707" s="14">
        <v>41292</v>
      </c>
      <c r="U707" s="5">
        <v>50.15</v>
      </c>
    </row>
    <row r="708" spans="14:21" x14ac:dyDescent="0.75">
      <c r="N708" s="14">
        <v>41050</v>
      </c>
      <c r="O708" s="5">
        <v>1048.31</v>
      </c>
      <c r="P708" s="14"/>
      <c r="T708" s="14">
        <v>41291</v>
      </c>
      <c r="U708" s="5">
        <v>49.99</v>
      </c>
    </row>
    <row r="709" spans="14:21" x14ac:dyDescent="0.75">
      <c r="N709" s="14">
        <v>41047</v>
      </c>
      <c r="O709" s="5">
        <v>1046.3699999999999</v>
      </c>
      <c r="P709" s="14"/>
      <c r="T709" s="14">
        <v>41290</v>
      </c>
      <c r="U709" s="5">
        <v>49.82</v>
      </c>
    </row>
    <row r="710" spans="14:21" x14ac:dyDescent="0.75">
      <c r="N710" s="14">
        <v>41046</v>
      </c>
      <c r="O710" s="5">
        <v>1049.4100000000001</v>
      </c>
      <c r="P710" s="14"/>
      <c r="T710" s="14">
        <v>41289</v>
      </c>
      <c r="U710" s="5">
        <v>49.91</v>
      </c>
    </row>
    <row r="711" spans="14:21" x14ac:dyDescent="0.75">
      <c r="N711" s="14">
        <v>41045</v>
      </c>
      <c r="O711" s="5">
        <v>1052.78</v>
      </c>
      <c r="P711" s="14"/>
      <c r="T711" s="14">
        <v>41288</v>
      </c>
      <c r="U711" s="5">
        <v>49.62</v>
      </c>
    </row>
    <row r="712" spans="14:21" x14ac:dyDescent="0.75">
      <c r="N712" s="14">
        <v>41043</v>
      </c>
      <c r="O712" s="5">
        <v>1055.07</v>
      </c>
      <c r="P712" s="14"/>
      <c r="T712" s="14">
        <v>41285</v>
      </c>
      <c r="U712" s="5">
        <v>49.45</v>
      </c>
    </row>
    <row r="713" spans="14:21" x14ac:dyDescent="0.75">
      <c r="N713" s="14">
        <v>41038</v>
      </c>
      <c r="O713" s="5">
        <v>1056.79</v>
      </c>
      <c r="P713" s="14"/>
      <c r="T713" s="14">
        <v>41284</v>
      </c>
      <c r="U713" s="5">
        <v>49.45</v>
      </c>
    </row>
    <row r="714" spans="14:21" x14ac:dyDescent="0.75">
      <c r="N714" s="14">
        <v>41036</v>
      </c>
      <c r="O714" s="5">
        <v>1058.6099999999999</v>
      </c>
      <c r="P714" s="14"/>
      <c r="T714" s="14">
        <v>41283</v>
      </c>
      <c r="U714" s="5">
        <v>49.39</v>
      </c>
    </row>
    <row r="715" spans="14:21" x14ac:dyDescent="0.75">
      <c r="N715" s="14">
        <v>41033</v>
      </c>
      <c r="O715" s="5">
        <v>1059.6600000000001</v>
      </c>
      <c r="P715" s="14"/>
      <c r="T715" s="14">
        <v>41282</v>
      </c>
      <c r="U715" s="5">
        <v>49.2</v>
      </c>
    </row>
    <row r="716" spans="14:21" x14ac:dyDescent="0.75">
      <c r="N716" s="14">
        <v>41032</v>
      </c>
      <c r="O716" s="5">
        <v>1062.51</v>
      </c>
      <c r="P716" s="14"/>
      <c r="T716" s="14">
        <v>41281</v>
      </c>
      <c r="U716" s="5">
        <v>49.24</v>
      </c>
    </row>
    <row r="717" spans="14:21" x14ac:dyDescent="0.75">
      <c r="N717" s="14">
        <v>41031</v>
      </c>
      <c r="O717" s="5">
        <v>1064.06</v>
      </c>
      <c r="P717" s="14"/>
      <c r="T717" s="14">
        <v>41278</v>
      </c>
      <c r="U717" s="5">
        <v>49.2</v>
      </c>
    </row>
    <row r="718" spans="14:21" x14ac:dyDescent="0.75">
      <c r="N718" s="14">
        <v>41030</v>
      </c>
      <c r="O718" s="5">
        <v>1063.43</v>
      </c>
      <c r="P718" s="14"/>
      <c r="T718" s="14">
        <v>41277</v>
      </c>
      <c r="U718" s="5">
        <v>49.07</v>
      </c>
    </row>
    <row r="719" spans="14:21" x14ac:dyDescent="0.75">
      <c r="N719" s="14">
        <v>41026</v>
      </c>
      <c r="O719" s="5">
        <v>1063.19</v>
      </c>
      <c r="P719" s="14"/>
      <c r="T719" s="14">
        <v>41276</v>
      </c>
      <c r="U719" s="5">
        <v>48.93</v>
      </c>
    </row>
    <row r="720" spans="14:21" x14ac:dyDescent="0.75">
      <c r="N720" s="14">
        <v>41025</v>
      </c>
      <c r="O720" s="5">
        <v>1062.08</v>
      </c>
      <c r="P720" s="14"/>
      <c r="T720" s="14">
        <v>41274</v>
      </c>
      <c r="U720" s="5">
        <v>48.464799999999997</v>
      </c>
    </row>
    <row r="721" spans="14:21" x14ac:dyDescent="0.75">
      <c r="N721" s="14">
        <v>41024</v>
      </c>
      <c r="O721" s="5">
        <v>1062.17</v>
      </c>
      <c r="P721" s="14"/>
      <c r="T721" s="14">
        <v>41271</v>
      </c>
      <c r="U721" s="5">
        <v>48.065199999999997</v>
      </c>
    </row>
    <row r="722" spans="14:21" x14ac:dyDescent="0.75">
      <c r="N722" s="14">
        <v>41022</v>
      </c>
      <c r="O722" s="5">
        <v>1060.42</v>
      </c>
      <c r="P722" s="14"/>
      <c r="T722" s="14">
        <v>41270</v>
      </c>
      <c r="U722" s="5">
        <v>48.35</v>
      </c>
    </row>
    <row r="723" spans="14:21" x14ac:dyDescent="0.75">
      <c r="N723" s="14">
        <v>41019</v>
      </c>
      <c r="O723" s="5">
        <v>1061.99</v>
      </c>
      <c r="P723" s="14"/>
      <c r="T723" s="14">
        <v>41269</v>
      </c>
      <c r="U723" s="5">
        <v>48.17</v>
      </c>
    </row>
    <row r="724" spans="14:21" x14ac:dyDescent="0.75">
      <c r="N724" s="14">
        <v>41018</v>
      </c>
      <c r="O724" s="5">
        <v>1061.58</v>
      </c>
      <c r="P724" s="14"/>
      <c r="T724" s="14">
        <v>41267</v>
      </c>
      <c r="U724" s="5">
        <v>48.43</v>
      </c>
    </row>
    <row r="725" spans="14:21" x14ac:dyDescent="0.75">
      <c r="N725" s="14">
        <v>41017</v>
      </c>
      <c r="O725" s="5">
        <v>1062.24</v>
      </c>
      <c r="P725" s="14"/>
      <c r="T725" s="14">
        <v>41264</v>
      </c>
      <c r="U725" s="5">
        <v>48.29</v>
      </c>
    </row>
    <row r="726" spans="14:21" x14ac:dyDescent="0.75">
      <c r="N726" s="14">
        <v>41015</v>
      </c>
      <c r="O726" s="5">
        <v>1060.22</v>
      </c>
      <c r="P726" s="14"/>
      <c r="T726" s="14">
        <v>41263</v>
      </c>
      <c r="U726" s="5">
        <v>48.308999999999997</v>
      </c>
    </row>
    <row r="727" spans="14:21" x14ac:dyDescent="0.75">
      <c r="N727" s="14">
        <v>41012</v>
      </c>
      <c r="O727" s="5">
        <v>1062.06</v>
      </c>
      <c r="P727" s="14"/>
      <c r="T727" s="14">
        <v>41262</v>
      </c>
      <c r="U727" s="5">
        <v>47.53</v>
      </c>
    </row>
    <row r="728" spans="14:21" x14ac:dyDescent="0.75">
      <c r="N728" s="14">
        <v>41011</v>
      </c>
      <c r="O728" s="5">
        <v>1062.0899999999999</v>
      </c>
      <c r="P728" s="14"/>
      <c r="T728" s="14">
        <v>41261</v>
      </c>
      <c r="U728" s="5">
        <v>47.98</v>
      </c>
    </row>
    <row r="729" spans="14:21" x14ac:dyDescent="0.75">
      <c r="N729" s="14">
        <v>41010</v>
      </c>
      <c r="O729" s="5">
        <v>1060.17</v>
      </c>
      <c r="P729" s="14"/>
      <c r="T729" s="14">
        <v>41260</v>
      </c>
      <c r="U729" s="5">
        <v>47.61</v>
      </c>
    </row>
    <row r="730" spans="14:21" x14ac:dyDescent="0.75">
      <c r="N730" s="14">
        <v>41008</v>
      </c>
      <c r="O730" s="5">
        <v>1062.9000000000001</v>
      </c>
      <c r="P730" s="14"/>
      <c r="T730" s="14">
        <v>41257</v>
      </c>
      <c r="U730" s="5">
        <v>47.31</v>
      </c>
    </row>
    <row r="731" spans="14:21" x14ac:dyDescent="0.75">
      <c r="N731" s="14">
        <v>41004</v>
      </c>
      <c r="O731" s="5">
        <v>1063.8399999999999</v>
      </c>
      <c r="P731" s="14"/>
      <c r="T731" s="14">
        <v>41256</v>
      </c>
      <c r="U731" s="5">
        <v>47.33</v>
      </c>
    </row>
    <row r="732" spans="14:21" x14ac:dyDescent="0.75">
      <c r="N732" s="14">
        <v>41003</v>
      </c>
      <c r="O732" s="5">
        <v>1064.29</v>
      </c>
      <c r="P732" s="14"/>
      <c r="T732" s="14">
        <v>41255</v>
      </c>
      <c r="U732" s="5">
        <v>47.73</v>
      </c>
    </row>
    <row r="733" spans="14:21" x14ac:dyDescent="0.75">
      <c r="N733" s="14">
        <v>41002</v>
      </c>
      <c r="O733" s="5">
        <v>1066.5899999999999</v>
      </c>
      <c r="P733" s="14"/>
      <c r="T733" s="14">
        <v>41254</v>
      </c>
      <c r="U733" s="5">
        <v>47.8</v>
      </c>
    </row>
    <row r="734" spans="14:21" x14ac:dyDescent="0.75">
      <c r="N734" s="14">
        <v>40997</v>
      </c>
      <c r="O734" s="5">
        <v>1063.94</v>
      </c>
      <c r="P734" s="14"/>
      <c r="T734" s="14">
        <v>41253</v>
      </c>
      <c r="U734" s="5">
        <v>47.75</v>
      </c>
    </row>
    <row r="735" spans="14:21" x14ac:dyDescent="0.75">
      <c r="N735" s="14">
        <v>40996</v>
      </c>
      <c r="O735" s="5">
        <v>1065.07</v>
      </c>
      <c r="P735" s="14"/>
      <c r="T735" s="14">
        <v>41250</v>
      </c>
      <c r="U735" s="5">
        <v>47.78</v>
      </c>
    </row>
    <row r="736" spans="14:21" x14ac:dyDescent="0.75">
      <c r="N736" s="14">
        <v>40995</v>
      </c>
      <c r="O736" s="5">
        <v>1066.3</v>
      </c>
      <c r="P736" s="14"/>
      <c r="T736" s="14">
        <v>41249</v>
      </c>
      <c r="U736" s="5">
        <v>47.78</v>
      </c>
    </row>
    <row r="737" spans="14:21" x14ac:dyDescent="0.75">
      <c r="N737" s="14">
        <v>40994</v>
      </c>
      <c r="O737" s="5">
        <v>1067.02</v>
      </c>
      <c r="P737" s="14"/>
      <c r="T737" s="14">
        <v>41248</v>
      </c>
      <c r="U737" s="5">
        <v>47.34</v>
      </c>
    </row>
    <row r="738" spans="14:21" x14ac:dyDescent="0.75">
      <c r="N738" s="14">
        <v>40991</v>
      </c>
      <c r="O738" s="5">
        <v>1064.97</v>
      </c>
      <c r="P738" s="14"/>
      <c r="T738" s="14">
        <v>41247</v>
      </c>
      <c r="U738" s="5">
        <v>47.59</v>
      </c>
    </row>
    <row r="739" spans="14:21" x14ac:dyDescent="0.75">
      <c r="N739" s="14">
        <v>40990</v>
      </c>
      <c r="O739" s="5">
        <v>1064.23</v>
      </c>
      <c r="P739" s="14"/>
      <c r="T739" s="14">
        <v>41246</v>
      </c>
      <c r="U739" s="5">
        <v>47.45</v>
      </c>
    </row>
    <row r="740" spans="14:21" x14ac:dyDescent="0.75">
      <c r="N740" s="14">
        <v>40989</v>
      </c>
      <c r="O740" s="5">
        <v>1066.1300000000001</v>
      </c>
      <c r="P740" s="14"/>
      <c r="T740" s="14">
        <v>41243</v>
      </c>
      <c r="U740" s="5">
        <v>47.27</v>
      </c>
    </row>
    <row r="741" spans="14:21" x14ac:dyDescent="0.75">
      <c r="N741" s="14">
        <v>40987</v>
      </c>
      <c r="O741" s="5">
        <v>1067.56</v>
      </c>
      <c r="P741" s="14"/>
      <c r="T741" s="14">
        <v>41242</v>
      </c>
      <c r="U741" s="5">
        <v>47.28</v>
      </c>
    </row>
    <row r="742" spans="14:21" x14ac:dyDescent="0.75">
      <c r="N742" s="14">
        <v>40984</v>
      </c>
      <c r="O742" s="5">
        <v>1067.78</v>
      </c>
      <c r="P742" s="14"/>
      <c r="T742" s="14">
        <v>41241</v>
      </c>
      <c r="U742" s="5">
        <v>47.091000000000001</v>
      </c>
    </row>
    <row r="743" spans="14:21" x14ac:dyDescent="0.75">
      <c r="N743" s="14">
        <v>40983</v>
      </c>
      <c r="O743" s="5">
        <v>1066.98</v>
      </c>
      <c r="P743" s="14"/>
      <c r="T743" s="14">
        <v>41240</v>
      </c>
      <c r="U743" s="5">
        <v>47.28</v>
      </c>
    </row>
    <row r="744" spans="14:21" x14ac:dyDescent="0.75">
      <c r="N744" s="14">
        <v>40982</v>
      </c>
      <c r="O744" s="5">
        <v>1066.9100000000001</v>
      </c>
      <c r="P744" s="14"/>
      <c r="T744" s="14">
        <v>41239</v>
      </c>
      <c r="U744" s="5">
        <v>47.38</v>
      </c>
    </row>
    <row r="745" spans="14:21" x14ac:dyDescent="0.75">
      <c r="N745" s="14">
        <v>40980</v>
      </c>
      <c r="O745" s="5">
        <v>1065.99</v>
      </c>
      <c r="P745" s="14"/>
      <c r="T745" s="14">
        <v>41236</v>
      </c>
      <c r="U745" s="5">
        <v>47.29</v>
      </c>
    </row>
    <row r="746" spans="14:21" x14ac:dyDescent="0.75">
      <c r="N746" s="14">
        <v>40977</v>
      </c>
      <c r="O746" s="5">
        <v>1066.44</v>
      </c>
      <c r="P746" s="14"/>
      <c r="T746" s="14">
        <v>41234</v>
      </c>
      <c r="U746" s="5">
        <v>46.98</v>
      </c>
    </row>
    <row r="747" spans="14:21" x14ac:dyDescent="0.75">
      <c r="N747" s="14">
        <v>40976</v>
      </c>
      <c r="O747" s="5">
        <v>1065.19</v>
      </c>
      <c r="P747" s="14"/>
      <c r="T747" s="14">
        <v>41233</v>
      </c>
      <c r="U747" s="5">
        <v>47.27</v>
      </c>
    </row>
    <row r="748" spans="14:21" x14ac:dyDescent="0.75">
      <c r="N748" s="14">
        <v>40975</v>
      </c>
      <c r="O748" s="5">
        <v>1062.72</v>
      </c>
      <c r="P748" s="14"/>
      <c r="T748" s="14">
        <v>41232</v>
      </c>
      <c r="U748" s="5">
        <v>47.08</v>
      </c>
    </row>
    <row r="749" spans="14:21" x14ac:dyDescent="0.75">
      <c r="N749" s="14">
        <v>40973</v>
      </c>
      <c r="O749" s="5">
        <v>1064.69</v>
      </c>
      <c r="P749" s="14"/>
      <c r="T749" s="14">
        <v>41229</v>
      </c>
      <c r="U749" s="5">
        <v>46.64</v>
      </c>
    </row>
    <row r="750" spans="14:21" x14ac:dyDescent="0.75">
      <c r="N750" s="14">
        <v>40970</v>
      </c>
      <c r="O750" s="5">
        <v>1066.99</v>
      </c>
      <c r="P750" s="14"/>
      <c r="T750" s="14">
        <v>41228</v>
      </c>
      <c r="U750" s="5">
        <v>46.21</v>
      </c>
    </row>
    <row r="751" spans="14:21" x14ac:dyDescent="0.75">
      <c r="N751" s="14">
        <v>40969</v>
      </c>
      <c r="O751" s="5">
        <v>1066.96</v>
      </c>
      <c r="P751" s="14"/>
      <c r="T751" s="14">
        <v>41227</v>
      </c>
      <c r="U751" s="5">
        <v>46.43</v>
      </c>
    </row>
    <row r="752" spans="14:21" x14ac:dyDescent="0.75">
      <c r="N752" s="14">
        <v>40967</v>
      </c>
      <c r="O752" s="5">
        <v>1065.1600000000001</v>
      </c>
      <c r="P752" s="14"/>
      <c r="T752" s="14">
        <v>41226</v>
      </c>
      <c r="U752" s="5">
        <v>47.36</v>
      </c>
    </row>
    <row r="753" spans="14:21" x14ac:dyDescent="0.75">
      <c r="N753" s="14">
        <v>40966</v>
      </c>
      <c r="O753" s="5">
        <v>1064.77</v>
      </c>
      <c r="P753" s="14"/>
      <c r="T753" s="14">
        <v>41225</v>
      </c>
      <c r="U753" s="5">
        <v>47.34</v>
      </c>
    </row>
    <row r="754" spans="14:21" x14ac:dyDescent="0.75">
      <c r="N754" s="14">
        <v>40963</v>
      </c>
      <c r="O754" s="5">
        <v>1063.8800000000001</v>
      </c>
      <c r="P754" s="14"/>
      <c r="T754" s="14">
        <v>41222</v>
      </c>
      <c r="U754" s="5">
        <v>47.37</v>
      </c>
    </row>
    <row r="755" spans="14:21" x14ac:dyDescent="0.75">
      <c r="N755" s="14">
        <v>40962</v>
      </c>
      <c r="O755" s="5">
        <v>1063.75</v>
      </c>
      <c r="P755" s="14"/>
      <c r="T755" s="14">
        <v>41221</v>
      </c>
      <c r="U755" s="5">
        <v>47.39</v>
      </c>
    </row>
    <row r="756" spans="14:21" x14ac:dyDescent="0.75">
      <c r="N756" s="14">
        <v>40961</v>
      </c>
      <c r="O756" s="5">
        <v>1063.1199999999999</v>
      </c>
      <c r="P756" s="14"/>
      <c r="T756" s="14">
        <v>41220</v>
      </c>
      <c r="U756" s="5">
        <v>48.129899999999999</v>
      </c>
    </row>
    <row r="757" spans="14:21" x14ac:dyDescent="0.75">
      <c r="N757" s="14">
        <v>40956</v>
      </c>
      <c r="O757" s="5">
        <v>1063.22</v>
      </c>
      <c r="P757" s="14"/>
      <c r="T757" s="14">
        <v>41219</v>
      </c>
      <c r="U757" s="5">
        <v>48.04</v>
      </c>
    </row>
    <row r="758" spans="14:21" x14ac:dyDescent="0.75">
      <c r="N758" s="14">
        <v>40955</v>
      </c>
      <c r="O758" s="5">
        <v>1062.8</v>
      </c>
      <c r="P758" s="14"/>
      <c r="T758" s="14">
        <v>41218</v>
      </c>
      <c r="U758" s="5">
        <v>47.85</v>
      </c>
    </row>
    <row r="759" spans="14:21" x14ac:dyDescent="0.75">
      <c r="N759" s="14">
        <v>40954</v>
      </c>
      <c r="O759" s="5">
        <v>1062.24</v>
      </c>
      <c r="P759" s="14"/>
      <c r="T759" s="14">
        <v>41215</v>
      </c>
      <c r="U759" s="5">
        <v>48.21</v>
      </c>
    </row>
    <row r="760" spans="14:21" x14ac:dyDescent="0.75">
      <c r="N760" s="14">
        <v>40952</v>
      </c>
      <c r="O760" s="5">
        <v>1061.67</v>
      </c>
      <c r="P760" s="14"/>
      <c r="T760" s="14">
        <v>41214</v>
      </c>
      <c r="U760" s="5">
        <v>47.86</v>
      </c>
    </row>
    <row r="761" spans="14:21" x14ac:dyDescent="0.75">
      <c r="N761" s="14">
        <v>40949</v>
      </c>
      <c r="O761" s="5">
        <v>1061.29</v>
      </c>
      <c r="P761" s="14"/>
      <c r="T761" s="14">
        <v>41213</v>
      </c>
      <c r="U761" s="5">
        <v>47.49</v>
      </c>
    </row>
    <row r="762" spans="14:21" x14ac:dyDescent="0.75">
      <c r="N762" s="14">
        <v>40948</v>
      </c>
      <c r="O762" s="5">
        <v>1061.8699999999999</v>
      </c>
      <c r="P762" s="14"/>
      <c r="T762" s="14">
        <v>41208</v>
      </c>
      <c r="U762" s="5">
        <v>46.81</v>
      </c>
    </row>
    <row r="763" spans="14:21" x14ac:dyDescent="0.75">
      <c r="N763" s="14">
        <v>40947</v>
      </c>
      <c r="O763" s="5">
        <v>1060.57</v>
      </c>
      <c r="P763" s="14"/>
      <c r="T763" s="14">
        <v>41207</v>
      </c>
      <c r="U763" s="5">
        <v>47</v>
      </c>
    </row>
    <row r="764" spans="14:21" x14ac:dyDescent="0.75">
      <c r="N764" s="14">
        <v>40945</v>
      </c>
      <c r="O764" s="5">
        <v>1058.5899999999999</v>
      </c>
      <c r="P764" s="14"/>
      <c r="T764" s="14">
        <v>41206</v>
      </c>
      <c r="U764" s="5">
        <v>47.18</v>
      </c>
    </row>
    <row r="765" spans="14:21" x14ac:dyDescent="0.75">
      <c r="N765" s="14">
        <v>40942</v>
      </c>
      <c r="O765" s="5">
        <v>1058.1600000000001</v>
      </c>
      <c r="P765" s="14"/>
      <c r="T765" s="14">
        <v>41205</v>
      </c>
      <c r="U765" s="5">
        <v>47.091700000000003</v>
      </c>
    </row>
    <row r="766" spans="14:21" x14ac:dyDescent="0.75">
      <c r="N766" s="14">
        <v>40941</v>
      </c>
      <c r="O766" s="5">
        <v>1055.31</v>
      </c>
      <c r="P766" s="14"/>
      <c r="T766" s="14">
        <v>41204</v>
      </c>
      <c r="U766" s="5">
        <v>47.4</v>
      </c>
    </row>
    <row r="767" spans="14:21" x14ac:dyDescent="0.75">
      <c r="N767" s="14">
        <v>40938</v>
      </c>
      <c r="O767" s="5">
        <v>1052.18</v>
      </c>
      <c r="P767" s="14"/>
      <c r="T767" s="14">
        <v>41201</v>
      </c>
      <c r="U767" s="5">
        <v>47.7</v>
      </c>
    </row>
    <row r="768" spans="14:21" x14ac:dyDescent="0.75">
      <c r="N768" s="14">
        <v>40935</v>
      </c>
      <c r="O768" s="5">
        <v>1052.48</v>
      </c>
      <c r="P768" s="14"/>
      <c r="T768" s="14">
        <v>41200</v>
      </c>
      <c r="U768" s="5">
        <v>47.85</v>
      </c>
    </row>
    <row r="769" spans="14:21" x14ac:dyDescent="0.75">
      <c r="N769" s="14">
        <v>40934</v>
      </c>
      <c r="O769" s="5">
        <v>1051.43</v>
      </c>
      <c r="P769" s="14"/>
      <c r="T769" s="14">
        <v>41199</v>
      </c>
      <c r="U769" s="5">
        <v>47.17</v>
      </c>
    </row>
    <row r="770" spans="14:21" x14ac:dyDescent="0.75">
      <c r="N770" s="14">
        <v>40931</v>
      </c>
      <c r="O770" s="5">
        <v>1048.81</v>
      </c>
      <c r="P770" s="14"/>
      <c r="T770" s="14">
        <v>41198</v>
      </c>
      <c r="U770" s="5">
        <v>47.45</v>
      </c>
    </row>
    <row r="771" spans="14:21" x14ac:dyDescent="0.75">
      <c r="N771" s="14">
        <v>40928</v>
      </c>
      <c r="O771" s="5">
        <v>1048.72</v>
      </c>
      <c r="P771" s="14"/>
      <c r="T771" s="14">
        <v>41197</v>
      </c>
      <c r="U771" s="5">
        <v>47.16</v>
      </c>
    </row>
    <row r="772" spans="14:21" x14ac:dyDescent="0.75">
      <c r="N772" s="14">
        <v>40927</v>
      </c>
      <c r="O772" s="5">
        <v>1048.6600000000001</v>
      </c>
      <c r="P772" s="14"/>
      <c r="T772" s="14">
        <v>41194</v>
      </c>
      <c r="U772" s="5">
        <v>46.79</v>
      </c>
    </row>
    <row r="773" spans="14:21" x14ac:dyDescent="0.75">
      <c r="N773" s="14">
        <v>40926</v>
      </c>
      <c r="O773" s="5">
        <v>1048.53</v>
      </c>
      <c r="P773" s="14"/>
      <c r="T773" s="14">
        <v>41193</v>
      </c>
      <c r="U773" s="5">
        <v>46.96</v>
      </c>
    </row>
    <row r="774" spans="14:21" x14ac:dyDescent="0.75">
      <c r="N774" s="14">
        <v>40921</v>
      </c>
      <c r="O774" s="5">
        <v>1046.1199999999999</v>
      </c>
      <c r="P774" s="14"/>
      <c r="T774" s="14">
        <v>41192</v>
      </c>
      <c r="U774" s="5">
        <v>47.11</v>
      </c>
    </row>
    <row r="775" spans="14:21" x14ac:dyDescent="0.75">
      <c r="N775" s="14">
        <v>40920</v>
      </c>
      <c r="O775" s="5">
        <v>1045.6600000000001</v>
      </c>
      <c r="P775" s="14"/>
      <c r="T775" s="14">
        <v>41191</v>
      </c>
      <c r="U775" s="5">
        <v>46.906599999999997</v>
      </c>
    </row>
    <row r="776" spans="14:21" x14ac:dyDescent="0.75">
      <c r="N776" s="14">
        <v>40917</v>
      </c>
      <c r="O776" s="5">
        <v>1042.99</v>
      </c>
      <c r="P776" s="14"/>
      <c r="T776" s="14">
        <v>41190</v>
      </c>
      <c r="U776" s="5">
        <v>47.0199</v>
      </c>
    </row>
    <row r="777" spans="14:21" x14ac:dyDescent="0.75">
      <c r="N777" s="14">
        <v>40914</v>
      </c>
      <c r="O777" s="5">
        <v>1042.44</v>
      </c>
      <c r="P777" s="14"/>
      <c r="T777" s="14">
        <v>41187</v>
      </c>
      <c r="U777" s="5">
        <v>47.19</v>
      </c>
    </row>
    <row r="778" spans="14:21" x14ac:dyDescent="0.75">
      <c r="N778" s="14">
        <v>40913</v>
      </c>
      <c r="O778" s="5">
        <v>1041.03</v>
      </c>
      <c r="P778" s="14"/>
      <c r="T778" s="14">
        <v>41186</v>
      </c>
      <c r="U778" s="5">
        <v>47.000100000000003</v>
      </c>
    </row>
    <row r="779" spans="14:21" x14ac:dyDescent="0.75">
      <c r="N779" s="14">
        <v>40912</v>
      </c>
      <c r="O779" s="5">
        <v>1039.21</v>
      </c>
      <c r="P779" s="14"/>
      <c r="T779" s="14">
        <v>41185</v>
      </c>
      <c r="U779" s="5">
        <v>47.24</v>
      </c>
    </row>
    <row r="780" spans="14:21" x14ac:dyDescent="0.75">
      <c r="N780" s="14">
        <v>40911</v>
      </c>
      <c r="O780" s="5">
        <v>1037.8599999999999</v>
      </c>
      <c r="P780" s="14"/>
      <c r="T780" s="14">
        <v>41184</v>
      </c>
      <c r="U780" s="5">
        <v>47.24</v>
      </c>
    </row>
    <row r="781" spans="14:21" x14ac:dyDescent="0.75">
      <c r="N781" s="14">
        <v>40907</v>
      </c>
      <c r="O781" s="5">
        <v>1037.1600000000001</v>
      </c>
      <c r="P781" s="14"/>
      <c r="T781" s="14">
        <v>41183</v>
      </c>
      <c r="U781" s="5">
        <v>46.78</v>
      </c>
    </row>
    <row r="782" spans="14:21" x14ac:dyDescent="0.75">
      <c r="N782" s="14">
        <v>40906</v>
      </c>
      <c r="O782" s="5">
        <v>1036.18</v>
      </c>
      <c r="P782" s="14"/>
      <c r="T782" s="14">
        <v>41180</v>
      </c>
      <c r="U782" s="5">
        <v>47.08</v>
      </c>
    </row>
    <row r="783" spans="14:21" x14ac:dyDescent="0.75">
      <c r="N783" s="14">
        <v>40905</v>
      </c>
      <c r="O783" s="5">
        <v>1036.1400000000001</v>
      </c>
      <c r="P783" s="14"/>
      <c r="T783" s="14">
        <v>41179</v>
      </c>
      <c r="U783" s="5">
        <v>47.18</v>
      </c>
    </row>
    <row r="784" spans="14:21" x14ac:dyDescent="0.75">
      <c r="N784" s="14">
        <v>40904</v>
      </c>
      <c r="O784" s="5">
        <v>1036.6400000000001</v>
      </c>
      <c r="P784" s="14"/>
      <c r="T784" s="14">
        <v>41178</v>
      </c>
      <c r="U784" s="5">
        <v>47.1</v>
      </c>
    </row>
    <row r="785" spans="14:21" x14ac:dyDescent="0.75">
      <c r="N785" s="14">
        <v>40900</v>
      </c>
      <c r="O785" s="5">
        <v>1036.96</v>
      </c>
      <c r="P785" s="14"/>
      <c r="T785" s="14">
        <v>41177</v>
      </c>
      <c r="U785" s="5">
        <v>46.94</v>
      </c>
    </row>
    <row r="786" spans="14:21" x14ac:dyDescent="0.75">
      <c r="N786" s="14">
        <v>40899</v>
      </c>
      <c r="O786" s="5">
        <v>1036.83</v>
      </c>
      <c r="P786" s="14"/>
      <c r="T786" s="14">
        <v>41176</v>
      </c>
      <c r="U786" s="5">
        <v>47.94</v>
      </c>
    </row>
    <row r="787" spans="14:21" x14ac:dyDescent="0.75">
      <c r="N787" s="14">
        <v>40898</v>
      </c>
      <c r="O787" s="5">
        <v>1035.79</v>
      </c>
      <c r="P787" s="14"/>
      <c r="T787" s="14">
        <v>41173</v>
      </c>
      <c r="U787" s="5">
        <v>47.99</v>
      </c>
    </row>
    <row r="788" spans="14:21" x14ac:dyDescent="0.75">
      <c r="N788" s="14">
        <v>40897</v>
      </c>
      <c r="O788" s="5">
        <v>1035.92</v>
      </c>
      <c r="P788" s="14"/>
      <c r="T788" s="14">
        <v>41172</v>
      </c>
      <c r="U788" s="5">
        <v>48.03</v>
      </c>
    </row>
    <row r="789" spans="14:21" x14ac:dyDescent="0.75">
      <c r="N789" s="14">
        <v>40896</v>
      </c>
      <c r="O789" s="5">
        <v>1034.73</v>
      </c>
      <c r="P789" s="14"/>
      <c r="T789" s="14">
        <v>41171</v>
      </c>
      <c r="U789" s="5">
        <v>48.7</v>
      </c>
    </row>
    <row r="790" spans="14:21" x14ac:dyDescent="0.75">
      <c r="N790" s="14">
        <v>40893</v>
      </c>
      <c r="O790" s="5">
        <v>1035.99</v>
      </c>
      <c r="P790" s="14"/>
      <c r="T790" s="14">
        <v>41170</v>
      </c>
      <c r="U790" s="5">
        <v>48.81</v>
      </c>
    </row>
    <row r="791" spans="14:21" x14ac:dyDescent="0.75">
      <c r="N791" s="14">
        <v>40892</v>
      </c>
      <c r="O791" s="5">
        <v>1035.17</v>
      </c>
      <c r="P791" s="14"/>
      <c r="T791" s="14">
        <v>41169</v>
      </c>
      <c r="U791" s="5">
        <v>49.47</v>
      </c>
    </row>
    <row r="792" spans="14:21" x14ac:dyDescent="0.75">
      <c r="N792" s="14">
        <v>40891</v>
      </c>
      <c r="O792" s="5">
        <v>1034.44</v>
      </c>
      <c r="P792" s="14"/>
      <c r="T792" s="14">
        <v>41166</v>
      </c>
      <c r="U792" s="5">
        <v>49.63</v>
      </c>
    </row>
    <row r="793" spans="14:21" x14ac:dyDescent="0.75">
      <c r="N793" s="14">
        <v>40890</v>
      </c>
      <c r="O793" s="5">
        <v>1036.5899999999999</v>
      </c>
      <c r="P793" s="14"/>
      <c r="T793" s="14">
        <v>41165</v>
      </c>
      <c r="U793" s="5">
        <v>49.55</v>
      </c>
    </row>
    <row r="794" spans="14:21" x14ac:dyDescent="0.75">
      <c r="N794" s="14">
        <v>40889</v>
      </c>
      <c r="O794" s="5">
        <v>1036.8599999999999</v>
      </c>
      <c r="P794" s="14"/>
      <c r="T794" s="14">
        <v>41164</v>
      </c>
      <c r="U794" s="5">
        <v>49.05</v>
      </c>
    </row>
    <row r="795" spans="14:21" x14ac:dyDescent="0.75">
      <c r="N795" s="14">
        <v>40886</v>
      </c>
      <c r="O795" s="5">
        <v>1039.3499999999999</v>
      </c>
      <c r="P795" s="14"/>
      <c r="T795" s="14">
        <v>41163</v>
      </c>
      <c r="U795" s="5">
        <v>49.11</v>
      </c>
    </row>
    <row r="796" spans="14:21" x14ac:dyDescent="0.75">
      <c r="N796" s="14">
        <v>40885</v>
      </c>
      <c r="O796" s="5">
        <v>1038.4100000000001</v>
      </c>
      <c r="P796" s="14"/>
      <c r="T796" s="14">
        <v>41162</v>
      </c>
      <c r="U796" s="5">
        <v>49.01</v>
      </c>
    </row>
    <row r="797" spans="14:21" x14ac:dyDescent="0.75">
      <c r="N797" s="14">
        <v>40884</v>
      </c>
      <c r="O797" s="5">
        <v>1039.55</v>
      </c>
      <c r="P797" s="14"/>
      <c r="T797" s="14">
        <v>41159</v>
      </c>
      <c r="U797" s="5">
        <v>49.53</v>
      </c>
    </row>
    <row r="798" spans="14:21" x14ac:dyDescent="0.75">
      <c r="N798" s="14">
        <v>40883</v>
      </c>
      <c r="O798" s="5">
        <v>1040.3800000000001</v>
      </c>
      <c r="P798" s="14"/>
      <c r="T798" s="14">
        <v>41158</v>
      </c>
      <c r="U798" s="5">
        <v>49.67</v>
      </c>
    </row>
    <row r="799" spans="14:21" x14ac:dyDescent="0.75">
      <c r="N799" s="14">
        <v>40882</v>
      </c>
      <c r="O799" s="5">
        <v>1039.72</v>
      </c>
      <c r="P799" s="14"/>
      <c r="T799" s="14">
        <v>41157</v>
      </c>
      <c r="U799" s="5">
        <v>49.39</v>
      </c>
    </row>
    <row r="800" spans="14:21" x14ac:dyDescent="0.75">
      <c r="N800" s="14">
        <v>40879</v>
      </c>
      <c r="O800" s="5">
        <v>1038.96</v>
      </c>
      <c r="P800" s="14"/>
      <c r="T800" s="14">
        <v>41156</v>
      </c>
      <c r="U800" s="5">
        <v>49.414000000000001</v>
      </c>
    </row>
    <row r="801" spans="14:21" x14ac:dyDescent="0.75">
      <c r="N801" s="14">
        <v>40878</v>
      </c>
      <c r="O801" s="5">
        <v>1038.3599999999999</v>
      </c>
      <c r="P801" s="14"/>
      <c r="T801" s="14">
        <v>41152</v>
      </c>
      <c r="U801" s="5">
        <v>48.956000000000003</v>
      </c>
    </row>
    <row r="802" spans="14:21" x14ac:dyDescent="0.75">
      <c r="N802" s="14">
        <v>40877</v>
      </c>
      <c r="O802" s="5">
        <v>1040.1199999999999</v>
      </c>
      <c r="P802" s="14"/>
      <c r="T802" s="14">
        <v>41151</v>
      </c>
      <c r="U802" s="5">
        <v>48.97</v>
      </c>
    </row>
    <row r="803" spans="14:21" x14ac:dyDescent="0.75">
      <c r="N803" s="14">
        <v>40876</v>
      </c>
      <c r="O803" s="5">
        <v>1037.02</v>
      </c>
      <c r="P803" s="14"/>
      <c r="T803" s="14">
        <v>41150</v>
      </c>
      <c r="U803" s="5">
        <v>49.028300000000002</v>
      </c>
    </row>
    <row r="804" spans="14:21" x14ac:dyDescent="0.75">
      <c r="N804" s="14">
        <v>40875</v>
      </c>
      <c r="O804" s="5">
        <v>1037.6099999999999</v>
      </c>
      <c r="P804" s="14"/>
      <c r="T804" s="14">
        <v>41149</v>
      </c>
      <c r="U804" s="5">
        <v>49.06</v>
      </c>
    </row>
    <row r="805" spans="14:21" x14ac:dyDescent="0.75">
      <c r="N805" s="14">
        <v>40872</v>
      </c>
      <c r="O805" s="5">
        <v>1036.9000000000001</v>
      </c>
      <c r="P805" s="14"/>
      <c r="T805" s="14">
        <v>41148</v>
      </c>
      <c r="U805" s="5">
        <v>48.84</v>
      </c>
    </row>
    <row r="806" spans="14:21" x14ac:dyDescent="0.75">
      <c r="N806" s="14">
        <v>40870</v>
      </c>
      <c r="O806" s="5">
        <v>1037.8800000000001</v>
      </c>
      <c r="P806" s="14"/>
      <c r="T806" s="14">
        <v>41145</v>
      </c>
      <c r="U806" s="5">
        <v>48.76</v>
      </c>
    </row>
    <row r="807" spans="14:21" x14ac:dyDescent="0.75">
      <c r="N807" s="14">
        <v>40869</v>
      </c>
      <c r="O807" s="5">
        <v>1039.1400000000001</v>
      </c>
      <c r="P807" s="14"/>
      <c r="T807" s="14">
        <v>41144</v>
      </c>
      <c r="U807" s="5">
        <v>48.522100000000002</v>
      </c>
    </row>
    <row r="808" spans="14:21" x14ac:dyDescent="0.75">
      <c r="N808" s="14">
        <v>40868</v>
      </c>
      <c r="O808" s="5">
        <v>1040.55</v>
      </c>
      <c r="P808" s="14"/>
      <c r="T808" s="14">
        <v>41143</v>
      </c>
      <c r="U808" s="5">
        <v>48.7</v>
      </c>
    </row>
    <row r="809" spans="14:21" x14ac:dyDescent="0.75">
      <c r="N809" s="14">
        <v>40865</v>
      </c>
      <c r="O809" s="5">
        <v>1044.29</v>
      </c>
      <c r="P809" s="14"/>
      <c r="T809" s="14">
        <v>41142</v>
      </c>
      <c r="U809" s="5">
        <v>48.55</v>
      </c>
    </row>
    <row r="810" spans="14:21" x14ac:dyDescent="0.75">
      <c r="N810" s="14">
        <v>40864</v>
      </c>
      <c r="O810" s="5">
        <v>1045.07</v>
      </c>
      <c r="P810" s="14"/>
      <c r="T810" s="14">
        <v>41141</v>
      </c>
      <c r="U810" s="5">
        <v>48.54</v>
      </c>
    </row>
    <row r="811" spans="14:21" x14ac:dyDescent="0.75">
      <c r="N811" s="14">
        <v>40863</v>
      </c>
      <c r="O811" s="5">
        <v>1046.95</v>
      </c>
      <c r="P811" s="14"/>
      <c r="T811" s="14">
        <v>41138</v>
      </c>
      <c r="U811" s="5">
        <v>48.69</v>
      </c>
    </row>
    <row r="812" spans="14:21" x14ac:dyDescent="0.75">
      <c r="N812" s="14">
        <v>40862</v>
      </c>
      <c r="O812" s="5">
        <v>1047.6600000000001</v>
      </c>
      <c r="P812" s="14"/>
      <c r="T812" s="14">
        <v>41137</v>
      </c>
      <c r="U812" s="5">
        <v>48.58</v>
      </c>
    </row>
    <row r="813" spans="14:21" x14ac:dyDescent="0.75">
      <c r="N813" s="14">
        <v>40861</v>
      </c>
      <c r="O813" s="5">
        <v>1046.72</v>
      </c>
      <c r="P813" s="14"/>
      <c r="T813" s="14">
        <v>41136</v>
      </c>
      <c r="U813" s="5">
        <v>48.39</v>
      </c>
    </row>
    <row r="814" spans="14:21" x14ac:dyDescent="0.75">
      <c r="N814" s="14">
        <v>40858</v>
      </c>
      <c r="O814" s="5">
        <v>1046.74</v>
      </c>
      <c r="P814" s="14"/>
      <c r="T814" s="14">
        <v>41135</v>
      </c>
      <c r="U814" s="5">
        <v>48.238</v>
      </c>
    </row>
    <row r="815" spans="14:21" x14ac:dyDescent="0.75">
      <c r="N815" s="14">
        <v>40857</v>
      </c>
      <c r="O815" s="5">
        <v>1046.51</v>
      </c>
      <c r="P815" s="14"/>
      <c r="T815" s="14">
        <v>41134</v>
      </c>
      <c r="U815" s="5">
        <v>48.37</v>
      </c>
    </row>
    <row r="816" spans="14:21" x14ac:dyDescent="0.75">
      <c r="N816" s="14">
        <v>40856</v>
      </c>
      <c r="O816" s="5">
        <v>1047.1199999999999</v>
      </c>
      <c r="P816" s="14"/>
      <c r="T816" s="14">
        <v>41131</v>
      </c>
      <c r="U816" s="5">
        <v>48.5</v>
      </c>
    </row>
    <row r="817" spans="14:21" x14ac:dyDescent="0.75">
      <c r="N817" s="14">
        <v>40855</v>
      </c>
      <c r="O817" s="5">
        <v>1050.18</v>
      </c>
      <c r="P817" s="14"/>
      <c r="T817" s="14">
        <v>41130</v>
      </c>
      <c r="U817" s="5">
        <v>48.37</v>
      </c>
    </row>
    <row r="818" spans="14:21" x14ac:dyDescent="0.75">
      <c r="N818" s="14">
        <v>40854</v>
      </c>
      <c r="O818" s="5">
        <v>1048.97</v>
      </c>
      <c r="P818" s="14"/>
      <c r="T818" s="14">
        <v>41129</v>
      </c>
      <c r="U818" s="5">
        <v>48.52</v>
      </c>
    </row>
    <row r="819" spans="14:21" x14ac:dyDescent="0.75">
      <c r="N819" s="14">
        <v>40851</v>
      </c>
      <c r="O819" s="5">
        <v>1048.1400000000001</v>
      </c>
      <c r="P819" s="14"/>
      <c r="T819" s="14">
        <v>41128</v>
      </c>
      <c r="U819" s="5">
        <v>49</v>
      </c>
    </row>
    <row r="820" spans="14:21" x14ac:dyDescent="0.75">
      <c r="N820" s="14">
        <v>40850</v>
      </c>
      <c r="O820" s="5">
        <v>1048.9100000000001</v>
      </c>
      <c r="P820" s="14"/>
      <c r="T820" s="14">
        <v>41127</v>
      </c>
      <c r="U820" s="5">
        <v>49.72</v>
      </c>
    </row>
    <row r="821" spans="14:21" x14ac:dyDescent="0.75">
      <c r="N821" s="14">
        <v>40849</v>
      </c>
      <c r="O821" s="5">
        <v>1047.17</v>
      </c>
      <c r="P821" s="14"/>
      <c r="T821" s="14">
        <v>41124</v>
      </c>
      <c r="U821" s="5">
        <v>49.92</v>
      </c>
    </row>
    <row r="822" spans="14:21" x14ac:dyDescent="0.75">
      <c r="N822" s="14">
        <v>40848</v>
      </c>
      <c r="O822" s="5">
        <v>1046.6300000000001</v>
      </c>
      <c r="P822" s="14"/>
      <c r="T822" s="14">
        <v>41123</v>
      </c>
      <c r="U822" s="5">
        <v>49.93</v>
      </c>
    </row>
    <row r="823" spans="14:21" x14ac:dyDescent="0.75">
      <c r="N823" s="14">
        <v>40847</v>
      </c>
      <c r="O823" s="5">
        <v>1049.42</v>
      </c>
      <c r="P823" s="14"/>
      <c r="T823" s="14">
        <v>41122</v>
      </c>
      <c r="U823" s="5">
        <v>49.89</v>
      </c>
    </row>
    <row r="824" spans="14:21" x14ac:dyDescent="0.75">
      <c r="N824" s="14">
        <v>40844</v>
      </c>
      <c r="O824" s="5">
        <v>1049.57</v>
      </c>
      <c r="P824" s="14"/>
      <c r="T824" s="14">
        <v>41121</v>
      </c>
      <c r="U824" s="5">
        <v>50.33</v>
      </c>
    </row>
    <row r="825" spans="14:21" x14ac:dyDescent="0.75">
      <c r="N825" s="14">
        <v>40843</v>
      </c>
      <c r="O825" s="5">
        <v>1049.3800000000001</v>
      </c>
      <c r="P825" s="14"/>
      <c r="T825" s="14">
        <v>41120</v>
      </c>
      <c r="U825" s="5">
        <v>50.31</v>
      </c>
    </row>
    <row r="826" spans="14:21" x14ac:dyDescent="0.75">
      <c r="N826" s="14">
        <v>40842</v>
      </c>
      <c r="O826" s="5">
        <v>1047.5</v>
      </c>
      <c r="P826" s="14"/>
      <c r="T826" s="14">
        <v>41117</v>
      </c>
      <c r="U826" s="5">
        <v>50.1</v>
      </c>
    </row>
    <row r="827" spans="14:21" x14ac:dyDescent="0.75">
      <c r="N827" s="14">
        <v>40841</v>
      </c>
      <c r="O827" s="5">
        <v>1045.94</v>
      </c>
      <c r="P827" s="14"/>
      <c r="T827" s="14">
        <v>41116</v>
      </c>
      <c r="U827" s="5">
        <v>49.6</v>
      </c>
    </row>
    <row r="828" spans="14:21" x14ac:dyDescent="0.75">
      <c r="N828" s="14">
        <v>40840</v>
      </c>
      <c r="O828" s="5">
        <v>1045.83</v>
      </c>
      <c r="P828" s="14"/>
      <c r="T828" s="14">
        <v>41115</v>
      </c>
      <c r="U828" s="5">
        <v>49.64</v>
      </c>
    </row>
    <row r="829" spans="14:21" x14ac:dyDescent="0.75">
      <c r="N829" s="14">
        <v>40837</v>
      </c>
      <c r="O829" s="5">
        <v>1045.28</v>
      </c>
      <c r="P829" s="14"/>
      <c r="T829" s="14">
        <v>41114</v>
      </c>
      <c r="U829" s="5">
        <v>49.54</v>
      </c>
    </row>
    <row r="830" spans="14:21" x14ac:dyDescent="0.75">
      <c r="N830" s="14">
        <v>40836</v>
      </c>
      <c r="O830" s="5">
        <v>1043.99</v>
      </c>
      <c r="P830" s="14"/>
      <c r="T830" s="14">
        <v>41113</v>
      </c>
      <c r="U830" s="5">
        <v>49.69</v>
      </c>
    </row>
    <row r="831" spans="14:21" x14ac:dyDescent="0.75">
      <c r="N831" s="14">
        <v>40835</v>
      </c>
      <c r="O831" s="5">
        <v>1043.6099999999999</v>
      </c>
      <c r="P831" s="14"/>
      <c r="T831" s="14">
        <v>41110</v>
      </c>
      <c r="U831" s="5">
        <v>49.74</v>
      </c>
    </row>
    <row r="832" spans="14:21" x14ac:dyDescent="0.75">
      <c r="N832" s="14">
        <v>40834</v>
      </c>
      <c r="O832" s="5">
        <v>1043.07</v>
      </c>
      <c r="P832" s="14"/>
      <c r="T832" s="14">
        <v>41109</v>
      </c>
      <c r="U832" s="5">
        <v>49.834000000000003</v>
      </c>
    </row>
    <row r="833" spans="14:21" x14ac:dyDescent="0.75">
      <c r="N833" s="14">
        <v>40833</v>
      </c>
      <c r="O833" s="5">
        <v>1042.52</v>
      </c>
      <c r="P833" s="14"/>
      <c r="T833" s="14">
        <v>41108</v>
      </c>
      <c r="U833" s="5">
        <v>50.27</v>
      </c>
    </row>
    <row r="834" spans="14:21" x14ac:dyDescent="0.75">
      <c r="N834" s="14">
        <v>40830</v>
      </c>
      <c r="O834" s="5">
        <v>1042.19</v>
      </c>
      <c r="P834" s="14"/>
      <c r="T834" s="14">
        <v>41107</v>
      </c>
      <c r="U834" s="5">
        <v>50.43</v>
      </c>
    </row>
    <row r="835" spans="14:21" x14ac:dyDescent="0.75">
      <c r="N835" s="14">
        <v>40829</v>
      </c>
      <c r="O835" s="5">
        <v>1040.25</v>
      </c>
      <c r="P835" s="14"/>
      <c r="T835" s="14">
        <v>41106</v>
      </c>
      <c r="U835" s="5">
        <v>49.94</v>
      </c>
    </row>
    <row r="836" spans="14:21" x14ac:dyDescent="0.75">
      <c r="N836" s="14">
        <v>40828</v>
      </c>
      <c r="O836" s="5">
        <v>1039.4100000000001</v>
      </c>
      <c r="P836" s="14"/>
      <c r="T836" s="14">
        <v>41103</v>
      </c>
      <c r="U836" s="5">
        <v>49.75</v>
      </c>
    </row>
    <row r="837" spans="14:21" x14ac:dyDescent="0.75">
      <c r="N837" s="14">
        <v>40827</v>
      </c>
      <c r="O837" s="5">
        <v>1037.72</v>
      </c>
      <c r="P837" s="14"/>
      <c r="T837" s="14">
        <v>41102</v>
      </c>
      <c r="U837" s="5">
        <v>49.03</v>
      </c>
    </row>
    <row r="838" spans="14:21" x14ac:dyDescent="0.75">
      <c r="N838" s="14">
        <v>40826</v>
      </c>
      <c r="O838" s="5">
        <v>1038.51</v>
      </c>
      <c r="P838" s="14"/>
      <c r="T838" s="14">
        <v>41101</v>
      </c>
      <c r="U838" s="5">
        <v>48.5</v>
      </c>
    </row>
    <row r="839" spans="14:21" x14ac:dyDescent="0.75">
      <c r="N839" s="14">
        <v>40823</v>
      </c>
      <c r="O839" s="5">
        <v>1037.18</v>
      </c>
      <c r="P839" s="14"/>
      <c r="T839" s="14">
        <v>41100</v>
      </c>
      <c r="U839" s="5">
        <v>48.37</v>
      </c>
    </row>
    <row r="840" spans="14:21" x14ac:dyDescent="0.75">
      <c r="N840" s="14">
        <v>40822</v>
      </c>
      <c r="O840" s="5">
        <v>1037.7</v>
      </c>
      <c r="P840" s="14"/>
      <c r="T840" s="14">
        <v>41099</v>
      </c>
      <c r="U840" s="5">
        <v>48.93</v>
      </c>
    </row>
    <row r="841" spans="14:21" x14ac:dyDescent="0.75">
      <c r="N841" s="14">
        <v>40821</v>
      </c>
      <c r="O841" s="5">
        <v>1035.5999999999999</v>
      </c>
      <c r="P841" s="14"/>
      <c r="T841" s="14">
        <v>41096</v>
      </c>
      <c r="U841" s="5">
        <v>48.73</v>
      </c>
    </row>
    <row r="842" spans="14:21" x14ac:dyDescent="0.75">
      <c r="N842" s="14">
        <v>40820</v>
      </c>
      <c r="O842" s="5">
        <v>1032.74</v>
      </c>
      <c r="P842" s="14"/>
      <c r="T842" s="14">
        <v>41095</v>
      </c>
      <c r="U842" s="5">
        <v>48.53</v>
      </c>
    </row>
    <row r="843" spans="14:21" x14ac:dyDescent="0.75">
      <c r="N843" s="14">
        <v>40819</v>
      </c>
      <c r="O843" s="5">
        <v>1036.81</v>
      </c>
      <c r="P843" s="14"/>
      <c r="T843" s="14">
        <v>41093</v>
      </c>
      <c r="U843" s="5">
        <v>48.8</v>
      </c>
    </row>
    <row r="844" spans="14:21" x14ac:dyDescent="0.75">
      <c r="N844" s="14">
        <v>40816</v>
      </c>
      <c r="O844" s="5">
        <v>1039.58</v>
      </c>
      <c r="P844" s="14"/>
      <c r="T844" s="14">
        <v>41092</v>
      </c>
      <c r="U844" s="5">
        <v>48.59</v>
      </c>
    </row>
    <row r="845" spans="14:21" x14ac:dyDescent="0.75">
      <c r="N845" s="14">
        <v>40815</v>
      </c>
      <c r="O845" s="5">
        <v>1042.7</v>
      </c>
      <c r="P845" s="14"/>
      <c r="T845" s="14">
        <v>41089</v>
      </c>
      <c r="U845" s="5">
        <v>48.1</v>
      </c>
    </row>
    <row r="846" spans="14:21" x14ac:dyDescent="0.75">
      <c r="N846" s="14">
        <v>40814</v>
      </c>
      <c r="O846" s="5">
        <v>1044.43</v>
      </c>
      <c r="P846" s="14"/>
      <c r="T846" s="14">
        <v>41088</v>
      </c>
      <c r="U846" s="5">
        <v>47.04</v>
      </c>
    </row>
    <row r="847" spans="14:21" x14ac:dyDescent="0.75">
      <c r="N847" s="14">
        <v>40813</v>
      </c>
      <c r="O847" s="5">
        <v>1045.76</v>
      </c>
      <c r="P847" s="14"/>
      <c r="T847" s="14">
        <v>41087</v>
      </c>
      <c r="U847" s="5">
        <v>46.47</v>
      </c>
    </row>
    <row r="848" spans="14:21" x14ac:dyDescent="0.75">
      <c r="N848" s="14">
        <v>40812</v>
      </c>
      <c r="O848" s="5">
        <v>1045.3800000000001</v>
      </c>
      <c r="P848" s="14"/>
      <c r="T848" s="14">
        <v>41086</v>
      </c>
      <c r="U848" s="5">
        <v>46.41</v>
      </c>
    </row>
    <row r="849" spans="14:21" x14ac:dyDescent="0.75">
      <c r="N849" s="14">
        <v>40809</v>
      </c>
      <c r="O849" s="5">
        <v>1047.43</v>
      </c>
      <c r="P849" s="14"/>
      <c r="T849" s="14">
        <v>41085</v>
      </c>
      <c r="U849" s="5">
        <v>46.3399</v>
      </c>
    </row>
    <row r="850" spans="14:21" x14ac:dyDescent="0.75">
      <c r="N850" s="14">
        <v>40808</v>
      </c>
      <c r="O850" s="5">
        <v>1048.97</v>
      </c>
      <c r="P850" s="14"/>
      <c r="T850" s="14">
        <v>41082</v>
      </c>
      <c r="U850" s="5">
        <v>46.29</v>
      </c>
    </row>
    <row r="851" spans="14:21" x14ac:dyDescent="0.75">
      <c r="N851" s="14">
        <v>40807</v>
      </c>
      <c r="O851" s="5">
        <v>1055.08</v>
      </c>
      <c r="P851" s="14"/>
      <c r="T851" s="14">
        <v>41081</v>
      </c>
      <c r="U851" s="5">
        <v>46.41</v>
      </c>
    </row>
    <row r="852" spans="14:21" x14ac:dyDescent="0.75">
      <c r="N852" s="14">
        <v>40806</v>
      </c>
      <c r="O852" s="5">
        <v>1057.99</v>
      </c>
      <c r="P852" s="14"/>
      <c r="T852" s="14">
        <v>41080</v>
      </c>
      <c r="U852" s="5">
        <v>47.09</v>
      </c>
    </row>
    <row r="853" spans="14:21" x14ac:dyDescent="0.75">
      <c r="N853" s="14">
        <v>40805</v>
      </c>
      <c r="O853" s="5">
        <v>1056.76</v>
      </c>
      <c r="P853" s="14"/>
      <c r="T853" s="14">
        <v>41079</v>
      </c>
      <c r="U853" s="5">
        <v>47.16</v>
      </c>
    </row>
    <row r="854" spans="14:21" x14ac:dyDescent="0.75">
      <c r="N854" s="14">
        <v>40802</v>
      </c>
      <c r="O854" s="5">
        <v>1059.21</v>
      </c>
      <c r="P854" s="14"/>
      <c r="T854" s="14">
        <v>41078</v>
      </c>
      <c r="U854" s="5">
        <v>47.65</v>
      </c>
    </row>
    <row r="855" spans="14:21" x14ac:dyDescent="0.75">
      <c r="N855" s="14">
        <v>40801</v>
      </c>
      <c r="O855" s="5">
        <v>1060.3599999999999</v>
      </c>
      <c r="P855" s="14"/>
      <c r="T855" s="14">
        <v>41075</v>
      </c>
      <c r="U855" s="5">
        <v>47.328899999999997</v>
      </c>
    </row>
    <row r="856" spans="14:21" x14ac:dyDescent="0.75">
      <c r="N856" s="14">
        <v>40800</v>
      </c>
      <c r="O856" s="5">
        <v>1059.01</v>
      </c>
      <c r="P856" s="14"/>
      <c r="T856" s="14">
        <v>41074</v>
      </c>
      <c r="U856" s="5">
        <v>46.99</v>
      </c>
    </row>
    <row r="857" spans="14:21" x14ac:dyDescent="0.75">
      <c r="N857" s="14">
        <v>40799</v>
      </c>
      <c r="O857" s="5">
        <v>1059.23</v>
      </c>
      <c r="P857" s="14"/>
      <c r="T857" s="14">
        <v>41073</v>
      </c>
      <c r="U857" s="5">
        <v>46.23</v>
      </c>
    </row>
    <row r="858" spans="14:21" x14ac:dyDescent="0.75">
      <c r="N858" s="14">
        <v>40798</v>
      </c>
      <c r="O858" s="5">
        <v>1058.8800000000001</v>
      </c>
      <c r="P858" s="14"/>
      <c r="T858" s="14">
        <v>41072</v>
      </c>
      <c r="U858" s="5">
        <v>46.37</v>
      </c>
    </row>
    <row r="859" spans="14:21" x14ac:dyDescent="0.75">
      <c r="N859" s="14">
        <v>40795</v>
      </c>
      <c r="O859" s="5">
        <v>1062.58</v>
      </c>
      <c r="P859" s="14"/>
      <c r="T859" s="14">
        <v>41071</v>
      </c>
      <c r="U859" s="5">
        <v>46</v>
      </c>
    </row>
    <row r="860" spans="14:21" x14ac:dyDescent="0.75">
      <c r="N860" s="14">
        <v>40794</v>
      </c>
      <c r="O860" s="5">
        <v>1064.6500000000001</v>
      </c>
      <c r="P860" s="14"/>
      <c r="T860" s="14">
        <v>41068</v>
      </c>
      <c r="U860" s="5">
        <v>46.905200000000001</v>
      </c>
    </row>
    <row r="861" spans="14:21" x14ac:dyDescent="0.75">
      <c r="N861" s="14">
        <v>40793</v>
      </c>
      <c r="O861" s="5">
        <v>1065.23</v>
      </c>
      <c r="P861" s="14"/>
      <c r="T861" s="14">
        <v>41067</v>
      </c>
      <c r="U861" s="5">
        <v>46.28</v>
      </c>
    </row>
    <row r="862" spans="14:21" x14ac:dyDescent="0.75">
      <c r="N862" s="14">
        <v>40792</v>
      </c>
      <c r="O862" s="5">
        <v>1064.6400000000001</v>
      </c>
      <c r="P862" s="14"/>
      <c r="T862" s="14">
        <v>41066</v>
      </c>
      <c r="U862" s="5">
        <v>46.54</v>
      </c>
    </row>
    <row r="863" spans="14:21" x14ac:dyDescent="0.75">
      <c r="N863" s="14">
        <v>40788</v>
      </c>
      <c r="O863" s="5">
        <v>1067.74</v>
      </c>
      <c r="P863" s="14"/>
      <c r="T863" s="14">
        <v>41065</v>
      </c>
      <c r="U863" s="5">
        <v>45.72</v>
      </c>
    </row>
    <row r="864" spans="14:21" x14ac:dyDescent="0.75">
      <c r="N864" s="14">
        <v>40787</v>
      </c>
      <c r="O864" s="5">
        <v>1070.97</v>
      </c>
      <c r="P864" s="14"/>
      <c r="T864" s="14">
        <v>41064</v>
      </c>
      <c r="U864" s="5">
        <v>44.91</v>
      </c>
    </row>
    <row r="865" spans="14:21" x14ac:dyDescent="0.75">
      <c r="N865" s="14">
        <v>40786</v>
      </c>
      <c r="O865" s="5">
        <v>1070.5999999999999</v>
      </c>
      <c r="P865" s="14"/>
      <c r="T865" s="14">
        <v>41061</v>
      </c>
      <c r="U865" s="5">
        <v>45.23</v>
      </c>
    </row>
    <row r="866" spans="14:21" x14ac:dyDescent="0.75">
      <c r="N866" s="14">
        <v>40785</v>
      </c>
      <c r="O866" s="5">
        <v>1068.31</v>
      </c>
      <c r="P866" s="14"/>
      <c r="T866" s="14">
        <v>41060</v>
      </c>
      <c r="U866" s="5">
        <v>46.2</v>
      </c>
    </row>
    <row r="867" spans="14:21" x14ac:dyDescent="0.75">
      <c r="N867" s="14">
        <v>40784</v>
      </c>
      <c r="O867" s="5">
        <v>1067.33</v>
      </c>
      <c r="P867" s="14"/>
      <c r="T867" s="14">
        <v>41059</v>
      </c>
      <c r="U867" s="5">
        <v>45.74</v>
      </c>
    </row>
    <row r="868" spans="14:21" x14ac:dyDescent="0.75">
      <c r="N868" s="14">
        <v>40781</v>
      </c>
      <c r="O868" s="5">
        <v>1064.77</v>
      </c>
      <c r="P868" s="14"/>
      <c r="T868" s="14">
        <v>41058</v>
      </c>
      <c r="U868" s="5">
        <v>46.76</v>
      </c>
    </row>
    <row r="869" spans="14:21" x14ac:dyDescent="0.75">
      <c r="N869" s="14">
        <v>40780</v>
      </c>
      <c r="O869" s="5">
        <v>1064.08</v>
      </c>
      <c r="P869" s="14"/>
      <c r="T869" s="14">
        <v>41054</v>
      </c>
      <c r="U869" s="5">
        <v>46.2</v>
      </c>
    </row>
    <row r="870" spans="14:21" x14ac:dyDescent="0.75">
      <c r="N870" s="14">
        <v>40779</v>
      </c>
      <c r="O870" s="5">
        <v>1064.23</v>
      </c>
      <c r="P870" s="14"/>
      <c r="T870" s="14">
        <v>41053</v>
      </c>
      <c r="U870" s="5">
        <v>46.33</v>
      </c>
    </row>
    <row r="871" spans="14:21" x14ac:dyDescent="0.75">
      <c r="N871" s="14">
        <v>40778</v>
      </c>
      <c r="O871" s="5">
        <v>1064.51</v>
      </c>
      <c r="P871" s="14"/>
      <c r="T871" s="14">
        <v>41052</v>
      </c>
      <c r="U871" s="5">
        <v>46.12</v>
      </c>
    </row>
    <row r="872" spans="14:21" x14ac:dyDescent="0.75">
      <c r="N872" s="14">
        <v>40777</v>
      </c>
      <c r="O872" s="5">
        <v>1064.6600000000001</v>
      </c>
      <c r="P872" s="14"/>
      <c r="T872" s="14">
        <v>41051</v>
      </c>
      <c r="U872" s="5">
        <v>46.15</v>
      </c>
    </row>
    <row r="873" spans="14:21" x14ac:dyDescent="0.75">
      <c r="N873" s="14">
        <v>40774</v>
      </c>
      <c r="O873" s="5">
        <v>1065.58</v>
      </c>
      <c r="P873" s="14"/>
      <c r="T873" s="14">
        <v>41050</v>
      </c>
      <c r="U873" s="5">
        <v>46</v>
      </c>
    </row>
    <row r="874" spans="14:21" x14ac:dyDescent="0.75">
      <c r="N874" s="14">
        <v>40773</v>
      </c>
      <c r="O874" s="5">
        <v>1067.5</v>
      </c>
      <c r="P874" s="14"/>
      <c r="T874" s="14">
        <v>41047</v>
      </c>
      <c r="U874" s="5">
        <v>45.16</v>
      </c>
    </row>
    <row r="875" spans="14:21" x14ac:dyDescent="0.75">
      <c r="N875" s="14">
        <v>40772</v>
      </c>
      <c r="O875" s="5">
        <v>1073.82</v>
      </c>
      <c r="P875" s="14"/>
      <c r="T875" s="14">
        <v>41046</v>
      </c>
      <c r="U875" s="5">
        <v>45.53</v>
      </c>
    </row>
    <row r="876" spans="14:21" x14ac:dyDescent="0.75">
      <c r="N876" s="14">
        <v>40771</v>
      </c>
      <c r="O876" s="5">
        <v>1074.56</v>
      </c>
      <c r="P876" s="14"/>
      <c r="T876" s="14">
        <v>41045</v>
      </c>
      <c r="U876" s="5">
        <v>46.55</v>
      </c>
    </row>
    <row r="877" spans="14:21" x14ac:dyDescent="0.75">
      <c r="N877" s="14">
        <v>40770</v>
      </c>
      <c r="O877" s="5">
        <v>1076.81</v>
      </c>
      <c r="P877" s="14"/>
      <c r="T877" s="14">
        <v>41044</v>
      </c>
      <c r="U877" s="5">
        <v>46.971600000000002</v>
      </c>
    </row>
    <row r="878" spans="14:21" x14ac:dyDescent="0.75">
      <c r="N878" s="14">
        <v>40767</v>
      </c>
      <c r="O878" s="5">
        <v>1073.68</v>
      </c>
      <c r="P878" s="14"/>
      <c r="T878" s="14">
        <v>41043</v>
      </c>
      <c r="U878" s="5">
        <v>47.26</v>
      </c>
    </row>
    <row r="879" spans="14:21" x14ac:dyDescent="0.75">
      <c r="N879" s="14">
        <v>40766</v>
      </c>
      <c r="O879" s="5">
        <v>1071.3399999999999</v>
      </c>
      <c r="P879" s="14"/>
      <c r="T879" s="14">
        <v>41040</v>
      </c>
      <c r="U879" s="5">
        <v>47.79</v>
      </c>
    </row>
    <row r="880" spans="14:21" x14ac:dyDescent="0.75">
      <c r="N880" s="14">
        <v>40765</v>
      </c>
      <c r="O880" s="5">
        <v>1068.3900000000001</v>
      </c>
      <c r="P880" s="14"/>
      <c r="T880" s="14">
        <v>41039</v>
      </c>
      <c r="U880" s="5">
        <v>47.76</v>
      </c>
    </row>
    <row r="881" spans="14:21" x14ac:dyDescent="0.75">
      <c r="N881" s="14">
        <v>40764</v>
      </c>
      <c r="O881" s="5">
        <v>1069.81</v>
      </c>
      <c r="P881" s="14"/>
      <c r="T881" s="14">
        <v>41038</v>
      </c>
      <c r="U881" s="5">
        <v>47.74</v>
      </c>
    </row>
    <row r="882" spans="14:21" x14ac:dyDescent="0.75">
      <c r="N882" s="14">
        <v>40763</v>
      </c>
      <c r="O882" s="5">
        <v>1064.8699999999999</v>
      </c>
      <c r="P882" s="14"/>
      <c r="T882" s="14">
        <v>41037</v>
      </c>
      <c r="U882" s="5">
        <v>47.8</v>
      </c>
    </row>
    <row r="883" spans="14:21" x14ac:dyDescent="0.75">
      <c r="N883" s="14">
        <v>40760</v>
      </c>
      <c r="O883" s="5">
        <v>1078.33</v>
      </c>
      <c r="P883" s="14"/>
      <c r="T883" s="14">
        <v>41036</v>
      </c>
      <c r="U883" s="5">
        <v>47.88</v>
      </c>
    </row>
    <row r="884" spans="14:21" x14ac:dyDescent="0.75">
      <c r="N884" s="14">
        <v>40759</v>
      </c>
      <c r="O884" s="5">
        <v>1083.3599999999999</v>
      </c>
      <c r="P884" s="14"/>
      <c r="T884" s="14">
        <v>41033</v>
      </c>
      <c r="U884" s="5">
        <v>47.45</v>
      </c>
    </row>
    <row r="885" spans="14:21" x14ac:dyDescent="0.75">
      <c r="N885" s="14">
        <v>40758</v>
      </c>
      <c r="O885" s="5">
        <v>1092.48</v>
      </c>
      <c r="P885" s="14"/>
      <c r="T885" s="14">
        <v>41032</v>
      </c>
      <c r="U885" s="5">
        <v>47.7</v>
      </c>
    </row>
    <row r="886" spans="14:21" x14ac:dyDescent="0.75">
      <c r="N886" s="14">
        <v>40757</v>
      </c>
      <c r="O886" s="5">
        <v>1097.22</v>
      </c>
      <c r="P886" s="14"/>
      <c r="T886" s="14">
        <v>41031</v>
      </c>
      <c r="U886" s="5">
        <v>47.9</v>
      </c>
    </row>
    <row r="887" spans="14:21" x14ac:dyDescent="0.75">
      <c r="N887" s="14">
        <v>40756</v>
      </c>
      <c r="O887" s="5">
        <v>1099.7</v>
      </c>
      <c r="P887" s="14"/>
      <c r="T887" s="14">
        <v>41030</v>
      </c>
      <c r="U887" s="5">
        <v>47.9</v>
      </c>
    </row>
    <row r="888" spans="14:21" x14ac:dyDescent="0.75">
      <c r="N888" s="14">
        <v>40753</v>
      </c>
      <c r="O888" s="5">
        <v>1100.22</v>
      </c>
      <c r="P888" s="14"/>
      <c r="T888" s="14">
        <v>41029</v>
      </c>
      <c r="U888" s="5">
        <v>47.5</v>
      </c>
    </row>
    <row r="889" spans="14:21" x14ac:dyDescent="0.75">
      <c r="N889" s="14">
        <v>40752</v>
      </c>
      <c r="O889" s="5">
        <v>1100.3900000000001</v>
      </c>
      <c r="P889" s="14"/>
      <c r="T889" s="14">
        <v>41026</v>
      </c>
      <c r="U889" s="5">
        <v>47.71</v>
      </c>
    </row>
    <row r="890" spans="14:21" x14ac:dyDescent="0.75">
      <c r="N890" s="14">
        <v>40751</v>
      </c>
      <c r="O890" s="5">
        <v>1102.2</v>
      </c>
      <c r="P890" s="14"/>
      <c r="T890" s="14">
        <v>41025</v>
      </c>
      <c r="U890" s="5">
        <v>47.48</v>
      </c>
    </row>
    <row r="891" spans="14:21" x14ac:dyDescent="0.75">
      <c r="N891" s="14">
        <v>40750</v>
      </c>
      <c r="O891" s="5">
        <v>1104.3800000000001</v>
      </c>
      <c r="P891" s="14"/>
      <c r="T891" s="14">
        <v>41024</v>
      </c>
      <c r="U891" s="5">
        <v>47.49</v>
      </c>
    </row>
    <row r="892" spans="14:21" x14ac:dyDescent="0.75">
      <c r="N892" s="14">
        <v>40749</v>
      </c>
      <c r="O892" s="5">
        <v>1104.3699999999999</v>
      </c>
      <c r="P892" s="14"/>
      <c r="T892" s="14">
        <v>41023</v>
      </c>
      <c r="U892" s="5">
        <v>46.93</v>
      </c>
    </row>
    <row r="893" spans="14:21" x14ac:dyDescent="0.75">
      <c r="N893" s="14">
        <v>40746</v>
      </c>
      <c r="O893" s="5">
        <v>1104.56</v>
      </c>
      <c r="P893" s="14"/>
      <c r="T893" s="14">
        <v>41022</v>
      </c>
      <c r="U893" s="5">
        <v>46.22</v>
      </c>
    </row>
    <row r="894" spans="14:21" x14ac:dyDescent="0.75">
      <c r="N894" s="14">
        <v>40745</v>
      </c>
      <c r="O894" s="5">
        <v>1103.46</v>
      </c>
      <c r="P894" s="14"/>
      <c r="T894" s="14">
        <v>41019</v>
      </c>
      <c r="U894" s="5">
        <v>46.600999999999999</v>
      </c>
    </row>
    <row r="895" spans="14:21" x14ac:dyDescent="0.75">
      <c r="N895" s="14">
        <v>40744</v>
      </c>
      <c r="O895" s="5">
        <v>1103.6400000000001</v>
      </c>
      <c r="P895" s="14"/>
      <c r="T895" s="14">
        <v>41018</v>
      </c>
      <c r="U895" s="5">
        <v>45.989899999999999</v>
      </c>
    </row>
    <row r="896" spans="14:21" x14ac:dyDescent="0.75">
      <c r="N896" s="14">
        <v>40743</v>
      </c>
      <c r="O896" s="5">
        <v>1104.69</v>
      </c>
      <c r="P896" s="14"/>
      <c r="T896" s="14">
        <v>41017</v>
      </c>
      <c r="U896" s="5">
        <v>46.06</v>
      </c>
    </row>
    <row r="897" spans="14:21" x14ac:dyDescent="0.75">
      <c r="N897" s="14">
        <v>40742</v>
      </c>
      <c r="O897" s="5">
        <v>1102.28</v>
      </c>
      <c r="P897" s="14"/>
      <c r="T897" s="14">
        <v>41016</v>
      </c>
      <c r="U897" s="5">
        <v>46.38</v>
      </c>
    </row>
    <row r="898" spans="14:21" x14ac:dyDescent="0.75">
      <c r="N898" s="14">
        <v>40739</v>
      </c>
      <c r="O898" s="5">
        <v>1104.24</v>
      </c>
      <c r="P898" s="14"/>
      <c r="T898" s="14">
        <v>41015</v>
      </c>
      <c r="U898" s="5">
        <v>46.15</v>
      </c>
    </row>
    <row r="899" spans="14:21" x14ac:dyDescent="0.75">
      <c r="N899" s="14">
        <v>40738</v>
      </c>
      <c r="O899" s="5">
        <v>1102.24</v>
      </c>
      <c r="P899" s="14"/>
      <c r="T899" s="14">
        <v>41012</v>
      </c>
      <c r="U899" s="5">
        <v>45.57</v>
      </c>
    </row>
    <row r="900" spans="14:21" x14ac:dyDescent="0.75">
      <c r="N900" s="14">
        <v>40737</v>
      </c>
      <c r="O900" s="5">
        <v>1103.8900000000001</v>
      </c>
      <c r="P900" s="14"/>
      <c r="T900" s="14">
        <v>41011</v>
      </c>
      <c r="U900" s="5">
        <v>45.62</v>
      </c>
    </row>
    <row r="901" spans="14:21" x14ac:dyDescent="0.75">
      <c r="N901" s="14">
        <v>40735</v>
      </c>
      <c r="O901" s="5">
        <v>1103.18</v>
      </c>
      <c r="P901" s="14"/>
      <c r="T901" s="14">
        <v>41010</v>
      </c>
      <c r="U901" s="5">
        <v>45.06</v>
      </c>
    </row>
    <row r="902" spans="14:21" x14ac:dyDescent="0.75">
      <c r="N902" s="14">
        <v>40731</v>
      </c>
      <c r="O902" s="5">
        <v>1107.32</v>
      </c>
      <c r="P902" s="14"/>
      <c r="T902" s="14">
        <v>41009</v>
      </c>
      <c r="U902" s="5">
        <v>44.55</v>
      </c>
    </row>
    <row r="903" spans="14:21" x14ac:dyDescent="0.75">
      <c r="N903" s="14">
        <v>40730</v>
      </c>
      <c r="O903" s="5">
        <v>1105.75</v>
      </c>
      <c r="P903" s="14"/>
      <c r="T903" s="14">
        <v>41008</v>
      </c>
      <c r="U903" s="5">
        <v>45.4499</v>
      </c>
    </row>
    <row r="904" spans="14:21" x14ac:dyDescent="0.75">
      <c r="N904" s="14">
        <v>40729</v>
      </c>
      <c r="O904" s="5">
        <v>1105.44</v>
      </c>
      <c r="P904" s="14"/>
      <c r="T904" s="14">
        <v>41004</v>
      </c>
      <c r="U904" s="5">
        <v>45.89</v>
      </c>
    </row>
    <row r="905" spans="14:21" x14ac:dyDescent="0.75">
      <c r="N905" s="14">
        <v>40725</v>
      </c>
      <c r="O905" s="5">
        <v>1103.93</v>
      </c>
      <c r="P905" s="14"/>
      <c r="T905" s="14">
        <v>41003</v>
      </c>
      <c r="U905" s="5">
        <v>46.060001</v>
      </c>
    </row>
    <row r="906" spans="14:21" x14ac:dyDescent="0.75">
      <c r="N906" s="14">
        <v>40723</v>
      </c>
      <c r="O906" s="5">
        <v>1099</v>
      </c>
      <c r="P906" s="14"/>
      <c r="T906" s="14">
        <v>41002</v>
      </c>
      <c r="U906" s="5">
        <v>46.47</v>
      </c>
    </row>
    <row r="907" spans="14:21" x14ac:dyDescent="0.75">
      <c r="N907" s="14">
        <v>40722</v>
      </c>
      <c r="O907" s="5">
        <v>1097.17</v>
      </c>
      <c r="P907" s="14"/>
      <c r="T907" s="14">
        <v>41001</v>
      </c>
      <c r="U907" s="5">
        <v>46.68</v>
      </c>
    </row>
    <row r="908" spans="14:21" x14ac:dyDescent="0.75">
      <c r="N908" s="14">
        <v>40721</v>
      </c>
      <c r="O908" s="5">
        <v>1095.25</v>
      </c>
      <c r="P908" s="14"/>
      <c r="T908" s="14">
        <v>40998</v>
      </c>
      <c r="U908" s="5">
        <v>46.41</v>
      </c>
    </row>
    <row r="909" spans="14:21" x14ac:dyDescent="0.75">
      <c r="N909" s="14">
        <v>40718</v>
      </c>
      <c r="O909" s="5">
        <v>1095.77</v>
      </c>
      <c r="P909" s="14"/>
      <c r="T909" s="14">
        <v>40997</v>
      </c>
      <c r="U909" s="5">
        <v>45.945999999999998</v>
      </c>
    </row>
    <row r="910" spans="14:21" x14ac:dyDescent="0.75">
      <c r="N910" s="14">
        <v>40717</v>
      </c>
      <c r="O910" s="5">
        <v>1096.73</v>
      </c>
      <c r="P910" s="14"/>
      <c r="T910" s="14">
        <v>40996</v>
      </c>
      <c r="U910" s="5">
        <v>45.78</v>
      </c>
    </row>
    <row r="911" spans="14:21" x14ac:dyDescent="0.75">
      <c r="N911" s="14">
        <v>40716</v>
      </c>
      <c r="O911" s="5">
        <v>1097.6300000000001</v>
      </c>
      <c r="P911" s="14"/>
      <c r="T911" s="14">
        <v>40995</v>
      </c>
      <c r="U911" s="5">
        <v>45.84</v>
      </c>
    </row>
    <row r="912" spans="14:21" x14ac:dyDescent="0.75">
      <c r="N912" s="14">
        <v>40714</v>
      </c>
      <c r="O912" s="5">
        <v>1095.17</v>
      </c>
      <c r="P912" s="14"/>
      <c r="T912" s="14">
        <v>40994</v>
      </c>
      <c r="U912" s="5">
        <v>45.79</v>
      </c>
    </row>
    <row r="913" spans="14:21" x14ac:dyDescent="0.75">
      <c r="N913" s="14">
        <v>40711</v>
      </c>
      <c r="O913" s="5">
        <v>1096.3900000000001</v>
      </c>
      <c r="P913" s="14"/>
      <c r="T913" s="14">
        <v>40991</v>
      </c>
      <c r="U913" s="5">
        <v>45.721299999999999</v>
      </c>
    </row>
    <row r="914" spans="14:21" x14ac:dyDescent="0.75">
      <c r="N914" s="14">
        <v>40710</v>
      </c>
      <c r="O914" s="5">
        <v>1096.52</v>
      </c>
      <c r="P914" s="14"/>
      <c r="T914" s="14">
        <v>40990</v>
      </c>
      <c r="U914" s="5">
        <v>45.3</v>
      </c>
    </row>
    <row r="915" spans="14:21" x14ac:dyDescent="0.75">
      <c r="N915" s="14">
        <v>40709</v>
      </c>
      <c r="O915" s="5">
        <v>1099.45</v>
      </c>
      <c r="P915" s="14"/>
      <c r="T915" s="14">
        <v>40989</v>
      </c>
      <c r="U915" s="5">
        <v>45.98</v>
      </c>
    </row>
    <row r="916" spans="14:21" x14ac:dyDescent="0.75">
      <c r="N916" s="14">
        <v>40707</v>
      </c>
      <c r="O916" s="5">
        <v>1101.4100000000001</v>
      </c>
      <c r="P916" s="14"/>
      <c r="T916" s="14">
        <v>40988</v>
      </c>
      <c r="U916" s="5">
        <v>46.121000000000002</v>
      </c>
    </row>
    <row r="917" spans="14:21" x14ac:dyDescent="0.75">
      <c r="N917" s="14">
        <v>40704</v>
      </c>
      <c r="O917" s="5">
        <v>1102.8699999999999</v>
      </c>
      <c r="P917" s="14"/>
      <c r="T917" s="14">
        <v>40987</v>
      </c>
      <c r="U917" s="5">
        <v>46.21</v>
      </c>
    </row>
    <row r="918" spans="14:21" x14ac:dyDescent="0.75">
      <c r="N918" s="14">
        <v>40703</v>
      </c>
      <c r="O918" s="5">
        <v>1105.28</v>
      </c>
      <c r="P918" s="14"/>
      <c r="T918" s="14">
        <v>40984</v>
      </c>
      <c r="U918" s="5">
        <v>45.89</v>
      </c>
    </row>
    <row r="919" spans="14:21" x14ac:dyDescent="0.75">
      <c r="N919" s="14">
        <v>40702</v>
      </c>
      <c r="O919" s="5">
        <v>1105.2</v>
      </c>
      <c r="P919" s="14"/>
      <c r="T919" s="14">
        <v>40983</v>
      </c>
      <c r="U919" s="5">
        <v>45.613999999999997</v>
      </c>
    </row>
    <row r="920" spans="14:21" x14ac:dyDescent="0.75">
      <c r="N920" s="14">
        <v>40696</v>
      </c>
      <c r="O920" s="5">
        <v>1111.76</v>
      </c>
      <c r="P920" s="14"/>
      <c r="T920" s="14">
        <v>40982</v>
      </c>
      <c r="U920" s="5">
        <v>45.85</v>
      </c>
    </row>
    <row r="921" spans="14:21" x14ac:dyDescent="0.75">
      <c r="N921" s="14">
        <v>40695</v>
      </c>
      <c r="O921" s="5">
        <v>1112.3599999999999</v>
      </c>
      <c r="P921" s="14"/>
      <c r="T921" s="14">
        <v>40981</v>
      </c>
      <c r="U921" s="5">
        <v>46.049999</v>
      </c>
    </row>
    <row r="922" spans="14:21" x14ac:dyDescent="0.75">
      <c r="N922" s="14">
        <v>40690</v>
      </c>
      <c r="O922" s="5">
        <v>1109.48</v>
      </c>
      <c r="P922" s="14"/>
      <c r="T922" s="14">
        <v>40980</v>
      </c>
      <c r="U922" s="5">
        <v>45.27</v>
      </c>
    </row>
    <row r="923" spans="14:21" x14ac:dyDescent="0.75">
      <c r="N923" s="14">
        <v>40689</v>
      </c>
      <c r="O923" s="5">
        <v>1107.81</v>
      </c>
      <c r="P923" s="14"/>
      <c r="T923" s="14">
        <v>40977</v>
      </c>
      <c r="U923" s="5">
        <v>44.917999999999999</v>
      </c>
    </row>
    <row r="924" spans="14:21" x14ac:dyDescent="0.75">
      <c r="N924" s="14">
        <v>40688</v>
      </c>
      <c r="O924" s="5">
        <v>1108.79</v>
      </c>
      <c r="P924" s="14"/>
      <c r="T924" s="14">
        <v>40976</v>
      </c>
      <c r="U924" s="5">
        <v>44.47</v>
      </c>
    </row>
    <row r="925" spans="14:21" x14ac:dyDescent="0.75">
      <c r="N925" s="14">
        <v>40686</v>
      </c>
      <c r="O925" s="5">
        <v>1106.8499999999999</v>
      </c>
      <c r="P925" s="14"/>
      <c r="T925" s="14">
        <v>40975</v>
      </c>
      <c r="U925" s="5">
        <v>44.67</v>
      </c>
    </row>
    <row r="926" spans="14:21" x14ac:dyDescent="0.75">
      <c r="N926" s="14">
        <v>40683</v>
      </c>
      <c r="O926" s="5">
        <v>1110.6199999999999</v>
      </c>
      <c r="P926" s="14"/>
      <c r="T926" s="14">
        <v>40974</v>
      </c>
      <c r="U926" s="5">
        <v>44.57</v>
      </c>
    </row>
    <row r="927" spans="14:21" x14ac:dyDescent="0.75">
      <c r="N927" s="14">
        <v>40682</v>
      </c>
      <c r="O927" s="5">
        <v>1110.94</v>
      </c>
      <c r="P927" s="14"/>
      <c r="T927" s="14">
        <v>40973</v>
      </c>
      <c r="U927" s="5">
        <v>45.05</v>
      </c>
    </row>
    <row r="928" spans="14:21" x14ac:dyDescent="0.75">
      <c r="N928" s="14">
        <v>40681</v>
      </c>
      <c r="O928" s="5">
        <v>1110.3499999999999</v>
      </c>
      <c r="P928" s="14"/>
      <c r="T928" s="14">
        <v>40970</v>
      </c>
      <c r="U928" s="5">
        <v>44.52</v>
      </c>
    </row>
    <row r="929" spans="14:21" x14ac:dyDescent="0.75">
      <c r="N929" s="14">
        <v>40679</v>
      </c>
      <c r="O929" s="5">
        <v>1110.05</v>
      </c>
      <c r="P929" s="14"/>
      <c r="T929" s="14">
        <v>40969</v>
      </c>
      <c r="U929" s="5">
        <v>44.5944</v>
      </c>
    </row>
    <row r="930" spans="14:21" x14ac:dyDescent="0.75">
      <c r="N930" s="14">
        <v>40676</v>
      </c>
      <c r="O930" s="5">
        <v>1111.21</v>
      </c>
      <c r="P930" s="14"/>
      <c r="T930" s="14">
        <v>40968</v>
      </c>
      <c r="U930" s="5">
        <v>44.369999</v>
      </c>
    </row>
    <row r="931" spans="14:21" x14ac:dyDescent="0.75">
      <c r="N931" s="14">
        <v>40675</v>
      </c>
      <c r="O931" s="5">
        <v>1112.8800000000001</v>
      </c>
      <c r="P931" s="14"/>
      <c r="T931" s="14">
        <v>40967</v>
      </c>
      <c r="U931" s="5">
        <v>44.47</v>
      </c>
    </row>
    <row r="932" spans="14:21" x14ac:dyDescent="0.75">
      <c r="N932" s="14">
        <v>40674</v>
      </c>
      <c r="O932" s="5">
        <v>1114.22</v>
      </c>
      <c r="P932" s="14"/>
      <c r="T932" s="14">
        <v>40966</v>
      </c>
      <c r="U932" s="5">
        <v>44.87</v>
      </c>
    </row>
    <row r="933" spans="14:21" x14ac:dyDescent="0.75">
      <c r="N933" s="14">
        <v>40672</v>
      </c>
      <c r="O933" s="5">
        <v>1116.5899999999999</v>
      </c>
      <c r="P933" s="14"/>
      <c r="T933" s="14">
        <v>40963</v>
      </c>
      <c r="U933" s="5">
        <v>44.9</v>
      </c>
    </row>
    <row r="934" spans="14:21" x14ac:dyDescent="0.75">
      <c r="N934" s="14">
        <v>40669</v>
      </c>
      <c r="O934" s="5">
        <v>1114.72</v>
      </c>
      <c r="P934" s="14"/>
      <c r="T934" s="14">
        <v>40962</v>
      </c>
      <c r="U934" s="5">
        <v>44.85</v>
      </c>
    </row>
    <row r="935" spans="14:21" x14ac:dyDescent="0.75">
      <c r="N935" s="14">
        <v>40668</v>
      </c>
      <c r="O935" s="5">
        <v>1113.46</v>
      </c>
      <c r="P935" s="14"/>
      <c r="T935" s="14">
        <v>40961</v>
      </c>
      <c r="U935" s="5">
        <v>44.3</v>
      </c>
    </row>
    <row r="936" spans="14:21" x14ac:dyDescent="0.75">
      <c r="N936" s="14">
        <v>40666</v>
      </c>
      <c r="O936" s="5">
        <v>1120.73</v>
      </c>
      <c r="P936" s="14"/>
      <c r="T936" s="14">
        <v>40960</v>
      </c>
      <c r="U936" s="5">
        <v>44.61</v>
      </c>
    </row>
    <row r="937" spans="14:21" x14ac:dyDescent="0.75">
      <c r="N937" s="14">
        <v>40665</v>
      </c>
      <c r="O937" s="5">
        <v>1123.05</v>
      </c>
      <c r="P937" s="14"/>
      <c r="T937" s="14">
        <v>40956</v>
      </c>
      <c r="U937" s="5">
        <v>45.51</v>
      </c>
    </row>
    <row r="938" spans="14:21" x14ac:dyDescent="0.75">
      <c r="N938" s="14">
        <v>40661</v>
      </c>
      <c r="O938" s="5">
        <v>1122.45</v>
      </c>
      <c r="P938" s="14"/>
      <c r="T938" s="14">
        <v>40955</v>
      </c>
      <c r="U938" s="5">
        <v>45.44</v>
      </c>
    </row>
    <row r="939" spans="14:21" x14ac:dyDescent="0.75">
      <c r="N939" s="14">
        <v>40660</v>
      </c>
      <c r="O939" s="5">
        <v>1123.06</v>
      </c>
      <c r="P939" s="14"/>
      <c r="T939" s="14">
        <v>40954</v>
      </c>
      <c r="U939" s="5">
        <v>45.16</v>
      </c>
    </row>
    <row r="940" spans="14:21" x14ac:dyDescent="0.75">
      <c r="N940" s="14">
        <v>40659</v>
      </c>
      <c r="O940" s="5">
        <v>1122.8</v>
      </c>
      <c r="P940" s="14"/>
      <c r="T940" s="14">
        <v>40953</v>
      </c>
      <c r="U940" s="5">
        <v>45.54</v>
      </c>
    </row>
    <row r="941" spans="14:21" x14ac:dyDescent="0.75">
      <c r="N941" s="14">
        <v>40658</v>
      </c>
      <c r="O941" s="5">
        <v>1122.6400000000001</v>
      </c>
      <c r="P941" s="14"/>
      <c r="T941" s="14">
        <v>40952</v>
      </c>
      <c r="U941" s="5">
        <v>46.119900000000001</v>
      </c>
    </row>
    <row r="942" spans="14:21" x14ac:dyDescent="0.75">
      <c r="N942" s="14">
        <v>40654</v>
      </c>
      <c r="O942" s="5">
        <v>1122.48</v>
      </c>
      <c r="P942" s="14"/>
      <c r="T942" s="14">
        <v>40949</v>
      </c>
      <c r="U942" s="5">
        <v>45.658999999999999</v>
      </c>
    </row>
    <row r="943" spans="14:21" x14ac:dyDescent="0.75">
      <c r="N943" s="14">
        <v>40653</v>
      </c>
      <c r="O943" s="5">
        <v>1120.6300000000001</v>
      </c>
      <c r="P943" s="14"/>
      <c r="T943" s="14">
        <v>40948</v>
      </c>
      <c r="U943" s="5">
        <v>46.03</v>
      </c>
    </row>
    <row r="944" spans="14:21" x14ac:dyDescent="0.75">
      <c r="N944" s="14">
        <v>40652</v>
      </c>
      <c r="O944" s="5">
        <v>1117.48</v>
      </c>
      <c r="P944" s="14"/>
      <c r="T944" s="14">
        <v>40947</v>
      </c>
      <c r="U944" s="5">
        <v>46.46</v>
      </c>
    </row>
    <row r="945" spans="14:21" x14ac:dyDescent="0.75">
      <c r="N945" s="14">
        <v>40651</v>
      </c>
      <c r="O945" s="5">
        <v>1116.49</v>
      </c>
      <c r="P945" s="14"/>
      <c r="T945" s="14">
        <v>40946</v>
      </c>
      <c r="U945" s="5">
        <v>46.47</v>
      </c>
    </row>
    <row r="946" spans="14:21" x14ac:dyDescent="0.75">
      <c r="N946" s="14">
        <v>40648</v>
      </c>
      <c r="O946" s="5">
        <v>1119.47</v>
      </c>
      <c r="P946" s="14"/>
      <c r="T946" s="14">
        <v>40945</v>
      </c>
      <c r="U946" s="5">
        <v>46.45</v>
      </c>
    </row>
    <row r="947" spans="14:21" x14ac:dyDescent="0.75">
      <c r="N947" s="14">
        <v>40647</v>
      </c>
      <c r="O947" s="5">
        <v>1118.8399999999999</v>
      </c>
      <c r="P947" s="14"/>
      <c r="T947" s="14">
        <v>40942</v>
      </c>
      <c r="U947" s="5">
        <v>46.7</v>
      </c>
    </row>
    <row r="948" spans="14:21" x14ac:dyDescent="0.75">
      <c r="N948" s="14">
        <v>40646</v>
      </c>
      <c r="O948" s="5">
        <v>1119.73</v>
      </c>
      <c r="P948" s="14"/>
      <c r="T948" s="14">
        <v>40941</v>
      </c>
      <c r="U948" s="5">
        <v>46.19</v>
      </c>
    </row>
    <row r="949" spans="14:21" x14ac:dyDescent="0.75">
      <c r="N949" s="14">
        <v>40645</v>
      </c>
      <c r="O949" s="5">
        <v>1119.8</v>
      </c>
      <c r="P949" s="14"/>
      <c r="T949" s="14">
        <v>40940</v>
      </c>
      <c r="U949" s="5">
        <v>46.34</v>
      </c>
    </row>
    <row r="950" spans="14:21" x14ac:dyDescent="0.75">
      <c r="N950" s="14">
        <v>40644</v>
      </c>
      <c r="O950" s="5">
        <v>1121.1500000000001</v>
      </c>
      <c r="P950" s="14"/>
      <c r="T950" s="14">
        <v>40939</v>
      </c>
      <c r="U950" s="5">
        <v>46.09</v>
      </c>
    </row>
    <row r="951" spans="14:21" x14ac:dyDescent="0.75">
      <c r="N951" s="14">
        <v>40641</v>
      </c>
      <c r="O951" s="5">
        <v>1123.06</v>
      </c>
      <c r="P951" s="14"/>
      <c r="T951" s="14">
        <v>40938</v>
      </c>
      <c r="U951" s="5">
        <v>45.78</v>
      </c>
    </row>
    <row r="952" spans="14:21" x14ac:dyDescent="0.75">
      <c r="N952" s="14">
        <v>40640</v>
      </c>
      <c r="O952" s="5">
        <v>1121.54</v>
      </c>
      <c r="P952" s="14"/>
      <c r="T952" s="14">
        <v>40935</v>
      </c>
      <c r="U952" s="5">
        <v>45.988999999999997</v>
      </c>
    </row>
    <row r="953" spans="14:21" x14ac:dyDescent="0.75">
      <c r="N953" s="14">
        <v>40639</v>
      </c>
      <c r="O953" s="5">
        <v>1122.04</v>
      </c>
      <c r="P953" s="14"/>
      <c r="T953" s="14">
        <v>40934</v>
      </c>
      <c r="U953" s="5">
        <v>45.82</v>
      </c>
    </row>
    <row r="954" spans="14:21" x14ac:dyDescent="0.75">
      <c r="N954" s="14">
        <v>40638</v>
      </c>
      <c r="O954" s="5">
        <v>1121.94</v>
      </c>
      <c r="P954" s="14"/>
      <c r="T954" s="14">
        <v>40933</v>
      </c>
      <c r="U954" s="5">
        <v>45.3</v>
      </c>
    </row>
    <row r="955" spans="14:21" x14ac:dyDescent="0.75">
      <c r="N955" s="14">
        <v>40637</v>
      </c>
      <c r="O955" s="5">
        <v>1121.2</v>
      </c>
      <c r="P955" s="14"/>
      <c r="T955" s="14">
        <v>40932</v>
      </c>
      <c r="U955" s="5">
        <v>44.677199999999999</v>
      </c>
    </row>
    <row r="956" spans="14:21" x14ac:dyDescent="0.75">
      <c r="N956" s="14">
        <v>40634</v>
      </c>
      <c r="O956" s="5">
        <v>1121.06</v>
      </c>
      <c r="P956" s="14"/>
      <c r="T956" s="14">
        <v>40931</v>
      </c>
      <c r="U956" s="5">
        <v>44.52</v>
      </c>
    </row>
    <row r="957" spans="14:21" x14ac:dyDescent="0.75">
      <c r="N957" s="14">
        <v>40633</v>
      </c>
      <c r="O957" s="5">
        <v>1119.08</v>
      </c>
      <c r="P957" s="14"/>
      <c r="T957" s="14">
        <v>40928</v>
      </c>
      <c r="U957" s="5">
        <v>44.238999999999997</v>
      </c>
    </row>
    <row r="958" spans="14:21" x14ac:dyDescent="0.75">
      <c r="N958" s="14">
        <v>40632</v>
      </c>
      <c r="O958" s="5">
        <v>1116.8699999999999</v>
      </c>
      <c r="P958" s="14"/>
      <c r="T958" s="14">
        <v>40927</v>
      </c>
      <c r="U958" s="5">
        <v>44.23</v>
      </c>
    </row>
    <row r="959" spans="14:21" x14ac:dyDescent="0.75">
      <c r="N959" s="14">
        <v>40631</v>
      </c>
      <c r="O959" s="5">
        <v>1115.6600000000001</v>
      </c>
      <c r="P959" s="14"/>
      <c r="T959" s="14">
        <v>40926</v>
      </c>
      <c r="U959" s="5">
        <v>44.31</v>
      </c>
    </row>
    <row r="960" spans="14:21" x14ac:dyDescent="0.75">
      <c r="N960" s="14">
        <v>40630</v>
      </c>
      <c r="O960" s="5">
        <v>1115.42</v>
      </c>
      <c r="P960" s="14"/>
      <c r="T960" s="14">
        <v>40925</v>
      </c>
      <c r="U960" s="5">
        <v>44.06</v>
      </c>
    </row>
    <row r="961" spans="14:21" x14ac:dyDescent="0.75">
      <c r="N961" s="14">
        <v>40627</v>
      </c>
      <c r="O961" s="5">
        <v>1116.44</v>
      </c>
      <c r="P961" s="14"/>
      <c r="T961" s="14">
        <v>40921</v>
      </c>
      <c r="U961" s="5">
        <v>43.75</v>
      </c>
    </row>
    <row r="962" spans="14:21" x14ac:dyDescent="0.75">
      <c r="N962" s="14">
        <v>40626</v>
      </c>
      <c r="O962" s="5">
        <v>1116.48</v>
      </c>
      <c r="P962" s="14"/>
      <c r="T962" s="14">
        <v>40920</v>
      </c>
      <c r="U962" s="5">
        <v>43.4</v>
      </c>
    </row>
    <row r="963" spans="14:21" x14ac:dyDescent="0.75">
      <c r="N963" s="14">
        <v>40625</v>
      </c>
      <c r="O963" s="5">
        <v>1114.3499999999999</v>
      </c>
      <c r="P963" s="14"/>
      <c r="T963" s="14">
        <v>40919</v>
      </c>
      <c r="U963" s="5">
        <v>43.89</v>
      </c>
    </row>
    <row r="964" spans="14:21" x14ac:dyDescent="0.75">
      <c r="N964" s="14">
        <v>40624</v>
      </c>
      <c r="O964" s="5">
        <v>1113.96</v>
      </c>
      <c r="P964" s="14"/>
      <c r="T964" s="14">
        <v>40918</v>
      </c>
      <c r="U964" s="5">
        <v>43.89</v>
      </c>
    </row>
    <row r="965" spans="14:21" x14ac:dyDescent="0.75">
      <c r="N965" s="14">
        <v>40623</v>
      </c>
      <c r="O965" s="5">
        <v>1114.3</v>
      </c>
      <c r="P965" s="14"/>
      <c r="T965" s="14">
        <v>40917</v>
      </c>
      <c r="U965" s="5">
        <v>43.45</v>
      </c>
    </row>
    <row r="966" spans="14:21" x14ac:dyDescent="0.75">
      <c r="N966" s="14">
        <v>40620</v>
      </c>
      <c r="O966" s="5">
        <v>1111.53</v>
      </c>
      <c r="P966" s="14"/>
      <c r="T966" s="14">
        <v>40914</v>
      </c>
      <c r="U966" s="5">
        <v>43.64</v>
      </c>
    </row>
    <row r="967" spans="14:21" x14ac:dyDescent="0.75">
      <c r="N967" s="14">
        <v>40619</v>
      </c>
      <c r="O967" s="5">
        <v>1111.6099999999999</v>
      </c>
      <c r="P967" s="14"/>
      <c r="T967" s="14">
        <v>40913</v>
      </c>
      <c r="U967" s="5">
        <v>43.88</v>
      </c>
    </row>
    <row r="968" spans="14:21" x14ac:dyDescent="0.75">
      <c r="N968" s="14">
        <v>40618</v>
      </c>
      <c r="O968" s="5">
        <v>1108.6300000000001</v>
      </c>
      <c r="P968" s="14"/>
      <c r="T968" s="14">
        <v>40912</v>
      </c>
      <c r="U968" s="5">
        <v>43.44</v>
      </c>
    </row>
    <row r="969" spans="14:21" x14ac:dyDescent="0.75">
      <c r="N969" s="14">
        <v>40617</v>
      </c>
      <c r="O969" s="5">
        <v>1109.05</v>
      </c>
      <c r="P969" s="14"/>
      <c r="T969" s="14">
        <v>40911</v>
      </c>
      <c r="U969" s="5">
        <v>44.36</v>
      </c>
    </row>
    <row r="970" spans="14:21" x14ac:dyDescent="0.75">
      <c r="N970" s="14">
        <v>40616</v>
      </c>
      <c r="O970" s="5">
        <v>1114.3399999999999</v>
      </c>
      <c r="P970" s="14"/>
      <c r="T970" s="14">
        <v>40907</v>
      </c>
      <c r="U970" s="5">
        <v>44.22</v>
      </c>
    </row>
    <row r="971" spans="14:21" x14ac:dyDescent="0.75">
      <c r="N971" s="14">
        <v>40613</v>
      </c>
      <c r="O971" s="5">
        <v>1115.82</v>
      </c>
      <c r="P971" s="14"/>
      <c r="T971" s="14">
        <v>40906</v>
      </c>
      <c r="U971" s="5">
        <v>44.32</v>
      </c>
    </row>
    <row r="972" spans="14:21" x14ac:dyDescent="0.75">
      <c r="N972" s="14">
        <v>40612</v>
      </c>
      <c r="O972" s="5">
        <v>1116.52</v>
      </c>
      <c r="P972" s="14"/>
      <c r="T972" s="14">
        <v>40905</v>
      </c>
      <c r="U972" s="5">
        <v>43.962000000000003</v>
      </c>
    </row>
    <row r="973" spans="14:21" x14ac:dyDescent="0.75">
      <c r="N973" s="14">
        <v>40611</v>
      </c>
      <c r="O973" s="5">
        <v>1121.27</v>
      </c>
      <c r="P973" s="14"/>
      <c r="T973" s="14">
        <v>40904</v>
      </c>
      <c r="U973" s="5">
        <v>44.47</v>
      </c>
    </row>
    <row r="974" spans="14:21" x14ac:dyDescent="0.75">
      <c r="N974" s="14">
        <v>40610</v>
      </c>
      <c r="O974" s="5">
        <v>1122.24</v>
      </c>
      <c r="P974" s="14"/>
      <c r="T974" s="14">
        <v>40900</v>
      </c>
      <c r="U974" s="5">
        <v>44.09</v>
      </c>
    </row>
    <row r="975" spans="14:21" x14ac:dyDescent="0.75">
      <c r="N975" s="14">
        <v>40609</v>
      </c>
      <c r="O975" s="5">
        <v>1120.67</v>
      </c>
      <c r="P975" s="14"/>
      <c r="T975" s="14">
        <v>40899</v>
      </c>
      <c r="U975" s="5">
        <v>43.93</v>
      </c>
    </row>
    <row r="976" spans="14:21" x14ac:dyDescent="0.75">
      <c r="N976" s="14">
        <v>40606</v>
      </c>
      <c r="O976" s="5">
        <v>1122.32</v>
      </c>
      <c r="P976" s="14"/>
      <c r="T976" s="14">
        <v>40898</v>
      </c>
      <c r="U976" s="5">
        <v>43.73</v>
      </c>
    </row>
    <row r="977" spans="14:21" x14ac:dyDescent="0.75">
      <c r="N977" s="14">
        <v>40605</v>
      </c>
      <c r="O977" s="5">
        <v>1122.56</v>
      </c>
      <c r="P977" s="14"/>
      <c r="T977" s="14">
        <v>40897</v>
      </c>
      <c r="U977" s="5">
        <v>43.6</v>
      </c>
    </row>
    <row r="978" spans="14:21" x14ac:dyDescent="0.75">
      <c r="N978" s="14">
        <v>40604</v>
      </c>
      <c r="O978" s="5">
        <v>1121.54</v>
      </c>
      <c r="P978" s="14"/>
      <c r="T978" s="14">
        <v>40896</v>
      </c>
      <c r="U978" s="5">
        <v>42.46</v>
      </c>
    </row>
    <row r="979" spans="14:21" x14ac:dyDescent="0.75">
      <c r="N979" s="14">
        <v>40603</v>
      </c>
      <c r="O979" s="5">
        <v>1121.43</v>
      </c>
      <c r="P979" s="14"/>
      <c r="T979" s="14">
        <v>40893</v>
      </c>
      <c r="U979" s="5">
        <v>42.95</v>
      </c>
    </row>
    <row r="980" spans="14:21" x14ac:dyDescent="0.75">
      <c r="N980" s="14">
        <v>40602</v>
      </c>
      <c r="O980" s="5">
        <v>1121.2</v>
      </c>
      <c r="P980" s="14"/>
      <c r="T980" s="14">
        <v>40892</v>
      </c>
      <c r="U980" s="5">
        <v>42.48</v>
      </c>
    </row>
    <row r="981" spans="14:21" x14ac:dyDescent="0.75">
      <c r="N981" s="14">
        <v>40599</v>
      </c>
      <c r="O981" s="5">
        <v>1119.47</v>
      </c>
      <c r="P981" s="14"/>
      <c r="T981" s="14">
        <v>40891</v>
      </c>
      <c r="U981" s="5">
        <v>41.73</v>
      </c>
    </row>
    <row r="982" spans="14:21" x14ac:dyDescent="0.75">
      <c r="N982" s="14">
        <v>40598</v>
      </c>
      <c r="O982" s="5">
        <v>1117.07</v>
      </c>
      <c r="P982" s="14"/>
      <c r="T982" s="14">
        <v>40890</v>
      </c>
      <c r="U982" s="5">
        <v>41.045000000000002</v>
      </c>
    </row>
    <row r="983" spans="14:21" x14ac:dyDescent="0.75">
      <c r="N983" s="14">
        <v>40597</v>
      </c>
      <c r="O983" s="5">
        <v>1118.43</v>
      </c>
      <c r="P983" s="14"/>
      <c r="T983" s="14">
        <v>40889</v>
      </c>
      <c r="U983" s="5">
        <v>41.451999999999998</v>
      </c>
    </row>
    <row r="984" spans="14:21" x14ac:dyDescent="0.75">
      <c r="N984" s="14">
        <v>40596</v>
      </c>
      <c r="O984" s="5">
        <v>1119.79</v>
      </c>
      <c r="P984" s="14"/>
      <c r="T984" s="14">
        <v>40886</v>
      </c>
      <c r="U984" s="5">
        <v>42.25</v>
      </c>
    </row>
    <row r="985" spans="14:21" x14ac:dyDescent="0.75">
      <c r="N985" s="14">
        <v>40592</v>
      </c>
      <c r="O985" s="5">
        <v>1123.25</v>
      </c>
      <c r="P985" s="14"/>
      <c r="T985" s="14">
        <v>40885</v>
      </c>
      <c r="U985" s="5">
        <v>41.32</v>
      </c>
    </row>
    <row r="986" spans="14:21" x14ac:dyDescent="0.75">
      <c r="N986" s="14">
        <v>40591</v>
      </c>
      <c r="O986" s="5">
        <v>1123.28</v>
      </c>
      <c r="P986" s="14"/>
      <c r="T986" s="14">
        <v>40884</v>
      </c>
      <c r="U986" s="5">
        <v>42.26</v>
      </c>
    </row>
    <row r="987" spans="14:21" x14ac:dyDescent="0.75">
      <c r="N987" s="14">
        <v>40590</v>
      </c>
      <c r="O987" s="5">
        <v>1121.55</v>
      </c>
      <c r="P987" s="14"/>
      <c r="T987" s="14">
        <v>40883</v>
      </c>
      <c r="U987" s="5">
        <v>41.67</v>
      </c>
    </row>
    <row r="988" spans="14:21" x14ac:dyDescent="0.75">
      <c r="N988" s="14">
        <v>40589</v>
      </c>
      <c r="O988" s="5">
        <v>1120.19</v>
      </c>
      <c r="P988" s="14"/>
      <c r="T988" s="14">
        <v>40882</v>
      </c>
      <c r="U988" s="5">
        <v>41.6</v>
      </c>
    </row>
    <row r="989" spans="14:21" x14ac:dyDescent="0.75">
      <c r="N989" s="14">
        <v>40588</v>
      </c>
      <c r="O989" s="5">
        <v>1119.8900000000001</v>
      </c>
      <c r="P989" s="14"/>
      <c r="T989" s="14">
        <v>40879</v>
      </c>
      <c r="U989" s="5">
        <v>41.643999999999998</v>
      </c>
    </row>
    <row r="990" spans="14:21" x14ac:dyDescent="0.75">
      <c r="N990" s="14">
        <v>40585</v>
      </c>
      <c r="O990" s="5">
        <v>1117.56</v>
      </c>
      <c r="P990" s="14"/>
      <c r="T990" s="14">
        <v>40878</v>
      </c>
      <c r="U990" s="5">
        <v>41.54</v>
      </c>
    </row>
    <row r="991" spans="14:21" x14ac:dyDescent="0.75">
      <c r="N991" s="14">
        <v>40584</v>
      </c>
      <c r="O991" s="5">
        <v>1117.77</v>
      </c>
      <c r="P991" s="14"/>
      <c r="T991" s="14">
        <v>40877</v>
      </c>
      <c r="U991" s="5">
        <v>42.01</v>
      </c>
    </row>
    <row r="992" spans="14:21" x14ac:dyDescent="0.75">
      <c r="N992" s="14">
        <v>40583</v>
      </c>
      <c r="O992" s="5">
        <v>1117.83</v>
      </c>
      <c r="P992" s="14"/>
      <c r="T992" s="14">
        <v>40876</v>
      </c>
      <c r="U992" s="5">
        <v>40.204999999999998</v>
      </c>
    </row>
    <row r="993" spans="14:21" x14ac:dyDescent="0.75">
      <c r="N993" s="14">
        <v>40582</v>
      </c>
      <c r="O993" s="5">
        <v>1118.47</v>
      </c>
      <c r="P993" s="14"/>
      <c r="T993" s="14">
        <v>40875</v>
      </c>
      <c r="U993" s="5">
        <v>40.22</v>
      </c>
    </row>
    <row r="994" spans="14:21" x14ac:dyDescent="0.75">
      <c r="N994" s="14">
        <v>40581</v>
      </c>
      <c r="O994" s="5">
        <v>1116.33</v>
      </c>
      <c r="P994" s="14"/>
      <c r="T994" s="14">
        <v>40872</v>
      </c>
      <c r="U994" s="5">
        <v>39.687600000000003</v>
      </c>
    </row>
    <row r="995" spans="14:21" x14ac:dyDescent="0.75">
      <c r="N995" s="14">
        <v>40578</v>
      </c>
      <c r="O995" s="5">
        <v>1115.43</v>
      </c>
      <c r="P995" s="14"/>
      <c r="T995" s="14">
        <v>40870</v>
      </c>
      <c r="U995" s="5">
        <v>39.375</v>
      </c>
    </row>
    <row r="996" spans="14:21" x14ac:dyDescent="0.75">
      <c r="N996" s="14">
        <v>40577</v>
      </c>
      <c r="O996" s="5">
        <v>1115.26</v>
      </c>
      <c r="P996" s="14"/>
      <c r="T996" s="14">
        <v>40869</v>
      </c>
      <c r="U996" s="5">
        <v>40.450000000000003</v>
      </c>
    </row>
    <row r="997" spans="14:21" x14ac:dyDescent="0.75">
      <c r="N997" s="14">
        <v>40576</v>
      </c>
      <c r="O997" s="5">
        <v>1112.8599999999999</v>
      </c>
      <c r="P997" s="14"/>
      <c r="T997" s="14">
        <v>40868</v>
      </c>
      <c r="U997" s="5">
        <v>40.5</v>
      </c>
    </row>
    <row r="998" spans="14:21" x14ac:dyDescent="0.75">
      <c r="N998" s="14">
        <v>40575</v>
      </c>
      <c r="O998" s="5">
        <v>1114.0999999999999</v>
      </c>
      <c r="P998" s="14"/>
      <c r="T998" s="14">
        <v>40865</v>
      </c>
      <c r="U998" s="5">
        <v>41.44</v>
      </c>
    </row>
    <row r="999" spans="14:21" x14ac:dyDescent="0.75">
      <c r="N999" s="14">
        <v>40574</v>
      </c>
      <c r="O999" s="5">
        <v>1110.45</v>
      </c>
      <c r="P999" s="14"/>
      <c r="T999" s="14">
        <v>40864</v>
      </c>
      <c r="U999" s="5">
        <v>41.06</v>
      </c>
    </row>
    <row r="1000" spans="14:21" x14ac:dyDescent="0.75">
      <c r="N1000" s="14">
        <v>40571</v>
      </c>
      <c r="O1000" s="5">
        <v>1109.28</v>
      </c>
      <c r="P1000" s="14"/>
      <c r="T1000" s="14">
        <v>40863</v>
      </c>
      <c r="U1000" s="5">
        <v>42.13</v>
      </c>
    </row>
    <row r="1001" spans="14:21" x14ac:dyDescent="0.75">
      <c r="N1001" s="14">
        <v>40570</v>
      </c>
      <c r="O1001" s="5">
        <v>1109.8699999999999</v>
      </c>
      <c r="P1001" s="14"/>
      <c r="T1001" s="14">
        <v>40862</v>
      </c>
      <c r="U1001" s="5">
        <v>42.56</v>
      </c>
    </row>
    <row r="1002" spans="14:21" x14ac:dyDescent="0.75">
      <c r="N1002" s="14">
        <v>40569</v>
      </c>
      <c r="O1002" s="5">
        <v>1111.25</v>
      </c>
      <c r="P1002" s="14"/>
      <c r="T1002" s="14">
        <v>40861</v>
      </c>
      <c r="U1002" s="5">
        <v>42.13</v>
      </c>
    </row>
    <row r="1003" spans="14:21" x14ac:dyDescent="0.75">
      <c r="N1003" s="14">
        <v>40568</v>
      </c>
      <c r="O1003" s="5">
        <v>1107.68</v>
      </c>
      <c r="P1003" s="14"/>
      <c r="T1003" s="14">
        <v>40858</v>
      </c>
      <c r="U1003" s="5">
        <v>43.02</v>
      </c>
    </row>
    <row r="1004" spans="14:21" x14ac:dyDescent="0.75">
      <c r="N1004" s="14">
        <v>40567</v>
      </c>
      <c r="O1004" s="5">
        <v>1106.97</v>
      </c>
      <c r="P1004" s="14"/>
      <c r="T1004" s="14">
        <v>40857</v>
      </c>
      <c r="U1004" s="5">
        <v>41.9</v>
      </c>
    </row>
    <row r="1005" spans="14:21" x14ac:dyDescent="0.75">
      <c r="N1005" s="14">
        <v>40564</v>
      </c>
      <c r="O1005" s="5">
        <v>1106.1500000000001</v>
      </c>
      <c r="P1005" s="14"/>
      <c r="T1005" s="14">
        <v>40856</v>
      </c>
      <c r="U1005" s="5">
        <v>41.61</v>
      </c>
    </row>
    <row r="1006" spans="14:21" x14ac:dyDescent="0.75">
      <c r="N1006" s="14">
        <v>40563</v>
      </c>
      <c r="O1006" s="5">
        <v>1106.3800000000001</v>
      </c>
      <c r="P1006" s="14"/>
      <c r="T1006" s="14">
        <v>40855</v>
      </c>
      <c r="U1006" s="5">
        <v>43.43</v>
      </c>
    </row>
    <row r="1007" spans="14:21" x14ac:dyDescent="0.75">
      <c r="N1007" s="14">
        <v>40562</v>
      </c>
      <c r="O1007" s="5">
        <v>1109.19</v>
      </c>
      <c r="P1007" s="14"/>
      <c r="T1007" s="14">
        <v>40854</v>
      </c>
      <c r="U1007" s="5">
        <v>42.97</v>
      </c>
    </row>
    <row r="1008" spans="14:21" x14ac:dyDescent="0.75">
      <c r="N1008" s="14">
        <v>40561</v>
      </c>
      <c r="O1008" s="5">
        <v>1111.4000000000001</v>
      </c>
      <c r="P1008" s="14"/>
      <c r="T1008" s="14">
        <v>40851</v>
      </c>
      <c r="U1008" s="5">
        <v>42.81</v>
      </c>
    </row>
    <row r="1009" spans="14:21" x14ac:dyDescent="0.75">
      <c r="N1009" s="14">
        <v>40557</v>
      </c>
      <c r="O1009" s="5">
        <v>1110.9000000000001</v>
      </c>
      <c r="P1009" s="14"/>
      <c r="T1009" s="14">
        <v>40850</v>
      </c>
      <c r="U1009" s="5">
        <v>43.31</v>
      </c>
    </row>
    <row r="1010" spans="14:21" x14ac:dyDescent="0.75">
      <c r="N1010" s="14">
        <v>40556</v>
      </c>
      <c r="O1010" s="5">
        <v>1111.3599999999999</v>
      </c>
      <c r="P1010" s="14"/>
      <c r="T1010" s="14">
        <v>40849</v>
      </c>
      <c r="U1010" s="5">
        <v>43.1</v>
      </c>
    </row>
    <row r="1011" spans="14:21" x14ac:dyDescent="0.75">
      <c r="N1011" s="14">
        <v>40555</v>
      </c>
      <c r="O1011" s="5">
        <v>1111.77</v>
      </c>
      <c r="P1011" s="14"/>
      <c r="T1011" s="14">
        <v>40848</v>
      </c>
      <c r="U1011" s="5">
        <v>42.11</v>
      </c>
    </row>
    <row r="1012" spans="14:21" x14ac:dyDescent="0.75">
      <c r="N1012" s="14">
        <v>40554</v>
      </c>
      <c r="O1012" s="5">
        <v>1109.42</v>
      </c>
      <c r="P1012" s="14"/>
      <c r="T1012" s="14">
        <v>40847</v>
      </c>
      <c r="U1012" s="5">
        <v>43.63</v>
      </c>
    </row>
    <row r="1013" spans="14:21" x14ac:dyDescent="0.75">
      <c r="N1013" s="14">
        <v>40553</v>
      </c>
      <c r="O1013" s="5">
        <v>1104.92</v>
      </c>
      <c r="P1013" s="14"/>
      <c r="T1013" s="14">
        <v>40844</v>
      </c>
      <c r="U1013" s="5">
        <v>43.950001</v>
      </c>
    </row>
    <row r="1014" spans="14:21" x14ac:dyDescent="0.75">
      <c r="N1014" s="14">
        <v>40550</v>
      </c>
      <c r="O1014" s="5">
        <v>1103.9100000000001</v>
      </c>
      <c r="P1014" s="14"/>
      <c r="T1014" s="14">
        <v>40843</v>
      </c>
      <c r="U1014" s="5">
        <v>44.12</v>
      </c>
    </row>
    <row r="1015" spans="14:21" x14ac:dyDescent="0.75">
      <c r="N1015" s="14">
        <v>40549</v>
      </c>
      <c r="O1015" s="5">
        <v>1104.1600000000001</v>
      </c>
      <c r="P1015" s="14"/>
      <c r="T1015" s="14">
        <v>40842</v>
      </c>
      <c r="U1015" s="5">
        <v>42.39</v>
      </c>
    </row>
    <row r="1016" spans="14:21" x14ac:dyDescent="0.75">
      <c r="N1016" s="14">
        <v>40548</v>
      </c>
      <c r="O1016" s="5">
        <v>1103.96</v>
      </c>
      <c r="P1016" s="14"/>
      <c r="T1016" s="14">
        <v>40841</v>
      </c>
      <c r="U1016" s="5">
        <v>41.95</v>
      </c>
    </row>
    <row r="1017" spans="14:21" x14ac:dyDescent="0.75">
      <c r="N1017" s="14">
        <v>40547</v>
      </c>
      <c r="O1017" s="5">
        <v>1103.18</v>
      </c>
      <c r="P1017" s="14"/>
      <c r="T1017" s="14">
        <v>40840</v>
      </c>
      <c r="U1017" s="5">
        <v>42.64</v>
      </c>
    </row>
    <row r="1018" spans="14:21" x14ac:dyDescent="0.75">
      <c r="N1018" s="14">
        <v>40546</v>
      </c>
      <c r="O1018" s="5">
        <v>1103.52</v>
      </c>
      <c r="P1018" s="14"/>
      <c r="T1018" s="14">
        <v>40837</v>
      </c>
      <c r="U1018" s="5">
        <v>41.58</v>
      </c>
    </row>
    <row r="1019" spans="14:21" x14ac:dyDescent="0.75">
      <c r="N1019" s="14">
        <v>40543</v>
      </c>
      <c r="O1019" s="5">
        <v>1102.31</v>
      </c>
      <c r="P1019" s="14"/>
      <c r="T1019" s="14">
        <v>40836</v>
      </c>
      <c r="U1019" s="5">
        <v>40.44</v>
      </c>
    </row>
    <row r="1020" spans="14:21" x14ac:dyDescent="0.75">
      <c r="N1020" s="14">
        <v>40542</v>
      </c>
      <c r="O1020" s="5">
        <v>1099.49</v>
      </c>
      <c r="P1020" s="14"/>
      <c r="T1020" s="14">
        <v>40835</v>
      </c>
      <c r="U1020" s="5">
        <v>40.433999999999997</v>
      </c>
    </row>
    <row r="1021" spans="14:21" x14ac:dyDescent="0.75">
      <c r="N1021" s="14">
        <v>40541</v>
      </c>
      <c r="O1021" s="5">
        <v>1098.8399999999999</v>
      </c>
      <c r="P1021" s="14"/>
      <c r="T1021" s="14">
        <v>40834</v>
      </c>
      <c r="U1021" s="5">
        <v>40.56</v>
      </c>
    </row>
    <row r="1022" spans="14:21" x14ac:dyDescent="0.75">
      <c r="N1022" s="14">
        <v>40540</v>
      </c>
      <c r="O1022" s="5">
        <v>1098.03</v>
      </c>
      <c r="P1022" s="14"/>
      <c r="T1022" s="14">
        <v>40833</v>
      </c>
      <c r="U1022" s="5">
        <v>39.479999999999997</v>
      </c>
    </row>
    <row r="1023" spans="14:21" x14ac:dyDescent="0.75">
      <c r="N1023" s="14">
        <v>40539</v>
      </c>
      <c r="O1023" s="5">
        <v>1098.04</v>
      </c>
      <c r="P1023" s="14"/>
      <c r="T1023" s="14">
        <v>40830</v>
      </c>
      <c r="U1023" s="5">
        <v>40.479999999999997</v>
      </c>
    </row>
    <row r="1024" spans="14:21" x14ac:dyDescent="0.75">
      <c r="N1024" s="14">
        <v>40535</v>
      </c>
      <c r="O1024" s="5">
        <v>1098.6199999999999</v>
      </c>
      <c r="P1024" s="14"/>
      <c r="T1024" s="14">
        <v>40829</v>
      </c>
      <c r="U1024" s="5">
        <v>39.51</v>
      </c>
    </row>
    <row r="1025" spans="14:21" x14ac:dyDescent="0.75">
      <c r="N1025" s="14">
        <v>40534</v>
      </c>
      <c r="O1025" s="5">
        <v>1098.3499999999999</v>
      </c>
      <c r="P1025" s="14"/>
      <c r="T1025" s="14">
        <v>40828</v>
      </c>
      <c r="U1025" s="5">
        <v>39.89</v>
      </c>
    </row>
    <row r="1026" spans="14:21" x14ac:dyDescent="0.75">
      <c r="N1026" s="14">
        <v>40533</v>
      </c>
      <c r="O1026" s="5">
        <v>1097.58</v>
      </c>
      <c r="P1026" s="14"/>
      <c r="T1026" s="14">
        <v>40827</v>
      </c>
      <c r="U1026" s="5">
        <v>39.270000000000003</v>
      </c>
    </row>
    <row r="1027" spans="14:21" x14ac:dyDescent="0.75">
      <c r="N1027" s="14">
        <v>40532</v>
      </c>
      <c r="O1027" s="5">
        <v>1096.3399999999999</v>
      </c>
      <c r="P1027" s="14"/>
      <c r="T1027" s="14">
        <v>40826</v>
      </c>
      <c r="U1027" s="5">
        <v>40.22</v>
      </c>
    </row>
    <row r="1028" spans="14:21" x14ac:dyDescent="0.75">
      <c r="N1028" s="14">
        <v>40529</v>
      </c>
      <c r="O1028" s="5">
        <v>1095.76</v>
      </c>
      <c r="P1028" s="14"/>
      <c r="T1028" s="14">
        <v>40823</v>
      </c>
      <c r="U1028" s="5">
        <v>38.28</v>
      </c>
    </row>
    <row r="1029" spans="14:21" x14ac:dyDescent="0.75">
      <c r="N1029" s="14">
        <v>40528</v>
      </c>
      <c r="O1029" s="5">
        <v>1095.83</v>
      </c>
      <c r="P1029" s="14"/>
      <c r="T1029" s="14">
        <v>40822</v>
      </c>
      <c r="U1029" s="5">
        <v>39.4</v>
      </c>
    </row>
    <row r="1030" spans="14:21" x14ac:dyDescent="0.75">
      <c r="N1030" s="14">
        <v>40527</v>
      </c>
      <c r="O1030" s="5">
        <v>1095.1199999999999</v>
      </c>
      <c r="P1030" s="14"/>
      <c r="T1030" s="14">
        <v>40821</v>
      </c>
      <c r="U1030" s="5">
        <v>38.5</v>
      </c>
    </row>
    <row r="1031" spans="14:21" x14ac:dyDescent="0.75">
      <c r="N1031" s="14">
        <v>40526</v>
      </c>
      <c r="O1031" s="5">
        <v>1095.9100000000001</v>
      </c>
      <c r="P1031" s="14"/>
      <c r="T1031" s="14">
        <v>40820</v>
      </c>
      <c r="U1031" s="5">
        <v>38.9</v>
      </c>
    </row>
    <row r="1032" spans="14:21" x14ac:dyDescent="0.75">
      <c r="N1032" s="14">
        <v>40525</v>
      </c>
      <c r="O1032" s="5">
        <v>1095.6600000000001</v>
      </c>
      <c r="P1032" s="14"/>
      <c r="T1032" s="14">
        <v>40819</v>
      </c>
      <c r="U1032" s="5">
        <v>37.04</v>
      </c>
    </row>
    <row r="1033" spans="14:21" x14ac:dyDescent="0.75">
      <c r="N1033" s="14">
        <v>40522</v>
      </c>
      <c r="O1033" s="5">
        <v>1094.82</v>
      </c>
      <c r="P1033" s="14"/>
      <c r="T1033" s="14">
        <v>40816</v>
      </c>
      <c r="U1033" s="5">
        <v>38.78</v>
      </c>
    </row>
    <row r="1034" spans="14:21" x14ac:dyDescent="0.75">
      <c r="N1034" s="14">
        <v>40521</v>
      </c>
      <c r="O1034" s="5">
        <v>1093.8699999999999</v>
      </c>
      <c r="P1034" s="14"/>
      <c r="T1034" s="14">
        <v>40815</v>
      </c>
      <c r="U1034" s="5">
        <v>39.65</v>
      </c>
    </row>
    <row r="1035" spans="14:21" x14ac:dyDescent="0.75">
      <c r="N1035" s="14">
        <v>40520</v>
      </c>
      <c r="O1035" s="5">
        <v>1094.0999999999999</v>
      </c>
      <c r="P1035" s="14"/>
      <c r="T1035" s="14">
        <v>40814</v>
      </c>
      <c r="U1035" s="5">
        <v>39.07</v>
      </c>
    </row>
    <row r="1036" spans="14:21" x14ac:dyDescent="0.75">
      <c r="N1036" s="14">
        <v>40519</v>
      </c>
      <c r="O1036" s="5">
        <v>1093.44</v>
      </c>
      <c r="P1036" s="14"/>
      <c r="T1036" s="14">
        <v>40813</v>
      </c>
      <c r="U1036" s="5">
        <v>40.24</v>
      </c>
    </row>
    <row r="1037" spans="14:21" x14ac:dyDescent="0.75">
      <c r="N1037" s="14">
        <v>40518</v>
      </c>
      <c r="O1037" s="5">
        <v>1094.01</v>
      </c>
      <c r="P1037" s="14"/>
      <c r="T1037" s="14">
        <v>40812</v>
      </c>
      <c r="U1037" s="5">
        <v>39.950000000000003</v>
      </c>
    </row>
    <row r="1038" spans="14:21" x14ac:dyDescent="0.75">
      <c r="N1038" s="14">
        <v>40515</v>
      </c>
      <c r="O1038" s="5">
        <v>1092.6199999999999</v>
      </c>
      <c r="P1038" s="14"/>
      <c r="T1038" s="14">
        <v>40809</v>
      </c>
      <c r="U1038" s="5">
        <v>39.82</v>
      </c>
    </row>
    <row r="1039" spans="14:21" x14ac:dyDescent="0.75">
      <c r="N1039" s="14">
        <v>40514</v>
      </c>
      <c r="O1039" s="5">
        <v>1091</v>
      </c>
      <c r="P1039" s="14"/>
      <c r="T1039" s="14">
        <v>40808</v>
      </c>
      <c r="U1039" s="5">
        <v>39.49</v>
      </c>
    </row>
    <row r="1040" spans="14:21" x14ac:dyDescent="0.75">
      <c r="N1040" s="14">
        <v>40513</v>
      </c>
      <c r="O1040" s="5">
        <v>1088.5999999999999</v>
      </c>
      <c r="P1040" s="14"/>
      <c r="T1040" s="14">
        <v>40807</v>
      </c>
      <c r="U1040" s="5">
        <v>40.44</v>
      </c>
    </row>
    <row r="1041" spans="14:21" x14ac:dyDescent="0.75">
      <c r="N1041" s="14">
        <v>40512</v>
      </c>
      <c r="O1041" s="5">
        <v>1085.5899999999999</v>
      </c>
      <c r="P1041" s="14"/>
      <c r="T1041" s="14">
        <v>40806</v>
      </c>
      <c r="U1041" s="5">
        <v>42.82</v>
      </c>
    </row>
    <row r="1042" spans="14:21" x14ac:dyDescent="0.75">
      <c r="N1042" s="14">
        <v>40511</v>
      </c>
      <c r="O1042" s="5">
        <v>1087.54</v>
      </c>
      <c r="P1042" s="14"/>
      <c r="T1042" s="14">
        <v>40805</v>
      </c>
      <c r="U1042" s="5">
        <v>43.05</v>
      </c>
    </row>
    <row r="1043" spans="14:21" x14ac:dyDescent="0.75">
      <c r="N1043" s="14">
        <v>40508</v>
      </c>
      <c r="O1043" s="5">
        <v>1088.23</v>
      </c>
      <c r="P1043" s="14"/>
      <c r="T1043" s="14">
        <v>40802</v>
      </c>
      <c r="U1043" s="5">
        <v>43.98</v>
      </c>
    </row>
    <row r="1044" spans="14:21" x14ac:dyDescent="0.75">
      <c r="N1044" s="14">
        <v>40506</v>
      </c>
      <c r="O1044" s="5">
        <v>1089</v>
      </c>
      <c r="P1044" s="14"/>
      <c r="T1044" s="14">
        <v>40801</v>
      </c>
      <c r="U1044" s="5">
        <v>43.66</v>
      </c>
    </row>
    <row r="1045" spans="14:21" x14ac:dyDescent="0.75">
      <c r="N1045" s="14">
        <v>40505</v>
      </c>
      <c r="O1045" s="5">
        <v>1086.47</v>
      </c>
      <c r="P1045" s="14"/>
      <c r="T1045" s="14">
        <v>40800</v>
      </c>
      <c r="U1045" s="5">
        <v>43.26</v>
      </c>
    </row>
    <row r="1046" spans="14:21" x14ac:dyDescent="0.75">
      <c r="N1046" s="14">
        <v>40504</v>
      </c>
      <c r="O1046" s="5">
        <v>1088.9000000000001</v>
      </c>
      <c r="P1046" s="14"/>
      <c r="T1046" s="14">
        <v>40799</v>
      </c>
      <c r="U1046" s="5">
        <v>43.26</v>
      </c>
    </row>
    <row r="1047" spans="14:21" x14ac:dyDescent="0.75">
      <c r="N1047" s="14">
        <v>40501</v>
      </c>
      <c r="O1047" s="5">
        <v>1089.31</v>
      </c>
      <c r="P1047" s="14"/>
      <c r="T1047" s="14">
        <v>40798</v>
      </c>
      <c r="U1047" s="5">
        <v>43.05</v>
      </c>
    </row>
    <row r="1048" spans="14:21" x14ac:dyDescent="0.75">
      <c r="N1048" s="14">
        <v>40500</v>
      </c>
      <c r="O1048" s="5">
        <v>1090.06</v>
      </c>
      <c r="P1048" s="14"/>
      <c r="T1048" s="14">
        <v>40795</v>
      </c>
      <c r="U1048" s="5">
        <v>42.92</v>
      </c>
    </row>
    <row r="1049" spans="14:21" x14ac:dyDescent="0.75">
      <c r="N1049" s="14">
        <v>40499</v>
      </c>
      <c r="O1049" s="5">
        <v>1087.24</v>
      </c>
      <c r="P1049" s="14"/>
      <c r="T1049" s="14">
        <v>40794</v>
      </c>
      <c r="U1049" s="5">
        <v>44.25</v>
      </c>
    </row>
    <row r="1050" spans="14:21" x14ac:dyDescent="0.75">
      <c r="N1050" s="14">
        <v>40498</v>
      </c>
      <c r="O1050" s="5">
        <v>1087.92</v>
      </c>
      <c r="P1050" s="14"/>
      <c r="T1050" s="14">
        <v>40793</v>
      </c>
      <c r="U1050" s="5">
        <v>44.43</v>
      </c>
    </row>
    <row r="1051" spans="14:21" x14ac:dyDescent="0.75">
      <c r="N1051" s="14">
        <v>40497</v>
      </c>
      <c r="O1051" s="5">
        <v>1091.72</v>
      </c>
      <c r="P1051" s="14"/>
      <c r="T1051" s="14">
        <v>40792</v>
      </c>
      <c r="U1051" s="5">
        <v>42.87</v>
      </c>
    </row>
    <row r="1052" spans="14:21" x14ac:dyDescent="0.75">
      <c r="N1052" s="14">
        <v>40494</v>
      </c>
      <c r="O1052" s="5">
        <v>1090.05</v>
      </c>
      <c r="P1052" s="14"/>
      <c r="T1052" s="14">
        <v>40788</v>
      </c>
      <c r="U1052" s="5">
        <v>42.8</v>
      </c>
    </row>
    <row r="1053" spans="14:21" x14ac:dyDescent="0.75">
      <c r="N1053" s="14">
        <v>40493</v>
      </c>
      <c r="O1053" s="5">
        <v>1092.81</v>
      </c>
      <c r="P1053" s="14"/>
      <c r="T1053" s="14">
        <v>40787</v>
      </c>
      <c r="U1053" s="5">
        <v>43.58</v>
      </c>
    </row>
    <row r="1054" spans="14:21" x14ac:dyDescent="0.75">
      <c r="N1054" s="14">
        <v>40492</v>
      </c>
      <c r="O1054" s="5">
        <v>1093.1500000000001</v>
      </c>
      <c r="P1054" s="14"/>
      <c r="T1054" s="14">
        <v>40786</v>
      </c>
      <c r="U1054" s="5">
        <v>44.38</v>
      </c>
    </row>
    <row r="1055" spans="14:21" x14ac:dyDescent="0.75">
      <c r="N1055" s="14">
        <v>40491</v>
      </c>
      <c r="O1055" s="5">
        <v>1094.28</v>
      </c>
      <c r="P1055" s="14"/>
      <c r="T1055" s="14">
        <v>40785</v>
      </c>
      <c r="U1055" s="5">
        <v>43.84</v>
      </c>
    </row>
    <row r="1056" spans="14:21" x14ac:dyDescent="0.75">
      <c r="N1056" s="14">
        <v>40490</v>
      </c>
      <c r="O1056" s="5">
        <v>1093.52</v>
      </c>
      <c r="P1056" s="14"/>
      <c r="T1056" s="14">
        <v>40784</v>
      </c>
      <c r="U1056" s="5">
        <v>43.64</v>
      </c>
    </row>
    <row r="1057" spans="14:21" x14ac:dyDescent="0.75">
      <c r="N1057" s="14">
        <v>40487</v>
      </c>
      <c r="O1057" s="5">
        <v>1092.42</v>
      </c>
      <c r="P1057" s="14"/>
      <c r="T1057" s="14">
        <v>40781</v>
      </c>
      <c r="U1057" s="5">
        <v>42.47</v>
      </c>
    </row>
    <row r="1058" spans="14:21" x14ac:dyDescent="0.75">
      <c r="N1058" s="14">
        <v>40486</v>
      </c>
      <c r="O1058" s="5">
        <v>1090.31</v>
      </c>
      <c r="P1058" s="14"/>
      <c r="T1058" s="14">
        <v>40780</v>
      </c>
      <c r="U1058" s="5">
        <v>41.79</v>
      </c>
    </row>
    <row r="1059" spans="14:21" x14ac:dyDescent="0.75">
      <c r="N1059" s="14">
        <v>40485</v>
      </c>
      <c r="O1059" s="5">
        <v>1086.45</v>
      </c>
      <c r="P1059" s="14"/>
      <c r="T1059" s="14">
        <v>40779</v>
      </c>
      <c r="U1059" s="5">
        <v>42.57</v>
      </c>
    </row>
    <row r="1060" spans="14:21" x14ac:dyDescent="0.75">
      <c r="N1060" s="14">
        <v>40484</v>
      </c>
      <c r="O1060" s="5">
        <v>1085.93</v>
      </c>
      <c r="P1060" s="14"/>
      <c r="T1060" s="14">
        <v>40778</v>
      </c>
      <c r="U1060" s="5">
        <v>41.81</v>
      </c>
    </row>
    <row r="1061" spans="14:21" x14ac:dyDescent="0.75">
      <c r="N1061" s="14">
        <v>40483</v>
      </c>
      <c r="O1061" s="5">
        <v>1084.93</v>
      </c>
      <c r="P1061" s="14"/>
      <c r="T1061" s="14">
        <v>40777</v>
      </c>
      <c r="U1061" s="5">
        <v>40.54</v>
      </c>
    </row>
    <row r="1062" spans="14:21" x14ac:dyDescent="0.75">
      <c r="N1062" s="14">
        <v>40480</v>
      </c>
      <c r="O1062" s="5">
        <v>1084.42</v>
      </c>
      <c r="P1062" s="14"/>
      <c r="T1062" s="14">
        <v>40774</v>
      </c>
      <c r="U1062" s="5">
        <v>40.17</v>
      </c>
    </row>
    <row r="1063" spans="14:21" x14ac:dyDescent="0.75">
      <c r="N1063" s="14">
        <v>40479</v>
      </c>
      <c r="O1063" s="5">
        <v>1082.8800000000001</v>
      </c>
      <c r="P1063" s="14"/>
      <c r="T1063" s="14">
        <v>40773</v>
      </c>
      <c r="U1063" s="5">
        <v>40.76</v>
      </c>
    </row>
    <row r="1064" spans="14:21" x14ac:dyDescent="0.75">
      <c r="N1064" s="14">
        <v>40478</v>
      </c>
      <c r="O1064" s="5">
        <v>1081.55</v>
      </c>
      <c r="P1064" s="14"/>
      <c r="T1064" s="14">
        <v>40772</v>
      </c>
      <c r="U1064" s="5">
        <v>42.56</v>
      </c>
    </row>
    <row r="1065" spans="14:21" x14ac:dyDescent="0.75">
      <c r="N1065" s="14">
        <v>40477</v>
      </c>
      <c r="O1065" s="5">
        <v>1081.51</v>
      </c>
      <c r="P1065" s="14"/>
      <c r="T1065" s="14">
        <v>40771</v>
      </c>
      <c r="U1065" s="5">
        <v>42.56</v>
      </c>
    </row>
    <row r="1066" spans="14:21" x14ac:dyDescent="0.75">
      <c r="N1066" s="14">
        <v>40476</v>
      </c>
      <c r="O1066" s="5">
        <v>1081.81</v>
      </c>
      <c r="P1066" s="14"/>
      <c r="T1066" s="14">
        <v>40770</v>
      </c>
      <c r="U1066" s="5">
        <v>42.58</v>
      </c>
    </row>
    <row r="1067" spans="14:21" x14ac:dyDescent="0.75">
      <c r="N1067" s="14">
        <v>40473</v>
      </c>
      <c r="O1067" s="5">
        <v>1080.58</v>
      </c>
      <c r="P1067" s="14"/>
      <c r="T1067" s="14">
        <v>40767</v>
      </c>
      <c r="U1067" s="5">
        <v>41.07</v>
      </c>
    </row>
    <row r="1068" spans="14:21" x14ac:dyDescent="0.75">
      <c r="N1068" s="14">
        <v>40472</v>
      </c>
      <c r="O1068" s="5">
        <v>1080.58</v>
      </c>
      <c r="P1068" s="14"/>
      <c r="T1068" s="14">
        <v>40766</v>
      </c>
      <c r="U1068" s="5">
        <v>41.06</v>
      </c>
    </row>
    <row r="1069" spans="14:21" x14ac:dyDescent="0.75">
      <c r="N1069" s="14">
        <v>40471</v>
      </c>
      <c r="O1069" s="5">
        <v>1079.82</v>
      </c>
      <c r="P1069" s="14"/>
      <c r="T1069" s="14">
        <v>40765</v>
      </c>
      <c r="U1069" s="5">
        <v>39</v>
      </c>
    </row>
    <row r="1070" spans="14:21" x14ac:dyDescent="0.75">
      <c r="N1070" s="14">
        <v>40470</v>
      </c>
      <c r="O1070" s="5">
        <v>1078.1600000000001</v>
      </c>
      <c r="P1070" s="14"/>
      <c r="T1070" s="14">
        <v>40764</v>
      </c>
      <c r="U1070" s="5">
        <v>39.948999999999998</v>
      </c>
    </row>
    <row r="1071" spans="14:21" x14ac:dyDescent="0.75">
      <c r="N1071" s="14">
        <v>40469</v>
      </c>
      <c r="O1071" s="5">
        <v>1080.3699999999999</v>
      </c>
      <c r="P1071" s="14"/>
      <c r="T1071" s="14">
        <v>40763</v>
      </c>
      <c r="U1071" s="5">
        <v>36.520000000000003</v>
      </c>
    </row>
    <row r="1072" spans="14:21" x14ac:dyDescent="0.75">
      <c r="N1072" s="14">
        <v>40466</v>
      </c>
      <c r="O1072" s="5">
        <v>1080.8599999999999</v>
      </c>
      <c r="P1072" s="14"/>
      <c r="T1072" s="14">
        <v>40760</v>
      </c>
      <c r="U1072" s="5">
        <v>39.53</v>
      </c>
    </row>
    <row r="1073" spans="14:21" x14ac:dyDescent="0.75">
      <c r="N1073" s="14">
        <v>40465</v>
      </c>
      <c r="O1073" s="5">
        <v>1081.22</v>
      </c>
      <c r="P1073" s="14"/>
      <c r="T1073" s="14">
        <v>40759</v>
      </c>
      <c r="U1073" s="5">
        <v>40.31</v>
      </c>
    </row>
    <row r="1074" spans="14:21" x14ac:dyDescent="0.75">
      <c r="N1074" s="14">
        <v>40464</v>
      </c>
      <c r="O1074" s="5">
        <v>1081.53</v>
      </c>
      <c r="P1074" s="14"/>
      <c r="T1074" s="14">
        <v>40758</v>
      </c>
      <c r="U1074" s="5">
        <v>42.24</v>
      </c>
    </row>
    <row r="1075" spans="14:21" x14ac:dyDescent="0.75">
      <c r="N1075" s="14">
        <v>40463</v>
      </c>
      <c r="O1075" s="5">
        <v>1078.3499999999999</v>
      </c>
      <c r="P1075" s="14"/>
      <c r="T1075" s="14">
        <v>40757</v>
      </c>
      <c r="U1075" s="5">
        <v>42.58</v>
      </c>
    </row>
    <row r="1076" spans="14:21" x14ac:dyDescent="0.75">
      <c r="N1076" s="14">
        <v>40462</v>
      </c>
      <c r="O1076" s="5">
        <v>1078.24</v>
      </c>
      <c r="P1076" s="14"/>
      <c r="T1076" s="14">
        <v>40756</v>
      </c>
      <c r="U1076" s="5">
        <v>43.36</v>
      </c>
    </row>
    <row r="1077" spans="14:21" x14ac:dyDescent="0.75">
      <c r="N1077" s="14">
        <v>40459</v>
      </c>
      <c r="O1077" s="5">
        <v>1076.55</v>
      </c>
      <c r="P1077" s="14"/>
      <c r="T1077" s="14">
        <v>40753</v>
      </c>
      <c r="U1077" s="5">
        <v>44.38</v>
      </c>
    </row>
    <row r="1078" spans="14:21" x14ac:dyDescent="0.75">
      <c r="N1078" s="14">
        <v>40458</v>
      </c>
      <c r="O1078" s="5">
        <v>1075.43</v>
      </c>
      <c r="P1078" s="14"/>
      <c r="T1078" s="14">
        <v>40752</v>
      </c>
      <c r="U1078" s="5">
        <v>44.19</v>
      </c>
    </row>
    <row r="1079" spans="14:21" x14ac:dyDescent="0.75">
      <c r="N1079" s="14">
        <v>40457</v>
      </c>
      <c r="O1079" s="5">
        <v>1072.97</v>
      </c>
      <c r="P1079" s="14"/>
      <c r="T1079" s="14">
        <v>40751</v>
      </c>
      <c r="U1079" s="5">
        <v>44.28</v>
      </c>
    </row>
    <row r="1080" spans="14:21" x14ac:dyDescent="0.75">
      <c r="N1080" s="14">
        <v>40456</v>
      </c>
      <c r="O1080" s="5">
        <v>1072.1400000000001</v>
      </c>
      <c r="P1080" s="14"/>
      <c r="T1080" s="14">
        <v>40750</v>
      </c>
      <c r="U1080" s="5">
        <v>45.38</v>
      </c>
    </row>
    <row r="1081" spans="14:21" x14ac:dyDescent="0.75">
      <c r="N1081" s="14">
        <v>40455</v>
      </c>
      <c r="O1081" s="5">
        <v>1070.73</v>
      </c>
      <c r="P1081" s="14"/>
      <c r="T1081" s="14">
        <v>40749</v>
      </c>
      <c r="U1081" s="5">
        <v>45.35</v>
      </c>
    </row>
    <row r="1082" spans="14:21" x14ac:dyDescent="0.75">
      <c r="N1082" s="14">
        <v>40452</v>
      </c>
      <c r="O1082" s="5">
        <v>1071.3</v>
      </c>
      <c r="P1082" s="14"/>
      <c r="T1082" s="14">
        <v>40746</v>
      </c>
      <c r="U1082" s="5">
        <v>45.76</v>
      </c>
    </row>
    <row r="1083" spans="14:21" x14ac:dyDescent="0.75">
      <c r="N1083" s="14">
        <v>40451</v>
      </c>
      <c r="O1083" s="5">
        <v>1071.9100000000001</v>
      </c>
      <c r="P1083" s="14"/>
      <c r="T1083" s="14">
        <v>40745</v>
      </c>
      <c r="U1083" s="5">
        <v>45.57</v>
      </c>
    </row>
    <row r="1084" spans="14:21" x14ac:dyDescent="0.75">
      <c r="N1084" s="14">
        <v>40450</v>
      </c>
      <c r="O1084" s="5">
        <v>1071.43</v>
      </c>
      <c r="P1084" s="14"/>
      <c r="T1084" s="14">
        <v>40744</v>
      </c>
      <c r="U1084" s="5">
        <v>45.21</v>
      </c>
    </row>
    <row r="1085" spans="14:21" x14ac:dyDescent="0.75">
      <c r="N1085" s="14">
        <v>40449</v>
      </c>
      <c r="O1085" s="5">
        <v>1070.73</v>
      </c>
      <c r="P1085" s="14"/>
      <c r="T1085" s="14">
        <v>40743</v>
      </c>
      <c r="U1085" s="5">
        <v>44.86</v>
      </c>
    </row>
    <row r="1086" spans="14:21" x14ac:dyDescent="0.75">
      <c r="N1086" s="14">
        <v>40448</v>
      </c>
      <c r="O1086" s="5">
        <v>1069.72</v>
      </c>
      <c r="P1086" s="14"/>
      <c r="T1086" s="14">
        <v>40742</v>
      </c>
      <c r="U1086" s="5">
        <v>44.21</v>
      </c>
    </row>
    <row r="1087" spans="14:21" x14ac:dyDescent="0.75">
      <c r="N1087" s="14">
        <v>40445</v>
      </c>
      <c r="O1087" s="5">
        <v>1068.53</v>
      </c>
      <c r="P1087" s="14"/>
      <c r="T1087" s="14">
        <v>40739</v>
      </c>
      <c r="U1087" s="5">
        <v>44.353000000000002</v>
      </c>
    </row>
    <row r="1088" spans="14:21" x14ac:dyDescent="0.75">
      <c r="N1088" s="14">
        <v>40444</v>
      </c>
      <c r="O1088" s="5">
        <v>1067.3</v>
      </c>
      <c r="P1088" s="14"/>
      <c r="T1088" s="14">
        <v>40738</v>
      </c>
      <c r="U1088" s="5">
        <v>43.78</v>
      </c>
    </row>
    <row r="1089" spans="14:21" x14ac:dyDescent="0.75">
      <c r="N1089" s="14">
        <v>40443</v>
      </c>
      <c r="O1089" s="5">
        <v>1067.1600000000001</v>
      </c>
      <c r="P1089" s="14"/>
      <c r="T1089" s="14">
        <v>40737</v>
      </c>
      <c r="U1089" s="5">
        <v>44.15</v>
      </c>
    </row>
    <row r="1090" spans="14:21" x14ac:dyDescent="0.75">
      <c r="N1090" s="14">
        <v>40442</v>
      </c>
      <c r="O1090" s="5">
        <v>1066.81</v>
      </c>
      <c r="P1090" s="14"/>
      <c r="T1090" s="14">
        <v>40736</v>
      </c>
      <c r="U1090" s="5">
        <v>44.64</v>
      </c>
    </row>
    <row r="1091" spans="14:21" x14ac:dyDescent="0.75">
      <c r="N1091" s="14">
        <v>40441</v>
      </c>
      <c r="O1091" s="5">
        <v>1067.07</v>
      </c>
      <c r="P1091" s="14"/>
      <c r="T1091" s="14">
        <v>40735</v>
      </c>
      <c r="U1091" s="5">
        <v>44.31</v>
      </c>
    </row>
    <row r="1092" spans="14:21" x14ac:dyDescent="0.75">
      <c r="N1092" s="14">
        <v>40438</v>
      </c>
      <c r="O1092" s="5">
        <v>1065.07</v>
      </c>
      <c r="P1092" s="14"/>
      <c r="T1092" s="14">
        <v>40732</v>
      </c>
      <c r="U1092" s="5">
        <v>45</v>
      </c>
    </row>
    <row r="1093" spans="14:21" x14ac:dyDescent="0.75">
      <c r="N1093" s="14">
        <v>40437</v>
      </c>
      <c r="O1093" s="5">
        <v>1064.3599999999999</v>
      </c>
      <c r="P1093" s="14"/>
      <c r="T1093" s="14">
        <v>40731</v>
      </c>
      <c r="U1093" s="5">
        <v>45</v>
      </c>
    </row>
    <row r="1094" spans="14:21" x14ac:dyDescent="0.75">
      <c r="N1094" s="14">
        <v>40436</v>
      </c>
      <c r="O1094" s="5">
        <v>1063.9000000000001</v>
      </c>
      <c r="P1094" s="14"/>
      <c r="T1094" s="14">
        <v>40730</v>
      </c>
      <c r="U1094" s="5">
        <v>44.51</v>
      </c>
    </row>
    <row r="1095" spans="14:21" x14ac:dyDescent="0.75">
      <c r="N1095" s="14">
        <v>40435</v>
      </c>
      <c r="O1095" s="5">
        <v>1062.67</v>
      </c>
      <c r="P1095" s="14"/>
      <c r="T1095" s="14">
        <v>40729</v>
      </c>
      <c r="U1095" s="5">
        <v>44.17</v>
      </c>
    </row>
    <row r="1096" spans="14:21" x14ac:dyDescent="0.75">
      <c r="N1096" s="14">
        <v>40434</v>
      </c>
      <c r="O1096" s="5">
        <v>1061.5999999999999</v>
      </c>
      <c r="P1096" s="14"/>
      <c r="T1096" s="14">
        <v>40725</v>
      </c>
      <c r="U1096" s="5">
        <v>43.75</v>
      </c>
    </row>
    <row r="1097" spans="14:21" x14ac:dyDescent="0.75">
      <c r="N1097" s="14">
        <v>40431</v>
      </c>
      <c r="O1097" s="5">
        <v>1060.06</v>
      </c>
      <c r="P1097" s="14"/>
      <c r="T1097" s="14">
        <v>40724</v>
      </c>
      <c r="U1097" s="5">
        <v>42.96</v>
      </c>
    </row>
    <row r="1098" spans="14:21" x14ac:dyDescent="0.75">
      <c r="N1098" s="14">
        <v>40430</v>
      </c>
      <c r="O1098" s="5">
        <v>1059.3900000000001</v>
      </c>
      <c r="P1098" s="14"/>
      <c r="T1098" s="14">
        <v>40723</v>
      </c>
      <c r="U1098" s="5">
        <v>42.96</v>
      </c>
    </row>
    <row r="1099" spans="14:21" x14ac:dyDescent="0.75">
      <c r="N1099" s="14">
        <v>40429</v>
      </c>
      <c r="O1099" s="5">
        <v>1057.8599999999999</v>
      </c>
      <c r="P1099" s="14"/>
      <c r="T1099" s="14">
        <v>40722</v>
      </c>
      <c r="U1099" s="5">
        <v>42.59</v>
      </c>
    </row>
    <row r="1100" spans="14:21" x14ac:dyDescent="0.75">
      <c r="N1100" s="14">
        <v>40428</v>
      </c>
      <c r="O1100" s="5">
        <v>1058.6600000000001</v>
      </c>
      <c r="P1100" s="14"/>
      <c r="T1100" s="14">
        <v>40721</v>
      </c>
      <c r="U1100" s="5">
        <v>42.38</v>
      </c>
    </row>
    <row r="1101" spans="14:21" x14ac:dyDescent="0.75">
      <c r="N1101" s="14">
        <v>40424</v>
      </c>
      <c r="O1101" s="5">
        <v>1058.3900000000001</v>
      </c>
      <c r="P1101" s="14"/>
      <c r="T1101" s="14">
        <v>40718</v>
      </c>
      <c r="U1101" s="5">
        <v>42.25</v>
      </c>
    </row>
    <row r="1102" spans="14:21" x14ac:dyDescent="0.75">
      <c r="N1102" s="14">
        <v>40423</v>
      </c>
      <c r="O1102" s="5">
        <v>1057.6500000000001</v>
      </c>
      <c r="P1102" s="14"/>
      <c r="T1102" s="14">
        <v>40717</v>
      </c>
      <c r="U1102" s="5">
        <v>42.15</v>
      </c>
    </row>
    <row r="1103" spans="14:21" x14ac:dyDescent="0.75">
      <c r="N1103" s="14">
        <v>40422</v>
      </c>
      <c r="O1103" s="5">
        <v>1056.5999999999999</v>
      </c>
      <c r="P1103" s="14"/>
      <c r="T1103" s="14">
        <v>40716</v>
      </c>
      <c r="U1103" s="5">
        <v>43.5</v>
      </c>
    </row>
    <row r="1104" spans="14:21" x14ac:dyDescent="0.75">
      <c r="N1104" s="14">
        <v>40421</v>
      </c>
      <c r="O1104" s="5">
        <v>1056.72</v>
      </c>
      <c r="P1104" s="14"/>
      <c r="T1104" s="14">
        <v>40715</v>
      </c>
      <c r="U1104" s="5">
        <v>43.72</v>
      </c>
    </row>
    <row r="1105" spans="14:21" x14ac:dyDescent="0.75">
      <c r="N1105" s="14">
        <v>40420</v>
      </c>
      <c r="O1105" s="5">
        <v>1054.58</v>
      </c>
      <c r="P1105" s="14"/>
      <c r="T1105" s="14">
        <v>40714</v>
      </c>
      <c r="U1105" s="5">
        <v>43.42</v>
      </c>
    </row>
    <row r="1106" spans="14:21" x14ac:dyDescent="0.75">
      <c r="N1106" s="14">
        <v>40417</v>
      </c>
      <c r="O1106" s="5">
        <v>1054.6400000000001</v>
      </c>
      <c r="P1106" s="14"/>
      <c r="T1106" s="14">
        <v>40711</v>
      </c>
      <c r="U1106" s="5">
        <v>42.85</v>
      </c>
    </row>
    <row r="1107" spans="14:21" x14ac:dyDescent="0.75">
      <c r="N1107" s="14">
        <v>40416</v>
      </c>
      <c r="O1107" s="5">
        <v>1054.1099999999999</v>
      </c>
      <c r="P1107" s="14"/>
      <c r="T1107" s="14">
        <v>40710</v>
      </c>
      <c r="U1107" s="5">
        <v>42.23</v>
      </c>
    </row>
    <row r="1108" spans="14:21" x14ac:dyDescent="0.75">
      <c r="N1108" s="14">
        <v>40415</v>
      </c>
      <c r="O1108" s="5">
        <v>1054.51</v>
      </c>
      <c r="P1108" s="14"/>
      <c r="T1108" s="14">
        <v>40709</v>
      </c>
      <c r="U1108" s="5">
        <v>42.26</v>
      </c>
    </row>
    <row r="1109" spans="14:21" x14ac:dyDescent="0.75">
      <c r="N1109" s="14">
        <v>40414</v>
      </c>
      <c r="O1109" s="5">
        <v>1055.0899999999999</v>
      </c>
      <c r="P1109" s="14"/>
      <c r="T1109" s="14">
        <v>40708</v>
      </c>
      <c r="U1109" s="5">
        <v>42.79</v>
      </c>
    </row>
    <row r="1110" spans="14:21" x14ac:dyDescent="0.75">
      <c r="N1110" s="14">
        <v>40413</v>
      </c>
      <c r="O1110" s="5">
        <v>1055.42</v>
      </c>
      <c r="P1110" s="14"/>
      <c r="T1110" s="14">
        <v>40707</v>
      </c>
      <c r="U1110" s="5">
        <v>42.3</v>
      </c>
    </row>
    <row r="1111" spans="14:21" x14ac:dyDescent="0.75">
      <c r="N1111" s="14">
        <v>40410</v>
      </c>
      <c r="O1111" s="5">
        <v>1055.92</v>
      </c>
      <c r="P1111" s="14"/>
      <c r="T1111" s="14">
        <v>40704</v>
      </c>
      <c r="U1111" s="5">
        <v>42.17</v>
      </c>
    </row>
    <row r="1112" spans="14:21" x14ac:dyDescent="0.75">
      <c r="N1112" s="14">
        <v>40409</v>
      </c>
      <c r="O1112" s="5">
        <v>1057.6099999999999</v>
      </c>
      <c r="P1112" s="14"/>
      <c r="T1112" s="14">
        <v>40703</v>
      </c>
      <c r="U1112" s="5">
        <v>43.19</v>
      </c>
    </row>
    <row r="1113" spans="14:21" x14ac:dyDescent="0.75">
      <c r="N1113" s="14">
        <v>40408</v>
      </c>
      <c r="O1113" s="5">
        <v>1057.5</v>
      </c>
      <c r="P1113" s="14"/>
      <c r="T1113" s="14">
        <v>40702</v>
      </c>
      <c r="U1113" s="5">
        <v>43.47</v>
      </c>
    </row>
    <row r="1114" spans="14:21" x14ac:dyDescent="0.75">
      <c r="N1114" s="14">
        <v>40407</v>
      </c>
      <c r="O1114" s="5">
        <v>1056.6099999999999</v>
      </c>
      <c r="P1114" s="14"/>
      <c r="T1114" s="14">
        <v>40701</v>
      </c>
      <c r="U1114" s="5">
        <v>43.47</v>
      </c>
    </row>
    <row r="1115" spans="14:21" x14ac:dyDescent="0.75">
      <c r="N1115" s="14">
        <v>40406</v>
      </c>
      <c r="O1115" s="5">
        <v>1056.5999999999999</v>
      </c>
      <c r="P1115" s="14"/>
      <c r="T1115" s="14">
        <v>40700</v>
      </c>
      <c r="U1115" s="5">
        <v>43.02</v>
      </c>
    </row>
    <row r="1116" spans="14:21" x14ac:dyDescent="0.75">
      <c r="N1116" s="14">
        <v>40403</v>
      </c>
      <c r="O1116" s="5">
        <v>1055.3699999999999</v>
      </c>
      <c r="P1116" s="14"/>
      <c r="T1116" s="14">
        <v>40697</v>
      </c>
      <c r="U1116" s="5">
        <v>43.44</v>
      </c>
    </row>
    <row r="1117" spans="14:21" x14ac:dyDescent="0.75">
      <c r="N1117" s="14">
        <v>40402</v>
      </c>
      <c r="O1117" s="5">
        <v>1055.3</v>
      </c>
      <c r="P1117" s="14"/>
      <c r="T1117" s="14">
        <v>40696</v>
      </c>
      <c r="U1117" s="5">
        <v>43.14</v>
      </c>
    </row>
    <row r="1118" spans="14:21" x14ac:dyDescent="0.75">
      <c r="N1118" s="14">
        <v>40401</v>
      </c>
      <c r="O1118" s="5">
        <v>1054.29</v>
      </c>
      <c r="P1118" s="14"/>
      <c r="T1118" s="14">
        <v>40695</v>
      </c>
      <c r="U1118" s="5">
        <v>43.32</v>
      </c>
    </row>
    <row r="1119" spans="14:21" x14ac:dyDescent="0.75">
      <c r="N1119" s="14">
        <v>40400</v>
      </c>
      <c r="O1119" s="5">
        <v>1055.6300000000001</v>
      </c>
      <c r="P1119" s="14"/>
      <c r="T1119" s="14">
        <v>40694</v>
      </c>
      <c r="U1119" s="5">
        <v>44.55</v>
      </c>
    </row>
    <row r="1120" spans="14:21" x14ac:dyDescent="0.75">
      <c r="N1120" s="14">
        <v>40399</v>
      </c>
      <c r="O1120" s="5">
        <v>1057.94</v>
      </c>
      <c r="P1120" s="14"/>
      <c r="T1120" s="14">
        <v>40690</v>
      </c>
      <c r="U1120" s="5">
        <v>43.75</v>
      </c>
    </row>
    <row r="1121" spans="14:21" x14ac:dyDescent="0.75">
      <c r="N1121" s="14">
        <v>40396</v>
      </c>
      <c r="O1121" s="5">
        <v>1057.45</v>
      </c>
      <c r="P1121" s="14"/>
      <c r="T1121" s="14">
        <v>40689</v>
      </c>
      <c r="U1121" s="5">
        <v>43.56</v>
      </c>
    </row>
    <row r="1122" spans="14:21" x14ac:dyDescent="0.75">
      <c r="N1122" s="14">
        <v>40395</v>
      </c>
      <c r="O1122" s="5">
        <v>1058.54</v>
      </c>
      <c r="P1122" s="14"/>
      <c r="T1122" s="14">
        <v>40688</v>
      </c>
      <c r="U1122" s="5">
        <v>43.1</v>
      </c>
    </row>
    <row r="1123" spans="14:21" x14ac:dyDescent="0.75">
      <c r="N1123" s="14">
        <v>40394</v>
      </c>
      <c r="O1123" s="5">
        <v>1058.31</v>
      </c>
      <c r="P1123" s="14"/>
      <c r="T1123" s="14">
        <v>40687</v>
      </c>
      <c r="U1123" s="5">
        <v>42.900002000000001</v>
      </c>
    </row>
    <row r="1124" spans="14:21" x14ac:dyDescent="0.75">
      <c r="N1124" s="14">
        <v>40393</v>
      </c>
      <c r="O1124" s="5">
        <v>1057.7</v>
      </c>
      <c r="P1124" s="14"/>
      <c r="T1124" s="14">
        <v>40686</v>
      </c>
      <c r="U1124" s="5">
        <v>42.71</v>
      </c>
    </row>
    <row r="1125" spans="14:21" x14ac:dyDescent="0.75">
      <c r="N1125" s="14">
        <v>40392</v>
      </c>
      <c r="O1125" s="5">
        <v>1058.32</v>
      </c>
      <c r="P1125" s="14"/>
      <c r="T1125" s="14">
        <v>40683</v>
      </c>
      <c r="U1125" s="5">
        <v>43.22</v>
      </c>
    </row>
    <row r="1126" spans="14:21" x14ac:dyDescent="0.75">
      <c r="N1126" s="14">
        <v>40389</v>
      </c>
      <c r="O1126" s="5">
        <v>1057.8599999999999</v>
      </c>
      <c r="P1126" s="14"/>
      <c r="T1126" s="14">
        <v>40682</v>
      </c>
      <c r="U1126" s="5">
        <v>43.59</v>
      </c>
    </row>
    <row r="1127" spans="14:21" x14ac:dyDescent="0.75">
      <c r="N1127" s="14">
        <v>40388</v>
      </c>
      <c r="O1127" s="5">
        <v>1056.98</v>
      </c>
      <c r="P1127" s="14"/>
      <c r="T1127" s="14">
        <v>40681</v>
      </c>
      <c r="U1127" s="5">
        <v>43.47</v>
      </c>
    </row>
    <row r="1128" spans="14:21" x14ac:dyDescent="0.75">
      <c r="N1128" s="14">
        <v>40387</v>
      </c>
      <c r="O1128" s="5">
        <v>1056.33</v>
      </c>
      <c r="P1128" s="14"/>
      <c r="T1128" s="14">
        <v>40680</v>
      </c>
      <c r="U1128" s="5">
        <v>43.14</v>
      </c>
    </row>
    <row r="1129" spans="14:21" x14ac:dyDescent="0.75">
      <c r="N1129" s="14">
        <v>40386</v>
      </c>
      <c r="O1129" s="5">
        <v>1055.8900000000001</v>
      </c>
      <c r="P1129" s="14"/>
      <c r="T1129" s="14">
        <v>40679</v>
      </c>
      <c r="U1129" s="5">
        <v>43.06</v>
      </c>
    </row>
    <row r="1130" spans="14:21" x14ac:dyDescent="0.75">
      <c r="N1130" s="14">
        <v>40385</v>
      </c>
      <c r="O1130" s="5">
        <v>1055.3699999999999</v>
      </c>
      <c r="P1130" s="14"/>
      <c r="T1130" s="14">
        <v>40676</v>
      </c>
      <c r="U1130" s="5">
        <v>43</v>
      </c>
    </row>
    <row r="1131" spans="14:21" x14ac:dyDescent="0.75">
      <c r="N1131" s="14">
        <v>40382</v>
      </c>
      <c r="O1131" s="5">
        <v>1054.3399999999999</v>
      </c>
      <c r="P1131" s="14"/>
      <c r="T1131" s="14">
        <v>40675</v>
      </c>
      <c r="U1131" s="5">
        <v>43.5</v>
      </c>
    </row>
    <row r="1132" spans="14:21" x14ac:dyDescent="0.75">
      <c r="N1132" s="14">
        <v>40381</v>
      </c>
      <c r="O1132" s="5">
        <v>1053.79</v>
      </c>
      <c r="P1132" s="14"/>
      <c r="T1132" s="14">
        <v>40674</v>
      </c>
      <c r="U1132" s="5">
        <v>43.43</v>
      </c>
    </row>
    <row r="1133" spans="14:21" x14ac:dyDescent="0.75">
      <c r="N1133" s="14">
        <v>40380</v>
      </c>
      <c r="O1133" s="5">
        <v>1052.21</v>
      </c>
      <c r="P1133" s="14"/>
      <c r="T1133" s="14">
        <v>40673</v>
      </c>
      <c r="U1133" s="5">
        <v>43.835000000000001</v>
      </c>
    </row>
    <row r="1134" spans="14:21" x14ac:dyDescent="0.75">
      <c r="N1134" s="14">
        <v>40379</v>
      </c>
      <c r="O1134" s="5">
        <v>1051.79</v>
      </c>
      <c r="P1134" s="14"/>
      <c r="T1134" s="14">
        <v>40672</v>
      </c>
      <c r="U1134" s="5">
        <v>43.28</v>
      </c>
    </row>
    <row r="1135" spans="14:21" x14ac:dyDescent="0.75">
      <c r="N1135" s="14">
        <v>40378</v>
      </c>
      <c r="O1135" s="5">
        <v>1050.53</v>
      </c>
      <c r="P1135" s="14"/>
      <c r="T1135" s="14">
        <v>40669</v>
      </c>
      <c r="U1135" s="5">
        <v>43.11</v>
      </c>
    </row>
    <row r="1136" spans="14:21" x14ac:dyDescent="0.75">
      <c r="N1136" s="14">
        <v>40375</v>
      </c>
      <c r="O1136" s="5">
        <v>1051</v>
      </c>
      <c r="P1136" s="14"/>
      <c r="T1136" s="14">
        <v>40668</v>
      </c>
      <c r="U1136" s="5">
        <v>43.62</v>
      </c>
    </row>
    <row r="1137" spans="14:21" x14ac:dyDescent="0.75">
      <c r="N1137" s="14">
        <v>40374</v>
      </c>
      <c r="O1137" s="5">
        <v>1052.1300000000001</v>
      </c>
      <c r="P1137" s="14"/>
      <c r="T1137" s="14">
        <v>40667</v>
      </c>
      <c r="U1137" s="5">
        <v>43.73</v>
      </c>
    </row>
    <row r="1138" spans="14:21" x14ac:dyDescent="0.75">
      <c r="N1138" s="14">
        <v>40373</v>
      </c>
      <c r="O1138" s="5">
        <v>1051.72</v>
      </c>
      <c r="P1138" s="14"/>
      <c r="T1138" s="14">
        <v>40666</v>
      </c>
      <c r="U1138" s="5">
        <v>43.92</v>
      </c>
    </row>
    <row r="1139" spans="14:21" x14ac:dyDescent="0.75">
      <c r="N1139" s="14">
        <v>40372</v>
      </c>
      <c r="O1139" s="5">
        <v>1051.49</v>
      </c>
      <c r="P1139" s="14"/>
      <c r="T1139" s="14">
        <v>40665</v>
      </c>
      <c r="U1139" s="5">
        <v>44.21</v>
      </c>
    </row>
    <row r="1140" spans="14:21" x14ac:dyDescent="0.75">
      <c r="N1140" s="14">
        <v>40371</v>
      </c>
      <c r="O1140" s="5">
        <v>1048.8</v>
      </c>
      <c r="P1140" s="14"/>
      <c r="T1140" s="14">
        <v>40662</v>
      </c>
      <c r="U1140" s="5">
        <v>44.18</v>
      </c>
    </row>
    <row r="1141" spans="14:21" x14ac:dyDescent="0.75">
      <c r="N1141" s="14">
        <v>40368</v>
      </c>
      <c r="O1141" s="5">
        <v>1048.81</v>
      </c>
      <c r="P1141" s="14"/>
      <c r="T1141" s="14">
        <v>40661</v>
      </c>
      <c r="U1141" s="5">
        <v>44.62</v>
      </c>
    </row>
    <row r="1142" spans="14:21" x14ac:dyDescent="0.75">
      <c r="N1142" s="14">
        <v>40367</v>
      </c>
      <c r="O1142" s="5">
        <v>1047.1600000000001</v>
      </c>
      <c r="P1142" s="14"/>
      <c r="T1142" s="14">
        <v>40660</v>
      </c>
      <c r="U1142" s="5">
        <v>44.08</v>
      </c>
    </row>
    <row r="1143" spans="14:21" x14ac:dyDescent="0.75">
      <c r="N1143" s="14">
        <v>40366</v>
      </c>
      <c r="O1143" s="5">
        <v>1046.74</v>
      </c>
      <c r="P1143" s="14"/>
      <c r="T1143" s="14">
        <v>40659</v>
      </c>
      <c r="U1143" s="5">
        <v>43.8</v>
      </c>
    </row>
    <row r="1144" spans="14:21" x14ac:dyDescent="0.75">
      <c r="N1144" s="14">
        <v>40365</v>
      </c>
      <c r="O1144" s="5">
        <v>1045.8900000000001</v>
      </c>
      <c r="P1144" s="14"/>
      <c r="T1144" s="14">
        <v>40658</v>
      </c>
      <c r="U1144" s="5">
        <v>43.29</v>
      </c>
    </row>
    <row r="1145" spans="14:21" x14ac:dyDescent="0.75">
      <c r="N1145" s="14">
        <v>40361</v>
      </c>
      <c r="O1145" s="5">
        <v>1045.98</v>
      </c>
      <c r="P1145" s="14"/>
      <c r="T1145" s="14">
        <v>40654</v>
      </c>
      <c r="U1145" s="5">
        <v>42.95</v>
      </c>
    </row>
    <row r="1146" spans="14:21" x14ac:dyDescent="0.75">
      <c r="N1146" s="14">
        <v>40360</v>
      </c>
      <c r="O1146" s="5">
        <v>1048</v>
      </c>
      <c r="P1146" s="14"/>
      <c r="T1146" s="14">
        <v>40653</v>
      </c>
      <c r="U1146" s="5">
        <v>42.78</v>
      </c>
    </row>
    <row r="1147" spans="14:21" x14ac:dyDescent="0.75">
      <c r="N1147" s="14">
        <v>40359</v>
      </c>
      <c r="O1147" s="5">
        <v>1047.6500000000001</v>
      </c>
      <c r="P1147" s="14"/>
      <c r="T1147" s="14">
        <v>40652</v>
      </c>
      <c r="U1147" s="5">
        <v>42.28</v>
      </c>
    </row>
    <row r="1148" spans="14:21" x14ac:dyDescent="0.75">
      <c r="N1148" s="14">
        <v>40358</v>
      </c>
      <c r="O1148" s="5">
        <v>1049.3</v>
      </c>
      <c r="P1148" s="14"/>
      <c r="T1148" s="14">
        <v>40651</v>
      </c>
      <c r="U1148" s="5">
        <v>41.93</v>
      </c>
    </row>
    <row r="1149" spans="14:21" x14ac:dyDescent="0.75">
      <c r="N1149" s="14">
        <v>40357</v>
      </c>
      <c r="O1149" s="5">
        <v>1052.6400000000001</v>
      </c>
      <c r="P1149" s="14"/>
      <c r="T1149" s="14">
        <v>40648</v>
      </c>
      <c r="U1149" s="5">
        <v>42.37</v>
      </c>
    </row>
    <row r="1150" spans="14:21" x14ac:dyDescent="0.75">
      <c r="N1150" s="14">
        <v>40354</v>
      </c>
      <c r="O1150" s="5">
        <v>1053.68</v>
      </c>
      <c r="P1150" s="14"/>
      <c r="T1150" s="14">
        <v>40647</v>
      </c>
      <c r="U1150" s="5">
        <v>41.8</v>
      </c>
    </row>
    <row r="1151" spans="14:21" x14ac:dyDescent="0.75">
      <c r="N1151" s="14">
        <v>40353</v>
      </c>
      <c r="O1151" s="5">
        <v>1053.8599999999999</v>
      </c>
      <c r="P1151" s="14"/>
      <c r="T1151" s="14">
        <v>40646</v>
      </c>
      <c r="U1151" s="5">
        <v>41.36</v>
      </c>
    </row>
    <row r="1152" spans="14:21" x14ac:dyDescent="0.75">
      <c r="N1152" s="14">
        <v>40352</v>
      </c>
      <c r="O1152" s="5">
        <v>1055.3</v>
      </c>
      <c r="P1152" s="14"/>
      <c r="T1152" s="14">
        <v>40645</v>
      </c>
      <c r="U1152" s="5">
        <v>41.38</v>
      </c>
    </row>
    <row r="1153" spans="14:21" x14ac:dyDescent="0.75">
      <c r="N1153" s="14">
        <v>40351</v>
      </c>
      <c r="O1153" s="5">
        <v>1055.52</v>
      </c>
      <c r="P1153" s="14"/>
      <c r="T1153" s="14">
        <v>40644</v>
      </c>
      <c r="U1153" s="5">
        <v>41.4</v>
      </c>
    </row>
    <row r="1154" spans="14:21" x14ac:dyDescent="0.75">
      <c r="N1154" s="14">
        <v>40350</v>
      </c>
      <c r="O1154" s="5">
        <v>1056.67</v>
      </c>
      <c r="P1154" s="14"/>
      <c r="T1154" s="14">
        <v>40641</v>
      </c>
      <c r="U1154" s="5">
        <v>41.37</v>
      </c>
    </row>
    <row r="1155" spans="14:21" x14ac:dyDescent="0.75">
      <c r="N1155" s="14">
        <v>40347</v>
      </c>
      <c r="O1155" s="5">
        <v>1056.23</v>
      </c>
      <c r="P1155" s="14"/>
      <c r="T1155" s="14">
        <v>40640</v>
      </c>
      <c r="U1155" s="5">
        <v>41.64</v>
      </c>
    </row>
    <row r="1156" spans="14:21" x14ac:dyDescent="0.75">
      <c r="N1156" s="14">
        <v>40346</v>
      </c>
      <c r="O1156" s="5">
        <v>1056.48</v>
      </c>
      <c r="P1156" s="14"/>
      <c r="T1156" s="14">
        <v>40639</v>
      </c>
      <c r="U1156" s="5">
        <v>42.01</v>
      </c>
    </row>
    <row r="1157" spans="14:21" x14ac:dyDescent="0.75">
      <c r="N1157" s="14">
        <v>40345</v>
      </c>
      <c r="O1157" s="5">
        <v>1054.6300000000001</v>
      </c>
      <c r="P1157" s="14"/>
      <c r="T1157" s="14">
        <v>40638</v>
      </c>
      <c r="U1157" s="5">
        <v>42.04</v>
      </c>
    </row>
    <row r="1158" spans="14:21" x14ac:dyDescent="0.75">
      <c r="N1158" s="14">
        <v>40344</v>
      </c>
      <c r="O1158" s="5">
        <v>1054.68</v>
      </c>
      <c r="P1158" s="14"/>
      <c r="T1158" s="14">
        <v>40637</v>
      </c>
      <c r="U1158" s="5">
        <v>41.98</v>
      </c>
    </row>
    <row r="1159" spans="14:21" x14ac:dyDescent="0.75">
      <c r="N1159" s="14">
        <v>40343</v>
      </c>
      <c r="O1159" s="5">
        <v>1052.6099999999999</v>
      </c>
      <c r="P1159" s="14"/>
      <c r="T1159" s="14">
        <v>40634</v>
      </c>
      <c r="U1159" s="5">
        <v>41.95</v>
      </c>
    </row>
    <row r="1160" spans="14:21" x14ac:dyDescent="0.75">
      <c r="N1160" s="14">
        <v>40340</v>
      </c>
      <c r="O1160" s="5">
        <v>1052.54</v>
      </c>
      <c r="P1160" s="14"/>
      <c r="T1160" s="14">
        <v>40633</v>
      </c>
      <c r="U1160" s="5">
        <v>41.859900000000003</v>
      </c>
    </row>
    <row r="1161" spans="14:21" x14ac:dyDescent="0.75">
      <c r="N1161" s="14">
        <v>40339</v>
      </c>
      <c r="O1161" s="5">
        <v>1052.08</v>
      </c>
      <c r="P1161" s="14"/>
      <c r="T1161" s="14">
        <v>40632</v>
      </c>
      <c r="U1161" s="5">
        <v>41.48</v>
      </c>
    </row>
    <row r="1162" spans="14:21" x14ac:dyDescent="0.75">
      <c r="N1162" s="14">
        <v>40338</v>
      </c>
      <c r="O1162" s="5">
        <v>1050.32</v>
      </c>
      <c r="P1162" s="14"/>
      <c r="T1162" s="14">
        <v>40631</v>
      </c>
      <c r="U1162" s="5">
        <v>40.880000000000003</v>
      </c>
    </row>
    <row r="1163" spans="14:21" x14ac:dyDescent="0.75">
      <c r="N1163" s="14">
        <v>40337</v>
      </c>
      <c r="O1163" s="5">
        <v>1051.23</v>
      </c>
      <c r="P1163" s="14"/>
      <c r="T1163" s="14">
        <v>40630</v>
      </c>
      <c r="U1163" s="5">
        <v>40.71</v>
      </c>
    </row>
    <row r="1164" spans="14:21" x14ac:dyDescent="0.75">
      <c r="N1164" s="14">
        <v>40336</v>
      </c>
      <c r="O1164" s="5">
        <v>1052.26</v>
      </c>
      <c r="P1164" s="14"/>
      <c r="T1164" s="14">
        <v>40627</v>
      </c>
      <c r="U1164" s="5">
        <v>40.619999999999997</v>
      </c>
    </row>
    <row r="1165" spans="14:21" x14ac:dyDescent="0.75">
      <c r="N1165" s="14">
        <v>40333</v>
      </c>
      <c r="O1165" s="5">
        <v>1054.9100000000001</v>
      </c>
      <c r="P1165" s="14"/>
      <c r="T1165" s="14">
        <v>40626</v>
      </c>
      <c r="U1165" s="5">
        <v>40.75</v>
      </c>
    </row>
    <row r="1166" spans="14:21" x14ac:dyDescent="0.75">
      <c r="N1166" s="14">
        <v>40332</v>
      </c>
      <c r="O1166" s="5">
        <v>1055.7</v>
      </c>
      <c r="P1166" s="14"/>
      <c r="T1166" s="14">
        <v>40625</v>
      </c>
      <c r="U1166" s="5">
        <v>40.619999999999997</v>
      </c>
    </row>
    <row r="1167" spans="14:21" x14ac:dyDescent="0.75">
      <c r="N1167" s="14">
        <v>40331</v>
      </c>
      <c r="O1167" s="5">
        <v>1055.78</v>
      </c>
      <c r="P1167" s="14"/>
      <c r="T1167" s="14">
        <v>40624</v>
      </c>
      <c r="U1167" s="5">
        <v>41.051000000000002</v>
      </c>
    </row>
    <row r="1168" spans="14:21" x14ac:dyDescent="0.75">
      <c r="N1168" s="14">
        <v>40330</v>
      </c>
      <c r="O1168" s="5">
        <v>1054.67</v>
      </c>
      <c r="P1168" s="14"/>
      <c r="T1168" s="14">
        <v>40623</v>
      </c>
      <c r="U1168" s="5">
        <v>41.423999999999999</v>
      </c>
    </row>
    <row r="1169" spans="14:21" x14ac:dyDescent="0.75">
      <c r="N1169" s="14">
        <v>40326</v>
      </c>
      <c r="O1169" s="5">
        <v>1058.4000000000001</v>
      </c>
      <c r="P1169" s="14"/>
      <c r="T1169" s="14">
        <v>40620</v>
      </c>
      <c r="U1169" s="5">
        <v>41.13</v>
      </c>
    </row>
    <row r="1170" spans="14:21" x14ac:dyDescent="0.75">
      <c r="N1170" s="14">
        <v>40325</v>
      </c>
      <c r="O1170" s="5">
        <v>1057.3599999999999</v>
      </c>
      <c r="P1170" s="14"/>
      <c r="T1170" s="14">
        <v>40619</v>
      </c>
      <c r="U1170" s="5">
        <v>40.771099999999997</v>
      </c>
    </row>
    <row r="1171" spans="14:21" x14ac:dyDescent="0.75">
      <c r="N1171" s="14">
        <v>40324</v>
      </c>
      <c r="O1171" s="5">
        <v>1053.54</v>
      </c>
      <c r="P1171" s="14"/>
      <c r="T1171" s="14">
        <v>40618</v>
      </c>
      <c r="U1171" s="5">
        <v>40.35</v>
      </c>
    </row>
    <row r="1172" spans="14:21" x14ac:dyDescent="0.75">
      <c r="N1172" s="14">
        <v>40323</v>
      </c>
      <c r="O1172" s="5">
        <v>1052.1300000000001</v>
      </c>
      <c r="P1172" s="14"/>
      <c r="T1172" s="14">
        <v>40617</v>
      </c>
      <c r="U1172" s="5">
        <v>41.162500000000001</v>
      </c>
    </row>
    <row r="1173" spans="14:21" x14ac:dyDescent="0.75">
      <c r="N1173" s="14">
        <v>40322</v>
      </c>
      <c r="O1173" s="5">
        <v>1054.98</v>
      </c>
      <c r="P1173" s="14"/>
      <c r="T1173" s="14">
        <v>40616</v>
      </c>
      <c r="U1173" s="5">
        <v>41.06</v>
      </c>
    </row>
    <row r="1174" spans="14:21" x14ac:dyDescent="0.75">
      <c r="N1174" s="14">
        <v>40319</v>
      </c>
      <c r="O1174" s="5">
        <v>1055.8599999999999</v>
      </c>
      <c r="P1174" s="14"/>
      <c r="T1174" s="14">
        <v>40613</v>
      </c>
      <c r="U1174" s="5">
        <v>41.359000000000002</v>
      </c>
    </row>
    <row r="1175" spans="14:21" x14ac:dyDescent="0.75">
      <c r="N1175" s="14">
        <v>40318</v>
      </c>
      <c r="O1175" s="5">
        <v>1055.9100000000001</v>
      </c>
      <c r="P1175" s="14"/>
      <c r="T1175" s="14">
        <v>40612</v>
      </c>
      <c r="U1175" s="5">
        <v>40.86</v>
      </c>
    </row>
    <row r="1176" spans="14:21" x14ac:dyDescent="0.75">
      <c r="N1176" s="14">
        <v>40317</v>
      </c>
      <c r="O1176" s="5">
        <v>1063.74</v>
      </c>
      <c r="P1176" s="14"/>
      <c r="T1176" s="14">
        <v>40611</v>
      </c>
      <c r="U1176" s="5">
        <v>41.35</v>
      </c>
    </row>
    <row r="1177" spans="14:21" x14ac:dyDescent="0.75">
      <c r="N1177" s="14">
        <v>40316</v>
      </c>
      <c r="O1177" s="5">
        <v>1068.29</v>
      </c>
      <c r="P1177" s="14"/>
      <c r="T1177" s="14">
        <v>40610</v>
      </c>
      <c r="U1177" s="5">
        <v>41.33</v>
      </c>
    </row>
    <row r="1178" spans="14:21" x14ac:dyDescent="0.75">
      <c r="N1178" s="14">
        <v>40315</v>
      </c>
      <c r="O1178" s="5">
        <v>1068.42</v>
      </c>
      <c r="P1178" s="14"/>
      <c r="T1178" s="14">
        <v>40609</v>
      </c>
      <c r="U1178" s="5">
        <v>40.65</v>
      </c>
    </row>
    <row r="1179" spans="14:21" x14ac:dyDescent="0.75">
      <c r="N1179" s="14">
        <v>40312</v>
      </c>
      <c r="O1179" s="5">
        <v>1069.8</v>
      </c>
      <c r="P1179" s="14"/>
      <c r="T1179" s="14">
        <v>40606</v>
      </c>
      <c r="U1179" s="5">
        <v>40.97</v>
      </c>
    </row>
    <row r="1180" spans="14:21" x14ac:dyDescent="0.75">
      <c r="N1180" s="14">
        <v>40311</v>
      </c>
      <c r="O1180" s="5">
        <v>1073.23</v>
      </c>
      <c r="P1180" s="14"/>
      <c r="T1180" s="14">
        <v>40605</v>
      </c>
      <c r="U1180" s="5">
        <v>41.32</v>
      </c>
    </row>
    <row r="1181" spans="14:21" x14ac:dyDescent="0.75">
      <c r="N1181" s="14">
        <v>40310</v>
      </c>
      <c r="O1181" s="5">
        <v>1072.31</v>
      </c>
      <c r="P1181" s="14"/>
      <c r="T1181" s="14">
        <v>40604</v>
      </c>
      <c r="U1181" s="5">
        <v>40.770000000000003</v>
      </c>
    </row>
    <row r="1182" spans="14:21" x14ac:dyDescent="0.75">
      <c r="N1182" s="14">
        <v>40309</v>
      </c>
      <c r="O1182" s="5">
        <v>1070.6500000000001</v>
      </c>
      <c r="P1182" s="14"/>
      <c r="T1182" s="14">
        <v>40603</v>
      </c>
      <c r="U1182" s="5">
        <v>41.11</v>
      </c>
    </row>
    <row r="1183" spans="14:21" x14ac:dyDescent="0.75">
      <c r="N1183" s="14">
        <v>40308</v>
      </c>
      <c r="O1183" s="5">
        <v>1072.1400000000001</v>
      </c>
      <c r="P1183" s="14"/>
      <c r="T1183" s="14">
        <v>40602</v>
      </c>
      <c r="U1183" s="5">
        <v>42.47</v>
      </c>
    </row>
    <row r="1184" spans="14:21" x14ac:dyDescent="0.75">
      <c r="N1184" s="14">
        <v>40305</v>
      </c>
      <c r="O1184" s="5">
        <v>1067.43</v>
      </c>
      <c r="P1184" s="14"/>
      <c r="T1184" s="14">
        <v>40599</v>
      </c>
      <c r="U1184" s="5">
        <v>41.43</v>
      </c>
    </row>
    <row r="1185" spans="14:21" x14ac:dyDescent="0.75">
      <c r="N1185" s="14">
        <v>40304</v>
      </c>
      <c r="O1185" s="5">
        <v>1071.0999999999999</v>
      </c>
      <c r="P1185" s="14"/>
      <c r="T1185" s="14">
        <v>40598</v>
      </c>
      <c r="U1185" s="5">
        <v>40.546999999999997</v>
      </c>
    </row>
    <row r="1186" spans="14:21" x14ac:dyDescent="0.75">
      <c r="N1186" s="14">
        <v>40303</v>
      </c>
      <c r="O1186" s="5">
        <v>1075.5</v>
      </c>
      <c r="P1186" s="14"/>
      <c r="T1186" s="14">
        <v>40597</v>
      </c>
      <c r="U1186" s="5">
        <v>40.69</v>
      </c>
    </row>
    <row r="1187" spans="14:21" x14ac:dyDescent="0.75">
      <c r="N1187" s="14">
        <v>40302</v>
      </c>
      <c r="O1187" s="5">
        <v>1077.22</v>
      </c>
      <c r="P1187" s="14"/>
      <c r="T1187" s="14">
        <v>40596</v>
      </c>
      <c r="U1187" s="5">
        <v>40.869999999999997</v>
      </c>
    </row>
    <row r="1188" spans="14:21" x14ac:dyDescent="0.75">
      <c r="N1188" s="14">
        <v>40301</v>
      </c>
      <c r="O1188" s="5">
        <v>1080.1300000000001</v>
      </c>
      <c r="P1188" s="14"/>
      <c r="T1188" s="14">
        <v>40592</v>
      </c>
      <c r="U1188" s="5">
        <v>41.12</v>
      </c>
    </row>
    <row r="1189" spans="14:21" x14ac:dyDescent="0.75">
      <c r="N1189" s="14">
        <v>40298</v>
      </c>
      <c r="O1189" s="5">
        <v>1079.9000000000001</v>
      </c>
      <c r="P1189" s="14"/>
      <c r="T1189" s="14">
        <v>40591</v>
      </c>
      <c r="U1189" s="5">
        <v>40.79</v>
      </c>
    </row>
    <row r="1190" spans="14:21" x14ac:dyDescent="0.75">
      <c r="N1190" s="14">
        <v>40297</v>
      </c>
      <c r="O1190" s="5">
        <v>1079.76</v>
      </c>
      <c r="P1190" s="14"/>
      <c r="T1190" s="14">
        <v>40590</v>
      </c>
      <c r="U1190" s="5">
        <v>40.92</v>
      </c>
    </row>
    <row r="1191" spans="14:21" x14ac:dyDescent="0.75">
      <c r="N1191" s="14">
        <v>40296</v>
      </c>
      <c r="O1191" s="5">
        <v>1079.6099999999999</v>
      </c>
      <c r="P1191" s="14"/>
      <c r="T1191" s="14">
        <v>40589</v>
      </c>
      <c r="U1191" s="5">
        <v>40.840000000000003</v>
      </c>
    </row>
    <row r="1192" spans="14:21" x14ac:dyDescent="0.75">
      <c r="N1192" s="14">
        <v>40295</v>
      </c>
      <c r="O1192" s="5">
        <v>1080.24</v>
      </c>
      <c r="P1192" s="14"/>
      <c r="T1192" s="14">
        <v>40588</v>
      </c>
      <c r="U1192" s="5">
        <v>41.02</v>
      </c>
    </row>
    <row r="1193" spans="14:21" x14ac:dyDescent="0.75">
      <c r="N1193" s="14">
        <v>40294</v>
      </c>
      <c r="O1193" s="5">
        <v>1082.3800000000001</v>
      </c>
      <c r="P1193" s="14"/>
      <c r="T1193" s="14">
        <v>40585</v>
      </c>
      <c r="U1193" s="5">
        <v>40.9</v>
      </c>
    </row>
    <row r="1194" spans="14:21" x14ac:dyDescent="0.75">
      <c r="N1194" s="14">
        <v>40291</v>
      </c>
      <c r="O1194" s="5">
        <v>1081.53</v>
      </c>
      <c r="P1194" s="14"/>
      <c r="T1194" s="14">
        <v>40584</v>
      </c>
      <c r="U1194" s="5">
        <v>40.67</v>
      </c>
    </row>
    <row r="1195" spans="14:21" x14ac:dyDescent="0.75">
      <c r="N1195" s="14">
        <v>40290</v>
      </c>
      <c r="O1195" s="5">
        <v>1080.05</v>
      </c>
      <c r="P1195" s="14"/>
      <c r="T1195" s="14">
        <v>40583</v>
      </c>
      <c r="U1195" s="5">
        <v>40.57</v>
      </c>
    </row>
    <row r="1196" spans="14:21" x14ac:dyDescent="0.75">
      <c r="N1196" s="14">
        <v>40289</v>
      </c>
      <c r="O1196" s="5">
        <v>1080.3399999999999</v>
      </c>
      <c r="P1196" s="14"/>
      <c r="T1196" s="14">
        <v>40582</v>
      </c>
      <c r="U1196" s="5">
        <v>40.5</v>
      </c>
    </row>
    <row r="1197" spans="14:21" x14ac:dyDescent="0.75">
      <c r="N1197" s="14">
        <v>40288</v>
      </c>
      <c r="O1197" s="5">
        <v>1078.8</v>
      </c>
      <c r="P1197" s="14"/>
      <c r="T1197" s="14">
        <v>40581</v>
      </c>
      <c r="U1197" s="5">
        <v>40.39</v>
      </c>
    </row>
    <row r="1198" spans="14:21" x14ac:dyDescent="0.75">
      <c r="N1198" s="14">
        <v>40287</v>
      </c>
      <c r="O1198" s="5">
        <v>1077.25</v>
      </c>
      <c r="P1198" s="14"/>
      <c r="T1198" s="14">
        <v>40578</v>
      </c>
      <c r="U1198" s="5">
        <v>40.03</v>
      </c>
    </row>
    <row r="1199" spans="14:21" x14ac:dyDescent="0.75">
      <c r="N1199" s="14">
        <v>40284</v>
      </c>
      <c r="O1199" s="5">
        <v>1078.4100000000001</v>
      </c>
      <c r="P1199" s="14"/>
      <c r="T1199" s="14">
        <v>40577</v>
      </c>
      <c r="U1199" s="5">
        <v>40.619999999999997</v>
      </c>
    </row>
    <row r="1200" spans="14:21" x14ac:dyDescent="0.75">
      <c r="N1200" s="14">
        <v>40283</v>
      </c>
      <c r="O1200" s="5">
        <v>1081.93</v>
      </c>
      <c r="P1200" s="14"/>
      <c r="T1200" s="14">
        <v>40576</v>
      </c>
      <c r="U1200" s="5">
        <v>40.533999999999999</v>
      </c>
    </row>
    <row r="1201" spans="14:21" x14ac:dyDescent="0.75">
      <c r="N1201" s="14">
        <v>40282</v>
      </c>
      <c r="O1201" s="5">
        <v>1078.8599999999999</v>
      </c>
      <c r="P1201" s="14"/>
      <c r="T1201" s="14">
        <v>40575</v>
      </c>
      <c r="U1201" s="5">
        <v>40.6</v>
      </c>
    </row>
    <row r="1202" spans="14:21" x14ac:dyDescent="0.75">
      <c r="N1202" s="14">
        <v>40281</v>
      </c>
      <c r="O1202" s="5">
        <v>1077.1600000000001</v>
      </c>
      <c r="P1202" s="14"/>
      <c r="T1202" s="14">
        <v>40574</v>
      </c>
      <c r="U1202" s="5">
        <v>40.56</v>
      </c>
    </row>
    <row r="1203" spans="14:21" x14ac:dyDescent="0.75">
      <c r="N1203" s="14">
        <v>40280</v>
      </c>
      <c r="O1203" s="5">
        <v>1077.4000000000001</v>
      </c>
      <c r="P1203" s="14"/>
      <c r="T1203" s="14">
        <v>40571</v>
      </c>
      <c r="U1203" s="5">
        <v>39.865000000000002</v>
      </c>
    </row>
    <row r="1204" spans="14:21" x14ac:dyDescent="0.75">
      <c r="N1204" s="14">
        <v>40277</v>
      </c>
      <c r="O1204" s="5">
        <v>1077.51</v>
      </c>
      <c r="P1204" s="14"/>
      <c r="T1204" s="14">
        <v>40570</v>
      </c>
      <c r="U1204" s="5">
        <v>40.5627</v>
      </c>
    </row>
    <row r="1205" spans="14:21" x14ac:dyDescent="0.75">
      <c r="N1205" s="14">
        <v>40276</v>
      </c>
      <c r="O1205" s="5">
        <v>1077.03</v>
      </c>
      <c r="P1205" s="14"/>
      <c r="T1205" s="14">
        <v>40569</v>
      </c>
      <c r="U1205" s="5">
        <v>40.130000000000003</v>
      </c>
    </row>
    <row r="1206" spans="14:21" x14ac:dyDescent="0.75">
      <c r="N1206" s="14">
        <v>40275</v>
      </c>
      <c r="O1206" s="5">
        <v>1076.47</v>
      </c>
      <c r="P1206" s="14"/>
      <c r="T1206" s="14">
        <v>40568</v>
      </c>
      <c r="U1206" s="5">
        <v>39.93</v>
      </c>
    </row>
    <row r="1207" spans="14:21" x14ac:dyDescent="0.75">
      <c r="N1207" s="14">
        <v>40274</v>
      </c>
      <c r="O1207" s="5">
        <v>1075.45</v>
      </c>
      <c r="P1207" s="14"/>
      <c r="T1207" s="14">
        <v>40567</v>
      </c>
      <c r="U1207" s="5">
        <v>39.32</v>
      </c>
    </row>
    <row r="1208" spans="14:21" x14ac:dyDescent="0.75">
      <c r="N1208" s="14">
        <v>40273</v>
      </c>
      <c r="O1208" s="5">
        <v>1075.08</v>
      </c>
      <c r="P1208" s="14"/>
      <c r="T1208" s="14">
        <v>40564</v>
      </c>
      <c r="U1208" s="5">
        <v>39.161099999999998</v>
      </c>
    </row>
    <row r="1209" spans="14:21" x14ac:dyDescent="0.75">
      <c r="N1209" s="14">
        <v>40269</v>
      </c>
      <c r="O1209" s="5">
        <v>1073.48</v>
      </c>
      <c r="P1209" s="14"/>
      <c r="T1209" s="14">
        <v>40563</v>
      </c>
      <c r="U1209" s="5">
        <v>39.07</v>
      </c>
    </row>
    <row r="1210" spans="14:21" x14ac:dyDescent="0.75">
      <c r="N1210" s="14">
        <v>40268</v>
      </c>
      <c r="O1210" s="5">
        <v>1071.53</v>
      </c>
      <c r="P1210" s="14"/>
      <c r="T1210" s="14">
        <v>40562</v>
      </c>
      <c r="U1210" s="5">
        <v>39.03</v>
      </c>
    </row>
    <row r="1211" spans="14:21" x14ac:dyDescent="0.75">
      <c r="N1211" s="14">
        <v>40267</v>
      </c>
      <c r="O1211" s="5">
        <v>1071.26</v>
      </c>
      <c r="P1211" s="14"/>
      <c r="T1211" s="14">
        <v>40561</v>
      </c>
      <c r="U1211" s="5">
        <v>39.520000000000003</v>
      </c>
    </row>
    <row r="1212" spans="14:21" x14ac:dyDescent="0.75">
      <c r="N1212" s="14">
        <v>40266</v>
      </c>
      <c r="O1212" s="5">
        <v>1071.3499999999999</v>
      </c>
      <c r="P1212" s="14"/>
      <c r="T1212" s="14">
        <v>40557</v>
      </c>
      <c r="U1212" s="5">
        <v>39.074300000000001</v>
      </c>
    </row>
    <row r="1213" spans="14:21" x14ac:dyDescent="0.75">
      <c r="N1213" s="14">
        <v>40263</v>
      </c>
      <c r="O1213" s="5">
        <v>1069.9000000000001</v>
      </c>
      <c r="P1213" s="14"/>
      <c r="T1213" s="14">
        <v>40556</v>
      </c>
      <c r="U1213" s="5">
        <v>38.857999999999997</v>
      </c>
    </row>
    <row r="1214" spans="14:21" x14ac:dyDescent="0.75">
      <c r="N1214" s="14">
        <v>40261</v>
      </c>
      <c r="O1214" s="5">
        <v>1068.46</v>
      </c>
      <c r="P1214" s="14"/>
      <c r="T1214" s="14">
        <v>40555</v>
      </c>
      <c r="U1214" s="5">
        <v>38.869999</v>
      </c>
    </row>
    <row r="1215" spans="14:21" x14ac:dyDescent="0.75">
      <c r="N1215" s="14">
        <v>40260</v>
      </c>
      <c r="O1215" s="5">
        <v>1068.3599999999999</v>
      </c>
      <c r="P1215" s="14"/>
      <c r="T1215" s="14">
        <v>40554</v>
      </c>
      <c r="U1215" s="5">
        <v>38.78</v>
      </c>
    </row>
    <row r="1216" spans="14:21" x14ac:dyDescent="0.75">
      <c r="N1216" s="14">
        <v>40259</v>
      </c>
      <c r="O1216" s="5">
        <v>1067.3699999999999</v>
      </c>
      <c r="P1216" s="14"/>
      <c r="T1216" s="14">
        <v>40553</v>
      </c>
      <c r="U1216" s="5">
        <v>38.909999999999997</v>
      </c>
    </row>
    <row r="1217" spans="14:21" x14ac:dyDescent="0.75">
      <c r="N1217" s="14">
        <v>40256</v>
      </c>
      <c r="O1217" s="5">
        <v>1067.5</v>
      </c>
      <c r="P1217" s="14"/>
      <c r="T1217" s="14">
        <v>40550</v>
      </c>
      <c r="U1217" s="5">
        <v>39</v>
      </c>
    </row>
    <row r="1218" spans="14:21" x14ac:dyDescent="0.75">
      <c r="N1218" s="14">
        <v>40254</v>
      </c>
      <c r="O1218" s="5">
        <v>1067.46</v>
      </c>
      <c r="P1218" s="14"/>
      <c r="T1218" s="14">
        <v>40549</v>
      </c>
      <c r="U1218" s="5">
        <v>39.130000000000003</v>
      </c>
    </row>
    <row r="1219" spans="14:21" x14ac:dyDescent="0.75">
      <c r="N1219" s="14">
        <v>40247</v>
      </c>
      <c r="O1219" s="5">
        <v>1063.69</v>
      </c>
      <c r="P1219" s="14"/>
      <c r="T1219" s="14">
        <v>40548</v>
      </c>
      <c r="U1219" s="5">
        <v>39.409999999999997</v>
      </c>
    </row>
    <row r="1220" spans="14:21" x14ac:dyDescent="0.75">
      <c r="N1220" s="14">
        <v>40246</v>
      </c>
      <c r="O1220" s="5">
        <v>1062.56</v>
      </c>
      <c r="P1220" s="14"/>
      <c r="T1220" s="14">
        <v>40547</v>
      </c>
      <c r="U1220" s="5">
        <v>39.299999999999997</v>
      </c>
    </row>
    <row r="1221" spans="14:21" x14ac:dyDescent="0.75">
      <c r="N1221" s="14">
        <v>40245</v>
      </c>
      <c r="O1221" s="5">
        <v>1062.6199999999999</v>
      </c>
      <c r="P1221" s="14"/>
      <c r="T1221" s="14">
        <v>40546</v>
      </c>
      <c r="U1221" s="5">
        <v>40.020000000000003</v>
      </c>
    </row>
    <row r="1222" spans="14:21" x14ac:dyDescent="0.75">
      <c r="N1222" s="14">
        <v>40242</v>
      </c>
      <c r="O1222" s="5">
        <v>1061.99</v>
      </c>
      <c r="P1222" s="14"/>
      <c r="T1222" s="14">
        <v>40543</v>
      </c>
      <c r="U1222" s="5">
        <v>39.39</v>
      </c>
    </row>
    <row r="1223" spans="14:21" x14ac:dyDescent="0.75">
      <c r="N1223" s="14">
        <v>40241</v>
      </c>
      <c r="O1223" s="5">
        <v>1060.82</v>
      </c>
      <c r="P1223" s="14"/>
      <c r="T1223" s="14">
        <v>40542</v>
      </c>
      <c r="U1223" s="5">
        <v>39.630000000000003</v>
      </c>
    </row>
    <row r="1224" spans="14:21" x14ac:dyDescent="0.75">
      <c r="N1224" s="14">
        <v>40239</v>
      </c>
      <c r="O1224" s="5">
        <v>1060.23</v>
      </c>
      <c r="P1224" s="14"/>
      <c r="T1224" s="14">
        <v>40541</v>
      </c>
      <c r="U1224" s="5">
        <v>39.450000000000003</v>
      </c>
    </row>
    <row r="1225" spans="14:21" x14ac:dyDescent="0.75">
      <c r="N1225" s="14">
        <v>40234</v>
      </c>
      <c r="O1225" s="5">
        <v>1055.0999999999999</v>
      </c>
      <c r="P1225" s="14"/>
      <c r="T1225" s="14">
        <v>40540</v>
      </c>
      <c r="U1225" s="5">
        <v>39.39</v>
      </c>
    </row>
    <row r="1226" spans="14:21" x14ac:dyDescent="0.75">
      <c r="N1226" s="14">
        <v>40233</v>
      </c>
      <c r="O1226" s="5">
        <v>1056.03</v>
      </c>
      <c r="P1226" s="14"/>
      <c r="T1226" s="14">
        <v>40539</v>
      </c>
      <c r="U1226" s="5">
        <v>39.130000000000003</v>
      </c>
    </row>
    <row r="1227" spans="14:21" x14ac:dyDescent="0.75">
      <c r="N1227" s="14">
        <v>40232</v>
      </c>
      <c r="O1227" s="5">
        <v>1055.55</v>
      </c>
      <c r="P1227" s="14"/>
      <c r="T1227" s="14">
        <v>40535</v>
      </c>
      <c r="U1227" s="5">
        <v>38.799999999999997</v>
      </c>
    </row>
    <row r="1228" spans="14:21" x14ac:dyDescent="0.75">
      <c r="N1228" s="14">
        <v>40231</v>
      </c>
      <c r="O1228" s="5">
        <v>1056.55</v>
      </c>
      <c r="P1228" s="14"/>
      <c r="T1228" s="14">
        <v>40534</v>
      </c>
      <c r="U1228" s="5">
        <v>39.130000000000003</v>
      </c>
    </row>
    <row r="1229" spans="14:21" x14ac:dyDescent="0.75">
      <c r="N1229" s="14">
        <v>40228</v>
      </c>
      <c r="O1229" s="5">
        <v>1054.8</v>
      </c>
      <c r="P1229" s="14"/>
      <c r="T1229" s="14">
        <v>40533</v>
      </c>
      <c r="U1229" s="5">
        <v>38.85</v>
      </c>
    </row>
    <row r="1230" spans="14:21" x14ac:dyDescent="0.75">
      <c r="N1230" s="14">
        <v>40226</v>
      </c>
      <c r="O1230" s="5">
        <v>1053.42</v>
      </c>
      <c r="P1230" s="14"/>
      <c r="T1230" s="14">
        <v>40532</v>
      </c>
      <c r="U1230" s="5">
        <v>38.46</v>
      </c>
    </row>
    <row r="1231" spans="14:21" x14ac:dyDescent="0.75">
      <c r="N1231" s="14">
        <v>40225</v>
      </c>
      <c r="O1231" s="5">
        <v>1051.6500000000001</v>
      </c>
      <c r="P1231" s="14"/>
      <c r="T1231" s="14">
        <v>40529</v>
      </c>
      <c r="U1231" s="5">
        <v>38.04</v>
      </c>
    </row>
    <row r="1232" spans="14:21" x14ac:dyDescent="0.75">
      <c r="N1232" s="14">
        <v>40221</v>
      </c>
      <c r="O1232" s="5">
        <v>1049.67</v>
      </c>
      <c r="P1232" s="14"/>
      <c r="T1232" s="14">
        <v>40528</v>
      </c>
      <c r="U1232" s="5">
        <v>37.72</v>
      </c>
    </row>
    <row r="1233" spans="14:21" x14ac:dyDescent="0.75">
      <c r="N1233" s="14">
        <v>40219</v>
      </c>
      <c r="O1233" s="5">
        <v>1049.26</v>
      </c>
      <c r="P1233" s="14"/>
      <c r="T1233" s="14">
        <v>40527</v>
      </c>
      <c r="U1233" s="5">
        <v>37.65</v>
      </c>
    </row>
    <row r="1234" spans="14:21" x14ac:dyDescent="0.75">
      <c r="N1234" s="14">
        <v>40218</v>
      </c>
      <c r="O1234" s="5">
        <v>1049.82</v>
      </c>
      <c r="P1234" s="14"/>
      <c r="T1234" s="14">
        <v>40526</v>
      </c>
      <c r="U1234" s="5">
        <v>37.85</v>
      </c>
    </row>
    <row r="1235" spans="14:21" x14ac:dyDescent="0.75">
      <c r="N1235" s="14">
        <v>40217</v>
      </c>
      <c r="O1235" s="5">
        <v>1049.26</v>
      </c>
      <c r="P1235" s="14"/>
      <c r="T1235" s="14">
        <v>40525</v>
      </c>
      <c r="U1235" s="5">
        <v>38.29</v>
      </c>
    </row>
    <row r="1236" spans="14:21" x14ac:dyDescent="0.75">
      <c r="N1236" s="14">
        <v>40214</v>
      </c>
      <c r="O1236" s="5">
        <v>1050.77</v>
      </c>
      <c r="P1236" s="14"/>
      <c r="T1236" s="14">
        <v>40522</v>
      </c>
      <c r="U1236" s="5">
        <v>38.252299999999998</v>
      </c>
    </row>
    <row r="1237" spans="14:21" x14ac:dyDescent="0.75">
      <c r="N1237" s="14">
        <v>40213</v>
      </c>
      <c r="O1237" s="5">
        <v>1051.82</v>
      </c>
      <c r="P1237" s="14"/>
      <c r="T1237" s="14">
        <v>40521</v>
      </c>
      <c r="U1237" s="5">
        <v>37.811199999999999</v>
      </c>
    </row>
    <row r="1238" spans="14:21" x14ac:dyDescent="0.75">
      <c r="N1238" s="14">
        <v>40212</v>
      </c>
      <c r="O1238" s="5">
        <v>1054.68</v>
      </c>
      <c r="P1238" s="14"/>
      <c r="T1238" s="14">
        <v>40520</v>
      </c>
      <c r="U1238" s="5">
        <v>37.936399999999999</v>
      </c>
    </row>
    <row r="1239" spans="14:21" x14ac:dyDescent="0.75">
      <c r="N1239" s="14">
        <v>40210</v>
      </c>
      <c r="O1239" s="5">
        <v>1053.26</v>
      </c>
      <c r="P1239" s="14"/>
      <c r="T1239" s="14">
        <v>40519</v>
      </c>
      <c r="U1239" s="5">
        <v>38.707999999999998</v>
      </c>
    </row>
    <row r="1240" spans="14:21" x14ac:dyDescent="0.75">
      <c r="N1240" s="14">
        <v>40206</v>
      </c>
      <c r="O1240" s="5">
        <v>1051.57</v>
      </c>
      <c r="P1240" s="14"/>
      <c r="T1240" s="14">
        <v>40518</v>
      </c>
      <c r="U1240" s="5">
        <v>38.6</v>
      </c>
    </row>
    <row r="1241" spans="14:21" x14ac:dyDescent="0.75">
      <c r="N1241" s="14">
        <v>40204</v>
      </c>
      <c r="O1241" s="5">
        <v>1052.72</v>
      </c>
      <c r="P1241" s="14"/>
      <c r="T1241" s="14">
        <v>40515</v>
      </c>
      <c r="U1241" s="5">
        <v>38.630000000000003</v>
      </c>
    </row>
    <row r="1242" spans="14:21" x14ac:dyDescent="0.75">
      <c r="N1242" s="14">
        <v>40200</v>
      </c>
      <c r="O1242" s="5">
        <v>1055.1199999999999</v>
      </c>
      <c r="P1242" s="14"/>
      <c r="T1242" s="14">
        <v>40514</v>
      </c>
      <c r="U1242" s="5">
        <v>38.659999999999997</v>
      </c>
    </row>
    <row r="1243" spans="14:21" x14ac:dyDescent="0.75">
      <c r="N1243" s="14">
        <v>40198</v>
      </c>
      <c r="O1243" s="5">
        <v>1057.8699999999999</v>
      </c>
      <c r="P1243" s="14"/>
      <c r="T1243" s="14">
        <v>40513</v>
      </c>
      <c r="U1243" s="5">
        <v>38.130000000000003</v>
      </c>
    </row>
    <row r="1244" spans="14:21" x14ac:dyDescent="0.75">
      <c r="N1244" s="14">
        <v>40197</v>
      </c>
      <c r="O1244" s="5">
        <v>1059.47</v>
      </c>
      <c r="P1244" s="14"/>
      <c r="T1244" s="14">
        <v>40512</v>
      </c>
      <c r="U1244" s="5">
        <v>37.950000000000003</v>
      </c>
    </row>
    <row r="1245" spans="14:21" x14ac:dyDescent="0.75">
      <c r="N1245" s="14">
        <v>40193</v>
      </c>
      <c r="O1245" s="5">
        <v>1059.8900000000001</v>
      </c>
      <c r="P1245" s="14"/>
      <c r="T1245" s="14">
        <v>40511</v>
      </c>
      <c r="U1245" s="5">
        <v>38.159999999999997</v>
      </c>
    </row>
    <row r="1246" spans="14:21" x14ac:dyDescent="0.75">
      <c r="N1246" s="14">
        <v>40191</v>
      </c>
      <c r="O1246" s="5">
        <v>1059.74</v>
      </c>
      <c r="P1246" s="14"/>
      <c r="T1246" s="14">
        <v>40508</v>
      </c>
      <c r="U1246" s="5">
        <v>38.159999999999997</v>
      </c>
    </row>
    <row r="1247" spans="14:21" x14ac:dyDescent="0.75">
      <c r="N1247" s="14">
        <v>40190</v>
      </c>
      <c r="O1247" s="5">
        <v>1059.1099999999999</v>
      </c>
      <c r="P1247" s="14"/>
      <c r="T1247" s="14">
        <v>40506</v>
      </c>
      <c r="U1247" s="5">
        <v>38.200001</v>
      </c>
    </row>
    <row r="1248" spans="14:21" x14ac:dyDescent="0.75">
      <c r="N1248" s="14">
        <v>40189</v>
      </c>
      <c r="O1248" s="5">
        <v>1060.1600000000001</v>
      </c>
      <c r="P1248" s="14"/>
      <c r="T1248" s="14">
        <v>40505</v>
      </c>
      <c r="U1248" s="5">
        <v>37.58</v>
      </c>
    </row>
    <row r="1249" spans="14:21" x14ac:dyDescent="0.75">
      <c r="N1249" s="14">
        <v>40186</v>
      </c>
      <c r="O1249" s="5">
        <v>1058.8900000000001</v>
      </c>
      <c r="P1249" s="14"/>
      <c r="T1249" s="14">
        <v>40504</v>
      </c>
      <c r="U1249" s="5">
        <v>37.96</v>
      </c>
    </row>
    <row r="1250" spans="14:21" x14ac:dyDescent="0.75">
      <c r="N1250" s="14">
        <v>40185</v>
      </c>
      <c r="O1250" s="5">
        <v>1057.32</v>
      </c>
      <c r="P1250" s="14"/>
      <c r="T1250" s="14">
        <v>40501</v>
      </c>
      <c r="U1250" s="5">
        <v>37.6556</v>
      </c>
    </row>
    <row r="1251" spans="14:21" x14ac:dyDescent="0.75">
      <c r="N1251" s="14">
        <v>40184</v>
      </c>
      <c r="O1251" s="5">
        <v>1055.96</v>
      </c>
      <c r="P1251" s="14"/>
      <c r="T1251" s="14">
        <v>40500</v>
      </c>
      <c r="U1251" s="5">
        <v>37.6</v>
      </c>
    </row>
    <row r="1252" spans="14:21" x14ac:dyDescent="0.75">
      <c r="N1252" s="14">
        <v>40183</v>
      </c>
      <c r="O1252" s="5">
        <v>1053.06</v>
      </c>
      <c r="P1252" s="14"/>
      <c r="T1252" s="14">
        <v>40499</v>
      </c>
      <c r="U1252" s="5">
        <v>37.33</v>
      </c>
    </row>
    <row r="1253" spans="14:21" x14ac:dyDescent="0.75">
      <c r="N1253" s="14">
        <v>40182</v>
      </c>
      <c r="O1253" s="5">
        <v>1052.2</v>
      </c>
      <c r="P1253" s="14"/>
      <c r="T1253" s="14">
        <v>40498</v>
      </c>
      <c r="U1253" s="5">
        <v>36.97</v>
      </c>
    </row>
    <row r="1254" spans="14:21" x14ac:dyDescent="0.75">
      <c r="N1254" s="14">
        <v>40178</v>
      </c>
      <c r="O1254" s="5">
        <v>1049.94</v>
      </c>
      <c r="P1254" s="14"/>
      <c r="T1254" s="14">
        <v>40497</v>
      </c>
      <c r="U1254" s="5">
        <v>38.380000000000003</v>
      </c>
    </row>
    <row r="1255" spans="14:21" x14ac:dyDescent="0.75">
      <c r="N1255" s="14">
        <v>40177</v>
      </c>
      <c r="O1255" s="5">
        <v>1048.72</v>
      </c>
      <c r="P1255" s="14"/>
      <c r="T1255" s="14">
        <v>40494</v>
      </c>
      <c r="U1255" s="5">
        <v>38.722200000000001</v>
      </c>
    </row>
    <row r="1256" spans="14:21" x14ac:dyDescent="0.75">
      <c r="N1256" s="14">
        <v>40176</v>
      </c>
      <c r="O1256" s="5">
        <v>1049.43</v>
      </c>
      <c r="P1256" s="14"/>
      <c r="T1256" s="14">
        <v>40493</v>
      </c>
      <c r="U1256" s="5">
        <v>39.07</v>
      </c>
    </row>
    <row r="1257" spans="14:21" x14ac:dyDescent="0.75">
      <c r="N1257" s="14">
        <v>40175</v>
      </c>
      <c r="O1257" s="5">
        <v>1048.48</v>
      </c>
      <c r="P1257" s="14"/>
      <c r="T1257" s="14">
        <v>40492</v>
      </c>
      <c r="U1257" s="5">
        <v>39.36</v>
      </c>
    </row>
    <row r="1258" spans="14:21" x14ac:dyDescent="0.75">
      <c r="N1258" s="14">
        <v>40171</v>
      </c>
      <c r="O1258" s="5">
        <v>1048.45</v>
      </c>
      <c r="P1258" s="14"/>
      <c r="T1258" s="14">
        <v>40491</v>
      </c>
      <c r="U1258" s="5">
        <v>38.718000000000004</v>
      </c>
    </row>
    <row r="1259" spans="14:21" x14ac:dyDescent="0.75">
      <c r="N1259" s="14">
        <v>40170</v>
      </c>
      <c r="O1259" s="5">
        <v>1046.5</v>
      </c>
      <c r="P1259" s="14"/>
      <c r="T1259" s="14">
        <v>40490</v>
      </c>
      <c r="U1259" s="5">
        <v>40.200099999999999</v>
      </c>
    </row>
    <row r="1260" spans="14:21" x14ac:dyDescent="0.75">
      <c r="N1260" s="14">
        <v>40169</v>
      </c>
      <c r="O1260" s="5">
        <v>1043.78</v>
      </c>
      <c r="P1260" s="14"/>
      <c r="T1260" s="14">
        <v>40487</v>
      </c>
      <c r="U1260" s="5">
        <v>40.51</v>
      </c>
    </row>
    <row r="1261" spans="14:21" x14ac:dyDescent="0.75">
      <c r="N1261" s="14">
        <v>40168</v>
      </c>
      <c r="O1261" s="5">
        <v>1044.22</v>
      </c>
      <c r="P1261" s="14"/>
      <c r="T1261" s="14">
        <v>40486</v>
      </c>
      <c r="U1261" s="5">
        <v>40.22</v>
      </c>
    </row>
    <row r="1262" spans="14:21" x14ac:dyDescent="0.75">
      <c r="N1262" s="14">
        <v>40165</v>
      </c>
      <c r="O1262" s="5">
        <v>1045.05</v>
      </c>
      <c r="P1262" s="14"/>
      <c r="T1262" s="14">
        <v>40485</v>
      </c>
      <c r="U1262" s="5">
        <v>39.279899999999998</v>
      </c>
    </row>
    <row r="1263" spans="14:21" x14ac:dyDescent="0.75">
      <c r="N1263" s="14">
        <v>40164</v>
      </c>
      <c r="O1263" s="5">
        <v>1043.8800000000001</v>
      </c>
      <c r="P1263" s="14"/>
      <c r="T1263" s="14">
        <v>40484</v>
      </c>
      <c r="U1263" s="5">
        <v>39.282800000000002</v>
      </c>
    </row>
    <row r="1264" spans="14:21" x14ac:dyDescent="0.75">
      <c r="N1264" s="14">
        <v>40163</v>
      </c>
      <c r="O1264" s="5">
        <v>1044.24</v>
      </c>
      <c r="P1264" s="14"/>
      <c r="T1264" s="14">
        <v>40483</v>
      </c>
      <c r="U1264" s="5">
        <v>39.159999999999997</v>
      </c>
    </row>
    <row r="1265" spans="14:21" x14ac:dyDescent="0.75">
      <c r="N1265" s="14">
        <v>40162</v>
      </c>
      <c r="O1265" s="5">
        <v>1043.81</v>
      </c>
      <c r="P1265" s="14"/>
      <c r="T1265" s="14">
        <v>40480</v>
      </c>
      <c r="U1265" s="5">
        <v>38.85</v>
      </c>
    </row>
    <row r="1266" spans="14:21" x14ac:dyDescent="0.75">
      <c r="N1266" s="14">
        <v>40161</v>
      </c>
      <c r="O1266" s="5">
        <v>1042.6199999999999</v>
      </c>
      <c r="P1266" s="14"/>
      <c r="T1266" s="14">
        <v>40479</v>
      </c>
      <c r="U1266" s="5">
        <v>38.729999999999997</v>
      </c>
    </row>
    <row r="1267" spans="14:21" x14ac:dyDescent="0.75">
      <c r="N1267" s="14">
        <v>40158</v>
      </c>
      <c r="O1267" s="5">
        <v>1041.6300000000001</v>
      </c>
      <c r="P1267" s="14"/>
      <c r="T1267" s="14">
        <v>40478</v>
      </c>
      <c r="U1267" s="5">
        <v>38.977699999999999</v>
      </c>
    </row>
    <row r="1268" spans="14:21" x14ac:dyDescent="0.75">
      <c r="N1268" s="14">
        <v>40157</v>
      </c>
      <c r="O1268" s="5">
        <v>1041.8699999999999</v>
      </c>
      <c r="P1268" s="14"/>
      <c r="T1268" s="14">
        <v>40477</v>
      </c>
      <c r="U1268" s="5">
        <v>39.35</v>
      </c>
    </row>
    <row r="1269" spans="14:21" x14ac:dyDescent="0.75">
      <c r="N1269" s="14">
        <v>40156</v>
      </c>
      <c r="O1269" s="5">
        <v>1042.17</v>
      </c>
      <c r="P1269" s="14"/>
      <c r="T1269" s="14">
        <v>40476</v>
      </c>
      <c r="U1269" s="5">
        <v>39.6</v>
      </c>
    </row>
    <row r="1270" spans="14:21" x14ac:dyDescent="0.75">
      <c r="N1270" s="14">
        <v>40155</v>
      </c>
      <c r="O1270" s="5">
        <v>1041.19</v>
      </c>
      <c r="P1270" s="14"/>
      <c r="T1270" s="14">
        <v>40473</v>
      </c>
      <c r="U1270" s="5">
        <v>39.466999999999999</v>
      </c>
    </row>
    <row r="1271" spans="14:21" x14ac:dyDescent="0.75">
      <c r="N1271" s="14">
        <v>40154</v>
      </c>
      <c r="O1271" s="5">
        <v>1042.5899999999999</v>
      </c>
      <c r="P1271" s="14"/>
      <c r="T1271" s="14">
        <v>40472</v>
      </c>
      <c r="U1271" s="5">
        <v>39.630000000000003</v>
      </c>
    </row>
    <row r="1272" spans="14:21" x14ac:dyDescent="0.75">
      <c r="N1272" s="14">
        <v>40151</v>
      </c>
      <c r="O1272" s="5">
        <v>1041.69</v>
      </c>
      <c r="P1272" s="14"/>
      <c r="T1272" s="14">
        <v>40471</v>
      </c>
      <c r="U1272" s="5">
        <v>39.74</v>
      </c>
    </row>
    <row r="1273" spans="14:21" x14ac:dyDescent="0.75">
      <c r="N1273" s="14">
        <v>40150</v>
      </c>
      <c r="O1273" s="5">
        <v>1043.6600000000001</v>
      </c>
      <c r="P1273" s="14"/>
      <c r="T1273" s="14">
        <v>40470</v>
      </c>
      <c r="U1273" s="5">
        <v>38.96</v>
      </c>
    </row>
    <row r="1274" spans="14:21" x14ac:dyDescent="0.75">
      <c r="N1274" s="14">
        <v>40149</v>
      </c>
      <c r="O1274" s="5">
        <v>1042.6400000000001</v>
      </c>
      <c r="P1274" s="14"/>
      <c r="T1274" s="14">
        <v>40469</v>
      </c>
      <c r="U1274" s="5">
        <v>39.340000000000003</v>
      </c>
    </row>
    <row r="1275" spans="14:21" x14ac:dyDescent="0.75">
      <c r="N1275" s="14">
        <v>40148</v>
      </c>
      <c r="O1275" s="5">
        <v>1041.78</v>
      </c>
      <c r="P1275" s="14"/>
      <c r="T1275" s="14">
        <v>40466</v>
      </c>
      <c r="U1275" s="5">
        <v>38.81</v>
      </c>
    </row>
    <row r="1276" spans="14:21" x14ac:dyDescent="0.75">
      <c r="N1276" s="14">
        <v>40147</v>
      </c>
      <c r="O1276" s="5">
        <v>1039.71</v>
      </c>
      <c r="P1276" s="14"/>
      <c r="T1276" s="14">
        <v>40465</v>
      </c>
      <c r="U1276" s="5">
        <v>38.909999999999997</v>
      </c>
    </row>
    <row r="1277" spans="14:21" x14ac:dyDescent="0.75">
      <c r="N1277" s="14">
        <v>40144</v>
      </c>
      <c r="O1277" s="5">
        <v>1040.4000000000001</v>
      </c>
      <c r="P1277" s="14"/>
      <c r="T1277" s="14">
        <v>40464</v>
      </c>
      <c r="U1277" s="5">
        <v>38.99</v>
      </c>
    </row>
    <row r="1278" spans="14:21" x14ac:dyDescent="0.75">
      <c r="N1278" s="14">
        <v>40142</v>
      </c>
      <c r="O1278" s="5">
        <v>1042.81</v>
      </c>
      <c r="P1278" s="14"/>
      <c r="T1278" s="14">
        <v>40463</v>
      </c>
      <c r="U1278" s="5">
        <v>38.619999999999997</v>
      </c>
    </row>
    <row r="1279" spans="14:21" x14ac:dyDescent="0.75">
      <c r="N1279" s="14">
        <v>40141</v>
      </c>
      <c r="O1279" s="5">
        <v>1041.3900000000001</v>
      </c>
      <c r="P1279" s="14"/>
      <c r="T1279" s="14">
        <v>40462</v>
      </c>
      <c r="U1279" s="5">
        <v>38.270000000000003</v>
      </c>
    </row>
    <row r="1280" spans="14:21" x14ac:dyDescent="0.75">
      <c r="N1280" s="14">
        <v>40140</v>
      </c>
      <c r="O1280" s="5">
        <v>1041.28</v>
      </c>
      <c r="P1280" s="14"/>
      <c r="T1280" s="14">
        <v>40459</v>
      </c>
      <c r="U1280" s="5">
        <v>38.270000000000003</v>
      </c>
    </row>
    <row r="1281" spans="14:21" x14ac:dyDescent="0.75">
      <c r="N1281" s="14">
        <v>40137</v>
      </c>
      <c r="O1281" s="5">
        <v>1039.67</v>
      </c>
      <c r="P1281" s="14"/>
      <c r="T1281" s="14">
        <v>40458</v>
      </c>
      <c r="U1281" s="5">
        <v>38.159999999999997</v>
      </c>
    </row>
    <row r="1282" spans="14:21" x14ac:dyDescent="0.75">
      <c r="N1282" s="14">
        <v>40136</v>
      </c>
      <c r="O1282" s="5">
        <v>1039.6099999999999</v>
      </c>
      <c r="P1282" s="14"/>
      <c r="T1282" s="14">
        <v>40457</v>
      </c>
      <c r="U1282" s="5">
        <v>38.1</v>
      </c>
    </row>
    <row r="1283" spans="14:21" x14ac:dyDescent="0.75">
      <c r="N1283" s="14">
        <v>40135</v>
      </c>
      <c r="O1283" s="5">
        <v>1040.3499999999999</v>
      </c>
      <c r="P1283" s="14"/>
      <c r="T1283" s="14">
        <v>40456</v>
      </c>
      <c r="U1283" s="5">
        <v>38.31</v>
      </c>
    </row>
    <row r="1284" spans="14:21" x14ac:dyDescent="0.75">
      <c r="N1284" s="14">
        <v>40134</v>
      </c>
      <c r="O1284" s="5">
        <v>1038.78</v>
      </c>
      <c r="P1284" s="14"/>
      <c r="T1284" s="14">
        <v>40455</v>
      </c>
      <c r="U1284" s="5">
        <v>37.75</v>
      </c>
    </row>
    <row r="1285" spans="14:21" x14ac:dyDescent="0.75">
      <c r="N1285" s="14">
        <v>40133</v>
      </c>
      <c r="O1285" s="5">
        <v>1039.22</v>
      </c>
      <c r="P1285" s="14"/>
      <c r="T1285" s="14">
        <v>40452</v>
      </c>
      <c r="U1285" s="5">
        <v>37.57</v>
      </c>
    </row>
    <row r="1286" spans="14:21" x14ac:dyDescent="0.75">
      <c r="N1286" s="14">
        <v>40130</v>
      </c>
      <c r="O1286" s="5">
        <v>1035.82</v>
      </c>
      <c r="P1286" s="14"/>
      <c r="T1286" s="14">
        <v>40451</v>
      </c>
      <c r="U1286" s="5">
        <v>37.380000000000003</v>
      </c>
    </row>
    <row r="1287" spans="14:21" x14ac:dyDescent="0.75">
      <c r="N1287" s="14">
        <v>40129</v>
      </c>
      <c r="O1287" s="5">
        <v>1035.43</v>
      </c>
      <c r="P1287" s="14"/>
      <c r="T1287" s="14">
        <v>40450</v>
      </c>
      <c r="U1287" s="5">
        <v>37.229999999999997</v>
      </c>
    </row>
    <row r="1288" spans="14:21" x14ac:dyDescent="0.75">
      <c r="N1288" s="14">
        <v>40128</v>
      </c>
      <c r="O1288" s="5">
        <v>1035.24</v>
      </c>
      <c r="P1288" s="14"/>
      <c r="T1288" s="14">
        <v>40449</v>
      </c>
      <c r="U1288" s="5">
        <v>37.549999999999997</v>
      </c>
    </row>
    <row r="1289" spans="14:21" x14ac:dyDescent="0.75">
      <c r="N1289" s="14">
        <v>40127</v>
      </c>
      <c r="O1289" s="5">
        <v>1034.93</v>
      </c>
      <c r="P1289" s="14"/>
      <c r="T1289" s="14">
        <v>40448</v>
      </c>
      <c r="U1289" s="5">
        <v>37.450000000000003</v>
      </c>
    </row>
    <row r="1290" spans="14:21" x14ac:dyDescent="0.75">
      <c r="N1290" s="14">
        <v>40126</v>
      </c>
      <c r="O1290" s="5">
        <v>1034.8800000000001</v>
      </c>
      <c r="P1290" s="14"/>
      <c r="T1290" s="14">
        <v>40445</v>
      </c>
      <c r="U1290" s="5">
        <v>38.027500000000003</v>
      </c>
    </row>
    <row r="1291" spans="14:21" x14ac:dyDescent="0.75">
      <c r="N1291" s="14">
        <v>40123</v>
      </c>
      <c r="O1291" s="5">
        <v>1033.2</v>
      </c>
      <c r="P1291" s="14"/>
      <c r="T1291" s="14">
        <v>40444</v>
      </c>
      <c r="U1291" s="5">
        <v>37.200000000000003</v>
      </c>
    </row>
    <row r="1292" spans="14:21" x14ac:dyDescent="0.75">
      <c r="N1292" s="14">
        <v>40122</v>
      </c>
      <c r="O1292" s="5">
        <v>1033.0999999999999</v>
      </c>
      <c r="P1292" s="14"/>
      <c r="T1292" s="14">
        <v>40443</v>
      </c>
      <c r="U1292" s="5">
        <v>38.21</v>
      </c>
    </row>
    <row r="1293" spans="14:21" x14ac:dyDescent="0.75">
      <c r="N1293" s="14">
        <v>40121</v>
      </c>
      <c r="O1293" s="5">
        <v>1032.7</v>
      </c>
      <c r="P1293" s="14"/>
      <c r="T1293" s="14">
        <v>40442</v>
      </c>
      <c r="U1293" s="5">
        <v>38.549999999999997</v>
      </c>
    </row>
    <row r="1294" spans="14:21" x14ac:dyDescent="0.75">
      <c r="N1294" s="14">
        <v>40120</v>
      </c>
      <c r="O1294" s="5">
        <v>1031.51</v>
      </c>
      <c r="P1294" s="14"/>
      <c r="T1294" s="14">
        <v>40441</v>
      </c>
      <c r="U1294" s="5">
        <v>39.5</v>
      </c>
    </row>
    <row r="1295" spans="14:21" x14ac:dyDescent="0.75">
      <c r="N1295" s="14">
        <v>40119</v>
      </c>
      <c r="O1295" s="5">
        <v>1031.1500000000001</v>
      </c>
      <c r="P1295" s="14"/>
      <c r="T1295" s="14">
        <v>40438</v>
      </c>
      <c r="U1295" s="5">
        <v>38.509900000000002</v>
      </c>
    </row>
    <row r="1296" spans="14:21" x14ac:dyDescent="0.75">
      <c r="N1296" s="14">
        <v>40115</v>
      </c>
      <c r="O1296" s="5">
        <v>1031.1500000000001</v>
      </c>
      <c r="P1296" s="14"/>
      <c r="T1296" s="14">
        <v>40437</v>
      </c>
      <c r="U1296" s="5">
        <v>38.369999999999997</v>
      </c>
    </row>
    <row r="1297" spans="14:21" x14ac:dyDescent="0.75">
      <c r="N1297" s="14">
        <v>40114</v>
      </c>
      <c r="O1297" s="5">
        <v>1030.8499999999999</v>
      </c>
      <c r="P1297" s="14"/>
      <c r="T1297" s="14">
        <v>40436</v>
      </c>
      <c r="U1297" s="5">
        <v>38.584000000000003</v>
      </c>
    </row>
    <row r="1298" spans="14:21" x14ac:dyDescent="0.75">
      <c r="N1298" s="14">
        <v>40113</v>
      </c>
      <c r="O1298" s="5">
        <v>1033.45</v>
      </c>
      <c r="P1298" s="14"/>
      <c r="T1298" s="14">
        <v>40435</v>
      </c>
      <c r="U1298" s="5">
        <v>38.26</v>
      </c>
    </row>
    <row r="1299" spans="14:21" x14ac:dyDescent="0.75">
      <c r="N1299" s="14">
        <v>40112</v>
      </c>
      <c r="O1299" s="5">
        <v>1033.8</v>
      </c>
      <c r="P1299" s="14"/>
      <c r="T1299" s="14">
        <v>40434</v>
      </c>
      <c r="U1299" s="5">
        <v>38.32</v>
      </c>
    </row>
    <row r="1300" spans="14:21" x14ac:dyDescent="0.75">
      <c r="N1300" s="14">
        <v>40109</v>
      </c>
      <c r="O1300" s="5">
        <v>1035.0999999999999</v>
      </c>
      <c r="P1300" s="14"/>
      <c r="T1300" s="14">
        <v>40431</v>
      </c>
      <c r="U1300" s="5">
        <v>37.722299999999997</v>
      </c>
    </row>
    <row r="1301" spans="14:21" x14ac:dyDescent="0.75">
      <c r="N1301" s="14">
        <v>40108</v>
      </c>
      <c r="O1301" s="5">
        <v>1035.21</v>
      </c>
      <c r="P1301" s="14"/>
      <c r="T1301" s="14">
        <v>40430</v>
      </c>
      <c r="U1301" s="5">
        <v>37.58</v>
      </c>
    </row>
    <row r="1302" spans="14:21" x14ac:dyDescent="0.75">
      <c r="N1302" s="14">
        <v>40107</v>
      </c>
      <c r="O1302" s="5">
        <v>1036.19</v>
      </c>
      <c r="P1302" s="14"/>
      <c r="T1302" s="14">
        <v>40429</v>
      </c>
      <c r="U1302" s="5">
        <v>37.97</v>
      </c>
    </row>
    <row r="1303" spans="14:21" x14ac:dyDescent="0.75">
      <c r="N1303" s="14">
        <v>40106</v>
      </c>
      <c r="O1303" s="5">
        <v>1035.42</v>
      </c>
      <c r="P1303" s="14"/>
      <c r="T1303" s="14">
        <v>40428</v>
      </c>
      <c r="U1303" s="5">
        <v>38.15</v>
      </c>
    </row>
    <row r="1304" spans="14:21" x14ac:dyDescent="0.75">
      <c r="N1304" s="14">
        <v>40105</v>
      </c>
      <c r="O1304" s="5">
        <v>1035.75</v>
      </c>
      <c r="P1304" s="14"/>
      <c r="T1304" s="14">
        <v>40424</v>
      </c>
      <c r="U1304" s="5">
        <v>38.56</v>
      </c>
    </row>
    <row r="1305" spans="14:21" x14ac:dyDescent="0.75">
      <c r="N1305" s="14">
        <v>40102</v>
      </c>
      <c r="O1305" s="5">
        <v>1033.7</v>
      </c>
      <c r="P1305" s="14"/>
      <c r="T1305" s="14">
        <v>40423</v>
      </c>
      <c r="U1305" s="5">
        <v>38.03</v>
      </c>
    </row>
    <row r="1306" spans="14:21" x14ac:dyDescent="0.75">
      <c r="N1306" s="14">
        <v>40101</v>
      </c>
      <c r="O1306" s="5">
        <v>1033.55</v>
      </c>
      <c r="P1306" s="14"/>
      <c r="T1306" s="14">
        <v>40422</v>
      </c>
      <c r="U1306" s="5">
        <v>37.840000000000003</v>
      </c>
    </row>
    <row r="1307" spans="14:21" x14ac:dyDescent="0.75">
      <c r="N1307" s="14">
        <v>40100</v>
      </c>
      <c r="O1307" s="5">
        <v>1033.83</v>
      </c>
      <c r="P1307" s="14"/>
      <c r="T1307" s="14">
        <v>40421</v>
      </c>
      <c r="U1307" s="5">
        <v>36.619999999999997</v>
      </c>
    </row>
    <row r="1308" spans="14:21" x14ac:dyDescent="0.75">
      <c r="N1308" s="14">
        <v>40099</v>
      </c>
      <c r="O1308" s="5">
        <v>1031.74</v>
      </c>
      <c r="P1308" s="14"/>
      <c r="T1308" s="14">
        <v>40420</v>
      </c>
      <c r="U1308" s="5">
        <v>36.270000000000003</v>
      </c>
    </row>
    <row r="1309" spans="14:21" x14ac:dyDescent="0.75">
      <c r="N1309" s="14">
        <v>40098</v>
      </c>
      <c r="O1309" s="5">
        <v>1030.5899999999999</v>
      </c>
      <c r="P1309" s="14"/>
      <c r="T1309" s="14">
        <v>40417</v>
      </c>
      <c r="U1309" s="5">
        <v>36.39</v>
      </c>
    </row>
    <row r="1310" spans="14:21" x14ac:dyDescent="0.75">
      <c r="N1310" s="14">
        <v>40095</v>
      </c>
      <c r="O1310" s="5">
        <v>1030.67</v>
      </c>
      <c r="P1310" s="14"/>
      <c r="T1310" s="14">
        <v>40416</v>
      </c>
      <c r="U1310" s="5">
        <v>36.090000000000003</v>
      </c>
    </row>
    <row r="1311" spans="14:21" x14ac:dyDescent="0.75">
      <c r="N1311" s="14">
        <v>40094</v>
      </c>
      <c r="O1311" s="5">
        <v>1030.32</v>
      </c>
      <c r="P1311" s="14"/>
      <c r="T1311" s="14">
        <v>40415</v>
      </c>
      <c r="U1311" s="5">
        <v>36.200000000000003</v>
      </c>
    </row>
    <row r="1312" spans="14:21" x14ac:dyDescent="0.75">
      <c r="N1312" s="14">
        <v>40093</v>
      </c>
      <c r="O1312" s="5">
        <v>1028.08</v>
      </c>
      <c r="P1312" s="14"/>
      <c r="T1312" s="14">
        <v>40414</v>
      </c>
      <c r="U1312" s="5">
        <v>35.71</v>
      </c>
    </row>
    <row r="1313" spans="14:21" x14ac:dyDescent="0.75">
      <c r="N1313" s="14">
        <v>40092</v>
      </c>
      <c r="O1313" s="5">
        <v>1027.72</v>
      </c>
      <c r="P1313" s="14"/>
      <c r="T1313" s="14">
        <v>40413</v>
      </c>
      <c r="U1313" s="5">
        <v>35.76</v>
      </c>
    </row>
    <row r="1314" spans="14:21" x14ac:dyDescent="0.75">
      <c r="N1314" s="14">
        <v>40091</v>
      </c>
      <c r="O1314" s="5">
        <v>1025.56</v>
      </c>
      <c r="P1314" s="14"/>
      <c r="T1314" s="14">
        <v>40410</v>
      </c>
      <c r="U1314" s="5">
        <v>35.859499999999997</v>
      </c>
    </row>
    <row r="1315" spans="14:21" x14ac:dyDescent="0.75">
      <c r="N1315" s="14">
        <v>40088</v>
      </c>
      <c r="O1315" s="5">
        <v>1024.58</v>
      </c>
      <c r="P1315" s="14"/>
      <c r="T1315" s="14">
        <v>40409</v>
      </c>
      <c r="U1315" s="5">
        <v>35.871400000000001</v>
      </c>
    </row>
    <row r="1316" spans="14:21" x14ac:dyDescent="0.75">
      <c r="N1316" s="14">
        <v>40087</v>
      </c>
      <c r="O1316" s="5">
        <v>1026.49</v>
      </c>
      <c r="P1316" s="14"/>
      <c r="T1316" s="14">
        <v>40408</v>
      </c>
      <c r="U1316" s="5">
        <v>36.764000000000003</v>
      </c>
    </row>
    <row r="1317" spans="14:21" x14ac:dyDescent="0.75">
      <c r="N1317" s="14">
        <v>40086</v>
      </c>
      <c r="O1317" s="5">
        <v>1026.31</v>
      </c>
      <c r="P1317" s="14"/>
      <c r="T1317" s="14">
        <v>40407</v>
      </c>
      <c r="U1317" s="5">
        <v>36.789000000000001</v>
      </c>
    </row>
    <row r="1318" spans="14:21" x14ac:dyDescent="0.75">
      <c r="N1318" s="14">
        <v>40085</v>
      </c>
      <c r="O1318" s="5">
        <v>1021.55</v>
      </c>
      <c r="P1318" s="14"/>
      <c r="T1318" s="14">
        <v>40406</v>
      </c>
      <c r="U1318" s="5">
        <v>35.909999999999997</v>
      </c>
    </row>
    <row r="1319" spans="14:21" x14ac:dyDescent="0.75">
      <c r="N1319" s="14">
        <v>40084</v>
      </c>
      <c r="O1319" s="5">
        <v>1021.79</v>
      </c>
      <c r="P1319" s="14"/>
      <c r="T1319" s="14">
        <v>40403</v>
      </c>
      <c r="U1319" s="5">
        <v>35.9788</v>
      </c>
    </row>
    <row r="1320" spans="14:21" x14ac:dyDescent="0.75">
      <c r="N1320" s="14">
        <v>40081</v>
      </c>
      <c r="O1320" s="5">
        <v>1020.86</v>
      </c>
      <c r="P1320" s="14"/>
      <c r="T1320" s="14">
        <v>40402</v>
      </c>
      <c r="U1320" s="5">
        <v>35.89</v>
      </c>
    </row>
    <row r="1321" spans="14:21" x14ac:dyDescent="0.75">
      <c r="N1321" s="14">
        <v>40080</v>
      </c>
      <c r="O1321" s="5">
        <v>1020.78</v>
      </c>
      <c r="P1321" s="14"/>
      <c r="T1321" s="14">
        <v>40401</v>
      </c>
      <c r="U1321" s="5">
        <v>36.229999999999997</v>
      </c>
    </row>
    <row r="1322" spans="14:21" x14ac:dyDescent="0.75">
      <c r="N1322" s="14">
        <v>40079</v>
      </c>
      <c r="O1322" s="5">
        <v>1021.21</v>
      </c>
      <c r="P1322" s="14"/>
      <c r="T1322" s="14">
        <v>40400</v>
      </c>
      <c r="U1322" s="5">
        <v>37.32</v>
      </c>
    </row>
    <row r="1323" spans="14:21" x14ac:dyDescent="0.75">
      <c r="N1323" s="14">
        <v>40078</v>
      </c>
      <c r="O1323" s="5">
        <v>1020.14</v>
      </c>
      <c r="P1323" s="14"/>
      <c r="T1323" s="14">
        <v>40399</v>
      </c>
      <c r="U1323" s="5">
        <v>37.29</v>
      </c>
    </row>
    <row r="1324" spans="14:21" x14ac:dyDescent="0.75">
      <c r="N1324" s="14">
        <v>40077</v>
      </c>
      <c r="O1324" s="5">
        <v>1019.78</v>
      </c>
      <c r="P1324" s="14"/>
      <c r="T1324" s="14">
        <v>40396</v>
      </c>
      <c r="U1324" s="5">
        <v>36.880000000000003</v>
      </c>
    </row>
    <row r="1325" spans="14:21" x14ac:dyDescent="0.75">
      <c r="N1325" s="14">
        <v>40074</v>
      </c>
      <c r="O1325" s="5">
        <v>1019.44</v>
      </c>
      <c r="P1325" s="14"/>
      <c r="T1325" s="14">
        <v>40395</v>
      </c>
      <c r="U1325" s="5">
        <v>36.96</v>
      </c>
    </row>
    <row r="1326" spans="14:21" x14ac:dyDescent="0.75">
      <c r="N1326" s="14">
        <v>40073</v>
      </c>
      <c r="O1326" s="5">
        <v>1019.2</v>
      </c>
      <c r="P1326" s="14"/>
      <c r="T1326" s="14">
        <v>40394</v>
      </c>
      <c r="U1326" s="5">
        <v>37.36</v>
      </c>
    </row>
    <row r="1327" spans="14:21" x14ac:dyDescent="0.75">
      <c r="N1327" s="14">
        <v>40072</v>
      </c>
      <c r="O1327" s="5">
        <v>1019.62</v>
      </c>
      <c r="P1327" s="14"/>
      <c r="T1327" s="14">
        <v>40393</v>
      </c>
      <c r="U1327" s="5">
        <v>37.356999999999999</v>
      </c>
    </row>
    <row r="1328" spans="14:21" x14ac:dyDescent="0.75">
      <c r="N1328" s="14">
        <v>40071</v>
      </c>
      <c r="O1328" s="5">
        <v>1017.81</v>
      </c>
      <c r="P1328" s="14"/>
      <c r="T1328" s="14">
        <v>40392</v>
      </c>
      <c r="U1328" s="5">
        <v>37.700000000000003</v>
      </c>
    </row>
    <row r="1329" spans="14:21" x14ac:dyDescent="0.75">
      <c r="N1329" s="14">
        <v>40070</v>
      </c>
      <c r="O1329" s="5">
        <v>1017.43</v>
      </c>
      <c r="P1329" s="14"/>
      <c r="T1329" s="14">
        <v>40389</v>
      </c>
      <c r="U1329" s="5">
        <v>36.57</v>
      </c>
    </row>
    <row r="1330" spans="14:21" x14ac:dyDescent="0.75">
      <c r="N1330" s="14">
        <v>40067</v>
      </c>
      <c r="O1330" s="5">
        <v>1017.79</v>
      </c>
      <c r="P1330" s="14"/>
      <c r="T1330" s="14">
        <v>40388</v>
      </c>
      <c r="U1330" s="5">
        <v>36.47</v>
      </c>
    </row>
    <row r="1331" spans="14:21" x14ac:dyDescent="0.75">
      <c r="N1331" s="14">
        <v>40066</v>
      </c>
      <c r="O1331" s="5">
        <v>1015.95</v>
      </c>
      <c r="P1331" s="14"/>
      <c r="T1331" s="14">
        <v>40387</v>
      </c>
      <c r="U1331" s="5">
        <v>36.880000000000003</v>
      </c>
    </row>
    <row r="1332" spans="14:21" x14ac:dyDescent="0.75">
      <c r="N1332" s="14">
        <v>40065</v>
      </c>
      <c r="O1332" s="5">
        <v>1015.37</v>
      </c>
      <c r="P1332" s="14"/>
      <c r="T1332" s="14">
        <v>40386</v>
      </c>
      <c r="U1332" s="5">
        <v>37.020000000000003</v>
      </c>
    </row>
    <row r="1333" spans="14:21" x14ac:dyDescent="0.75">
      <c r="N1333" s="14">
        <v>40064</v>
      </c>
      <c r="O1333" s="5">
        <v>1015.14</v>
      </c>
      <c r="P1333" s="14"/>
      <c r="T1333" s="14">
        <v>40385</v>
      </c>
      <c r="U1333" s="5">
        <v>37.049999999999997</v>
      </c>
    </row>
    <row r="1334" spans="14:21" x14ac:dyDescent="0.75">
      <c r="N1334" s="14">
        <v>40060</v>
      </c>
      <c r="O1334" s="5">
        <v>1013.96</v>
      </c>
      <c r="P1334" s="14"/>
      <c r="T1334" s="14">
        <v>40382</v>
      </c>
      <c r="U1334" s="5">
        <v>35.856999999999999</v>
      </c>
    </row>
    <row r="1335" spans="14:21" x14ac:dyDescent="0.75">
      <c r="N1335" s="14">
        <v>40059</v>
      </c>
      <c r="O1335" s="5">
        <v>1012.47</v>
      </c>
      <c r="P1335" s="14"/>
      <c r="T1335" s="14">
        <v>40381</v>
      </c>
      <c r="U1335" s="5">
        <v>35.83</v>
      </c>
    </row>
    <row r="1336" spans="14:21" x14ac:dyDescent="0.75">
      <c r="N1336" s="14">
        <v>40058</v>
      </c>
      <c r="O1336" s="5">
        <v>1011.13</v>
      </c>
      <c r="P1336" s="14"/>
      <c r="T1336" s="14">
        <v>40380</v>
      </c>
      <c r="U1336" s="5">
        <v>34.56</v>
      </c>
    </row>
    <row r="1337" spans="14:21" x14ac:dyDescent="0.75">
      <c r="N1337" s="14">
        <v>40057</v>
      </c>
      <c r="O1337" s="5">
        <v>1010.22</v>
      </c>
      <c r="P1337" s="14"/>
      <c r="T1337" s="14">
        <v>40379</v>
      </c>
      <c r="U1337" s="5">
        <v>35.33</v>
      </c>
    </row>
    <row r="1338" spans="14:21" x14ac:dyDescent="0.75">
      <c r="N1338" s="14">
        <v>40056</v>
      </c>
      <c r="O1338" s="5">
        <v>1010.25</v>
      </c>
      <c r="P1338" s="14"/>
      <c r="T1338" s="14">
        <v>40378</v>
      </c>
      <c r="U1338" s="5">
        <v>34.68</v>
      </c>
    </row>
    <row r="1339" spans="14:21" x14ac:dyDescent="0.75">
      <c r="N1339" s="14">
        <v>40053</v>
      </c>
      <c r="O1339" s="5">
        <v>1009.96</v>
      </c>
      <c r="P1339" s="14"/>
      <c r="T1339" s="14">
        <v>40375</v>
      </c>
      <c r="U1339" s="5">
        <v>34.14</v>
      </c>
    </row>
    <row r="1340" spans="14:21" x14ac:dyDescent="0.75">
      <c r="N1340" s="14">
        <v>40052</v>
      </c>
      <c r="O1340" s="5">
        <v>1008.7</v>
      </c>
      <c r="P1340" s="14"/>
      <c r="T1340" s="14">
        <v>40374</v>
      </c>
      <c r="U1340" s="5">
        <v>35.1</v>
      </c>
    </row>
    <row r="1341" spans="14:21" x14ac:dyDescent="0.75">
      <c r="N1341" s="14">
        <v>40051</v>
      </c>
      <c r="O1341" s="5">
        <v>1008.64</v>
      </c>
      <c r="P1341" s="14"/>
      <c r="T1341" s="14">
        <v>40373</v>
      </c>
      <c r="U1341" s="5">
        <v>35.21</v>
      </c>
    </row>
    <row r="1342" spans="14:21" x14ac:dyDescent="0.75">
      <c r="N1342" s="14">
        <v>40050</v>
      </c>
      <c r="O1342" s="5">
        <v>1008.5</v>
      </c>
      <c r="P1342" s="14"/>
      <c r="T1342" s="14">
        <v>40372</v>
      </c>
      <c r="U1342" s="5">
        <v>35.520000000000003</v>
      </c>
    </row>
    <row r="1343" spans="14:21" x14ac:dyDescent="0.75">
      <c r="N1343" s="14">
        <v>40049</v>
      </c>
      <c r="O1343" s="5">
        <v>1009.17</v>
      </c>
      <c r="P1343" s="14"/>
      <c r="T1343" s="14">
        <v>40371</v>
      </c>
      <c r="U1343" s="5">
        <v>34.76</v>
      </c>
    </row>
    <row r="1344" spans="14:21" x14ac:dyDescent="0.75">
      <c r="N1344" s="14">
        <v>40046</v>
      </c>
      <c r="O1344" s="5">
        <v>1007.94</v>
      </c>
      <c r="P1344" s="14"/>
      <c r="T1344" s="14">
        <v>40368</v>
      </c>
      <c r="U1344" s="5">
        <v>34.75</v>
      </c>
    </row>
    <row r="1345" spans="14:21" x14ac:dyDescent="0.75">
      <c r="N1345" s="14">
        <v>40045</v>
      </c>
      <c r="O1345" s="5">
        <v>1008.12</v>
      </c>
      <c r="P1345" s="14"/>
      <c r="T1345" s="14">
        <v>40367</v>
      </c>
      <c r="U1345" s="5">
        <v>34.25</v>
      </c>
    </row>
    <row r="1346" spans="14:21" x14ac:dyDescent="0.75">
      <c r="N1346" s="14">
        <v>40044</v>
      </c>
      <c r="O1346" s="5">
        <v>1008.35</v>
      </c>
      <c r="P1346" s="14"/>
      <c r="T1346" s="14">
        <v>40366</v>
      </c>
      <c r="U1346" s="5">
        <v>33.65</v>
      </c>
    </row>
    <row r="1347" spans="14:21" x14ac:dyDescent="0.75">
      <c r="N1347" s="14">
        <v>40043</v>
      </c>
      <c r="O1347" s="5">
        <v>1007.57</v>
      </c>
      <c r="P1347" s="14"/>
      <c r="T1347" s="14">
        <v>40365</v>
      </c>
      <c r="U1347" s="5">
        <v>32.19</v>
      </c>
    </row>
    <row r="1348" spans="14:21" x14ac:dyDescent="0.75">
      <c r="N1348" s="14">
        <v>40042</v>
      </c>
      <c r="O1348" s="5">
        <v>1006.88</v>
      </c>
      <c r="T1348" s="14">
        <v>40361</v>
      </c>
      <c r="U1348" s="5">
        <v>32.71</v>
      </c>
    </row>
    <row r="1349" spans="14:21" x14ac:dyDescent="0.75">
      <c r="N1349" s="14">
        <v>40039</v>
      </c>
      <c r="O1349" s="5">
        <v>1007.53</v>
      </c>
      <c r="T1349" s="14">
        <v>40360</v>
      </c>
      <c r="U1349" s="5">
        <v>33.22</v>
      </c>
    </row>
    <row r="1350" spans="14:21" x14ac:dyDescent="0.75">
      <c r="N1350" s="14">
        <v>40038</v>
      </c>
      <c r="O1350" s="5">
        <v>1007.95</v>
      </c>
      <c r="T1350" s="14">
        <v>40359</v>
      </c>
      <c r="U1350" s="5">
        <v>33.423999999999999</v>
      </c>
    </row>
    <row r="1351" spans="14:21" x14ac:dyDescent="0.75">
      <c r="N1351" s="14">
        <v>40037</v>
      </c>
      <c r="O1351" s="5">
        <v>1005.61</v>
      </c>
      <c r="T1351" s="14">
        <v>40358</v>
      </c>
      <c r="U1351" s="5">
        <v>33.58</v>
      </c>
    </row>
    <row r="1352" spans="14:21" x14ac:dyDescent="0.75">
      <c r="N1352" s="14">
        <v>40036</v>
      </c>
      <c r="O1352" s="5">
        <v>1004.77</v>
      </c>
      <c r="T1352" s="14">
        <v>40357</v>
      </c>
      <c r="U1352" s="5">
        <v>34.76</v>
      </c>
    </row>
    <row r="1353" spans="14:21" x14ac:dyDescent="0.75">
      <c r="N1353" s="14">
        <v>40035</v>
      </c>
      <c r="O1353" s="5">
        <v>1004.75</v>
      </c>
      <c r="T1353" s="14">
        <v>40354</v>
      </c>
      <c r="U1353" s="5">
        <v>34.799999999999997</v>
      </c>
    </row>
    <row r="1354" spans="14:21" x14ac:dyDescent="0.75">
      <c r="N1354" s="14">
        <v>40032</v>
      </c>
      <c r="O1354" s="5">
        <v>1003.46</v>
      </c>
      <c r="T1354" s="14">
        <v>40353</v>
      </c>
      <c r="U1354" s="5">
        <v>33.880000000000003</v>
      </c>
    </row>
    <row r="1355" spans="14:21" x14ac:dyDescent="0.75">
      <c r="N1355" s="14">
        <v>40031</v>
      </c>
      <c r="O1355" s="5">
        <v>1003.04</v>
      </c>
      <c r="T1355" s="14">
        <v>40352</v>
      </c>
      <c r="U1355" s="5">
        <v>34.69</v>
      </c>
    </row>
    <row r="1356" spans="14:21" x14ac:dyDescent="0.75">
      <c r="N1356" s="14">
        <v>40030</v>
      </c>
      <c r="O1356" s="5">
        <v>1002.22</v>
      </c>
      <c r="T1356" s="14">
        <v>40351</v>
      </c>
      <c r="U1356" s="5">
        <v>34.659999999999997</v>
      </c>
    </row>
    <row r="1357" spans="14:21" x14ac:dyDescent="0.75">
      <c r="N1357" s="14">
        <v>40029</v>
      </c>
      <c r="O1357" s="5">
        <v>1002.33</v>
      </c>
      <c r="T1357" s="14">
        <v>40350</v>
      </c>
      <c r="U1357" s="5">
        <v>35.68</v>
      </c>
    </row>
    <row r="1358" spans="14:21" x14ac:dyDescent="0.75">
      <c r="N1358" s="14">
        <v>40028</v>
      </c>
      <c r="O1358" s="5">
        <v>1000.98</v>
      </c>
      <c r="T1358" s="14">
        <v>40347</v>
      </c>
      <c r="U1358" s="5">
        <v>36.03</v>
      </c>
    </row>
    <row r="1359" spans="14:21" x14ac:dyDescent="0.75">
      <c r="N1359" s="14">
        <v>40025</v>
      </c>
      <c r="O1359" s="5">
        <v>998.85</v>
      </c>
      <c r="T1359" s="14">
        <v>40346</v>
      </c>
      <c r="U1359" s="5">
        <v>36.39</v>
      </c>
    </row>
    <row r="1360" spans="14:21" x14ac:dyDescent="0.75">
      <c r="N1360" s="14">
        <v>40024</v>
      </c>
      <c r="O1360" s="5">
        <v>995.76</v>
      </c>
      <c r="T1360" s="14">
        <v>40345</v>
      </c>
      <c r="U1360" s="5">
        <v>36.21</v>
      </c>
    </row>
    <row r="1361" spans="14:21" x14ac:dyDescent="0.75">
      <c r="N1361" s="14">
        <v>40023</v>
      </c>
      <c r="O1361" s="5">
        <v>992.52</v>
      </c>
      <c r="T1361" s="14">
        <v>40344</v>
      </c>
      <c r="U1361" s="5">
        <v>36.39</v>
      </c>
    </row>
    <row r="1362" spans="14:21" x14ac:dyDescent="0.75">
      <c r="N1362" s="14">
        <v>40022</v>
      </c>
      <c r="O1362" s="5">
        <v>993.84</v>
      </c>
      <c r="T1362" s="14">
        <v>40343</v>
      </c>
      <c r="U1362" s="5">
        <v>35.68</v>
      </c>
    </row>
    <row r="1363" spans="14:21" x14ac:dyDescent="0.75">
      <c r="N1363" s="14">
        <v>40021</v>
      </c>
      <c r="O1363" s="5">
        <v>994.11</v>
      </c>
      <c r="T1363" s="14">
        <v>40340</v>
      </c>
      <c r="U1363" s="5">
        <v>35.090000000000003</v>
      </c>
    </row>
    <row r="1364" spans="14:21" x14ac:dyDescent="0.75">
      <c r="N1364" s="14">
        <v>40018</v>
      </c>
      <c r="O1364" s="5">
        <v>992.29</v>
      </c>
      <c r="T1364" s="14">
        <v>40339</v>
      </c>
      <c r="U1364" s="5">
        <v>34.9</v>
      </c>
    </row>
    <row r="1365" spans="14:21" x14ac:dyDescent="0.75">
      <c r="N1365" s="14">
        <v>40017</v>
      </c>
      <c r="O1365" s="5">
        <v>991.76</v>
      </c>
      <c r="T1365" s="14">
        <v>40338</v>
      </c>
      <c r="U1365" s="5">
        <v>33.54</v>
      </c>
    </row>
    <row r="1366" spans="14:21" x14ac:dyDescent="0.75">
      <c r="N1366" s="14">
        <v>40016</v>
      </c>
      <c r="O1366" s="5">
        <v>991.46</v>
      </c>
      <c r="T1366" s="14">
        <v>40337</v>
      </c>
      <c r="U1366" s="5">
        <v>32.840000000000003</v>
      </c>
    </row>
    <row r="1367" spans="14:21" x14ac:dyDescent="0.75">
      <c r="N1367" s="14">
        <v>40015</v>
      </c>
      <c r="O1367" s="5">
        <v>990.71</v>
      </c>
      <c r="T1367" s="14">
        <v>40336</v>
      </c>
      <c r="U1367" s="5">
        <v>32.69</v>
      </c>
    </row>
    <row r="1368" spans="14:21" x14ac:dyDescent="0.75">
      <c r="N1368" s="14">
        <v>40014</v>
      </c>
      <c r="O1368" s="5">
        <v>990.27</v>
      </c>
      <c r="T1368" s="14">
        <v>40333</v>
      </c>
      <c r="U1368" s="5">
        <v>32.895400000000002</v>
      </c>
    </row>
    <row r="1369" spans="14:21" x14ac:dyDescent="0.75">
      <c r="N1369" s="14">
        <v>40011</v>
      </c>
      <c r="O1369" s="5">
        <v>989.38</v>
      </c>
      <c r="T1369" s="14">
        <v>40332</v>
      </c>
      <c r="U1369" s="5">
        <v>34.6877</v>
      </c>
    </row>
    <row r="1370" spans="14:21" x14ac:dyDescent="0.75">
      <c r="N1370" s="14">
        <v>40010</v>
      </c>
      <c r="O1370" s="5">
        <v>988.89</v>
      </c>
      <c r="T1370" s="14">
        <v>40331</v>
      </c>
      <c r="U1370" s="5">
        <v>34.79</v>
      </c>
    </row>
    <row r="1371" spans="14:21" x14ac:dyDescent="0.75">
      <c r="N1371" s="14">
        <v>40009</v>
      </c>
      <c r="O1371" s="5">
        <v>987.7</v>
      </c>
      <c r="T1371" s="14">
        <v>40330</v>
      </c>
      <c r="U1371" s="5">
        <v>34.340000000000003</v>
      </c>
    </row>
    <row r="1372" spans="14:21" x14ac:dyDescent="0.75">
      <c r="N1372" s="14">
        <v>40008</v>
      </c>
      <c r="O1372" s="5">
        <v>986.14</v>
      </c>
      <c r="T1372" s="14">
        <v>40326</v>
      </c>
      <c r="U1372" s="5">
        <v>35.299999999999997</v>
      </c>
    </row>
    <row r="1373" spans="14:21" x14ac:dyDescent="0.75">
      <c r="N1373" s="14">
        <v>40007</v>
      </c>
      <c r="O1373" s="5">
        <v>986.13</v>
      </c>
      <c r="T1373" s="14">
        <v>40325</v>
      </c>
      <c r="U1373" s="5">
        <v>35.43</v>
      </c>
    </row>
    <row r="1374" spans="14:21" x14ac:dyDescent="0.75">
      <c r="N1374" s="14">
        <v>40004</v>
      </c>
      <c r="O1374" s="5">
        <v>986.82</v>
      </c>
      <c r="T1374" s="14">
        <v>40324</v>
      </c>
      <c r="U1374" s="5">
        <v>33.729999999999997</v>
      </c>
    </row>
    <row r="1375" spans="14:21" x14ac:dyDescent="0.75">
      <c r="N1375" s="14">
        <v>40003</v>
      </c>
      <c r="O1375" s="5">
        <v>986.84</v>
      </c>
      <c r="T1375" s="14">
        <v>40323</v>
      </c>
      <c r="U1375" s="5">
        <v>33.725999999999999</v>
      </c>
    </row>
    <row r="1376" spans="14:21" x14ac:dyDescent="0.75">
      <c r="N1376" s="14">
        <v>40002</v>
      </c>
      <c r="O1376" s="5">
        <v>985.82</v>
      </c>
      <c r="T1376" s="14">
        <v>40322</v>
      </c>
      <c r="U1376" s="5">
        <v>33.42</v>
      </c>
    </row>
    <row r="1377" spans="14:21" x14ac:dyDescent="0.75">
      <c r="N1377" s="14">
        <v>40001</v>
      </c>
      <c r="O1377" s="5">
        <v>985.72</v>
      </c>
      <c r="T1377" s="14">
        <v>40319</v>
      </c>
      <c r="U1377" s="5">
        <v>34.020000000000003</v>
      </c>
    </row>
    <row r="1378" spans="14:21" x14ac:dyDescent="0.75">
      <c r="N1378" s="14">
        <v>40000</v>
      </c>
      <c r="O1378" s="5">
        <v>984.87</v>
      </c>
      <c r="T1378" s="14">
        <v>40318</v>
      </c>
      <c r="U1378" s="5">
        <v>33.1</v>
      </c>
    </row>
    <row r="1379" spans="14:21" x14ac:dyDescent="0.75">
      <c r="N1379" s="14">
        <v>39996</v>
      </c>
      <c r="O1379" s="5">
        <v>986.6</v>
      </c>
      <c r="T1379" s="14">
        <v>40317</v>
      </c>
      <c r="U1379" s="5">
        <v>34.42</v>
      </c>
    </row>
    <row r="1380" spans="14:21" x14ac:dyDescent="0.75">
      <c r="N1380" s="14">
        <v>39995</v>
      </c>
      <c r="O1380" s="5">
        <v>986.15</v>
      </c>
      <c r="T1380" s="14">
        <v>40316</v>
      </c>
      <c r="U1380" s="5">
        <v>34.93</v>
      </c>
    </row>
    <row r="1381" spans="14:21" x14ac:dyDescent="0.75">
      <c r="N1381" s="14">
        <v>39994</v>
      </c>
      <c r="O1381" s="5">
        <v>985.01</v>
      </c>
      <c r="T1381" s="14">
        <v>40315</v>
      </c>
      <c r="U1381" s="5">
        <v>35.659999999999997</v>
      </c>
    </row>
    <row r="1382" spans="14:21" x14ac:dyDescent="0.75">
      <c r="N1382" s="14">
        <v>39993</v>
      </c>
      <c r="O1382" s="5">
        <v>987.44</v>
      </c>
      <c r="T1382" s="14">
        <v>40312</v>
      </c>
      <c r="U1382" s="5">
        <v>35.549999999999997</v>
      </c>
    </row>
    <row r="1383" spans="14:21" x14ac:dyDescent="0.75">
      <c r="N1383" s="14">
        <v>39990</v>
      </c>
      <c r="O1383" s="5">
        <v>987.03</v>
      </c>
      <c r="T1383" s="14">
        <v>40311</v>
      </c>
      <c r="U1383" s="5">
        <v>36.54</v>
      </c>
    </row>
    <row r="1384" spans="14:21" x14ac:dyDescent="0.75">
      <c r="N1384" s="14">
        <v>39989</v>
      </c>
      <c r="O1384" s="5">
        <v>985.76</v>
      </c>
      <c r="T1384" s="14">
        <v>40310</v>
      </c>
      <c r="U1384" s="5">
        <v>37.153599999999997</v>
      </c>
    </row>
    <row r="1385" spans="14:21" x14ac:dyDescent="0.75">
      <c r="N1385" s="14">
        <v>39988</v>
      </c>
      <c r="O1385" s="5">
        <v>985.14</v>
      </c>
      <c r="T1385" s="14">
        <v>40309</v>
      </c>
      <c r="U1385" s="5">
        <v>36.54</v>
      </c>
    </row>
    <row r="1386" spans="14:21" x14ac:dyDescent="0.75">
      <c r="N1386" s="14">
        <v>39987</v>
      </c>
      <c r="O1386" s="5">
        <v>984.08</v>
      </c>
      <c r="T1386" s="14">
        <v>40308</v>
      </c>
      <c r="U1386" s="5">
        <v>36.51</v>
      </c>
    </row>
    <row r="1387" spans="14:21" x14ac:dyDescent="0.75">
      <c r="N1387" s="14">
        <v>39986</v>
      </c>
      <c r="O1387" s="5">
        <v>983.3</v>
      </c>
      <c r="T1387" s="14">
        <v>40305</v>
      </c>
      <c r="U1387" s="5">
        <v>34.21</v>
      </c>
    </row>
    <row r="1388" spans="14:21" x14ac:dyDescent="0.75">
      <c r="N1388" s="14">
        <v>39983</v>
      </c>
      <c r="O1388" s="5">
        <v>985.01</v>
      </c>
      <c r="T1388" s="14">
        <v>40304</v>
      </c>
      <c r="U1388" s="5">
        <v>34.694000000000003</v>
      </c>
    </row>
    <row r="1389" spans="14:21" x14ac:dyDescent="0.75">
      <c r="N1389" s="14">
        <v>39982</v>
      </c>
      <c r="O1389" s="5">
        <v>985.97</v>
      </c>
      <c r="T1389" s="14">
        <v>40303</v>
      </c>
      <c r="U1389" s="5">
        <v>36.130000000000003</v>
      </c>
    </row>
    <row r="1390" spans="14:21" x14ac:dyDescent="0.75">
      <c r="N1390" s="14">
        <v>39981</v>
      </c>
      <c r="O1390" s="5">
        <v>985.84</v>
      </c>
      <c r="T1390" s="14">
        <v>40302</v>
      </c>
      <c r="U1390" s="5">
        <v>36.683999999999997</v>
      </c>
    </row>
    <row r="1391" spans="14:21" x14ac:dyDescent="0.75">
      <c r="N1391" s="14">
        <v>39980</v>
      </c>
      <c r="O1391" s="5">
        <v>987.22</v>
      </c>
      <c r="T1391" s="14">
        <v>40301</v>
      </c>
      <c r="U1391" s="5">
        <v>37.253999999999998</v>
      </c>
    </row>
    <row r="1392" spans="14:21" x14ac:dyDescent="0.75">
      <c r="N1392" s="14">
        <v>39979</v>
      </c>
      <c r="O1392" s="5">
        <v>985.95</v>
      </c>
      <c r="T1392" s="14">
        <v>40298</v>
      </c>
      <c r="U1392" s="5">
        <v>36.069899999999997</v>
      </c>
    </row>
    <row r="1393" spans="14:21" x14ac:dyDescent="0.75">
      <c r="N1393" s="14">
        <v>39976</v>
      </c>
      <c r="O1393" s="5">
        <v>986.4</v>
      </c>
      <c r="T1393" s="14">
        <v>40297</v>
      </c>
      <c r="U1393" s="5">
        <v>37.03</v>
      </c>
    </row>
    <row r="1394" spans="14:21" x14ac:dyDescent="0.75">
      <c r="N1394" s="14">
        <v>39975</v>
      </c>
      <c r="O1394" s="5">
        <v>986.36</v>
      </c>
      <c r="T1394" s="14">
        <v>40296</v>
      </c>
      <c r="U1394" s="5">
        <v>35.36</v>
      </c>
    </row>
    <row r="1395" spans="14:21" x14ac:dyDescent="0.75">
      <c r="N1395" s="14">
        <v>39974</v>
      </c>
      <c r="O1395" s="5">
        <v>984.05</v>
      </c>
      <c r="T1395" s="14">
        <v>40295</v>
      </c>
      <c r="U1395" s="5">
        <v>35.533999999999999</v>
      </c>
    </row>
    <row r="1396" spans="14:21" x14ac:dyDescent="0.75">
      <c r="N1396" s="14">
        <v>39973</v>
      </c>
      <c r="O1396" s="5">
        <v>982.78</v>
      </c>
      <c r="T1396" s="14">
        <v>40294</v>
      </c>
      <c r="U1396" s="5">
        <v>36.18</v>
      </c>
    </row>
    <row r="1397" spans="14:21" x14ac:dyDescent="0.75">
      <c r="N1397" s="14">
        <v>39972</v>
      </c>
      <c r="O1397" s="5">
        <v>981.77</v>
      </c>
      <c r="T1397" s="14">
        <v>40291</v>
      </c>
      <c r="U1397" s="5">
        <v>35.869999999999997</v>
      </c>
    </row>
    <row r="1398" spans="14:21" x14ac:dyDescent="0.75">
      <c r="N1398" s="14">
        <v>39969</v>
      </c>
      <c r="O1398" s="5">
        <v>981.68</v>
      </c>
      <c r="T1398" s="14">
        <v>40290</v>
      </c>
      <c r="U1398" s="5">
        <v>35.36</v>
      </c>
    </row>
    <row r="1399" spans="14:21" x14ac:dyDescent="0.75">
      <c r="N1399" s="14">
        <v>39968</v>
      </c>
      <c r="O1399" s="5">
        <v>983.82</v>
      </c>
      <c r="T1399" s="14">
        <v>40289</v>
      </c>
      <c r="U1399" s="5">
        <v>34.840000000000003</v>
      </c>
    </row>
    <row r="1400" spans="14:21" x14ac:dyDescent="0.75">
      <c r="N1400" s="14">
        <v>39967</v>
      </c>
      <c r="O1400" s="5">
        <v>984.35</v>
      </c>
      <c r="T1400" s="14">
        <v>40288</v>
      </c>
      <c r="U1400" s="5">
        <v>34.299999999999997</v>
      </c>
    </row>
    <row r="1401" spans="14:21" x14ac:dyDescent="0.75">
      <c r="N1401" s="14">
        <v>39966</v>
      </c>
      <c r="O1401" s="5">
        <v>985.39</v>
      </c>
      <c r="T1401" s="14">
        <v>40287</v>
      </c>
      <c r="U1401" s="5">
        <v>33.619999999999997</v>
      </c>
    </row>
    <row r="1402" spans="14:21" x14ac:dyDescent="0.75">
      <c r="N1402" s="14">
        <v>39965</v>
      </c>
      <c r="O1402" s="5">
        <v>983.18</v>
      </c>
      <c r="T1402" s="14">
        <v>40284</v>
      </c>
      <c r="U1402" s="5">
        <v>33.520000000000003</v>
      </c>
    </row>
    <row r="1403" spans="14:21" x14ac:dyDescent="0.75">
      <c r="N1403" s="14">
        <v>39962</v>
      </c>
      <c r="O1403" s="5">
        <v>983.67</v>
      </c>
      <c r="T1403" s="14">
        <v>40283</v>
      </c>
      <c r="U1403" s="5">
        <v>34.25</v>
      </c>
    </row>
    <row r="1404" spans="14:21" x14ac:dyDescent="0.75">
      <c r="N1404" s="14">
        <v>39961</v>
      </c>
      <c r="O1404" s="5">
        <v>980.65</v>
      </c>
      <c r="T1404" s="14">
        <v>40282</v>
      </c>
      <c r="U1404" s="5">
        <v>34.9801</v>
      </c>
    </row>
    <row r="1405" spans="14:21" x14ac:dyDescent="0.75">
      <c r="N1405" s="14">
        <v>39960</v>
      </c>
      <c r="O1405" s="5">
        <v>980</v>
      </c>
      <c r="T1405" s="14">
        <v>40281</v>
      </c>
      <c r="U1405" s="5">
        <v>35.049999999999997</v>
      </c>
    </row>
    <row r="1406" spans="14:21" x14ac:dyDescent="0.75">
      <c r="N1406" s="14">
        <v>39959</v>
      </c>
      <c r="O1406" s="5">
        <v>977.02</v>
      </c>
      <c r="T1406" s="14">
        <v>40280</v>
      </c>
      <c r="U1406" s="5">
        <v>34.409999999999997</v>
      </c>
    </row>
    <row r="1407" spans="14:21" x14ac:dyDescent="0.75">
      <c r="N1407" s="14">
        <v>39955</v>
      </c>
      <c r="O1407" s="5">
        <v>977.74</v>
      </c>
      <c r="T1407" s="14">
        <v>40277</v>
      </c>
      <c r="U1407" s="5">
        <v>34.57</v>
      </c>
    </row>
    <row r="1408" spans="14:21" x14ac:dyDescent="0.75">
      <c r="N1408" s="14">
        <v>39954</v>
      </c>
      <c r="O1408" s="5">
        <v>977.4</v>
      </c>
      <c r="T1408" s="14">
        <v>40276</v>
      </c>
      <c r="U1408" s="5">
        <v>34.049999999999997</v>
      </c>
    </row>
    <row r="1409" spans="14:21" x14ac:dyDescent="0.75">
      <c r="N1409" s="14">
        <v>39953</v>
      </c>
      <c r="O1409" s="5">
        <v>977.38</v>
      </c>
      <c r="T1409" s="14">
        <v>40275</v>
      </c>
      <c r="U1409" s="5">
        <v>34.119900000000001</v>
      </c>
    </row>
    <row r="1410" spans="14:21" x14ac:dyDescent="0.75">
      <c r="N1410" s="14">
        <v>39952</v>
      </c>
      <c r="O1410" s="5">
        <v>976.53</v>
      </c>
      <c r="T1410" s="14">
        <v>40274</v>
      </c>
      <c r="U1410" s="5">
        <v>34.630000000000003</v>
      </c>
    </row>
    <row r="1411" spans="14:21" x14ac:dyDescent="0.75">
      <c r="N1411" s="14">
        <v>39951</v>
      </c>
      <c r="O1411" s="5">
        <v>974.68</v>
      </c>
      <c r="T1411" s="14">
        <v>40273</v>
      </c>
      <c r="U1411" s="5">
        <v>33.909999999999997</v>
      </c>
    </row>
    <row r="1412" spans="14:21" x14ac:dyDescent="0.75">
      <c r="N1412" s="14">
        <v>39948</v>
      </c>
      <c r="O1412" s="5">
        <v>975.31</v>
      </c>
      <c r="T1412" s="14">
        <v>40269</v>
      </c>
      <c r="U1412" s="5">
        <v>33.159999999999997</v>
      </c>
    </row>
    <row r="1413" spans="14:21" x14ac:dyDescent="0.75">
      <c r="N1413" s="14">
        <v>39947</v>
      </c>
      <c r="O1413" s="5">
        <v>974.11</v>
      </c>
      <c r="T1413" s="14">
        <v>40268</v>
      </c>
      <c r="U1413" s="5">
        <v>33.243200000000002</v>
      </c>
    </row>
    <row r="1414" spans="14:21" x14ac:dyDescent="0.75">
      <c r="N1414" s="14">
        <v>39946</v>
      </c>
      <c r="O1414" s="5">
        <v>971.5</v>
      </c>
      <c r="T1414" s="14">
        <v>40267</v>
      </c>
      <c r="U1414" s="5">
        <v>33.43</v>
      </c>
    </row>
    <row r="1415" spans="14:21" x14ac:dyDescent="0.75">
      <c r="N1415" s="14">
        <v>39945</v>
      </c>
      <c r="O1415" s="5">
        <v>970.98</v>
      </c>
      <c r="T1415" s="14">
        <v>40266</v>
      </c>
      <c r="U1415" s="5">
        <v>33.35</v>
      </c>
    </row>
    <row r="1416" spans="14:21" x14ac:dyDescent="0.75">
      <c r="N1416" s="14">
        <v>39944</v>
      </c>
      <c r="O1416" s="5">
        <v>970.6</v>
      </c>
      <c r="T1416" s="14">
        <v>40263</v>
      </c>
      <c r="U1416" s="5">
        <v>33.409999999999997</v>
      </c>
    </row>
    <row r="1417" spans="14:21" x14ac:dyDescent="0.75">
      <c r="N1417" s="14">
        <v>39941</v>
      </c>
      <c r="O1417" s="5">
        <v>970.88</v>
      </c>
      <c r="T1417" s="14">
        <v>40262</v>
      </c>
      <c r="U1417" s="5">
        <v>33.932000000000002</v>
      </c>
    </row>
    <row r="1418" spans="14:21" x14ac:dyDescent="0.75">
      <c r="N1418" s="14">
        <v>39940</v>
      </c>
      <c r="O1418" s="5">
        <v>970.13</v>
      </c>
      <c r="T1418" s="14">
        <v>40261</v>
      </c>
      <c r="U1418" s="5">
        <v>33.979999999999997</v>
      </c>
    </row>
    <row r="1419" spans="14:21" x14ac:dyDescent="0.75">
      <c r="N1419" s="14">
        <v>39939</v>
      </c>
      <c r="O1419" s="5">
        <v>966.06</v>
      </c>
      <c r="T1419" s="14">
        <v>40260</v>
      </c>
      <c r="U1419" s="5">
        <v>33.959000000000003</v>
      </c>
    </row>
    <row r="1420" spans="14:21" x14ac:dyDescent="0.75">
      <c r="N1420" s="14">
        <v>39938</v>
      </c>
      <c r="O1420" s="5">
        <v>966.24</v>
      </c>
      <c r="T1420" s="14">
        <v>40259</v>
      </c>
      <c r="U1420" s="5">
        <v>33.959899999999998</v>
      </c>
    </row>
    <row r="1421" spans="14:21" x14ac:dyDescent="0.75">
      <c r="N1421" s="14">
        <v>39937</v>
      </c>
      <c r="O1421" s="5">
        <v>963.47</v>
      </c>
      <c r="T1421" s="14">
        <v>40256</v>
      </c>
      <c r="U1421" s="5">
        <v>33.67</v>
      </c>
    </row>
    <row r="1422" spans="14:21" x14ac:dyDescent="0.75">
      <c r="N1422" s="14">
        <v>39934</v>
      </c>
      <c r="O1422" s="5">
        <v>963.4</v>
      </c>
      <c r="T1422" s="14">
        <v>40255</v>
      </c>
      <c r="U1422" s="5">
        <v>33.82</v>
      </c>
    </row>
    <row r="1423" spans="14:21" x14ac:dyDescent="0.75">
      <c r="N1423" s="14">
        <v>39933</v>
      </c>
      <c r="O1423" s="5">
        <v>962.85</v>
      </c>
      <c r="T1423" s="14">
        <v>40254</v>
      </c>
      <c r="U1423" s="5">
        <v>34</v>
      </c>
    </row>
    <row r="1424" spans="14:21" x14ac:dyDescent="0.75">
      <c r="N1424" s="14">
        <v>39932</v>
      </c>
      <c r="O1424" s="5">
        <v>961.94</v>
      </c>
      <c r="T1424" s="14">
        <v>40253</v>
      </c>
      <c r="U1424" s="5">
        <v>33.56</v>
      </c>
    </row>
    <row r="1425" spans="14:21" x14ac:dyDescent="0.75">
      <c r="N1425" s="14">
        <v>39931</v>
      </c>
      <c r="O1425" s="5">
        <v>961.62</v>
      </c>
      <c r="T1425" s="14">
        <v>40252</v>
      </c>
      <c r="U1425" s="5">
        <v>32.712000000000003</v>
      </c>
    </row>
    <row r="1426" spans="14:21" x14ac:dyDescent="0.75">
      <c r="N1426" s="14">
        <v>39930</v>
      </c>
      <c r="O1426" s="5">
        <v>961.44</v>
      </c>
      <c r="T1426" s="14">
        <v>40249</v>
      </c>
      <c r="U1426" s="5">
        <v>32.770000000000003</v>
      </c>
    </row>
    <row r="1427" spans="14:21" x14ac:dyDescent="0.75">
      <c r="N1427" s="14">
        <v>39927</v>
      </c>
      <c r="O1427" s="5">
        <v>959.98</v>
      </c>
      <c r="T1427" s="14">
        <v>40248</v>
      </c>
      <c r="U1427" s="5">
        <v>32.619999</v>
      </c>
    </row>
    <row r="1428" spans="14:21" x14ac:dyDescent="0.75">
      <c r="N1428" s="14">
        <v>39926</v>
      </c>
      <c r="O1428" s="5">
        <v>960.07</v>
      </c>
      <c r="T1428" s="14">
        <v>40247</v>
      </c>
      <c r="U1428" s="5">
        <v>32.54</v>
      </c>
    </row>
    <row r="1429" spans="14:21" x14ac:dyDescent="0.75">
      <c r="N1429" s="14">
        <v>39925</v>
      </c>
      <c r="O1429" s="5">
        <v>959.67</v>
      </c>
      <c r="T1429" s="14">
        <v>40246</v>
      </c>
      <c r="U1429" s="5">
        <v>32.36</v>
      </c>
    </row>
    <row r="1430" spans="14:21" x14ac:dyDescent="0.75">
      <c r="N1430" s="14">
        <v>39924</v>
      </c>
      <c r="O1430" s="5">
        <v>958.81</v>
      </c>
      <c r="T1430" s="14">
        <v>40245</v>
      </c>
      <c r="U1430" s="5">
        <v>32.200000000000003</v>
      </c>
    </row>
    <row r="1431" spans="14:21" x14ac:dyDescent="0.75">
      <c r="N1431" s="14">
        <v>39923</v>
      </c>
      <c r="O1431" s="5">
        <v>958.87</v>
      </c>
      <c r="T1431" s="14">
        <v>40242</v>
      </c>
      <c r="U1431" s="5">
        <v>31.95</v>
      </c>
    </row>
    <row r="1432" spans="14:21" x14ac:dyDescent="0.75">
      <c r="N1432" s="14">
        <v>39920</v>
      </c>
      <c r="O1432" s="5">
        <v>955.78</v>
      </c>
      <c r="T1432" s="14">
        <v>40241</v>
      </c>
      <c r="U1432" s="5">
        <v>31.23</v>
      </c>
    </row>
    <row r="1433" spans="14:21" x14ac:dyDescent="0.75">
      <c r="N1433" s="14">
        <v>39919</v>
      </c>
      <c r="O1433" s="5">
        <v>955.35</v>
      </c>
      <c r="T1433" s="14">
        <v>40240</v>
      </c>
      <c r="U1433" s="5">
        <v>31.039899999999999</v>
      </c>
    </row>
    <row r="1434" spans="14:21" x14ac:dyDescent="0.75">
      <c r="N1434" s="14">
        <v>39918</v>
      </c>
      <c r="O1434" s="5">
        <v>953.87</v>
      </c>
      <c r="T1434" s="14">
        <v>40239</v>
      </c>
      <c r="U1434" s="5">
        <v>31.09</v>
      </c>
    </row>
    <row r="1435" spans="14:21" x14ac:dyDescent="0.75">
      <c r="N1435" s="14">
        <v>39917</v>
      </c>
      <c r="O1435" s="5">
        <v>953.92</v>
      </c>
      <c r="T1435" s="14">
        <v>40238</v>
      </c>
      <c r="U1435" s="5">
        <v>31.07</v>
      </c>
    </row>
    <row r="1436" spans="14:21" x14ac:dyDescent="0.75">
      <c r="N1436" s="14">
        <v>39916</v>
      </c>
      <c r="O1436" s="5">
        <v>951.94</v>
      </c>
      <c r="T1436" s="14">
        <v>40235</v>
      </c>
      <c r="U1436" s="5">
        <v>30.87</v>
      </c>
    </row>
    <row r="1437" spans="14:21" x14ac:dyDescent="0.75">
      <c r="N1437" s="14">
        <v>39912</v>
      </c>
      <c r="O1437" s="5">
        <v>951.27</v>
      </c>
      <c r="T1437" s="14">
        <v>40234</v>
      </c>
      <c r="U1437" s="5">
        <v>30.86</v>
      </c>
    </row>
    <row r="1438" spans="14:21" x14ac:dyDescent="0.75">
      <c r="N1438" s="14">
        <v>39911</v>
      </c>
      <c r="O1438" s="5">
        <v>952.39</v>
      </c>
      <c r="T1438" s="14">
        <v>40233</v>
      </c>
      <c r="U1438" s="5">
        <v>30.81</v>
      </c>
    </row>
    <row r="1439" spans="14:21" x14ac:dyDescent="0.75">
      <c r="N1439" s="14">
        <v>39910</v>
      </c>
      <c r="O1439" s="5">
        <v>953.02</v>
      </c>
      <c r="T1439" s="14">
        <v>40232</v>
      </c>
      <c r="U1439" s="5">
        <v>30.5</v>
      </c>
    </row>
    <row r="1440" spans="14:21" x14ac:dyDescent="0.75">
      <c r="N1440" s="14">
        <v>39909</v>
      </c>
      <c r="O1440" s="5">
        <v>952.11</v>
      </c>
      <c r="T1440" s="14">
        <v>40231</v>
      </c>
      <c r="U1440" s="5">
        <v>30.781400000000001</v>
      </c>
    </row>
    <row r="1441" spans="14:21" x14ac:dyDescent="0.75">
      <c r="N1441" s="14">
        <v>39906</v>
      </c>
      <c r="O1441" s="5">
        <v>950.79</v>
      </c>
      <c r="T1441" s="14">
        <v>40228</v>
      </c>
      <c r="U1441" s="5">
        <v>30.709</v>
      </c>
    </row>
    <row r="1442" spans="14:21" x14ac:dyDescent="0.75">
      <c r="N1442" s="14">
        <v>39905</v>
      </c>
      <c r="O1442" s="5">
        <v>951.6</v>
      </c>
      <c r="T1442" s="14">
        <v>40227</v>
      </c>
      <c r="U1442" s="5">
        <v>30.610099999999999</v>
      </c>
    </row>
    <row r="1443" spans="14:21" x14ac:dyDescent="0.75">
      <c r="N1443" s="14">
        <v>39904</v>
      </c>
      <c r="O1443" s="5">
        <v>952.72</v>
      </c>
      <c r="T1443" s="14">
        <v>40226</v>
      </c>
      <c r="U1443" s="5">
        <v>30.35</v>
      </c>
    </row>
    <row r="1444" spans="14:21" x14ac:dyDescent="0.75">
      <c r="N1444" s="14">
        <v>39903</v>
      </c>
      <c r="O1444" s="5">
        <v>952.05</v>
      </c>
      <c r="T1444" s="14">
        <v>40225</v>
      </c>
      <c r="U1444" s="5">
        <v>30.08</v>
      </c>
    </row>
    <row r="1445" spans="14:21" x14ac:dyDescent="0.75">
      <c r="N1445" s="14">
        <v>39902</v>
      </c>
      <c r="O1445" s="5">
        <v>953.24</v>
      </c>
      <c r="T1445" s="14">
        <v>40221</v>
      </c>
      <c r="U1445" s="5">
        <v>29.09</v>
      </c>
    </row>
    <row r="1446" spans="14:21" x14ac:dyDescent="0.75">
      <c r="N1446" s="14">
        <v>39899</v>
      </c>
      <c r="O1446" s="5">
        <v>953.69</v>
      </c>
      <c r="T1446" s="14">
        <v>40220</v>
      </c>
      <c r="U1446" s="5">
        <v>29.08</v>
      </c>
    </row>
    <row r="1447" spans="14:21" x14ac:dyDescent="0.75">
      <c r="N1447" s="14">
        <v>39898</v>
      </c>
      <c r="O1447" s="5">
        <v>953.96</v>
      </c>
      <c r="T1447" s="14">
        <v>40219</v>
      </c>
      <c r="U1447" s="5">
        <v>28.7</v>
      </c>
    </row>
    <row r="1448" spans="14:21" x14ac:dyDescent="0.75">
      <c r="N1448" s="14">
        <v>39897</v>
      </c>
      <c r="O1448" s="5">
        <v>952.05</v>
      </c>
      <c r="T1448" s="14">
        <v>40218</v>
      </c>
      <c r="U1448" s="5">
        <v>28.63</v>
      </c>
    </row>
    <row r="1449" spans="14:21" x14ac:dyDescent="0.75">
      <c r="N1449" s="14">
        <v>39896</v>
      </c>
      <c r="O1449" s="5">
        <v>951.25</v>
      </c>
      <c r="T1449" s="14">
        <v>40217</v>
      </c>
      <c r="U1449" s="5">
        <v>28.68</v>
      </c>
    </row>
    <row r="1450" spans="14:21" x14ac:dyDescent="0.75">
      <c r="N1450" s="14">
        <v>39895</v>
      </c>
      <c r="O1450" s="5">
        <v>951.07</v>
      </c>
      <c r="T1450" s="14">
        <v>40214</v>
      </c>
      <c r="U1450" s="5">
        <v>29.247599999999998</v>
      </c>
    </row>
    <row r="1451" spans="14:21" x14ac:dyDescent="0.75">
      <c r="N1451" s="14">
        <v>39892</v>
      </c>
      <c r="O1451" s="5">
        <v>951.46</v>
      </c>
      <c r="T1451" s="14">
        <v>40213</v>
      </c>
      <c r="U1451" s="5">
        <v>28.9099</v>
      </c>
    </row>
    <row r="1452" spans="14:21" x14ac:dyDescent="0.75">
      <c r="N1452" s="14">
        <v>39891</v>
      </c>
      <c r="O1452" s="5">
        <v>951.21</v>
      </c>
      <c r="T1452" s="14">
        <v>40212</v>
      </c>
      <c r="U1452" s="5">
        <v>29.8901</v>
      </c>
    </row>
    <row r="1453" spans="14:21" x14ac:dyDescent="0.75">
      <c r="N1453" s="14">
        <v>39890</v>
      </c>
      <c r="O1453" s="5">
        <v>949.37</v>
      </c>
      <c r="T1453" s="14">
        <v>40211</v>
      </c>
      <c r="U1453" s="5">
        <v>30.35</v>
      </c>
    </row>
    <row r="1454" spans="14:21" x14ac:dyDescent="0.75">
      <c r="N1454" s="14">
        <v>39889</v>
      </c>
      <c r="O1454" s="5">
        <v>950.44</v>
      </c>
      <c r="T1454" s="14">
        <v>40210</v>
      </c>
      <c r="U1454" s="5">
        <v>29.78</v>
      </c>
    </row>
    <row r="1455" spans="14:21" x14ac:dyDescent="0.75">
      <c r="N1455" s="14">
        <v>39888</v>
      </c>
      <c r="O1455" s="5">
        <v>950.71</v>
      </c>
      <c r="T1455" s="14">
        <v>40207</v>
      </c>
      <c r="U1455" s="5">
        <v>29.47</v>
      </c>
    </row>
    <row r="1456" spans="14:21" x14ac:dyDescent="0.75">
      <c r="N1456" s="14">
        <v>39885</v>
      </c>
      <c r="O1456" s="5">
        <v>950.89</v>
      </c>
      <c r="T1456" s="14">
        <v>40206</v>
      </c>
      <c r="U1456" s="5">
        <v>29.652000000000001</v>
      </c>
    </row>
    <row r="1457" spans="14:21" x14ac:dyDescent="0.75">
      <c r="N1457" s="14">
        <v>39884</v>
      </c>
      <c r="O1457" s="5">
        <v>951.37</v>
      </c>
      <c r="T1457" s="14">
        <v>40205</v>
      </c>
      <c r="U1457" s="5">
        <v>29.799099999999999</v>
      </c>
    </row>
    <row r="1458" spans="14:21" x14ac:dyDescent="0.75">
      <c r="N1458" s="14">
        <v>39883</v>
      </c>
      <c r="O1458" s="5">
        <v>953.57</v>
      </c>
      <c r="T1458" s="14">
        <v>40204</v>
      </c>
      <c r="U1458" s="5">
        <v>29.44</v>
      </c>
    </row>
    <row r="1459" spans="14:21" x14ac:dyDescent="0.75">
      <c r="N1459" s="14">
        <v>39882</v>
      </c>
      <c r="O1459" s="5">
        <v>954.62</v>
      </c>
      <c r="T1459" s="14">
        <v>40203</v>
      </c>
      <c r="U1459" s="5">
        <v>29.65</v>
      </c>
    </row>
    <row r="1460" spans="14:21" x14ac:dyDescent="0.75">
      <c r="N1460" s="14">
        <v>39881</v>
      </c>
      <c r="O1460" s="5">
        <v>954.45</v>
      </c>
      <c r="T1460" s="14">
        <v>40200</v>
      </c>
      <c r="U1460" s="5">
        <v>29.46</v>
      </c>
    </row>
    <row r="1461" spans="14:21" x14ac:dyDescent="0.75">
      <c r="N1461" s="14">
        <v>39878</v>
      </c>
      <c r="O1461" s="5">
        <v>954.61</v>
      </c>
      <c r="T1461" s="14">
        <v>40199</v>
      </c>
      <c r="U1461" s="5">
        <v>30.19</v>
      </c>
    </row>
    <row r="1462" spans="14:21" x14ac:dyDescent="0.75">
      <c r="N1462" s="14">
        <v>39877</v>
      </c>
      <c r="O1462" s="5">
        <v>952.97</v>
      </c>
      <c r="T1462" s="14">
        <v>40198</v>
      </c>
      <c r="U1462" s="5">
        <v>30.92</v>
      </c>
    </row>
    <row r="1463" spans="14:21" x14ac:dyDescent="0.75">
      <c r="N1463" s="14">
        <v>39876</v>
      </c>
      <c r="O1463" s="5">
        <v>952.55</v>
      </c>
      <c r="T1463" s="14">
        <v>40197</v>
      </c>
      <c r="U1463" s="5">
        <v>31.31</v>
      </c>
    </row>
    <row r="1464" spans="14:21" x14ac:dyDescent="0.75">
      <c r="N1464" s="14">
        <v>39875</v>
      </c>
      <c r="O1464" s="5">
        <v>953.04</v>
      </c>
      <c r="T1464" s="14">
        <v>40193</v>
      </c>
      <c r="U1464" s="5">
        <v>30.59</v>
      </c>
    </row>
    <row r="1465" spans="14:21" x14ac:dyDescent="0.75">
      <c r="N1465" s="14">
        <v>39874</v>
      </c>
      <c r="O1465" s="5">
        <v>953.71</v>
      </c>
      <c r="T1465" s="14">
        <v>40192</v>
      </c>
      <c r="U1465" s="5">
        <v>30.78</v>
      </c>
    </row>
    <row r="1466" spans="14:21" x14ac:dyDescent="0.75">
      <c r="N1466" s="14">
        <v>39871</v>
      </c>
      <c r="O1466" s="5">
        <v>954.29</v>
      </c>
      <c r="T1466" s="14">
        <v>40191</v>
      </c>
      <c r="U1466" s="5">
        <v>30.81</v>
      </c>
    </row>
    <row r="1467" spans="14:21" x14ac:dyDescent="0.75">
      <c r="N1467" s="14">
        <v>39870</v>
      </c>
      <c r="O1467" s="5">
        <v>955.15</v>
      </c>
      <c r="T1467" s="14">
        <v>40190</v>
      </c>
      <c r="U1467" s="5">
        <v>30.1401</v>
      </c>
    </row>
    <row r="1468" spans="14:21" x14ac:dyDescent="0.75">
      <c r="N1468" s="14">
        <v>39869</v>
      </c>
      <c r="O1468" s="5">
        <v>955.35</v>
      </c>
      <c r="T1468" s="14">
        <v>40189</v>
      </c>
      <c r="U1468" s="5">
        <v>30.6845</v>
      </c>
    </row>
    <row r="1469" spans="14:21" x14ac:dyDescent="0.75">
      <c r="N1469" s="14">
        <v>39868</v>
      </c>
      <c r="O1469" s="5">
        <v>955.69</v>
      </c>
      <c r="T1469" s="14">
        <v>40186</v>
      </c>
      <c r="U1469" s="5">
        <v>30.47</v>
      </c>
    </row>
    <row r="1470" spans="14:21" x14ac:dyDescent="0.75">
      <c r="N1470" s="14">
        <v>39867</v>
      </c>
      <c r="O1470" s="5">
        <v>957.03</v>
      </c>
      <c r="T1470" s="14">
        <v>40185</v>
      </c>
      <c r="U1470" s="5">
        <v>30.78</v>
      </c>
    </row>
    <row r="1471" spans="14:21" x14ac:dyDescent="0.75">
      <c r="N1471" s="14">
        <v>39864</v>
      </c>
      <c r="O1471" s="5">
        <v>958.11</v>
      </c>
      <c r="T1471" s="14">
        <v>40184</v>
      </c>
      <c r="U1471" s="5">
        <v>30.59</v>
      </c>
    </row>
    <row r="1472" spans="14:21" x14ac:dyDescent="0.75">
      <c r="N1472" s="14">
        <v>39863</v>
      </c>
      <c r="O1472" s="5">
        <v>959.07</v>
      </c>
      <c r="T1472" s="14">
        <v>40183</v>
      </c>
      <c r="U1472" s="5">
        <v>30.544799999999999</v>
      </c>
    </row>
    <row r="1473" spans="14:21" x14ac:dyDescent="0.75">
      <c r="N1473" s="14">
        <v>39862</v>
      </c>
      <c r="O1473" s="5">
        <v>959.37</v>
      </c>
      <c r="T1473" s="14">
        <v>40182</v>
      </c>
      <c r="U1473" s="5">
        <v>30.5457</v>
      </c>
    </row>
    <row r="1474" spans="14:21" x14ac:dyDescent="0.75">
      <c r="N1474" s="14">
        <v>39861</v>
      </c>
      <c r="O1474" s="5">
        <v>958.25</v>
      </c>
      <c r="T1474" s="14">
        <v>40178</v>
      </c>
      <c r="U1474" s="5">
        <v>30.936</v>
      </c>
    </row>
    <row r="1475" spans="14:21" x14ac:dyDescent="0.75">
      <c r="N1475" s="14">
        <v>39857</v>
      </c>
      <c r="O1475" s="5">
        <v>957.54</v>
      </c>
      <c r="T1475" s="14">
        <v>40177</v>
      </c>
      <c r="U1475" s="5">
        <v>31.425999999999998</v>
      </c>
    </row>
    <row r="1476" spans="14:21" x14ac:dyDescent="0.75">
      <c r="N1476" s="14">
        <v>39856</v>
      </c>
      <c r="O1476" s="5">
        <v>955.2</v>
      </c>
      <c r="T1476" s="14">
        <v>40176</v>
      </c>
      <c r="U1476" s="5">
        <v>31.49</v>
      </c>
    </row>
    <row r="1477" spans="14:21" x14ac:dyDescent="0.75">
      <c r="N1477" s="14">
        <v>39855</v>
      </c>
      <c r="O1477" s="5">
        <v>955.71</v>
      </c>
      <c r="T1477" s="14">
        <v>40175</v>
      </c>
      <c r="U1477" s="5">
        <v>31.89</v>
      </c>
    </row>
    <row r="1478" spans="14:21" x14ac:dyDescent="0.75">
      <c r="N1478" s="14">
        <v>39854</v>
      </c>
      <c r="O1478" s="5">
        <v>955.46</v>
      </c>
      <c r="T1478" s="14">
        <v>40171</v>
      </c>
      <c r="U1478" s="5">
        <v>31.54</v>
      </c>
    </row>
    <row r="1479" spans="14:21" x14ac:dyDescent="0.75">
      <c r="N1479" s="14">
        <v>39853</v>
      </c>
      <c r="O1479" s="5">
        <v>955.49</v>
      </c>
      <c r="T1479" s="14">
        <v>40170</v>
      </c>
      <c r="U1479" s="5">
        <v>31.74</v>
      </c>
    </row>
    <row r="1480" spans="14:21" x14ac:dyDescent="0.75">
      <c r="N1480" s="14">
        <v>39850</v>
      </c>
      <c r="O1480" s="5">
        <v>956.96</v>
      </c>
      <c r="T1480" s="14">
        <v>40169</v>
      </c>
      <c r="U1480" s="5">
        <v>31.2699</v>
      </c>
    </row>
    <row r="1481" spans="14:21" x14ac:dyDescent="0.75">
      <c r="N1481" s="14">
        <v>39849</v>
      </c>
      <c r="O1481" s="5">
        <v>957.55</v>
      </c>
      <c r="T1481" s="14">
        <v>40168</v>
      </c>
      <c r="U1481" s="5">
        <v>30.930099999999999</v>
      </c>
    </row>
    <row r="1482" spans="14:21" x14ac:dyDescent="0.75">
      <c r="N1482" s="14">
        <v>39848</v>
      </c>
      <c r="O1482" s="5">
        <v>957.34</v>
      </c>
      <c r="T1482" s="14">
        <v>40165</v>
      </c>
      <c r="U1482" s="5">
        <v>30.369900000000001</v>
      </c>
    </row>
    <row r="1483" spans="14:21" x14ac:dyDescent="0.75">
      <c r="N1483" s="14">
        <v>39847</v>
      </c>
      <c r="O1483" s="5">
        <v>955.98</v>
      </c>
      <c r="T1483" s="14">
        <v>40164</v>
      </c>
      <c r="U1483" s="5">
        <v>30.37</v>
      </c>
    </row>
    <row r="1484" spans="14:21" x14ac:dyDescent="0.75">
      <c r="N1484" s="14">
        <v>39846</v>
      </c>
      <c r="O1484" s="5">
        <v>955.26</v>
      </c>
      <c r="T1484" s="14">
        <v>40163</v>
      </c>
      <c r="U1484" s="5">
        <v>30.503399999999999</v>
      </c>
    </row>
    <row r="1485" spans="14:21" x14ac:dyDescent="0.75">
      <c r="N1485" s="14">
        <v>39843</v>
      </c>
      <c r="O1485" s="5">
        <v>955.24</v>
      </c>
      <c r="T1485" s="14">
        <v>40162</v>
      </c>
      <c r="U1485" s="5">
        <v>30.35</v>
      </c>
    </row>
    <row r="1486" spans="14:21" x14ac:dyDescent="0.75">
      <c r="N1486" s="14">
        <v>39842</v>
      </c>
      <c r="O1486" s="5">
        <v>955.84</v>
      </c>
      <c r="T1486" s="14">
        <v>40161</v>
      </c>
      <c r="U1486" s="5">
        <v>30.65</v>
      </c>
    </row>
    <row r="1487" spans="14:21" x14ac:dyDescent="0.75">
      <c r="N1487" s="14">
        <v>39841</v>
      </c>
      <c r="O1487" s="5">
        <v>953.85</v>
      </c>
      <c r="T1487" s="14">
        <v>40158</v>
      </c>
      <c r="U1487" s="5">
        <v>30.003399999999999</v>
      </c>
    </row>
    <row r="1488" spans="14:21" x14ac:dyDescent="0.75">
      <c r="N1488" s="14">
        <v>39840</v>
      </c>
      <c r="O1488" s="5">
        <v>952.95</v>
      </c>
      <c r="T1488" s="14">
        <v>40157</v>
      </c>
      <c r="U1488" s="5">
        <v>29.71</v>
      </c>
    </row>
    <row r="1489" spans="14:21" x14ac:dyDescent="0.75">
      <c r="N1489" s="14">
        <v>39839</v>
      </c>
      <c r="O1489" s="5">
        <v>951.47</v>
      </c>
      <c r="T1489" s="14">
        <v>40156</v>
      </c>
      <c r="U1489" s="5">
        <v>30.23</v>
      </c>
    </row>
    <row r="1490" spans="14:21" x14ac:dyDescent="0.75">
      <c r="N1490" s="14">
        <v>39836</v>
      </c>
      <c r="O1490" s="5">
        <v>952.49</v>
      </c>
      <c r="T1490" s="14">
        <v>40155</v>
      </c>
      <c r="U1490" s="5">
        <v>30.0228</v>
      </c>
    </row>
    <row r="1491" spans="14:21" x14ac:dyDescent="0.75">
      <c r="N1491" s="14">
        <v>39835</v>
      </c>
      <c r="O1491" s="5">
        <v>951.75</v>
      </c>
      <c r="T1491" s="14">
        <v>40154</v>
      </c>
      <c r="U1491" s="5">
        <v>30.120999999999999</v>
      </c>
    </row>
    <row r="1492" spans="14:21" x14ac:dyDescent="0.75">
      <c r="N1492" s="14">
        <v>39834</v>
      </c>
      <c r="O1492" s="5">
        <v>950.77</v>
      </c>
      <c r="T1492" s="14">
        <v>40151</v>
      </c>
      <c r="U1492" s="5">
        <v>30.87</v>
      </c>
    </row>
    <row r="1493" spans="14:21" x14ac:dyDescent="0.75">
      <c r="N1493" s="14">
        <v>39833</v>
      </c>
      <c r="O1493" s="5">
        <v>951.7</v>
      </c>
      <c r="T1493" s="14">
        <v>40150</v>
      </c>
      <c r="U1493" s="5">
        <v>30.114999999999998</v>
      </c>
    </row>
    <row r="1494" spans="14:21" x14ac:dyDescent="0.75">
      <c r="N1494" s="14">
        <v>39829</v>
      </c>
      <c r="O1494" s="5">
        <v>950.05</v>
      </c>
      <c r="T1494" s="14">
        <v>40149</v>
      </c>
      <c r="U1494" s="5">
        <v>30.3</v>
      </c>
    </row>
    <row r="1495" spans="14:21" x14ac:dyDescent="0.75">
      <c r="N1495" s="14">
        <v>39828</v>
      </c>
      <c r="O1495" s="5">
        <v>950.1</v>
      </c>
      <c r="T1495" s="14">
        <v>40148</v>
      </c>
      <c r="U1495" s="5">
        <v>29.97</v>
      </c>
    </row>
    <row r="1496" spans="14:21" x14ac:dyDescent="0.75">
      <c r="N1496" s="14">
        <v>39827</v>
      </c>
      <c r="O1496" s="5">
        <v>950.3</v>
      </c>
      <c r="T1496" s="14">
        <v>40147</v>
      </c>
      <c r="U1496" s="5">
        <v>29.431899999999999</v>
      </c>
    </row>
    <row r="1497" spans="14:21" x14ac:dyDescent="0.75">
      <c r="N1497" s="14">
        <v>39826</v>
      </c>
      <c r="O1497" s="5">
        <v>951.13</v>
      </c>
      <c r="T1497" s="14">
        <v>40144</v>
      </c>
      <c r="U1497" s="5">
        <v>28.84</v>
      </c>
    </row>
    <row r="1498" spans="14:21" x14ac:dyDescent="0.75">
      <c r="N1498" s="14">
        <v>39825</v>
      </c>
      <c r="O1498" s="5">
        <v>950.4</v>
      </c>
      <c r="T1498" s="14">
        <v>40142</v>
      </c>
      <c r="U1498" s="5">
        <v>29.25</v>
      </c>
    </row>
    <row r="1499" spans="14:21" x14ac:dyDescent="0.75">
      <c r="N1499" s="14">
        <v>39822</v>
      </c>
      <c r="O1499" s="5">
        <v>950.68</v>
      </c>
      <c r="T1499" s="14">
        <v>40141</v>
      </c>
      <c r="U1499" s="5">
        <v>29.166</v>
      </c>
    </row>
    <row r="1500" spans="14:21" x14ac:dyDescent="0.75">
      <c r="N1500" s="14">
        <v>39821</v>
      </c>
      <c r="O1500" s="5">
        <v>947.67</v>
      </c>
      <c r="T1500" s="14">
        <v>40140</v>
      </c>
      <c r="U1500" s="5">
        <v>29.43</v>
      </c>
    </row>
    <row r="1501" spans="14:21" x14ac:dyDescent="0.75">
      <c r="N1501" s="14">
        <v>39820</v>
      </c>
      <c r="O1501" s="5">
        <v>947.4</v>
      </c>
      <c r="T1501" s="14">
        <v>40137</v>
      </c>
      <c r="U1501" s="5">
        <v>29.14</v>
      </c>
    </row>
    <row r="1502" spans="14:21" x14ac:dyDescent="0.75">
      <c r="N1502" s="14">
        <v>39819</v>
      </c>
      <c r="O1502" s="5">
        <v>946.3</v>
      </c>
      <c r="T1502" s="14">
        <v>40136</v>
      </c>
      <c r="U1502" s="5">
        <v>29.12</v>
      </c>
    </row>
    <row r="1503" spans="14:21" x14ac:dyDescent="0.75">
      <c r="N1503" s="14">
        <v>39818</v>
      </c>
      <c r="O1503" s="5">
        <v>944.34</v>
      </c>
      <c r="T1503" s="14">
        <v>40135</v>
      </c>
      <c r="U1503" s="5">
        <v>29.72</v>
      </c>
    </row>
    <row r="1504" spans="14:21" x14ac:dyDescent="0.75">
      <c r="N1504" s="14">
        <v>39815</v>
      </c>
      <c r="O1504" s="5">
        <v>941.12</v>
      </c>
      <c r="T1504" s="14">
        <v>40134</v>
      </c>
      <c r="U1504" s="5">
        <v>29.22</v>
      </c>
    </row>
    <row r="1505" spans="14:21" x14ac:dyDescent="0.75">
      <c r="N1505" s="14">
        <v>39813</v>
      </c>
      <c r="O1505" s="5">
        <v>940.2</v>
      </c>
      <c r="T1505" s="14">
        <v>40133</v>
      </c>
      <c r="U1505" s="5">
        <v>29.59</v>
      </c>
    </row>
    <row r="1506" spans="14:21" x14ac:dyDescent="0.75">
      <c r="N1506" s="14">
        <v>39812</v>
      </c>
      <c r="O1506" s="5">
        <v>945.04</v>
      </c>
      <c r="T1506" s="14">
        <v>40130</v>
      </c>
      <c r="U1506" s="5">
        <v>28.8276</v>
      </c>
    </row>
    <row r="1507" spans="14:21" x14ac:dyDescent="0.75">
      <c r="N1507" s="14">
        <v>39811</v>
      </c>
      <c r="O1507" s="5">
        <v>943.62</v>
      </c>
      <c r="T1507" s="14">
        <v>40129</v>
      </c>
      <c r="U1507" s="5">
        <v>28.62</v>
      </c>
    </row>
    <row r="1508" spans="14:21" x14ac:dyDescent="0.75">
      <c r="N1508" s="14">
        <v>39808</v>
      </c>
      <c r="O1508" s="5">
        <v>943.92</v>
      </c>
      <c r="T1508" s="14">
        <v>40128</v>
      </c>
      <c r="U1508" s="5">
        <v>28.729500000000002</v>
      </c>
    </row>
    <row r="1509" spans="14:21" x14ac:dyDescent="0.75">
      <c r="N1509" s="14">
        <v>39806</v>
      </c>
      <c r="O1509" s="5">
        <v>943.48</v>
      </c>
      <c r="T1509" s="14">
        <v>40127</v>
      </c>
      <c r="U1509" s="5">
        <v>28.517600000000002</v>
      </c>
    </row>
    <row r="1510" spans="14:21" x14ac:dyDescent="0.75">
      <c r="N1510" s="14">
        <v>39805</v>
      </c>
      <c r="O1510" s="5">
        <v>943.78</v>
      </c>
      <c r="T1510" s="14">
        <v>40126</v>
      </c>
      <c r="U1510" s="5">
        <v>28.56</v>
      </c>
    </row>
    <row r="1511" spans="14:21" x14ac:dyDescent="0.75">
      <c r="N1511" s="14">
        <v>39804</v>
      </c>
      <c r="O1511" s="5">
        <v>943.13</v>
      </c>
      <c r="T1511" s="14">
        <v>40123</v>
      </c>
      <c r="U1511" s="5">
        <v>27.5</v>
      </c>
    </row>
    <row r="1512" spans="14:21" x14ac:dyDescent="0.75">
      <c r="N1512" s="14">
        <v>39801</v>
      </c>
      <c r="O1512" s="5">
        <v>943.45</v>
      </c>
      <c r="T1512" s="14">
        <v>40122</v>
      </c>
      <c r="U1512" s="5">
        <v>27.84</v>
      </c>
    </row>
    <row r="1513" spans="14:21" x14ac:dyDescent="0.75">
      <c r="N1513" s="14">
        <v>39800</v>
      </c>
      <c r="O1513" s="5">
        <v>944.35</v>
      </c>
      <c r="T1513" s="14">
        <v>40121</v>
      </c>
      <c r="U1513" s="5">
        <v>27.5091</v>
      </c>
    </row>
    <row r="1514" spans="14:21" x14ac:dyDescent="0.75">
      <c r="N1514" s="14">
        <v>39799</v>
      </c>
      <c r="O1514" s="5">
        <v>944.51</v>
      </c>
      <c r="T1514" s="14">
        <v>40120</v>
      </c>
      <c r="U1514" s="5">
        <v>27.704000000000001</v>
      </c>
    </row>
    <row r="1515" spans="14:21" x14ac:dyDescent="0.75">
      <c r="N1515" s="14">
        <v>39798</v>
      </c>
      <c r="O1515" s="5">
        <v>943.26</v>
      </c>
      <c r="T1515" s="14">
        <v>40119</v>
      </c>
      <c r="U1515" s="5">
        <v>27.581199999999999</v>
      </c>
    </row>
    <row r="1516" spans="14:21" x14ac:dyDescent="0.75">
      <c r="N1516" s="14">
        <v>39797</v>
      </c>
      <c r="O1516" s="5">
        <v>944.55</v>
      </c>
      <c r="T1516" s="14">
        <v>40116</v>
      </c>
      <c r="U1516" s="5">
        <v>27.7</v>
      </c>
    </row>
    <row r="1517" spans="14:21" x14ac:dyDescent="0.75">
      <c r="N1517" s="14">
        <v>39794</v>
      </c>
      <c r="O1517" s="5">
        <v>946.85</v>
      </c>
      <c r="T1517" s="14">
        <v>40115</v>
      </c>
      <c r="U1517" s="5">
        <v>27.92</v>
      </c>
    </row>
    <row r="1518" spans="14:21" x14ac:dyDescent="0.75">
      <c r="N1518" s="14">
        <v>39793</v>
      </c>
      <c r="O1518" s="5">
        <v>947.65</v>
      </c>
      <c r="T1518" s="14">
        <v>40114</v>
      </c>
      <c r="U1518" s="5">
        <v>26.96</v>
      </c>
    </row>
    <row r="1519" spans="14:21" x14ac:dyDescent="0.75">
      <c r="N1519" s="14">
        <v>39792</v>
      </c>
      <c r="O1519" s="5">
        <v>949.84</v>
      </c>
      <c r="T1519" s="14">
        <v>40113</v>
      </c>
      <c r="U1519" s="5">
        <v>27.84</v>
      </c>
    </row>
    <row r="1520" spans="14:21" x14ac:dyDescent="0.75">
      <c r="N1520" s="14">
        <v>39791</v>
      </c>
      <c r="O1520" s="5">
        <v>949.78</v>
      </c>
      <c r="T1520" s="14">
        <v>40112</v>
      </c>
      <c r="U1520" s="5">
        <v>28.0976</v>
      </c>
    </row>
    <row r="1521" spans="14:21" x14ac:dyDescent="0.75">
      <c r="N1521" s="14">
        <v>39790</v>
      </c>
      <c r="O1521" s="5">
        <v>947.4</v>
      </c>
      <c r="T1521" s="14">
        <v>40109</v>
      </c>
      <c r="U1521" s="5">
        <v>28.03</v>
      </c>
    </row>
    <row r="1522" spans="14:21" x14ac:dyDescent="0.75">
      <c r="N1522" s="14">
        <v>39787</v>
      </c>
      <c r="O1522" s="5">
        <v>948.91</v>
      </c>
      <c r="T1522" s="14">
        <v>40108</v>
      </c>
      <c r="U1522" s="5">
        <v>28.32</v>
      </c>
    </row>
    <row r="1523" spans="14:21" x14ac:dyDescent="0.75">
      <c r="N1523" s="14">
        <v>39786</v>
      </c>
      <c r="O1523" s="5">
        <v>949.05</v>
      </c>
      <c r="T1523" s="14">
        <v>40107</v>
      </c>
      <c r="U1523" s="5">
        <v>27.73</v>
      </c>
    </row>
    <row r="1524" spans="14:21" x14ac:dyDescent="0.75">
      <c r="N1524" s="14">
        <v>39785</v>
      </c>
      <c r="O1524" s="5">
        <v>951.92</v>
      </c>
      <c r="T1524" s="14">
        <v>40106</v>
      </c>
      <c r="U1524" s="5">
        <v>28.15</v>
      </c>
    </row>
    <row r="1525" spans="14:21" x14ac:dyDescent="0.75">
      <c r="N1525" s="14">
        <v>39784</v>
      </c>
      <c r="O1525" s="5">
        <v>951.92</v>
      </c>
      <c r="T1525" s="14">
        <v>40105</v>
      </c>
      <c r="U1525" s="5">
        <v>28.74</v>
      </c>
    </row>
    <row r="1526" spans="14:21" x14ac:dyDescent="0.75">
      <c r="N1526" s="14">
        <v>39783</v>
      </c>
      <c r="O1526" s="5">
        <v>951.68</v>
      </c>
      <c r="T1526" s="14">
        <v>40102</v>
      </c>
      <c r="U1526" s="5">
        <v>28.19</v>
      </c>
    </row>
    <row r="1527" spans="14:21" x14ac:dyDescent="0.75">
      <c r="N1527" s="14">
        <v>39780</v>
      </c>
      <c r="O1527" s="5">
        <v>954.01</v>
      </c>
      <c r="T1527" s="14">
        <v>40101</v>
      </c>
      <c r="U1527" s="5">
        <v>28.77</v>
      </c>
    </row>
    <row r="1528" spans="14:21" x14ac:dyDescent="0.75">
      <c r="N1528" s="14">
        <v>39778</v>
      </c>
      <c r="O1528" s="5">
        <v>955.39</v>
      </c>
      <c r="T1528" s="14">
        <v>40100</v>
      </c>
      <c r="U1528" s="5">
        <v>28.94</v>
      </c>
    </row>
    <row r="1529" spans="14:21" x14ac:dyDescent="0.75">
      <c r="N1529" s="14">
        <v>39777</v>
      </c>
      <c r="O1529" s="5">
        <v>956.42</v>
      </c>
      <c r="T1529" s="14">
        <v>40099</v>
      </c>
      <c r="U1529" s="5">
        <v>28.02</v>
      </c>
    </row>
    <row r="1530" spans="14:21" x14ac:dyDescent="0.75">
      <c r="N1530" s="14">
        <v>39776</v>
      </c>
      <c r="O1530" s="5">
        <v>956.95</v>
      </c>
      <c r="T1530" s="14">
        <v>40098</v>
      </c>
      <c r="U1530" s="5">
        <v>28.28</v>
      </c>
    </row>
    <row r="1531" spans="14:21" x14ac:dyDescent="0.75">
      <c r="N1531" s="14">
        <v>39773</v>
      </c>
      <c r="O1531" s="5">
        <v>957.34</v>
      </c>
      <c r="T1531" s="14">
        <v>40095</v>
      </c>
      <c r="U1531" s="5">
        <v>28.25</v>
      </c>
    </row>
    <row r="1532" spans="14:21" x14ac:dyDescent="0.75">
      <c r="N1532" s="14">
        <v>39772</v>
      </c>
      <c r="O1532" s="5">
        <v>960.29</v>
      </c>
      <c r="T1532" s="14">
        <v>40094</v>
      </c>
      <c r="U1532" s="5">
        <v>27.94</v>
      </c>
    </row>
    <row r="1533" spans="14:21" x14ac:dyDescent="0.75">
      <c r="N1533" s="14">
        <v>39771</v>
      </c>
      <c r="O1533" s="5">
        <v>963.85</v>
      </c>
      <c r="T1533" s="14">
        <v>40093</v>
      </c>
      <c r="U1533" s="5">
        <v>27.52</v>
      </c>
    </row>
    <row r="1534" spans="14:21" x14ac:dyDescent="0.75">
      <c r="N1534" s="14">
        <v>39770</v>
      </c>
      <c r="O1534" s="5">
        <v>966.84</v>
      </c>
      <c r="T1534" s="14">
        <v>40092</v>
      </c>
      <c r="U1534" s="5">
        <v>27.43</v>
      </c>
    </row>
    <row r="1535" spans="14:21" x14ac:dyDescent="0.75">
      <c r="N1535" s="14">
        <v>39769</v>
      </c>
      <c r="O1535" s="5">
        <v>970.08</v>
      </c>
      <c r="T1535" s="14">
        <v>40091</v>
      </c>
      <c r="U1535" s="5">
        <v>27.53</v>
      </c>
    </row>
    <row r="1536" spans="14:21" x14ac:dyDescent="0.75">
      <c r="N1536" s="14">
        <v>39766</v>
      </c>
      <c r="O1536" s="5">
        <v>972.15</v>
      </c>
      <c r="T1536" s="14">
        <v>40088</v>
      </c>
      <c r="U1536" s="5">
        <v>26.97</v>
      </c>
    </row>
    <row r="1537" spans="14:21" x14ac:dyDescent="0.75">
      <c r="N1537" s="14">
        <v>39765</v>
      </c>
      <c r="O1537" s="5">
        <v>971.92</v>
      </c>
      <c r="T1537" s="14">
        <v>40087</v>
      </c>
      <c r="U1537" s="5">
        <v>27.1</v>
      </c>
    </row>
    <row r="1538" spans="14:21" x14ac:dyDescent="0.75">
      <c r="N1538" s="14">
        <v>39764</v>
      </c>
      <c r="O1538" s="5">
        <v>978.07</v>
      </c>
      <c r="T1538" s="14">
        <v>40086</v>
      </c>
      <c r="U1538" s="5">
        <v>28.29</v>
      </c>
    </row>
    <row r="1539" spans="14:21" x14ac:dyDescent="0.75">
      <c r="N1539" s="14">
        <v>39763</v>
      </c>
      <c r="O1539" s="5">
        <v>978.42</v>
      </c>
      <c r="T1539" s="14">
        <v>40085</v>
      </c>
      <c r="U1539" s="5">
        <v>28.44</v>
      </c>
    </row>
    <row r="1540" spans="14:21" x14ac:dyDescent="0.75">
      <c r="N1540" s="14">
        <v>39762</v>
      </c>
      <c r="O1540" s="5">
        <v>980.81</v>
      </c>
      <c r="T1540" s="14">
        <v>40084</v>
      </c>
      <c r="U1540" s="5">
        <v>28.92</v>
      </c>
    </row>
    <row r="1541" spans="14:21" x14ac:dyDescent="0.75">
      <c r="N1541" s="14">
        <v>39759</v>
      </c>
      <c r="O1541" s="5">
        <v>982.11</v>
      </c>
      <c r="T1541" s="14">
        <v>40081</v>
      </c>
      <c r="U1541" s="5">
        <v>27.87</v>
      </c>
    </row>
    <row r="1542" spans="14:21" x14ac:dyDescent="0.75">
      <c r="N1542" s="14">
        <v>39758</v>
      </c>
      <c r="O1542" s="5">
        <v>982.16</v>
      </c>
      <c r="T1542" s="14">
        <v>40080</v>
      </c>
      <c r="U1542" s="5">
        <v>27.88</v>
      </c>
    </row>
    <row r="1543" spans="14:21" x14ac:dyDescent="0.75">
      <c r="N1543" s="14">
        <v>39757</v>
      </c>
      <c r="O1543" s="5">
        <v>983.39</v>
      </c>
      <c r="T1543" s="14">
        <v>40079</v>
      </c>
      <c r="U1543" s="5">
        <v>28.54</v>
      </c>
    </row>
    <row r="1544" spans="14:21" x14ac:dyDescent="0.75">
      <c r="N1544" s="14">
        <v>39756</v>
      </c>
      <c r="O1544" s="5">
        <v>984.56</v>
      </c>
      <c r="T1544" s="14">
        <v>40078</v>
      </c>
      <c r="U1544" s="5">
        <v>29.78</v>
      </c>
    </row>
    <row r="1545" spans="14:21" x14ac:dyDescent="0.75">
      <c r="N1545" s="14">
        <v>39755</v>
      </c>
      <c r="O1545" s="5">
        <v>980.79</v>
      </c>
      <c r="T1545" s="14">
        <v>40077</v>
      </c>
      <c r="U1545" s="5">
        <v>28.97</v>
      </c>
    </row>
    <row r="1546" spans="14:21" x14ac:dyDescent="0.75">
      <c r="N1546" s="14">
        <v>39752</v>
      </c>
      <c r="O1546" s="5">
        <v>978.64</v>
      </c>
      <c r="T1546" s="14">
        <v>40074</v>
      </c>
      <c r="U1546" s="5">
        <v>29.31</v>
      </c>
    </row>
    <row r="1547" spans="14:21" x14ac:dyDescent="0.75">
      <c r="N1547" s="14">
        <v>39751</v>
      </c>
      <c r="O1547" s="5">
        <v>981.81</v>
      </c>
      <c r="T1547" s="14">
        <v>40073</v>
      </c>
      <c r="U1547" s="5">
        <v>29.17</v>
      </c>
    </row>
    <row r="1548" spans="14:21" x14ac:dyDescent="0.75">
      <c r="N1548" s="14">
        <v>39750</v>
      </c>
      <c r="O1548" s="5">
        <v>983.9</v>
      </c>
      <c r="T1548" s="14">
        <v>40072</v>
      </c>
      <c r="U1548" s="5">
        <v>29.3461</v>
      </c>
    </row>
    <row r="1549" spans="14:21" x14ac:dyDescent="0.75">
      <c r="N1549" s="14">
        <v>39749</v>
      </c>
      <c r="O1549" s="5">
        <v>976.45</v>
      </c>
      <c r="T1549" s="14">
        <v>40071</v>
      </c>
      <c r="U1549" s="5">
        <v>28.26</v>
      </c>
    </row>
    <row r="1550" spans="14:21" x14ac:dyDescent="0.75">
      <c r="N1550" s="14">
        <v>39748</v>
      </c>
      <c r="O1550" s="5">
        <v>978.89</v>
      </c>
      <c r="T1550" s="14">
        <v>40070</v>
      </c>
      <c r="U1550" s="5">
        <v>27.91</v>
      </c>
    </row>
    <row r="1551" spans="14:21" x14ac:dyDescent="0.75">
      <c r="N1551" s="14">
        <v>39745</v>
      </c>
      <c r="O1551" s="5">
        <v>987.39</v>
      </c>
      <c r="T1551" s="14">
        <v>40067</v>
      </c>
      <c r="U1551" s="5">
        <v>27.17</v>
      </c>
    </row>
    <row r="1552" spans="14:21" x14ac:dyDescent="0.75">
      <c r="N1552" s="14">
        <v>39744</v>
      </c>
      <c r="O1552" s="5">
        <v>998.89</v>
      </c>
      <c r="T1552" s="14">
        <v>40066</v>
      </c>
      <c r="U1552" s="5">
        <v>27.31</v>
      </c>
    </row>
    <row r="1553" spans="14:21" x14ac:dyDescent="0.75">
      <c r="N1553" s="14">
        <v>39743</v>
      </c>
      <c r="O1553" s="5">
        <v>1005.62</v>
      </c>
      <c r="T1553" s="14">
        <v>40065</v>
      </c>
      <c r="U1553" s="5">
        <v>27.01</v>
      </c>
    </row>
    <row r="1554" spans="14:21" x14ac:dyDescent="0.75">
      <c r="N1554" s="14">
        <v>39742</v>
      </c>
      <c r="O1554" s="5">
        <v>1018.02</v>
      </c>
      <c r="T1554" s="14">
        <v>40064</v>
      </c>
      <c r="U1554" s="5">
        <v>26.5</v>
      </c>
    </row>
    <row r="1555" spans="14:21" x14ac:dyDescent="0.75">
      <c r="N1555" s="14">
        <v>39741</v>
      </c>
      <c r="O1555" s="5">
        <v>1021.19</v>
      </c>
      <c r="T1555" s="14">
        <v>40060</v>
      </c>
      <c r="U1555" s="5">
        <v>25.725999999999999</v>
      </c>
    </row>
    <row r="1556" spans="14:21" x14ac:dyDescent="0.75">
      <c r="N1556" s="14">
        <v>39738</v>
      </c>
      <c r="O1556" s="5">
        <v>1018.47</v>
      </c>
      <c r="T1556" s="14">
        <v>40059</v>
      </c>
      <c r="U1556" s="5">
        <v>25.63</v>
      </c>
    </row>
    <row r="1557" spans="14:21" x14ac:dyDescent="0.75">
      <c r="N1557" s="14">
        <v>39737</v>
      </c>
      <c r="O1557" s="5">
        <v>1018.53</v>
      </c>
      <c r="T1557" s="14">
        <v>40058</v>
      </c>
      <c r="U1557" s="5">
        <v>25.39</v>
      </c>
    </row>
    <row r="1558" spans="14:21" x14ac:dyDescent="0.75">
      <c r="N1558" s="14">
        <v>39736</v>
      </c>
      <c r="O1558" s="5">
        <v>1022.12</v>
      </c>
      <c r="T1558" s="14">
        <v>40057</v>
      </c>
      <c r="U1558" s="5">
        <v>25.63</v>
      </c>
    </row>
    <row r="1559" spans="14:21" x14ac:dyDescent="0.75">
      <c r="N1559" s="14">
        <v>39735</v>
      </c>
      <c r="O1559" s="5">
        <v>1034.1400000000001</v>
      </c>
      <c r="T1559" s="14">
        <v>40056</v>
      </c>
      <c r="U1559" s="5">
        <v>26.89</v>
      </c>
    </row>
    <row r="1560" spans="14:21" x14ac:dyDescent="0.75">
      <c r="N1560" s="14">
        <v>39734</v>
      </c>
      <c r="O1560" s="5">
        <v>1032.8499999999999</v>
      </c>
      <c r="T1560" s="14">
        <v>40053</v>
      </c>
      <c r="U1560" s="5">
        <v>27.26</v>
      </c>
    </row>
    <row r="1561" spans="14:21" x14ac:dyDescent="0.75">
      <c r="N1561" s="14">
        <v>39731</v>
      </c>
      <c r="O1561" s="5">
        <v>1014.34</v>
      </c>
      <c r="T1561" s="14">
        <v>40052</v>
      </c>
      <c r="U1561" s="5">
        <v>27.22</v>
      </c>
    </row>
    <row r="1562" spans="14:21" x14ac:dyDescent="0.75">
      <c r="N1562" s="14">
        <v>39730</v>
      </c>
      <c r="O1562" s="5">
        <v>1032.06</v>
      </c>
      <c r="T1562" s="14">
        <v>40051</v>
      </c>
      <c r="U1562" s="5">
        <v>26.87</v>
      </c>
    </row>
    <row r="1563" spans="14:21" x14ac:dyDescent="0.75">
      <c r="N1563" s="14">
        <v>39729</v>
      </c>
      <c r="O1563" s="5">
        <v>1042.44</v>
      </c>
      <c r="T1563" s="14">
        <v>40050</v>
      </c>
      <c r="U1563" s="5">
        <v>26.83</v>
      </c>
    </row>
    <row r="1564" spans="14:21" x14ac:dyDescent="0.75">
      <c r="N1564" s="14">
        <v>39728</v>
      </c>
      <c r="O1564" s="5">
        <v>1049.48</v>
      </c>
      <c r="T1564" s="14">
        <v>40049</v>
      </c>
      <c r="U1564" s="5">
        <v>26.69</v>
      </c>
    </row>
    <row r="1565" spans="14:21" x14ac:dyDescent="0.75">
      <c r="N1565" s="14">
        <v>39727</v>
      </c>
      <c r="O1565" s="5">
        <v>1060.75</v>
      </c>
      <c r="T1565" s="14">
        <v>40046</v>
      </c>
      <c r="U1565" s="5">
        <v>26.72</v>
      </c>
    </row>
    <row r="1566" spans="14:21" x14ac:dyDescent="0.75">
      <c r="N1566" s="14">
        <v>39724</v>
      </c>
      <c r="O1566" s="5">
        <v>1081.8399999999999</v>
      </c>
      <c r="T1566" s="14">
        <v>40045</v>
      </c>
      <c r="U1566" s="5">
        <v>26.25</v>
      </c>
    </row>
    <row r="1567" spans="14:21" x14ac:dyDescent="0.75">
      <c r="N1567" s="14">
        <v>39723</v>
      </c>
      <c r="O1567" s="5">
        <v>1088.1400000000001</v>
      </c>
      <c r="T1567" s="14">
        <v>40044</v>
      </c>
      <c r="U1567" s="5">
        <v>25.389999</v>
      </c>
    </row>
    <row r="1568" spans="14:21" x14ac:dyDescent="0.75">
      <c r="N1568" s="14">
        <v>39722</v>
      </c>
      <c r="O1568" s="5">
        <v>1100.69</v>
      </c>
      <c r="T1568" s="14">
        <v>40043</v>
      </c>
      <c r="U1568" s="5">
        <v>25.5</v>
      </c>
    </row>
    <row r="1569" spans="14:21" x14ac:dyDescent="0.75">
      <c r="N1569" s="14">
        <v>39721</v>
      </c>
      <c r="O1569" s="5">
        <v>1102.3699999999999</v>
      </c>
      <c r="T1569" s="14">
        <v>40042</v>
      </c>
      <c r="U1569" s="5">
        <v>25.2501</v>
      </c>
    </row>
    <row r="1570" spans="14:21" x14ac:dyDescent="0.75">
      <c r="N1570" s="14">
        <v>39720</v>
      </c>
      <c r="O1570" s="5">
        <v>1105.08</v>
      </c>
      <c r="T1570" s="14">
        <v>40039</v>
      </c>
      <c r="U1570" s="5">
        <v>26.38</v>
      </c>
    </row>
    <row r="1571" spans="14:21" x14ac:dyDescent="0.75">
      <c r="N1571" s="14">
        <v>39717</v>
      </c>
      <c r="O1571" s="5">
        <v>1122.52</v>
      </c>
      <c r="T1571" s="14">
        <v>40038</v>
      </c>
      <c r="U1571" s="5">
        <v>26.52</v>
      </c>
    </row>
    <row r="1572" spans="14:21" x14ac:dyDescent="0.75">
      <c r="N1572" s="14">
        <v>39716</v>
      </c>
      <c r="O1572" s="5">
        <v>1127.21</v>
      </c>
      <c r="T1572" s="14">
        <v>40037</v>
      </c>
      <c r="U1572" s="5">
        <v>26.68</v>
      </c>
    </row>
    <row r="1573" spans="14:21" x14ac:dyDescent="0.75">
      <c r="N1573" s="14">
        <v>39715</v>
      </c>
      <c r="O1573" s="5">
        <v>1129.3900000000001</v>
      </c>
      <c r="T1573" s="14">
        <v>40036</v>
      </c>
      <c r="U1573" s="5">
        <v>26.6</v>
      </c>
    </row>
    <row r="1574" spans="14:21" x14ac:dyDescent="0.75">
      <c r="N1574" s="14">
        <v>39714</v>
      </c>
      <c r="O1574" s="5">
        <v>1130.02</v>
      </c>
      <c r="T1574" s="14">
        <v>40035</v>
      </c>
      <c r="U1574" s="5">
        <v>27.22</v>
      </c>
    </row>
    <row r="1575" spans="14:21" x14ac:dyDescent="0.75">
      <c r="N1575" s="14">
        <v>39713</v>
      </c>
      <c r="O1575" s="5">
        <v>1136.3399999999999</v>
      </c>
      <c r="T1575" s="14">
        <v>40032</v>
      </c>
      <c r="U1575" s="5">
        <v>27.939900000000002</v>
      </c>
    </row>
    <row r="1576" spans="14:21" x14ac:dyDescent="0.75">
      <c r="N1576" s="14">
        <v>39710</v>
      </c>
      <c r="O1576" s="5">
        <v>1140.22</v>
      </c>
      <c r="T1576" s="14">
        <v>40031</v>
      </c>
      <c r="U1576" s="5">
        <v>26.599900000000002</v>
      </c>
    </row>
    <row r="1577" spans="14:21" x14ac:dyDescent="0.75">
      <c r="N1577" s="14">
        <v>39709</v>
      </c>
      <c r="O1577" s="5">
        <v>1128.97</v>
      </c>
      <c r="T1577" s="14">
        <v>40030</v>
      </c>
      <c r="U1577" s="5">
        <v>26.84</v>
      </c>
    </row>
    <row r="1578" spans="14:21" x14ac:dyDescent="0.75">
      <c r="N1578" s="14">
        <v>39708</v>
      </c>
      <c r="O1578" s="5">
        <v>1130.74</v>
      </c>
      <c r="T1578" s="14">
        <v>40029</v>
      </c>
      <c r="U1578" s="5">
        <v>25.77</v>
      </c>
    </row>
    <row r="1579" spans="14:21" x14ac:dyDescent="0.75">
      <c r="N1579" s="14">
        <v>39707</v>
      </c>
      <c r="O1579" s="5">
        <v>1141.78</v>
      </c>
      <c r="T1579" s="14">
        <v>40028</v>
      </c>
      <c r="U1579" s="5">
        <v>24.56</v>
      </c>
    </row>
    <row r="1580" spans="14:21" x14ac:dyDescent="0.75">
      <c r="N1580" s="14">
        <v>39706</v>
      </c>
      <c r="O1580" s="5">
        <v>1148.3699999999999</v>
      </c>
      <c r="T1580" s="14">
        <v>40025</v>
      </c>
      <c r="U1580" s="5">
        <v>24.24</v>
      </c>
    </row>
    <row r="1581" spans="14:21" x14ac:dyDescent="0.75">
      <c r="N1581" s="14">
        <v>39703</v>
      </c>
      <c r="O1581" s="5">
        <v>1156.32</v>
      </c>
      <c r="T1581" s="14">
        <v>40024</v>
      </c>
      <c r="U1581" s="5">
        <v>24.3399</v>
      </c>
    </row>
    <row r="1582" spans="14:21" x14ac:dyDescent="0.75">
      <c r="N1582" s="14">
        <v>39702</v>
      </c>
      <c r="O1582" s="5">
        <v>1155.43</v>
      </c>
      <c r="T1582" s="14">
        <v>40023</v>
      </c>
      <c r="U1582" s="5">
        <v>23.42</v>
      </c>
    </row>
    <row r="1583" spans="14:21" x14ac:dyDescent="0.75">
      <c r="N1583" s="14">
        <v>39701</v>
      </c>
      <c r="O1583" s="5">
        <v>1157.9100000000001</v>
      </c>
      <c r="T1583" s="14">
        <v>40022</v>
      </c>
      <c r="U1583" s="5">
        <v>23.74</v>
      </c>
    </row>
    <row r="1584" spans="14:21" x14ac:dyDescent="0.75">
      <c r="N1584" s="14">
        <v>39700</v>
      </c>
      <c r="O1584" s="5">
        <v>1157.6300000000001</v>
      </c>
      <c r="T1584" s="14">
        <v>40021</v>
      </c>
      <c r="U1584" s="5">
        <v>23.49</v>
      </c>
    </row>
    <row r="1585" spans="14:21" x14ac:dyDescent="0.75">
      <c r="N1585" s="14">
        <v>39699</v>
      </c>
      <c r="O1585" s="5">
        <v>1161.82</v>
      </c>
      <c r="T1585" s="14">
        <v>40018</v>
      </c>
      <c r="U1585" s="5">
        <v>23.32</v>
      </c>
    </row>
    <row r="1586" spans="14:21" x14ac:dyDescent="0.75">
      <c r="N1586" s="14">
        <v>39696</v>
      </c>
      <c r="O1586" s="5">
        <v>1166.45</v>
      </c>
      <c r="T1586" s="14">
        <v>40017</v>
      </c>
      <c r="U1586" s="5">
        <v>23.18</v>
      </c>
    </row>
    <row r="1587" spans="14:21" x14ac:dyDescent="0.75">
      <c r="N1587" s="14">
        <v>39695</v>
      </c>
      <c r="O1587" s="5">
        <v>1168.05</v>
      </c>
      <c r="T1587" s="14">
        <v>40016</v>
      </c>
      <c r="U1587" s="5">
        <v>22.41</v>
      </c>
    </row>
    <row r="1588" spans="14:21" x14ac:dyDescent="0.75">
      <c r="N1588" s="14">
        <v>39694</v>
      </c>
      <c r="O1588" s="5">
        <v>1167.51</v>
      </c>
      <c r="T1588" s="14">
        <v>40015</v>
      </c>
      <c r="U1588" s="5">
        <v>22.4634</v>
      </c>
    </row>
    <row r="1589" spans="14:21" x14ac:dyDescent="0.75">
      <c r="N1589" s="14">
        <v>39693</v>
      </c>
      <c r="O1589" s="5">
        <v>1171.03</v>
      </c>
      <c r="T1589" s="14">
        <v>40014</v>
      </c>
      <c r="U1589" s="5">
        <v>22.52</v>
      </c>
    </row>
    <row r="1590" spans="14:21" x14ac:dyDescent="0.75">
      <c r="N1590" s="14">
        <v>39689</v>
      </c>
      <c r="O1590" s="5">
        <v>1174.3599999999999</v>
      </c>
      <c r="T1590" s="14">
        <v>40011</v>
      </c>
      <c r="U1590" s="5">
        <v>21.87</v>
      </c>
    </row>
    <row r="1591" spans="14:21" x14ac:dyDescent="0.75">
      <c r="N1591" s="14">
        <v>39688</v>
      </c>
      <c r="O1591" s="5">
        <v>1173.18</v>
      </c>
      <c r="T1591" s="14">
        <v>40010</v>
      </c>
      <c r="U1591" s="5">
        <v>22.42</v>
      </c>
    </row>
    <row r="1592" spans="14:21" x14ac:dyDescent="0.75">
      <c r="N1592" s="14">
        <v>39687</v>
      </c>
      <c r="O1592" s="5">
        <v>1172.77</v>
      </c>
      <c r="T1592" s="14">
        <v>40009</v>
      </c>
      <c r="U1592" s="5">
        <v>22.17</v>
      </c>
    </row>
    <row r="1593" spans="14:21" x14ac:dyDescent="0.75">
      <c r="N1593" s="14">
        <v>39686</v>
      </c>
      <c r="O1593" s="5">
        <v>1172.54</v>
      </c>
      <c r="T1593" s="14">
        <v>40008</v>
      </c>
      <c r="U1593" s="5">
        <v>21.54</v>
      </c>
    </row>
    <row r="1594" spans="14:21" x14ac:dyDescent="0.75">
      <c r="N1594" s="14">
        <v>39685</v>
      </c>
      <c r="O1594" s="5">
        <v>1171.98</v>
      </c>
      <c r="T1594" s="14">
        <v>40007</v>
      </c>
      <c r="U1594" s="5">
        <v>21.37</v>
      </c>
    </row>
    <row r="1595" spans="14:21" x14ac:dyDescent="0.75">
      <c r="N1595" s="14">
        <v>39682</v>
      </c>
      <c r="O1595" s="5">
        <v>1172.9000000000001</v>
      </c>
      <c r="T1595" s="14">
        <v>40004</v>
      </c>
      <c r="U1595" s="5">
        <v>20.53</v>
      </c>
    </row>
    <row r="1596" spans="14:21" x14ac:dyDescent="0.75">
      <c r="N1596" s="14">
        <v>39681</v>
      </c>
      <c r="O1596" s="5">
        <v>1173.23</v>
      </c>
      <c r="T1596" s="14">
        <v>40003</v>
      </c>
      <c r="U1596" s="5">
        <v>20.52</v>
      </c>
    </row>
    <row r="1597" spans="14:21" x14ac:dyDescent="0.75">
      <c r="N1597" s="14">
        <v>39680</v>
      </c>
      <c r="O1597" s="5">
        <v>1172.94</v>
      </c>
      <c r="T1597" s="14">
        <v>40002</v>
      </c>
      <c r="U1597" s="5">
        <v>20.98</v>
      </c>
    </row>
    <row r="1598" spans="14:21" x14ac:dyDescent="0.75">
      <c r="N1598" s="14">
        <v>39679</v>
      </c>
      <c r="O1598" s="5">
        <v>1172.24</v>
      </c>
      <c r="T1598" s="14">
        <v>40001</v>
      </c>
      <c r="U1598" s="5">
        <v>21.03</v>
      </c>
    </row>
    <row r="1599" spans="14:21" x14ac:dyDescent="0.75">
      <c r="N1599" s="14">
        <v>39678</v>
      </c>
      <c r="O1599" s="5">
        <v>1172.2</v>
      </c>
      <c r="T1599" s="14">
        <v>40000</v>
      </c>
      <c r="U1599" s="5">
        <v>21.88</v>
      </c>
    </row>
    <row r="1600" spans="14:21" x14ac:dyDescent="0.75">
      <c r="N1600" s="14">
        <v>39675</v>
      </c>
      <c r="O1600" s="5">
        <v>1173.03</v>
      </c>
      <c r="T1600" s="14">
        <v>39996</v>
      </c>
      <c r="U1600" s="5">
        <v>21.21</v>
      </c>
    </row>
    <row r="1601" spans="14:21" x14ac:dyDescent="0.75">
      <c r="N1601" s="14">
        <v>39674</v>
      </c>
      <c r="O1601" s="5">
        <v>1172.74</v>
      </c>
      <c r="T1601" s="14">
        <v>39995</v>
      </c>
      <c r="U1601" s="5">
        <v>22.23</v>
      </c>
    </row>
    <row r="1602" spans="14:21" x14ac:dyDescent="0.75">
      <c r="N1602" s="14">
        <v>39673</v>
      </c>
      <c r="O1602" s="5">
        <v>1173.79</v>
      </c>
      <c r="T1602" s="14">
        <v>39994</v>
      </c>
      <c r="U1602" s="5">
        <v>21.93</v>
      </c>
    </row>
    <row r="1603" spans="14:21" x14ac:dyDescent="0.75">
      <c r="N1603" s="14">
        <v>39672</v>
      </c>
      <c r="O1603" s="5">
        <v>1172.8699999999999</v>
      </c>
      <c r="T1603" s="14">
        <v>39993</v>
      </c>
      <c r="U1603" s="5">
        <v>21.79</v>
      </c>
    </row>
    <row r="1604" spans="14:21" x14ac:dyDescent="0.75">
      <c r="N1604" s="14">
        <v>39671</v>
      </c>
      <c r="O1604" s="5">
        <v>1172.1300000000001</v>
      </c>
      <c r="T1604" s="14">
        <v>39990</v>
      </c>
      <c r="U1604" s="5">
        <v>21.7699</v>
      </c>
    </row>
    <row r="1605" spans="14:21" x14ac:dyDescent="0.75">
      <c r="N1605" s="14">
        <v>39668</v>
      </c>
      <c r="O1605" s="5">
        <v>1173.6400000000001</v>
      </c>
      <c r="T1605" s="14">
        <v>39989</v>
      </c>
      <c r="U1605" s="5">
        <v>21.57</v>
      </c>
    </row>
    <row r="1606" spans="14:21" x14ac:dyDescent="0.75">
      <c r="N1606" s="14">
        <v>39667</v>
      </c>
      <c r="O1606" s="5">
        <v>1174.8499999999999</v>
      </c>
      <c r="T1606" s="14">
        <v>39988</v>
      </c>
      <c r="U1606" s="5">
        <v>21.28</v>
      </c>
    </row>
    <row r="1607" spans="14:21" x14ac:dyDescent="0.75">
      <c r="N1607" s="14">
        <v>39666</v>
      </c>
      <c r="O1607" s="5">
        <v>1175.52</v>
      </c>
      <c r="T1607" s="14">
        <v>39987</v>
      </c>
      <c r="U1607" s="5">
        <v>20.950900000000001</v>
      </c>
    </row>
    <row r="1608" spans="14:21" x14ac:dyDescent="0.75">
      <c r="N1608" s="14">
        <v>39665</v>
      </c>
      <c r="O1608" s="5">
        <v>1174.81</v>
      </c>
      <c r="T1608" s="14">
        <v>39986</v>
      </c>
      <c r="U1608" s="5">
        <v>21.26</v>
      </c>
    </row>
    <row r="1609" spans="14:21" x14ac:dyDescent="0.75">
      <c r="N1609" s="14">
        <v>39664</v>
      </c>
      <c r="O1609" s="5">
        <v>1179</v>
      </c>
      <c r="T1609" s="14">
        <v>39983</v>
      </c>
      <c r="U1609" s="5">
        <v>22.23</v>
      </c>
    </row>
    <row r="1610" spans="14:21" x14ac:dyDescent="0.75">
      <c r="N1610" s="14">
        <v>39661</v>
      </c>
      <c r="O1610" s="5">
        <v>1183.76</v>
      </c>
      <c r="T1610" s="14">
        <v>39982</v>
      </c>
      <c r="U1610" s="5">
        <v>22.17</v>
      </c>
    </row>
    <row r="1611" spans="14:21" x14ac:dyDescent="0.75">
      <c r="N1611" s="14">
        <v>39660</v>
      </c>
      <c r="O1611" s="5">
        <v>1186.32</v>
      </c>
      <c r="T1611" s="14">
        <v>39981</v>
      </c>
      <c r="U1611" s="5">
        <v>21.84</v>
      </c>
    </row>
    <row r="1612" spans="14:21" x14ac:dyDescent="0.75">
      <c r="N1612" s="14">
        <v>39659</v>
      </c>
      <c r="O1612" s="5">
        <v>1185.1600000000001</v>
      </c>
      <c r="T1612" s="14">
        <v>39980</v>
      </c>
      <c r="U1612" s="5">
        <v>22.19</v>
      </c>
    </row>
    <row r="1613" spans="14:21" x14ac:dyDescent="0.75">
      <c r="N1613" s="14">
        <v>39658</v>
      </c>
      <c r="O1613" s="5">
        <v>1183.5899999999999</v>
      </c>
      <c r="T1613" s="14">
        <v>39979</v>
      </c>
      <c r="U1613" s="5">
        <v>22.33</v>
      </c>
    </row>
    <row r="1614" spans="14:21" x14ac:dyDescent="0.75">
      <c r="N1614" s="14">
        <v>39657</v>
      </c>
      <c r="O1614" s="5">
        <v>1184.44</v>
      </c>
      <c r="T1614" s="14">
        <v>39976</v>
      </c>
      <c r="U1614" s="5">
        <v>23.48</v>
      </c>
    </row>
    <row r="1615" spans="14:21" x14ac:dyDescent="0.75">
      <c r="N1615" s="14">
        <v>39654</v>
      </c>
      <c r="O1615" s="5">
        <v>1184.8699999999999</v>
      </c>
      <c r="T1615" s="14">
        <v>39975</v>
      </c>
      <c r="U1615" s="5">
        <v>22.7</v>
      </c>
    </row>
    <row r="1616" spans="14:21" x14ac:dyDescent="0.75">
      <c r="N1616" s="14">
        <v>39653</v>
      </c>
      <c r="O1616" s="5">
        <v>1183.0999999999999</v>
      </c>
      <c r="T1616" s="14">
        <v>39974</v>
      </c>
      <c r="U1616" s="5">
        <v>23.25</v>
      </c>
    </row>
    <row r="1617" spans="14:21" x14ac:dyDescent="0.75">
      <c r="N1617" s="14">
        <v>39652</v>
      </c>
      <c r="O1617" s="5">
        <v>1183.4000000000001</v>
      </c>
      <c r="T1617" s="14">
        <v>39973</v>
      </c>
      <c r="U1617" s="5">
        <v>23.72</v>
      </c>
    </row>
    <row r="1618" spans="14:21" x14ac:dyDescent="0.75">
      <c r="N1618" s="14">
        <v>39651</v>
      </c>
      <c r="O1618" s="5">
        <v>1186.33</v>
      </c>
      <c r="T1618" s="14">
        <v>39972</v>
      </c>
      <c r="U1618" s="5">
        <v>23.69</v>
      </c>
    </row>
    <row r="1619" spans="14:21" x14ac:dyDescent="0.75">
      <c r="N1619" s="14">
        <v>39650</v>
      </c>
      <c r="O1619" s="5">
        <v>1188.5999999999999</v>
      </c>
      <c r="T1619" s="14">
        <v>39969</v>
      </c>
      <c r="U1619" s="5">
        <v>23.82</v>
      </c>
    </row>
    <row r="1620" spans="14:21" x14ac:dyDescent="0.75">
      <c r="N1620" s="14">
        <v>39647</v>
      </c>
      <c r="O1620" s="5">
        <v>1187.29</v>
      </c>
      <c r="T1620" s="14">
        <v>39968</v>
      </c>
      <c r="U1620" s="5">
        <v>24.05</v>
      </c>
    </row>
    <row r="1621" spans="14:21" x14ac:dyDescent="0.75">
      <c r="N1621" s="14">
        <v>39646</v>
      </c>
      <c r="O1621" s="5">
        <v>1188.8800000000001</v>
      </c>
      <c r="T1621" s="14">
        <v>39967</v>
      </c>
      <c r="U1621" s="5">
        <v>23.5</v>
      </c>
    </row>
    <row r="1622" spans="14:21" x14ac:dyDescent="0.75">
      <c r="N1622" s="14">
        <v>39645</v>
      </c>
      <c r="O1622" s="5">
        <v>1191.42</v>
      </c>
      <c r="T1622" s="14">
        <v>39966</v>
      </c>
      <c r="U1622" s="5">
        <v>23.3</v>
      </c>
    </row>
    <row r="1623" spans="14:21" x14ac:dyDescent="0.75">
      <c r="N1623" s="14">
        <v>39644</v>
      </c>
      <c r="O1623" s="5">
        <v>1193.33</v>
      </c>
      <c r="T1623" s="14">
        <v>39965</v>
      </c>
      <c r="U1623" s="5">
        <v>23.76</v>
      </c>
    </row>
    <row r="1624" spans="14:21" x14ac:dyDescent="0.75">
      <c r="N1624" s="14">
        <v>39643</v>
      </c>
      <c r="O1624" s="5">
        <v>1197.8900000000001</v>
      </c>
      <c r="T1624" s="14">
        <v>39962</v>
      </c>
      <c r="U1624" s="5">
        <v>22.92</v>
      </c>
    </row>
    <row r="1625" spans="14:21" x14ac:dyDescent="0.75">
      <c r="N1625" s="14">
        <v>39640</v>
      </c>
      <c r="O1625" s="5">
        <v>1197.8499999999999</v>
      </c>
      <c r="T1625" s="14">
        <v>39961</v>
      </c>
      <c r="U1625" s="5">
        <v>22.34</v>
      </c>
    </row>
    <row r="1626" spans="14:21" x14ac:dyDescent="0.75">
      <c r="N1626" s="14">
        <v>39639</v>
      </c>
      <c r="O1626" s="5">
        <v>1196.6500000000001</v>
      </c>
      <c r="T1626" s="14">
        <v>39960</v>
      </c>
      <c r="U1626" s="5">
        <v>21.86</v>
      </c>
    </row>
    <row r="1627" spans="14:21" x14ac:dyDescent="0.75">
      <c r="N1627" s="14">
        <v>39638</v>
      </c>
      <c r="O1627" s="5">
        <v>1196.6400000000001</v>
      </c>
      <c r="T1627" s="14">
        <v>39959</v>
      </c>
      <c r="U1627" s="5">
        <v>22.66</v>
      </c>
    </row>
    <row r="1628" spans="14:21" x14ac:dyDescent="0.75">
      <c r="N1628" s="14">
        <v>39637</v>
      </c>
      <c r="O1628" s="5">
        <v>1195.0999999999999</v>
      </c>
      <c r="T1628" s="14">
        <v>39955</v>
      </c>
      <c r="U1628" s="5">
        <v>21.32</v>
      </c>
    </row>
    <row r="1629" spans="14:21" x14ac:dyDescent="0.75">
      <c r="N1629" s="14">
        <v>39636</v>
      </c>
      <c r="O1629" s="5">
        <v>1199.3800000000001</v>
      </c>
      <c r="T1629" s="14">
        <v>39954</v>
      </c>
      <c r="U1629" s="5">
        <v>21.77</v>
      </c>
    </row>
    <row r="1630" spans="14:21" x14ac:dyDescent="0.75">
      <c r="N1630" s="14">
        <v>39632</v>
      </c>
      <c r="O1630" s="5">
        <v>1200.01</v>
      </c>
      <c r="T1630" s="14">
        <v>39953</v>
      </c>
      <c r="U1630" s="5">
        <v>21.54</v>
      </c>
    </row>
    <row r="1631" spans="14:21" x14ac:dyDescent="0.75">
      <c r="N1631" s="14">
        <v>39631</v>
      </c>
      <c r="O1631" s="5">
        <v>1204.99</v>
      </c>
      <c r="T1631" s="14">
        <v>39952</v>
      </c>
      <c r="U1631" s="5">
        <v>21.96</v>
      </c>
    </row>
    <row r="1632" spans="14:21" x14ac:dyDescent="0.75">
      <c r="N1632" s="14">
        <v>39630</v>
      </c>
      <c r="O1632" s="5">
        <v>1206.04</v>
      </c>
      <c r="T1632" s="14">
        <v>39951</v>
      </c>
      <c r="U1632" s="5">
        <v>22.46</v>
      </c>
    </row>
    <row r="1633" spans="14:21" x14ac:dyDescent="0.75">
      <c r="N1633" s="14">
        <v>39629</v>
      </c>
      <c r="O1633" s="5">
        <v>1207.58</v>
      </c>
      <c r="T1633" s="14">
        <v>39948</v>
      </c>
      <c r="U1633" s="5">
        <v>20.72</v>
      </c>
    </row>
    <row r="1634" spans="14:21" x14ac:dyDescent="0.75">
      <c r="N1634" s="14">
        <v>39626</v>
      </c>
      <c r="O1634" s="5">
        <v>1207.43</v>
      </c>
      <c r="T1634" s="14">
        <v>39947</v>
      </c>
      <c r="U1634" s="5">
        <v>21.55</v>
      </c>
    </row>
    <row r="1635" spans="14:21" x14ac:dyDescent="0.75">
      <c r="N1635" s="14">
        <v>39625</v>
      </c>
      <c r="O1635" s="5">
        <v>1208.3599999999999</v>
      </c>
      <c r="T1635" s="14">
        <v>39946</v>
      </c>
      <c r="U1635" s="5">
        <v>20.72</v>
      </c>
    </row>
    <row r="1636" spans="14:21" x14ac:dyDescent="0.75">
      <c r="N1636" s="14">
        <v>39624</v>
      </c>
      <c r="O1636" s="5">
        <v>1210.6099999999999</v>
      </c>
      <c r="T1636" s="14">
        <v>39945</v>
      </c>
      <c r="U1636" s="5">
        <v>21.88</v>
      </c>
    </row>
    <row r="1637" spans="14:21" x14ac:dyDescent="0.75">
      <c r="N1637" s="14">
        <v>39623</v>
      </c>
      <c r="O1637" s="5">
        <v>1209.6600000000001</v>
      </c>
      <c r="T1637" s="14">
        <v>39944</v>
      </c>
      <c r="U1637" s="5">
        <v>21.94</v>
      </c>
    </row>
    <row r="1638" spans="14:21" x14ac:dyDescent="0.75">
      <c r="N1638" s="14">
        <v>39622</v>
      </c>
      <c r="O1638" s="5">
        <v>1212.57</v>
      </c>
      <c r="T1638" s="14">
        <v>39941</v>
      </c>
      <c r="U1638" s="5">
        <v>22.91</v>
      </c>
    </row>
    <row r="1639" spans="14:21" x14ac:dyDescent="0.75">
      <c r="N1639" s="14">
        <v>39619</v>
      </c>
      <c r="O1639" s="5">
        <v>1211.3699999999999</v>
      </c>
      <c r="T1639" s="14">
        <v>39940</v>
      </c>
      <c r="U1639" s="5">
        <v>21.34</v>
      </c>
    </row>
    <row r="1640" spans="14:21" x14ac:dyDescent="0.75">
      <c r="N1640" s="14">
        <v>39618</v>
      </c>
      <c r="O1640" s="5">
        <v>1211.54</v>
      </c>
      <c r="T1640" s="14">
        <v>39939</v>
      </c>
      <c r="U1640" s="5">
        <v>22.39</v>
      </c>
    </row>
    <row r="1641" spans="14:21" x14ac:dyDescent="0.75">
      <c r="N1641" s="14">
        <v>39617</v>
      </c>
      <c r="O1641" s="5">
        <v>1213.55</v>
      </c>
      <c r="T1641" s="14">
        <v>39938</v>
      </c>
      <c r="U1641" s="5">
        <v>21.94</v>
      </c>
    </row>
    <row r="1642" spans="14:21" x14ac:dyDescent="0.75">
      <c r="N1642" s="14">
        <v>39616</v>
      </c>
      <c r="O1642" s="5">
        <v>1214.6500000000001</v>
      </c>
      <c r="T1642" s="14">
        <v>39937</v>
      </c>
      <c r="U1642" s="5">
        <v>22.93</v>
      </c>
    </row>
    <row r="1643" spans="14:21" x14ac:dyDescent="0.75">
      <c r="N1643" s="14">
        <v>39615</v>
      </c>
      <c r="O1643" s="5">
        <v>1214.03</v>
      </c>
      <c r="T1643" s="14">
        <v>39934</v>
      </c>
      <c r="U1643" s="5">
        <v>21.13</v>
      </c>
    </row>
    <row r="1644" spans="14:21" x14ac:dyDescent="0.75">
      <c r="N1644" s="14">
        <v>39612</v>
      </c>
      <c r="O1644" s="5">
        <v>1213.75</v>
      </c>
      <c r="T1644" s="14">
        <v>39933</v>
      </c>
      <c r="U1644" s="5">
        <v>21.83</v>
      </c>
    </row>
    <row r="1645" spans="14:21" x14ac:dyDescent="0.75">
      <c r="N1645" s="14">
        <v>39611</v>
      </c>
      <c r="O1645" s="5">
        <v>1212.99</v>
      </c>
      <c r="T1645" s="14">
        <v>39932</v>
      </c>
      <c r="U1645" s="5">
        <v>22.28</v>
      </c>
    </row>
    <row r="1646" spans="14:21" x14ac:dyDescent="0.75">
      <c r="N1646" s="14">
        <v>39610</v>
      </c>
      <c r="O1646" s="5">
        <v>1213.6300000000001</v>
      </c>
      <c r="T1646" s="14">
        <v>39931</v>
      </c>
      <c r="U1646" s="5">
        <v>21.41</v>
      </c>
    </row>
    <row r="1647" spans="14:21" x14ac:dyDescent="0.75">
      <c r="N1647" s="14">
        <v>39609</v>
      </c>
      <c r="O1647" s="5">
        <v>1212.1500000000001</v>
      </c>
      <c r="T1647" s="14">
        <v>39930</v>
      </c>
      <c r="U1647" s="5">
        <v>21.24</v>
      </c>
    </row>
    <row r="1648" spans="14:21" x14ac:dyDescent="0.75">
      <c r="N1648" s="14">
        <v>39608</v>
      </c>
      <c r="O1648" s="5">
        <v>1215.3399999999999</v>
      </c>
      <c r="T1648" s="14">
        <v>39927</v>
      </c>
      <c r="U1648" s="5">
        <v>22.34</v>
      </c>
    </row>
    <row r="1649" spans="14:21" x14ac:dyDescent="0.75">
      <c r="N1649" s="14">
        <v>39605</v>
      </c>
      <c r="O1649" s="5">
        <v>1215.26</v>
      </c>
      <c r="T1649" s="14">
        <v>39926</v>
      </c>
      <c r="U1649" s="5">
        <v>21.52</v>
      </c>
    </row>
    <row r="1650" spans="14:21" x14ac:dyDescent="0.75">
      <c r="N1650" s="14">
        <v>39604</v>
      </c>
      <c r="O1650" s="5">
        <v>1213.58</v>
      </c>
      <c r="T1650" s="14">
        <v>39925</v>
      </c>
      <c r="U1650" s="5">
        <v>20.56</v>
      </c>
    </row>
    <row r="1651" spans="14:21" x14ac:dyDescent="0.75">
      <c r="N1651" s="14">
        <v>39603</v>
      </c>
      <c r="O1651" s="5">
        <v>1211.07</v>
      </c>
      <c r="T1651" s="14">
        <v>39924</v>
      </c>
      <c r="U1651" s="5">
        <v>21.37</v>
      </c>
    </row>
    <row r="1652" spans="14:21" x14ac:dyDescent="0.75">
      <c r="N1652" s="14">
        <v>39602</v>
      </c>
      <c r="O1652" s="5">
        <v>1211.7</v>
      </c>
      <c r="T1652" s="14">
        <v>39923</v>
      </c>
      <c r="U1652" s="5">
        <v>19.489999999999998</v>
      </c>
    </row>
    <row r="1653" spans="14:21" x14ac:dyDescent="0.75">
      <c r="N1653" s="14">
        <v>39601</v>
      </c>
      <c r="O1653" s="5">
        <v>1212.9000000000001</v>
      </c>
      <c r="T1653" s="14">
        <v>39920</v>
      </c>
      <c r="U1653" s="5">
        <v>21.63</v>
      </c>
    </row>
    <row r="1654" spans="14:21" x14ac:dyDescent="0.75">
      <c r="N1654" s="14">
        <v>39598</v>
      </c>
      <c r="O1654" s="5">
        <v>1211.72</v>
      </c>
      <c r="T1654" s="14">
        <v>39919</v>
      </c>
      <c r="U1654" s="5">
        <v>21.88</v>
      </c>
    </row>
    <row r="1655" spans="14:21" x14ac:dyDescent="0.75">
      <c r="N1655" s="14">
        <v>39597</v>
      </c>
      <c r="O1655" s="5">
        <v>1212.1500000000001</v>
      </c>
      <c r="T1655" s="14">
        <v>39918</v>
      </c>
      <c r="U1655" s="5">
        <v>21.16</v>
      </c>
    </row>
    <row r="1656" spans="14:21" x14ac:dyDescent="0.75">
      <c r="N1656" s="14">
        <v>39596</v>
      </c>
      <c r="O1656" s="5">
        <v>1212.68</v>
      </c>
      <c r="T1656" s="14">
        <v>39917</v>
      </c>
      <c r="U1656" s="5">
        <v>19.71</v>
      </c>
    </row>
    <row r="1657" spans="14:21" x14ac:dyDescent="0.75">
      <c r="N1657" s="14">
        <v>39595</v>
      </c>
      <c r="O1657" s="5">
        <v>1211.6199999999999</v>
      </c>
      <c r="T1657" s="14">
        <v>39916</v>
      </c>
      <c r="U1657" s="5">
        <v>21.54</v>
      </c>
    </row>
    <row r="1658" spans="14:21" x14ac:dyDescent="0.75">
      <c r="N1658" s="14">
        <v>39591</v>
      </c>
      <c r="O1658" s="5">
        <v>1212.7</v>
      </c>
      <c r="T1658" s="14">
        <v>39912</v>
      </c>
      <c r="U1658" s="5">
        <v>21.51</v>
      </c>
    </row>
    <row r="1659" spans="14:21" x14ac:dyDescent="0.75">
      <c r="N1659" s="14">
        <v>39590</v>
      </c>
      <c r="O1659" s="5">
        <v>1211.1500000000001</v>
      </c>
      <c r="T1659" s="14">
        <v>39911</v>
      </c>
      <c r="U1659" s="5">
        <v>19.21</v>
      </c>
    </row>
    <row r="1660" spans="14:21" x14ac:dyDescent="0.75">
      <c r="N1660" s="14">
        <v>39589</v>
      </c>
      <c r="O1660" s="5">
        <v>1212.58</v>
      </c>
      <c r="T1660" s="14">
        <v>39910</v>
      </c>
      <c r="U1660" s="5">
        <v>18.809899999999999</v>
      </c>
    </row>
    <row r="1661" spans="14:21" x14ac:dyDescent="0.75">
      <c r="N1661" s="14">
        <v>39588</v>
      </c>
      <c r="O1661" s="5">
        <v>1210.8699999999999</v>
      </c>
      <c r="T1661" s="14">
        <v>39909</v>
      </c>
      <c r="U1661" s="5">
        <v>20.43</v>
      </c>
    </row>
    <row r="1662" spans="14:21" x14ac:dyDescent="0.75">
      <c r="N1662" s="14">
        <v>39587</v>
      </c>
      <c r="O1662" s="5">
        <v>1210.81</v>
      </c>
      <c r="T1662" s="14">
        <v>39906</v>
      </c>
      <c r="U1662" s="5">
        <v>20.66</v>
      </c>
    </row>
    <row r="1663" spans="14:21" x14ac:dyDescent="0.75">
      <c r="N1663" s="14">
        <v>39584</v>
      </c>
      <c r="O1663" s="5">
        <v>1209.25</v>
      </c>
      <c r="T1663" s="14">
        <v>39905</v>
      </c>
      <c r="U1663" s="5">
        <v>19.202999999999999</v>
      </c>
    </row>
    <row r="1664" spans="14:21" x14ac:dyDescent="0.75">
      <c r="N1664" s="14">
        <v>39583</v>
      </c>
      <c r="O1664" s="5">
        <v>1207.3399999999999</v>
      </c>
      <c r="T1664" s="14">
        <v>39904</v>
      </c>
      <c r="U1664" s="5">
        <v>18.03</v>
      </c>
    </row>
    <row r="1665" spans="14:21" x14ac:dyDescent="0.75">
      <c r="N1665" s="14">
        <v>39582</v>
      </c>
      <c r="O1665" s="5">
        <v>1206.1500000000001</v>
      </c>
      <c r="T1665" s="14">
        <v>39903</v>
      </c>
      <c r="U1665" s="5">
        <v>18.18</v>
      </c>
    </row>
    <row r="1666" spans="14:21" x14ac:dyDescent="0.75">
      <c r="N1666" s="14">
        <v>39581</v>
      </c>
      <c r="O1666" s="5">
        <v>1205.48</v>
      </c>
      <c r="T1666" s="14">
        <v>39902</v>
      </c>
      <c r="U1666" s="5">
        <v>16.91</v>
      </c>
    </row>
    <row r="1667" spans="14:21" x14ac:dyDescent="0.75">
      <c r="N1667" s="14">
        <v>39580</v>
      </c>
      <c r="O1667" s="5">
        <v>1203.93</v>
      </c>
      <c r="T1667" s="14">
        <v>39899</v>
      </c>
      <c r="U1667" s="5">
        <v>17.93</v>
      </c>
    </row>
    <row r="1668" spans="14:21" x14ac:dyDescent="0.75">
      <c r="N1668" s="14">
        <v>39577</v>
      </c>
      <c r="O1668" s="5">
        <v>1200.8499999999999</v>
      </c>
      <c r="T1668" s="14">
        <v>39898</v>
      </c>
      <c r="U1668" s="5">
        <v>18.89</v>
      </c>
    </row>
    <row r="1669" spans="14:21" x14ac:dyDescent="0.75">
      <c r="N1669" s="14">
        <v>39576</v>
      </c>
      <c r="O1669" s="5">
        <v>1201.74</v>
      </c>
      <c r="T1669" s="14">
        <v>39897</v>
      </c>
      <c r="U1669" s="5">
        <v>18.45</v>
      </c>
    </row>
    <row r="1670" spans="14:21" x14ac:dyDescent="0.75">
      <c r="N1670" s="14">
        <v>39575</v>
      </c>
      <c r="O1670" s="5">
        <v>1200.8800000000001</v>
      </c>
      <c r="T1670" s="14">
        <v>39896</v>
      </c>
      <c r="U1670" s="5">
        <v>18.510000000000002</v>
      </c>
    </row>
    <row r="1671" spans="14:21" x14ac:dyDescent="0.75">
      <c r="N1671" s="14">
        <v>39574</v>
      </c>
      <c r="O1671" s="5">
        <v>1201.95</v>
      </c>
      <c r="T1671" s="14">
        <v>39895</v>
      </c>
      <c r="U1671" s="5">
        <v>20.16</v>
      </c>
    </row>
    <row r="1672" spans="14:21" x14ac:dyDescent="0.75">
      <c r="N1672" s="14">
        <v>39573</v>
      </c>
      <c r="O1672" s="5">
        <v>1201.47</v>
      </c>
      <c r="T1672" s="14">
        <v>39892</v>
      </c>
      <c r="U1672" s="5">
        <v>17.43</v>
      </c>
    </row>
    <row r="1673" spans="14:21" x14ac:dyDescent="0.75">
      <c r="N1673" s="14">
        <v>39570</v>
      </c>
      <c r="O1673" s="5">
        <v>1199.58</v>
      </c>
      <c r="T1673" s="14">
        <v>39891</v>
      </c>
      <c r="U1673" s="5">
        <v>18.739999999999998</v>
      </c>
    </row>
    <row r="1674" spans="14:21" x14ac:dyDescent="0.75">
      <c r="N1674" s="14">
        <v>39569</v>
      </c>
      <c r="O1674" s="5">
        <v>1196.44</v>
      </c>
      <c r="T1674" s="14">
        <v>39890</v>
      </c>
      <c r="U1674" s="5">
        <v>19.97</v>
      </c>
    </row>
    <row r="1675" spans="14:21" x14ac:dyDescent="0.75">
      <c r="N1675" s="14">
        <v>39568</v>
      </c>
      <c r="O1675" s="5">
        <v>1196.8</v>
      </c>
      <c r="T1675" s="14">
        <v>39889</v>
      </c>
      <c r="U1675" s="5">
        <v>19.16</v>
      </c>
    </row>
    <row r="1676" spans="14:21" x14ac:dyDescent="0.75">
      <c r="N1676" s="14">
        <v>39567</v>
      </c>
      <c r="O1676" s="5">
        <v>1195.83</v>
      </c>
      <c r="T1676" s="14">
        <v>39888</v>
      </c>
      <c r="U1676" s="5">
        <v>17.75</v>
      </c>
    </row>
    <row r="1677" spans="14:21" x14ac:dyDescent="0.75">
      <c r="N1677" s="14">
        <v>39566</v>
      </c>
      <c r="O1677" s="5">
        <v>1197.6199999999999</v>
      </c>
      <c r="T1677" s="14">
        <v>39885</v>
      </c>
      <c r="U1677" s="5">
        <v>19.18</v>
      </c>
    </row>
    <row r="1678" spans="14:21" x14ac:dyDescent="0.75">
      <c r="N1678" s="14">
        <v>39563</v>
      </c>
      <c r="O1678" s="5">
        <v>1197.0999999999999</v>
      </c>
      <c r="T1678" s="14">
        <v>39884</v>
      </c>
      <c r="U1678" s="5">
        <v>19.57</v>
      </c>
    </row>
    <row r="1679" spans="14:21" x14ac:dyDescent="0.75">
      <c r="N1679" s="14">
        <v>39562</v>
      </c>
      <c r="O1679" s="5">
        <v>1196.99</v>
      </c>
      <c r="T1679" s="14">
        <v>39883</v>
      </c>
      <c r="U1679" s="5">
        <v>18.079999999999998</v>
      </c>
    </row>
    <row r="1680" spans="14:21" x14ac:dyDescent="0.75">
      <c r="N1680" s="14">
        <v>39561</v>
      </c>
      <c r="O1680" s="5">
        <v>1199.28</v>
      </c>
      <c r="T1680" s="14">
        <v>39882</v>
      </c>
      <c r="U1680" s="5">
        <v>18.600000000000001</v>
      </c>
    </row>
    <row r="1681" spans="14:21" x14ac:dyDescent="0.75">
      <c r="N1681" s="14">
        <v>39560</v>
      </c>
      <c r="O1681" s="5">
        <v>1199.22</v>
      </c>
      <c r="T1681" s="14">
        <v>39881</v>
      </c>
      <c r="U1681" s="5">
        <v>16.559999999999999</v>
      </c>
    </row>
    <row r="1682" spans="14:21" x14ac:dyDescent="0.75">
      <c r="N1682" s="14">
        <v>39559</v>
      </c>
      <c r="O1682" s="5">
        <v>1198.57</v>
      </c>
      <c r="T1682" s="14">
        <v>39878</v>
      </c>
      <c r="U1682" s="5">
        <v>16.190000000000001</v>
      </c>
    </row>
    <row r="1683" spans="14:21" x14ac:dyDescent="0.75">
      <c r="N1683" s="14">
        <v>39556</v>
      </c>
      <c r="O1683" s="5">
        <v>1196.67</v>
      </c>
      <c r="T1683" s="14">
        <v>39877</v>
      </c>
      <c r="U1683" s="5">
        <v>16.010000000000002</v>
      </c>
    </row>
    <row r="1684" spans="14:21" x14ac:dyDescent="0.75">
      <c r="N1684" s="14">
        <v>39555</v>
      </c>
      <c r="O1684" s="5">
        <v>1193.8399999999999</v>
      </c>
      <c r="T1684" s="14">
        <v>39876</v>
      </c>
      <c r="U1684" s="5">
        <v>17.190000000000001</v>
      </c>
    </row>
    <row r="1685" spans="14:21" x14ac:dyDescent="0.75">
      <c r="N1685" s="14">
        <v>39554</v>
      </c>
      <c r="O1685" s="5">
        <v>1196.43</v>
      </c>
      <c r="T1685" s="14">
        <v>39875</v>
      </c>
      <c r="U1685" s="5">
        <v>16.690000000000001</v>
      </c>
    </row>
    <row r="1686" spans="14:21" x14ac:dyDescent="0.75">
      <c r="N1686" s="14">
        <v>39553</v>
      </c>
      <c r="O1686" s="5">
        <v>1192.97</v>
      </c>
      <c r="T1686" s="14">
        <v>39874</v>
      </c>
      <c r="U1686" s="5">
        <v>16.369</v>
      </c>
    </row>
    <row r="1687" spans="14:21" x14ac:dyDescent="0.75">
      <c r="N1687" s="14">
        <v>39552</v>
      </c>
      <c r="O1687" s="5">
        <v>1192.03</v>
      </c>
      <c r="T1687" s="14">
        <v>39871</v>
      </c>
      <c r="U1687" s="5">
        <v>17.55</v>
      </c>
    </row>
    <row r="1688" spans="14:21" x14ac:dyDescent="0.75">
      <c r="N1688" s="14">
        <v>39549</v>
      </c>
      <c r="O1688" s="5">
        <v>1193.1600000000001</v>
      </c>
      <c r="T1688" s="14">
        <v>39870</v>
      </c>
      <c r="U1688" s="5">
        <v>17.66</v>
      </c>
    </row>
    <row r="1689" spans="14:21" x14ac:dyDescent="0.75">
      <c r="N1689" s="14">
        <v>39548</v>
      </c>
      <c r="O1689" s="5">
        <v>1195.3699999999999</v>
      </c>
      <c r="T1689" s="14">
        <v>39869</v>
      </c>
      <c r="U1689" s="5">
        <v>18.96</v>
      </c>
    </row>
    <row r="1690" spans="14:21" x14ac:dyDescent="0.75">
      <c r="N1690" s="14">
        <v>39547</v>
      </c>
      <c r="O1690" s="5">
        <v>1193.6300000000001</v>
      </c>
      <c r="T1690" s="14">
        <v>39868</v>
      </c>
      <c r="U1690" s="5">
        <v>19.28</v>
      </c>
    </row>
    <row r="1691" spans="14:21" x14ac:dyDescent="0.75">
      <c r="N1691" s="14">
        <v>39546</v>
      </c>
      <c r="O1691" s="5">
        <v>1192.97</v>
      </c>
      <c r="T1691" s="14">
        <v>39867</v>
      </c>
      <c r="U1691" s="5">
        <v>17.630099999999999</v>
      </c>
    </row>
    <row r="1692" spans="14:21" x14ac:dyDescent="0.75">
      <c r="N1692" s="14">
        <v>39545</v>
      </c>
      <c r="O1692" s="5">
        <v>1192.69</v>
      </c>
      <c r="T1692" s="14">
        <v>39864</v>
      </c>
      <c r="U1692" s="5">
        <v>19.079999999999998</v>
      </c>
    </row>
    <row r="1693" spans="14:21" x14ac:dyDescent="0.75">
      <c r="N1693" s="14">
        <v>39542</v>
      </c>
      <c r="O1693" s="5">
        <v>1190.94</v>
      </c>
      <c r="T1693" s="14">
        <v>39863</v>
      </c>
      <c r="U1693" s="5">
        <v>17.91</v>
      </c>
    </row>
    <row r="1694" spans="14:21" x14ac:dyDescent="0.75">
      <c r="N1694" s="14">
        <v>39541</v>
      </c>
      <c r="O1694" s="5">
        <v>1189.0899999999999</v>
      </c>
      <c r="T1694" s="14">
        <v>39862</v>
      </c>
      <c r="U1694" s="5">
        <v>18.75</v>
      </c>
    </row>
    <row r="1695" spans="14:21" x14ac:dyDescent="0.75">
      <c r="N1695" s="14">
        <v>39540</v>
      </c>
      <c r="O1695" s="5">
        <v>1189.76</v>
      </c>
      <c r="T1695" s="14">
        <v>39861</v>
      </c>
      <c r="U1695" s="5">
        <v>18.5</v>
      </c>
    </row>
    <row r="1696" spans="14:21" x14ac:dyDescent="0.75">
      <c r="N1696" s="14">
        <v>39539</v>
      </c>
      <c r="O1696" s="5">
        <v>1189.54</v>
      </c>
      <c r="T1696" s="14">
        <v>39857</v>
      </c>
      <c r="U1696" s="5">
        <v>19.82</v>
      </c>
    </row>
    <row r="1697" spans="14:21" x14ac:dyDescent="0.75">
      <c r="N1697" s="14">
        <v>39538</v>
      </c>
      <c r="O1697" s="5">
        <v>1189.54</v>
      </c>
      <c r="T1697" s="14">
        <v>39856</v>
      </c>
      <c r="U1697" s="5">
        <v>20.88</v>
      </c>
    </row>
    <row r="1698" spans="14:21" x14ac:dyDescent="0.75">
      <c r="N1698" s="14">
        <v>39535</v>
      </c>
      <c r="O1698" s="5">
        <v>1189.1600000000001</v>
      </c>
      <c r="T1698" s="14">
        <v>39855</v>
      </c>
      <c r="U1698" s="5">
        <v>21.2</v>
      </c>
    </row>
    <row r="1699" spans="14:21" x14ac:dyDescent="0.75">
      <c r="N1699" s="14">
        <v>39534</v>
      </c>
      <c r="O1699" s="5">
        <v>1188.8399999999999</v>
      </c>
      <c r="T1699" s="14">
        <v>39854</v>
      </c>
      <c r="U1699" s="5">
        <v>20.5</v>
      </c>
    </row>
    <row r="1700" spans="14:21" x14ac:dyDescent="0.75">
      <c r="N1700" s="14">
        <v>39533</v>
      </c>
      <c r="O1700" s="5">
        <v>1189.25</v>
      </c>
      <c r="T1700" s="14">
        <v>39853</v>
      </c>
      <c r="U1700" s="5">
        <v>22.46</v>
      </c>
    </row>
    <row r="1701" spans="14:21" x14ac:dyDescent="0.75">
      <c r="N1701" s="14">
        <v>39532</v>
      </c>
      <c r="O1701" s="5">
        <v>1185.8</v>
      </c>
      <c r="T1701" s="14">
        <v>39850</v>
      </c>
      <c r="U1701" s="5">
        <v>22.18</v>
      </c>
    </row>
    <row r="1702" spans="14:21" x14ac:dyDescent="0.75">
      <c r="N1702" s="14">
        <v>39531</v>
      </c>
      <c r="O1702" s="5">
        <v>1179.68</v>
      </c>
      <c r="T1702" s="14">
        <v>39849</v>
      </c>
      <c r="U1702" s="5">
        <v>20.83</v>
      </c>
    </row>
    <row r="1703" spans="14:21" x14ac:dyDescent="0.75">
      <c r="N1703" s="14">
        <v>39527</v>
      </c>
      <c r="O1703" s="5">
        <v>1179.17</v>
      </c>
      <c r="T1703" s="14">
        <v>39848</v>
      </c>
      <c r="U1703" s="5">
        <v>22.17</v>
      </c>
    </row>
    <row r="1704" spans="14:21" x14ac:dyDescent="0.75">
      <c r="N1704" s="14">
        <v>39526</v>
      </c>
      <c r="O1704" s="5">
        <v>1182.04</v>
      </c>
      <c r="T1704" s="14">
        <v>39847</v>
      </c>
      <c r="U1704" s="5">
        <v>22.93</v>
      </c>
    </row>
    <row r="1705" spans="14:21" x14ac:dyDescent="0.75">
      <c r="N1705" s="14">
        <v>39525</v>
      </c>
      <c r="O1705" s="5">
        <v>1188.4100000000001</v>
      </c>
      <c r="T1705" s="14">
        <v>39846</v>
      </c>
      <c r="U1705" s="5">
        <v>23.1</v>
      </c>
    </row>
    <row r="1706" spans="14:21" x14ac:dyDescent="0.75">
      <c r="N1706" s="14">
        <v>39524</v>
      </c>
      <c r="O1706" s="5">
        <v>1188.08</v>
      </c>
      <c r="T1706" s="14">
        <v>39843</v>
      </c>
      <c r="U1706" s="5">
        <v>23.07</v>
      </c>
    </row>
    <row r="1707" spans="14:21" x14ac:dyDescent="0.75">
      <c r="N1707" s="14">
        <v>39521</v>
      </c>
      <c r="O1707" s="5">
        <v>1196.78</v>
      </c>
      <c r="T1707" s="14">
        <v>39842</v>
      </c>
      <c r="U1707" s="5">
        <v>23.89</v>
      </c>
    </row>
    <row r="1708" spans="14:21" x14ac:dyDescent="0.75">
      <c r="N1708" s="14">
        <v>39520</v>
      </c>
      <c r="O1708" s="5">
        <v>1199.4100000000001</v>
      </c>
      <c r="T1708" s="14">
        <v>39841</v>
      </c>
      <c r="U1708" s="5">
        <v>25.91</v>
      </c>
    </row>
    <row r="1709" spans="14:21" x14ac:dyDescent="0.75">
      <c r="N1709" s="14">
        <v>39519</v>
      </c>
      <c r="O1709" s="5">
        <v>1201.51</v>
      </c>
      <c r="T1709" s="14">
        <v>39840</v>
      </c>
      <c r="U1709" s="5">
        <v>24.07</v>
      </c>
    </row>
    <row r="1710" spans="14:21" x14ac:dyDescent="0.75">
      <c r="N1710" s="14">
        <v>39518</v>
      </c>
      <c r="O1710" s="5">
        <v>1200.99</v>
      </c>
      <c r="T1710" s="14">
        <v>39839</v>
      </c>
      <c r="U1710" s="5">
        <v>23.5</v>
      </c>
    </row>
    <row r="1711" spans="14:21" x14ac:dyDescent="0.75">
      <c r="N1711" s="14">
        <v>39517</v>
      </c>
      <c r="O1711" s="5">
        <v>1200.4000000000001</v>
      </c>
      <c r="T1711" s="14">
        <v>39836</v>
      </c>
      <c r="U1711" s="5">
        <v>23.83</v>
      </c>
    </row>
    <row r="1712" spans="14:21" x14ac:dyDescent="0.75">
      <c r="N1712" s="14">
        <v>39514</v>
      </c>
      <c r="O1712" s="5">
        <v>1203.83</v>
      </c>
      <c r="T1712" s="14">
        <v>39835</v>
      </c>
      <c r="U1712" s="5">
        <v>23.04</v>
      </c>
    </row>
    <row r="1713" spans="14:21" x14ac:dyDescent="0.75">
      <c r="N1713" s="14">
        <v>39513</v>
      </c>
      <c r="O1713" s="5">
        <v>1206.51</v>
      </c>
      <c r="T1713" s="14">
        <v>39834</v>
      </c>
      <c r="U1713" s="5">
        <v>24.31</v>
      </c>
    </row>
    <row r="1714" spans="14:21" x14ac:dyDescent="0.75">
      <c r="N1714" s="14">
        <v>39512</v>
      </c>
      <c r="O1714" s="5">
        <v>1208.29</v>
      </c>
      <c r="T1714" s="14">
        <v>39833</v>
      </c>
      <c r="U1714" s="5">
        <v>22.08</v>
      </c>
    </row>
    <row r="1715" spans="14:21" x14ac:dyDescent="0.75">
      <c r="N1715" s="14">
        <v>39511</v>
      </c>
      <c r="O1715" s="5">
        <v>1205.23</v>
      </c>
      <c r="T1715" s="14">
        <v>39829</v>
      </c>
      <c r="U1715" s="5">
        <v>24.74</v>
      </c>
    </row>
    <row r="1716" spans="14:21" x14ac:dyDescent="0.75">
      <c r="N1716" s="14">
        <v>39510</v>
      </c>
      <c r="O1716" s="5">
        <v>1208.03</v>
      </c>
      <c r="T1716" s="14">
        <v>39828</v>
      </c>
      <c r="U1716" s="5">
        <v>23.7</v>
      </c>
    </row>
    <row r="1717" spans="14:21" x14ac:dyDescent="0.75">
      <c r="N1717" s="14">
        <v>39507</v>
      </c>
      <c r="O1717" s="5">
        <v>1207.8800000000001</v>
      </c>
      <c r="T1717" s="14">
        <v>39827</v>
      </c>
      <c r="U1717" s="5">
        <v>22.71</v>
      </c>
    </row>
    <row r="1718" spans="14:21" x14ac:dyDescent="0.75">
      <c r="N1718" s="14">
        <v>39506</v>
      </c>
      <c r="O1718" s="5">
        <v>1211.06</v>
      </c>
      <c r="T1718" s="14">
        <v>39826</v>
      </c>
      <c r="U1718" s="5">
        <v>23.65</v>
      </c>
    </row>
    <row r="1719" spans="14:21" x14ac:dyDescent="0.75">
      <c r="N1719" s="14">
        <v>39505</v>
      </c>
      <c r="O1719" s="5">
        <v>1207.97</v>
      </c>
      <c r="T1719" s="14">
        <v>39825</v>
      </c>
      <c r="U1719" s="5">
        <v>22.879899999999999</v>
      </c>
    </row>
    <row r="1720" spans="14:21" x14ac:dyDescent="0.75">
      <c r="N1720" s="14">
        <v>39504</v>
      </c>
      <c r="O1720" s="5">
        <v>1207.55</v>
      </c>
      <c r="T1720" s="14">
        <v>39822</v>
      </c>
      <c r="U1720" s="5">
        <v>24.19</v>
      </c>
    </row>
    <row r="1721" spans="14:21" x14ac:dyDescent="0.75">
      <c r="N1721" s="14">
        <v>39503</v>
      </c>
      <c r="O1721" s="5">
        <v>1205.56</v>
      </c>
      <c r="T1721" s="14">
        <v>39821</v>
      </c>
      <c r="U1721" s="5">
        <v>25.3</v>
      </c>
    </row>
    <row r="1722" spans="14:21" x14ac:dyDescent="0.75">
      <c r="N1722" s="14">
        <v>39500</v>
      </c>
      <c r="O1722" s="5">
        <v>1204.6600000000001</v>
      </c>
      <c r="T1722" s="14">
        <v>39820</v>
      </c>
      <c r="U1722" s="5">
        <v>25.65</v>
      </c>
    </row>
    <row r="1723" spans="14:21" x14ac:dyDescent="0.75">
      <c r="N1723" s="14">
        <v>39499</v>
      </c>
      <c r="O1723" s="5">
        <v>1204.6500000000001</v>
      </c>
      <c r="T1723" s="14">
        <v>39819</v>
      </c>
      <c r="U1723" s="5">
        <v>26.26</v>
      </c>
    </row>
    <row r="1724" spans="14:21" x14ac:dyDescent="0.75">
      <c r="N1724" s="14">
        <v>39498</v>
      </c>
      <c r="O1724" s="5">
        <v>1204.27</v>
      </c>
      <c r="T1724" s="14">
        <v>39818</v>
      </c>
      <c r="U1724" s="5">
        <v>25.24</v>
      </c>
    </row>
    <row r="1725" spans="14:21" x14ac:dyDescent="0.75">
      <c r="N1725" s="14">
        <v>39497</v>
      </c>
      <c r="O1725" s="5">
        <v>1205.19</v>
      </c>
      <c r="T1725" s="14">
        <v>39815</v>
      </c>
      <c r="U1725" s="5">
        <v>25.8399</v>
      </c>
    </row>
    <row r="1726" spans="14:21" x14ac:dyDescent="0.75">
      <c r="N1726" s="14">
        <v>39493</v>
      </c>
      <c r="O1726" s="5">
        <v>1200.8699999999999</v>
      </c>
      <c r="T1726" s="14">
        <v>39813</v>
      </c>
      <c r="U1726" s="5">
        <v>26.93</v>
      </c>
    </row>
    <row r="1727" spans="14:21" x14ac:dyDescent="0.75">
      <c r="N1727" s="14">
        <v>39492</v>
      </c>
      <c r="O1727" s="5">
        <v>1199.94</v>
      </c>
      <c r="T1727" s="14">
        <v>39812</v>
      </c>
      <c r="U1727" s="5">
        <v>25.55</v>
      </c>
    </row>
    <row r="1728" spans="14:21" x14ac:dyDescent="0.75">
      <c r="N1728" s="14">
        <v>39491</v>
      </c>
      <c r="O1728" s="5">
        <v>1198.79</v>
      </c>
      <c r="T1728" s="14">
        <v>39811</v>
      </c>
      <c r="U1728" s="5">
        <v>24.26</v>
      </c>
    </row>
    <row r="1729" spans="14:21" x14ac:dyDescent="0.75">
      <c r="N1729" s="14">
        <v>39490</v>
      </c>
      <c r="O1729" s="5">
        <v>1197.17</v>
      </c>
      <c r="T1729" s="14">
        <v>39808</v>
      </c>
      <c r="U1729" s="5">
        <v>25.55</v>
      </c>
    </row>
    <row r="1730" spans="14:21" x14ac:dyDescent="0.75">
      <c r="N1730" s="14">
        <v>39489</v>
      </c>
      <c r="O1730" s="5">
        <v>1196.44</v>
      </c>
      <c r="T1730" s="14">
        <v>39806</v>
      </c>
      <c r="U1730" s="5">
        <v>25.29</v>
      </c>
    </row>
    <row r="1731" spans="14:21" x14ac:dyDescent="0.75">
      <c r="N1731" s="14">
        <v>39486</v>
      </c>
      <c r="O1731" s="5">
        <v>1195.8499999999999</v>
      </c>
      <c r="T1731" s="14">
        <v>39805</v>
      </c>
      <c r="U1731" s="5">
        <v>25.91</v>
      </c>
    </row>
    <row r="1732" spans="14:21" x14ac:dyDescent="0.75">
      <c r="N1732" s="14">
        <v>39485</v>
      </c>
      <c r="O1732" s="5">
        <v>1192.95</v>
      </c>
      <c r="T1732" s="14">
        <v>39804</v>
      </c>
      <c r="U1732" s="5">
        <v>26.62</v>
      </c>
    </row>
    <row r="1733" spans="14:21" x14ac:dyDescent="0.75">
      <c r="N1733" s="14">
        <v>39484</v>
      </c>
      <c r="O1733" s="5">
        <v>1192.27</v>
      </c>
      <c r="T1733" s="14">
        <v>39801</v>
      </c>
      <c r="U1733" s="5">
        <v>27.64</v>
      </c>
    </row>
    <row r="1734" spans="14:21" x14ac:dyDescent="0.75">
      <c r="N1734" s="14">
        <v>39483</v>
      </c>
      <c r="O1734" s="5">
        <v>1192.26</v>
      </c>
      <c r="T1734" s="14">
        <v>39800</v>
      </c>
      <c r="U1734" s="5">
        <v>27.14</v>
      </c>
    </row>
    <row r="1735" spans="14:21" x14ac:dyDescent="0.75">
      <c r="N1735" s="14">
        <v>39482</v>
      </c>
      <c r="O1735" s="5">
        <v>1198.07</v>
      </c>
      <c r="T1735" s="14">
        <v>39799</v>
      </c>
      <c r="U1735" s="5">
        <v>29.14</v>
      </c>
    </row>
    <row r="1736" spans="14:21" x14ac:dyDescent="0.75">
      <c r="N1736" s="14">
        <v>39479</v>
      </c>
      <c r="O1736" s="5">
        <v>1195.27</v>
      </c>
      <c r="T1736" s="14">
        <v>39798</v>
      </c>
      <c r="U1736" s="5">
        <v>28.61</v>
      </c>
    </row>
    <row r="1737" spans="14:21" x14ac:dyDescent="0.75">
      <c r="N1737" s="14">
        <v>39478</v>
      </c>
      <c r="O1737" s="5">
        <v>1190.73</v>
      </c>
      <c r="T1737" s="14">
        <v>39797</v>
      </c>
      <c r="U1737" s="5">
        <v>25.55</v>
      </c>
    </row>
    <row r="1738" spans="14:21" x14ac:dyDescent="0.75">
      <c r="N1738" s="14">
        <v>39477</v>
      </c>
      <c r="O1738" s="5">
        <v>1189.01</v>
      </c>
      <c r="T1738" s="14">
        <v>39794</v>
      </c>
      <c r="U1738" s="5">
        <v>27.17</v>
      </c>
    </row>
    <row r="1739" spans="14:21" x14ac:dyDescent="0.75">
      <c r="N1739" s="14">
        <v>39476</v>
      </c>
      <c r="O1739" s="5">
        <v>1186.82</v>
      </c>
      <c r="T1739" s="14">
        <v>39793</v>
      </c>
      <c r="U1739" s="5">
        <v>24.11</v>
      </c>
    </row>
    <row r="1740" spans="14:21" x14ac:dyDescent="0.75">
      <c r="N1740" s="14">
        <v>39475</v>
      </c>
      <c r="O1740" s="5">
        <v>1185.01</v>
      </c>
      <c r="T1740" s="14">
        <v>39792</v>
      </c>
      <c r="U1740" s="5">
        <v>28.49</v>
      </c>
    </row>
    <row r="1741" spans="14:21" x14ac:dyDescent="0.75">
      <c r="N1741" s="14">
        <v>39472</v>
      </c>
      <c r="O1741" s="5">
        <v>1183.4100000000001</v>
      </c>
      <c r="T1741" s="14">
        <v>39791</v>
      </c>
      <c r="U1741" s="5">
        <v>26.84</v>
      </c>
    </row>
    <row r="1742" spans="14:21" x14ac:dyDescent="0.75">
      <c r="N1742" s="14">
        <v>39471</v>
      </c>
      <c r="O1742" s="5">
        <v>1181.83</v>
      </c>
      <c r="T1742" s="14">
        <v>39790</v>
      </c>
      <c r="U1742" s="5">
        <v>29.34</v>
      </c>
    </row>
    <row r="1743" spans="14:21" x14ac:dyDescent="0.75">
      <c r="N1743" s="14">
        <v>39470</v>
      </c>
      <c r="O1743" s="5">
        <v>1176.1400000000001</v>
      </c>
      <c r="T1743" s="14">
        <v>39787</v>
      </c>
      <c r="U1743" s="5">
        <v>27.51</v>
      </c>
    </row>
    <row r="1744" spans="14:21" x14ac:dyDescent="0.75">
      <c r="N1744" s="14">
        <v>39469</v>
      </c>
      <c r="O1744" s="5">
        <v>1177.54</v>
      </c>
      <c r="T1744" s="14">
        <v>39786</v>
      </c>
      <c r="U1744" s="5">
        <v>24.71</v>
      </c>
    </row>
    <row r="1745" spans="14:21" x14ac:dyDescent="0.75">
      <c r="N1745" s="14">
        <v>39465</v>
      </c>
      <c r="O1745" s="5">
        <v>1185.3499999999999</v>
      </c>
      <c r="T1745" s="14">
        <v>39785</v>
      </c>
      <c r="U1745" s="5">
        <v>25.78</v>
      </c>
    </row>
    <row r="1746" spans="14:21" x14ac:dyDescent="0.75">
      <c r="N1746" s="14">
        <v>39464</v>
      </c>
      <c r="O1746" s="5">
        <v>1187.28</v>
      </c>
      <c r="T1746" s="14">
        <v>39784</v>
      </c>
      <c r="U1746" s="5">
        <v>24.64</v>
      </c>
    </row>
    <row r="1747" spans="14:21" x14ac:dyDescent="0.75">
      <c r="N1747" s="14">
        <v>39463</v>
      </c>
      <c r="O1747" s="5">
        <v>1190.3900000000001</v>
      </c>
      <c r="T1747" s="14">
        <v>39783</v>
      </c>
      <c r="U1747" s="5">
        <v>22</v>
      </c>
    </row>
    <row r="1748" spans="14:21" x14ac:dyDescent="0.75">
      <c r="N1748" s="14">
        <v>39462</v>
      </c>
      <c r="O1748" s="5">
        <v>1196.27</v>
      </c>
      <c r="T1748" s="14">
        <v>39780</v>
      </c>
      <c r="U1748" s="5">
        <v>26.51</v>
      </c>
    </row>
    <row r="1749" spans="14:21" x14ac:dyDescent="0.75">
      <c r="N1749" s="14">
        <v>39461</v>
      </c>
      <c r="O1749" s="5">
        <v>1202.58</v>
      </c>
      <c r="T1749" s="14">
        <v>39778</v>
      </c>
      <c r="U1749" s="5">
        <v>26.56</v>
      </c>
    </row>
    <row r="1750" spans="14:21" x14ac:dyDescent="0.75">
      <c r="N1750" s="14">
        <v>39458</v>
      </c>
      <c r="O1750" s="5">
        <v>1200.31</v>
      </c>
      <c r="T1750" s="14">
        <v>39777</v>
      </c>
      <c r="U1750" s="5">
        <v>25.34</v>
      </c>
    </row>
    <row r="1751" spans="14:21" x14ac:dyDescent="0.75">
      <c r="N1751" s="14">
        <v>39457</v>
      </c>
      <c r="O1751" s="5">
        <v>1202.1500000000001</v>
      </c>
      <c r="T1751" s="14">
        <v>39776</v>
      </c>
      <c r="U1751" s="5">
        <v>23.87</v>
      </c>
    </row>
    <row r="1752" spans="14:21" x14ac:dyDescent="0.75">
      <c r="N1752" s="14">
        <v>39456</v>
      </c>
      <c r="O1752" s="5">
        <v>1200.74</v>
      </c>
      <c r="T1752" s="14">
        <v>39773</v>
      </c>
      <c r="U1752" s="5">
        <v>19.329999999999998</v>
      </c>
    </row>
    <row r="1753" spans="14:21" x14ac:dyDescent="0.75">
      <c r="N1753" s="14">
        <v>39455</v>
      </c>
      <c r="O1753" s="5">
        <v>1203.69</v>
      </c>
      <c r="T1753" s="14">
        <v>39772</v>
      </c>
      <c r="U1753" s="5">
        <v>18.5</v>
      </c>
    </row>
    <row r="1754" spans="14:21" x14ac:dyDescent="0.75">
      <c r="N1754" s="14">
        <v>39454</v>
      </c>
      <c r="O1754" s="5">
        <v>1201.21</v>
      </c>
      <c r="T1754" s="14">
        <v>39771</v>
      </c>
      <c r="U1754" s="5">
        <v>19.97</v>
      </c>
    </row>
    <row r="1755" spans="14:21" x14ac:dyDescent="0.75">
      <c r="N1755" s="14">
        <v>39451</v>
      </c>
      <c r="O1755" s="5">
        <v>1205.75</v>
      </c>
      <c r="T1755" s="14">
        <v>39770</v>
      </c>
      <c r="U1755" s="5">
        <v>22.58</v>
      </c>
    </row>
    <row r="1756" spans="14:21" x14ac:dyDescent="0.75">
      <c r="N1756" s="14">
        <v>39450</v>
      </c>
      <c r="O1756" s="5">
        <v>1209.23</v>
      </c>
      <c r="T1756" s="14">
        <v>39769</v>
      </c>
      <c r="U1756" s="5">
        <v>23.84</v>
      </c>
    </row>
    <row r="1757" spans="14:21" x14ac:dyDescent="0.75">
      <c r="N1757" s="14">
        <v>39449</v>
      </c>
      <c r="O1757" s="5">
        <v>1209.74</v>
      </c>
      <c r="T1757" s="14">
        <v>39766</v>
      </c>
      <c r="U1757" s="5">
        <v>24.08</v>
      </c>
    </row>
    <row r="1758" spans="14:21" x14ac:dyDescent="0.75">
      <c r="N1758" s="14">
        <v>39447</v>
      </c>
      <c r="O1758" s="5">
        <v>1208.6199999999999</v>
      </c>
      <c r="T1758" s="14">
        <v>39765</v>
      </c>
      <c r="U1758" s="5">
        <v>27.62</v>
      </c>
    </row>
    <row r="1759" spans="14:21" x14ac:dyDescent="0.75">
      <c r="N1759" s="14">
        <v>39444</v>
      </c>
      <c r="O1759" s="5">
        <v>1209.8900000000001</v>
      </c>
      <c r="T1759" s="14">
        <v>39764</v>
      </c>
      <c r="U1759" s="5">
        <v>25.2</v>
      </c>
    </row>
    <row r="1760" spans="14:21" x14ac:dyDescent="0.75">
      <c r="N1760" s="14">
        <v>39443</v>
      </c>
      <c r="O1760" s="5">
        <v>1210.1199999999999</v>
      </c>
      <c r="T1760" s="14">
        <v>39763</v>
      </c>
      <c r="U1760" s="5">
        <v>26.11</v>
      </c>
    </row>
    <row r="1761" spans="14:21" x14ac:dyDescent="0.75">
      <c r="N1761" s="14">
        <v>39442</v>
      </c>
      <c r="O1761" s="5">
        <v>1210.48</v>
      </c>
      <c r="T1761" s="14">
        <v>39762</v>
      </c>
      <c r="U1761" s="5">
        <v>26.239899999999999</v>
      </c>
    </row>
    <row r="1762" spans="14:21" x14ac:dyDescent="0.75">
      <c r="N1762" s="14">
        <v>39440</v>
      </c>
      <c r="O1762" s="5">
        <v>1208.8699999999999</v>
      </c>
      <c r="T1762" s="14">
        <v>39759</v>
      </c>
      <c r="U1762" s="5">
        <v>27.86</v>
      </c>
    </row>
    <row r="1763" spans="14:21" x14ac:dyDescent="0.75">
      <c r="N1763" s="14">
        <v>39437</v>
      </c>
      <c r="O1763" s="5">
        <v>1206.28</v>
      </c>
      <c r="T1763" s="14">
        <v>39758</v>
      </c>
      <c r="U1763" s="5">
        <v>26.75</v>
      </c>
    </row>
    <row r="1764" spans="14:21" x14ac:dyDescent="0.75">
      <c r="N1764" s="14">
        <v>39436</v>
      </c>
      <c r="O1764" s="5">
        <v>1202.03</v>
      </c>
      <c r="T1764" s="14">
        <v>39757</v>
      </c>
      <c r="U1764" s="5">
        <v>27.63</v>
      </c>
    </row>
    <row r="1765" spans="14:21" x14ac:dyDescent="0.75">
      <c r="N1765" s="14">
        <v>39435</v>
      </c>
      <c r="O1765" s="5">
        <v>1202.26</v>
      </c>
      <c r="T1765" s="14">
        <v>39756</v>
      </c>
      <c r="U1765" s="5">
        <v>30.83</v>
      </c>
    </row>
    <row r="1766" spans="14:21" x14ac:dyDescent="0.75">
      <c r="N1766" s="14">
        <v>39434</v>
      </c>
      <c r="O1766" s="5">
        <v>1201.92</v>
      </c>
      <c r="T1766" s="14">
        <v>39755</v>
      </c>
      <c r="U1766" s="5">
        <v>30.08</v>
      </c>
    </row>
    <row r="1767" spans="14:21" x14ac:dyDescent="0.75">
      <c r="N1767" s="14">
        <v>39433</v>
      </c>
      <c r="O1767" s="5">
        <v>1201.17</v>
      </c>
      <c r="T1767" s="14">
        <v>39752</v>
      </c>
      <c r="U1767" s="5">
        <v>30.84</v>
      </c>
    </row>
    <row r="1768" spans="14:21" x14ac:dyDescent="0.75">
      <c r="N1768" s="14">
        <v>39430</v>
      </c>
      <c r="O1768" s="5">
        <v>1206.58</v>
      </c>
      <c r="T1768" s="14">
        <v>39751</v>
      </c>
      <c r="U1768" s="5">
        <v>28.45</v>
      </c>
    </row>
    <row r="1769" spans="14:21" x14ac:dyDescent="0.75">
      <c r="N1769" s="14">
        <v>39429</v>
      </c>
      <c r="O1769" s="5">
        <v>1208.74</v>
      </c>
      <c r="T1769" s="14">
        <v>39750</v>
      </c>
      <c r="U1769" s="5">
        <v>28.6</v>
      </c>
    </row>
    <row r="1770" spans="14:21" x14ac:dyDescent="0.75">
      <c r="N1770" s="14">
        <v>39428</v>
      </c>
      <c r="O1770" s="5">
        <v>1212.49</v>
      </c>
      <c r="T1770" s="14">
        <v>39749</v>
      </c>
      <c r="U1770" s="5">
        <v>28.4</v>
      </c>
    </row>
    <row r="1771" spans="14:21" x14ac:dyDescent="0.75">
      <c r="N1771" s="14">
        <v>39427</v>
      </c>
      <c r="O1771" s="5">
        <v>1211.81</v>
      </c>
      <c r="T1771" s="14">
        <v>39748</v>
      </c>
      <c r="U1771" s="5">
        <v>25.74</v>
      </c>
    </row>
    <row r="1772" spans="14:21" x14ac:dyDescent="0.75">
      <c r="N1772" s="14">
        <v>39426</v>
      </c>
      <c r="O1772" s="5">
        <v>1214.04</v>
      </c>
      <c r="T1772" s="14">
        <v>39745</v>
      </c>
      <c r="U1772" s="5">
        <v>27.8</v>
      </c>
    </row>
    <row r="1773" spans="14:21" x14ac:dyDescent="0.75">
      <c r="N1773" s="14">
        <v>39423</v>
      </c>
      <c r="O1773" s="5">
        <v>1216.1300000000001</v>
      </c>
      <c r="T1773" s="14">
        <v>39744</v>
      </c>
      <c r="U1773" s="5">
        <v>29.31</v>
      </c>
    </row>
    <row r="1774" spans="14:21" x14ac:dyDescent="0.75">
      <c r="N1774" s="14">
        <v>39422</v>
      </c>
      <c r="O1774" s="5">
        <v>1214.48</v>
      </c>
      <c r="T1774" s="14">
        <v>39743</v>
      </c>
      <c r="U1774" s="5">
        <v>28.66</v>
      </c>
    </row>
    <row r="1775" spans="14:21" x14ac:dyDescent="0.75">
      <c r="N1775" s="14">
        <v>39421</v>
      </c>
      <c r="O1775" s="5">
        <v>1212.6400000000001</v>
      </c>
      <c r="T1775" s="14">
        <v>39742</v>
      </c>
      <c r="U1775" s="5">
        <v>31</v>
      </c>
    </row>
    <row r="1776" spans="14:21" x14ac:dyDescent="0.75">
      <c r="N1776" s="14">
        <v>39420</v>
      </c>
      <c r="O1776" s="5">
        <v>1211.82</v>
      </c>
      <c r="T1776" s="14">
        <v>39741</v>
      </c>
      <c r="U1776" s="5">
        <v>31.76</v>
      </c>
    </row>
    <row r="1777" spans="14:21" x14ac:dyDescent="0.75">
      <c r="N1777" s="14">
        <v>39419</v>
      </c>
      <c r="O1777" s="5">
        <v>1212.28</v>
      </c>
      <c r="T1777" s="14">
        <v>39738</v>
      </c>
      <c r="U1777" s="5">
        <v>31.49</v>
      </c>
    </row>
    <row r="1778" spans="14:21" x14ac:dyDescent="0.75">
      <c r="N1778" s="14">
        <v>39416</v>
      </c>
      <c r="O1778" s="5">
        <v>1212.78</v>
      </c>
      <c r="T1778" s="14">
        <v>39737</v>
      </c>
      <c r="U1778" s="5">
        <v>30.83</v>
      </c>
    </row>
    <row r="1779" spans="14:21" x14ac:dyDescent="0.75">
      <c r="N1779" s="14">
        <v>39415</v>
      </c>
      <c r="O1779" s="5">
        <v>1210.33</v>
      </c>
      <c r="T1779" s="14">
        <v>39736</v>
      </c>
      <c r="U1779" s="5">
        <v>30.22</v>
      </c>
    </row>
    <row r="1780" spans="14:21" x14ac:dyDescent="0.75">
      <c r="N1780" s="14">
        <v>39414</v>
      </c>
      <c r="O1780" s="5">
        <v>1208.82</v>
      </c>
      <c r="T1780" s="14">
        <v>39735</v>
      </c>
      <c r="U1780" s="5">
        <v>32.81</v>
      </c>
    </row>
    <row r="1781" spans="14:21" x14ac:dyDescent="0.75">
      <c r="N1781" s="14">
        <v>39413</v>
      </c>
      <c r="O1781" s="5">
        <v>1206.3499999999999</v>
      </c>
      <c r="T1781" s="14">
        <v>39734</v>
      </c>
      <c r="U1781" s="5">
        <v>36.26</v>
      </c>
    </row>
    <row r="1782" spans="14:21" x14ac:dyDescent="0.75">
      <c r="N1782" s="14">
        <v>39412</v>
      </c>
      <c r="O1782" s="5">
        <v>1208.19</v>
      </c>
      <c r="T1782" s="14">
        <v>39731</v>
      </c>
      <c r="U1782" s="5">
        <v>32.67</v>
      </c>
    </row>
    <row r="1783" spans="14:21" x14ac:dyDescent="0.75">
      <c r="N1783" s="14">
        <v>39409</v>
      </c>
      <c r="O1783" s="5">
        <v>1209.05</v>
      </c>
      <c r="T1783" s="14">
        <v>39730</v>
      </c>
      <c r="U1783" s="5">
        <v>31.97</v>
      </c>
    </row>
    <row r="1784" spans="14:21" x14ac:dyDescent="0.75">
      <c r="N1784" s="14">
        <v>39407</v>
      </c>
      <c r="O1784" s="5">
        <v>1206.08</v>
      </c>
      <c r="T1784" s="14">
        <v>39729</v>
      </c>
      <c r="U1784" s="5">
        <v>34.94</v>
      </c>
    </row>
    <row r="1785" spans="14:21" x14ac:dyDescent="0.75">
      <c r="N1785" s="14">
        <v>39406</v>
      </c>
      <c r="O1785" s="5">
        <v>1210.26</v>
      </c>
      <c r="T1785" s="14">
        <v>39728</v>
      </c>
      <c r="U1785" s="5">
        <v>35.28</v>
      </c>
    </row>
    <row r="1786" spans="14:21" x14ac:dyDescent="0.75">
      <c r="N1786" s="14">
        <v>39405</v>
      </c>
      <c r="O1786" s="5">
        <v>1210.3699999999999</v>
      </c>
      <c r="T1786" s="14">
        <v>39727</v>
      </c>
      <c r="U1786" s="5">
        <v>37.31</v>
      </c>
    </row>
    <row r="1787" spans="14:21" x14ac:dyDescent="0.75">
      <c r="N1787" s="14">
        <v>39402</v>
      </c>
      <c r="O1787" s="5">
        <v>1215.22</v>
      </c>
      <c r="T1787" s="14">
        <v>39724</v>
      </c>
      <c r="U1787" s="5">
        <v>38.28</v>
      </c>
    </row>
    <row r="1788" spans="14:21" x14ac:dyDescent="0.75">
      <c r="N1788" s="14">
        <v>39401</v>
      </c>
      <c r="O1788" s="5">
        <v>1216.6199999999999</v>
      </c>
      <c r="T1788" s="14">
        <v>39723</v>
      </c>
      <c r="U1788" s="5">
        <v>39.75</v>
      </c>
    </row>
    <row r="1789" spans="14:21" x14ac:dyDescent="0.75">
      <c r="N1789" s="14">
        <v>39400</v>
      </c>
      <c r="O1789" s="5">
        <v>1221.51</v>
      </c>
      <c r="T1789" s="14">
        <v>39722</v>
      </c>
      <c r="U1789" s="5">
        <v>41.42</v>
      </c>
    </row>
    <row r="1790" spans="14:21" x14ac:dyDescent="0.75">
      <c r="N1790" s="14">
        <v>39399</v>
      </c>
      <c r="O1790" s="5">
        <v>1219.57</v>
      </c>
      <c r="T1790" s="14">
        <v>39721</v>
      </c>
      <c r="U1790" s="5">
        <v>41.98</v>
      </c>
    </row>
    <row r="1791" spans="14:21" x14ac:dyDescent="0.75">
      <c r="N1791" s="14">
        <v>39398</v>
      </c>
      <c r="O1791" s="5">
        <v>1217.32</v>
      </c>
      <c r="T1791" s="14">
        <v>39720</v>
      </c>
      <c r="U1791" s="5">
        <v>46.95</v>
      </c>
    </row>
    <row r="1792" spans="14:21" x14ac:dyDescent="0.75">
      <c r="N1792" s="14">
        <v>39395</v>
      </c>
      <c r="O1792" s="5">
        <v>1224.2</v>
      </c>
      <c r="T1792" s="14">
        <v>39717</v>
      </c>
      <c r="U1792" s="5">
        <v>42.98</v>
      </c>
    </row>
    <row r="1793" spans="14:21" x14ac:dyDescent="0.75">
      <c r="N1793" s="14">
        <v>39394</v>
      </c>
      <c r="O1793" s="5">
        <v>1228.93</v>
      </c>
      <c r="T1793" s="14">
        <v>39716</v>
      </c>
      <c r="U1793" s="5">
        <v>41.738199999999999</v>
      </c>
    </row>
    <row r="1794" spans="14:21" x14ac:dyDescent="0.75">
      <c r="N1794" s="14">
        <v>39393</v>
      </c>
      <c r="O1794" s="5">
        <v>1229.83</v>
      </c>
      <c r="T1794" s="14">
        <v>39715</v>
      </c>
      <c r="U1794" s="5">
        <v>41.4</v>
      </c>
    </row>
    <row r="1795" spans="14:21" x14ac:dyDescent="0.75">
      <c r="N1795" s="14">
        <v>39392</v>
      </c>
      <c r="O1795" s="5">
        <v>1232.6500000000001</v>
      </c>
      <c r="T1795" s="14">
        <v>39714</v>
      </c>
      <c r="U1795" s="5">
        <v>41.81</v>
      </c>
    </row>
    <row r="1796" spans="14:21" x14ac:dyDescent="0.75">
      <c r="N1796" s="14">
        <v>39391</v>
      </c>
      <c r="O1796" s="5">
        <v>1228.18</v>
      </c>
      <c r="T1796" s="14">
        <v>39713</v>
      </c>
      <c r="U1796" s="5">
        <v>42.72</v>
      </c>
    </row>
    <row r="1797" spans="14:21" x14ac:dyDescent="0.75">
      <c r="N1797" s="14">
        <v>39388</v>
      </c>
      <c r="O1797" s="5">
        <v>1232.56</v>
      </c>
      <c r="T1797" s="14">
        <v>39710</v>
      </c>
      <c r="U1797" s="5">
        <v>44.67</v>
      </c>
    </row>
    <row r="1798" spans="14:21" x14ac:dyDescent="0.75">
      <c r="N1798" s="14">
        <v>39387</v>
      </c>
      <c r="O1798" s="5">
        <v>1232.25</v>
      </c>
      <c r="T1798" s="14">
        <v>39709</v>
      </c>
      <c r="U1798" s="5">
        <v>42.978000000000002</v>
      </c>
    </row>
    <row r="1799" spans="14:21" x14ac:dyDescent="0.75">
      <c r="N1799" s="14">
        <v>39386</v>
      </c>
      <c r="O1799" s="5">
        <v>1235.8</v>
      </c>
      <c r="T1799" s="14">
        <v>39708</v>
      </c>
      <c r="U1799" s="5">
        <v>40.494</v>
      </c>
    </row>
    <row r="1800" spans="14:21" x14ac:dyDescent="0.75">
      <c r="N1800" s="14">
        <v>39385</v>
      </c>
      <c r="O1800" s="5">
        <v>1231.48</v>
      </c>
      <c r="T1800" s="14">
        <v>39707</v>
      </c>
      <c r="U1800" s="5">
        <v>41.33</v>
      </c>
    </row>
    <row r="1801" spans="14:21" x14ac:dyDescent="0.75">
      <c r="N1801" s="14">
        <v>39384</v>
      </c>
      <c r="O1801" s="5">
        <v>1233.06</v>
      </c>
      <c r="T1801" s="14">
        <v>39706</v>
      </c>
      <c r="U1801" s="5">
        <v>39.872999999999998</v>
      </c>
    </row>
    <row r="1802" spans="14:21" x14ac:dyDescent="0.75">
      <c r="N1802" s="14">
        <v>39381</v>
      </c>
      <c r="O1802" s="5">
        <v>1229.83</v>
      </c>
      <c r="T1802" s="14">
        <v>39703</v>
      </c>
      <c r="U1802" s="5">
        <v>42.119</v>
      </c>
    </row>
    <row r="1803" spans="14:21" x14ac:dyDescent="0.75">
      <c r="N1803" s="14">
        <v>39380</v>
      </c>
      <c r="O1803" s="5">
        <v>1225.5899999999999</v>
      </c>
      <c r="T1803" s="14">
        <v>39702</v>
      </c>
      <c r="U1803" s="5">
        <v>41.451999999999998</v>
      </c>
    </row>
    <row r="1804" spans="14:21" x14ac:dyDescent="0.75">
      <c r="N1804" s="14">
        <v>39379</v>
      </c>
      <c r="O1804" s="5">
        <v>1221.44</v>
      </c>
      <c r="T1804" s="14">
        <v>39701</v>
      </c>
      <c r="U1804" s="5">
        <v>42.1</v>
      </c>
    </row>
    <row r="1805" spans="14:21" x14ac:dyDescent="0.75">
      <c r="N1805" s="14">
        <v>39378</v>
      </c>
      <c r="O1805" s="5">
        <v>1221.0999999999999</v>
      </c>
      <c r="T1805" s="14">
        <v>39700</v>
      </c>
      <c r="U1805" s="5">
        <v>42.564</v>
      </c>
    </row>
    <row r="1806" spans="14:21" x14ac:dyDescent="0.75">
      <c r="N1806" s="14">
        <v>39377</v>
      </c>
      <c r="O1806" s="5">
        <v>1218.42</v>
      </c>
      <c r="T1806" s="14">
        <v>39699</v>
      </c>
      <c r="U1806" s="5">
        <v>43.62</v>
      </c>
    </row>
    <row r="1807" spans="14:21" x14ac:dyDescent="0.75">
      <c r="N1807" s="14">
        <v>39374</v>
      </c>
      <c r="O1807" s="5">
        <v>1222.54</v>
      </c>
      <c r="T1807" s="14">
        <v>39696</v>
      </c>
      <c r="U1807" s="5">
        <v>41.84</v>
      </c>
    </row>
    <row r="1808" spans="14:21" x14ac:dyDescent="0.75">
      <c r="N1808" s="14">
        <v>39373</v>
      </c>
      <c r="O1808" s="5">
        <v>1226.69</v>
      </c>
      <c r="T1808" s="14">
        <v>39695</v>
      </c>
      <c r="U1808" s="5">
        <v>41.84</v>
      </c>
    </row>
    <row r="1809" spans="14:21" x14ac:dyDescent="0.75">
      <c r="N1809" s="14">
        <v>39372</v>
      </c>
      <c r="O1809" s="5">
        <v>1224.73</v>
      </c>
      <c r="T1809" s="14">
        <v>39694</v>
      </c>
      <c r="U1809" s="5">
        <v>43.024000000000001</v>
      </c>
    </row>
    <row r="1810" spans="14:21" x14ac:dyDescent="0.75">
      <c r="N1810" s="14">
        <v>39371</v>
      </c>
      <c r="O1810" s="5">
        <v>1223.05</v>
      </c>
      <c r="T1810" s="14">
        <v>39693</v>
      </c>
      <c r="U1810" s="5">
        <v>41.95</v>
      </c>
    </row>
    <row r="1811" spans="14:21" x14ac:dyDescent="0.75">
      <c r="N1811" s="14">
        <v>39370</v>
      </c>
      <c r="O1811" s="5">
        <v>1224.3900000000001</v>
      </c>
      <c r="T1811" s="14">
        <v>39689</v>
      </c>
      <c r="U1811" s="5">
        <v>42.51</v>
      </c>
    </row>
    <row r="1812" spans="14:21" x14ac:dyDescent="0.75">
      <c r="N1812" s="14">
        <v>39367</v>
      </c>
      <c r="O1812" s="5">
        <v>1225.5</v>
      </c>
      <c r="T1812" s="14">
        <v>39688</v>
      </c>
      <c r="U1812" s="5">
        <v>42.62</v>
      </c>
    </row>
    <row r="1813" spans="14:21" x14ac:dyDescent="0.75">
      <c r="N1813" s="14">
        <v>39366</v>
      </c>
      <c r="O1813" s="5">
        <v>1223.97</v>
      </c>
      <c r="T1813" s="14">
        <v>39687</v>
      </c>
      <c r="U1813" s="5">
        <v>41.62</v>
      </c>
    </row>
    <row r="1814" spans="14:21" x14ac:dyDescent="0.75">
      <c r="N1814" s="14">
        <v>39365</v>
      </c>
      <c r="O1814" s="5">
        <v>1219.55</v>
      </c>
      <c r="T1814" s="14">
        <v>39686</v>
      </c>
      <c r="U1814" s="5">
        <v>41.4</v>
      </c>
    </row>
    <row r="1815" spans="14:21" x14ac:dyDescent="0.75">
      <c r="N1815" s="14">
        <v>39364</v>
      </c>
      <c r="O1815" s="5">
        <v>1216.8800000000001</v>
      </c>
      <c r="T1815" s="14">
        <v>39685</v>
      </c>
      <c r="U1815" s="5">
        <v>41.32</v>
      </c>
    </row>
    <row r="1816" spans="14:21" x14ac:dyDescent="0.75">
      <c r="N1816" s="14">
        <v>39363</v>
      </c>
      <c r="O1816" s="5">
        <v>1215.07</v>
      </c>
      <c r="T1816" s="14">
        <v>39682</v>
      </c>
      <c r="U1816" s="5">
        <v>42.28</v>
      </c>
    </row>
    <row r="1817" spans="14:21" x14ac:dyDescent="0.75">
      <c r="N1817" s="14">
        <v>39360</v>
      </c>
      <c r="O1817" s="5">
        <v>1215.3699999999999</v>
      </c>
      <c r="T1817" s="14">
        <v>39681</v>
      </c>
      <c r="U1817" s="5">
        <v>41.3</v>
      </c>
    </row>
    <row r="1818" spans="14:21" x14ac:dyDescent="0.75">
      <c r="N1818" s="14">
        <v>39359</v>
      </c>
      <c r="O1818" s="5">
        <v>1210.76</v>
      </c>
      <c r="T1818" s="14">
        <v>39680</v>
      </c>
      <c r="U1818" s="5">
        <v>41.71</v>
      </c>
    </row>
    <row r="1819" spans="14:21" x14ac:dyDescent="0.75">
      <c r="N1819" s="14">
        <v>39358</v>
      </c>
      <c r="O1819" s="5">
        <v>1211.03</v>
      </c>
      <c r="T1819" s="14">
        <v>39679</v>
      </c>
      <c r="U1819" s="5">
        <v>41.89</v>
      </c>
    </row>
    <row r="1820" spans="14:21" x14ac:dyDescent="0.75">
      <c r="N1820" s="14">
        <v>39357</v>
      </c>
      <c r="O1820" s="5">
        <v>1211.3800000000001</v>
      </c>
      <c r="T1820" s="14">
        <v>39678</v>
      </c>
      <c r="U1820" s="5">
        <v>43.030099999999997</v>
      </c>
    </row>
    <row r="1821" spans="14:21" x14ac:dyDescent="0.75">
      <c r="N1821" s="14">
        <v>39356</v>
      </c>
      <c r="O1821" s="5">
        <v>1212</v>
      </c>
      <c r="T1821" s="14">
        <v>39675</v>
      </c>
      <c r="U1821" s="5">
        <v>43.71</v>
      </c>
    </row>
    <row r="1822" spans="14:21" x14ac:dyDescent="0.75">
      <c r="N1822" s="14">
        <v>39353</v>
      </c>
      <c r="O1822" s="5">
        <v>1209.77</v>
      </c>
      <c r="T1822" s="14">
        <v>39674</v>
      </c>
      <c r="U1822" s="5">
        <v>44.06</v>
      </c>
    </row>
    <row r="1823" spans="14:21" x14ac:dyDescent="0.75">
      <c r="N1823" s="14">
        <v>39352</v>
      </c>
      <c r="O1823" s="5">
        <v>1209.24</v>
      </c>
      <c r="T1823" s="14">
        <v>39673</v>
      </c>
      <c r="U1823" s="5">
        <v>43.73</v>
      </c>
    </row>
    <row r="1824" spans="14:21" x14ac:dyDescent="0.75">
      <c r="N1824" s="14">
        <v>39351</v>
      </c>
      <c r="O1824" s="5">
        <v>1205.53</v>
      </c>
      <c r="T1824" s="14">
        <v>39672</v>
      </c>
      <c r="U1824" s="5">
        <v>44.03</v>
      </c>
    </row>
    <row r="1825" spans="14:21" x14ac:dyDescent="0.75">
      <c r="N1825" s="14">
        <v>39350</v>
      </c>
      <c r="O1825" s="5">
        <v>1203.56</v>
      </c>
      <c r="T1825" s="14">
        <v>39671</v>
      </c>
      <c r="U1825" s="5">
        <v>44.83</v>
      </c>
    </row>
    <row r="1826" spans="14:21" x14ac:dyDescent="0.75">
      <c r="N1826" s="14">
        <v>39349</v>
      </c>
      <c r="O1826" s="5">
        <v>1204.21</v>
      </c>
      <c r="T1826" s="14">
        <v>39668</v>
      </c>
      <c r="U1826" s="5">
        <v>43.96</v>
      </c>
    </row>
    <row r="1827" spans="14:21" x14ac:dyDescent="0.75">
      <c r="N1827" s="14">
        <v>39346</v>
      </c>
      <c r="O1827" s="5">
        <v>1205.76</v>
      </c>
      <c r="T1827" s="14">
        <v>39667</v>
      </c>
      <c r="U1827" s="5">
        <v>42.29</v>
      </c>
    </row>
    <row r="1828" spans="14:21" x14ac:dyDescent="0.75">
      <c r="N1828" s="14">
        <v>39345</v>
      </c>
      <c r="O1828" s="5">
        <v>1205.8900000000001</v>
      </c>
      <c r="T1828" s="14">
        <v>39666</v>
      </c>
      <c r="U1828" s="5">
        <v>43.89</v>
      </c>
    </row>
    <row r="1829" spans="14:21" x14ac:dyDescent="0.75">
      <c r="N1829" s="14">
        <v>39344</v>
      </c>
      <c r="O1829" s="5">
        <v>1205.2</v>
      </c>
      <c r="T1829" s="14">
        <v>39665</v>
      </c>
      <c r="U1829" s="5">
        <v>44.21</v>
      </c>
    </row>
    <row r="1830" spans="14:21" x14ac:dyDescent="0.75">
      <c r="N1830" s="14">
        <v>39343</v>
      </c>
      <c r="O1830" s="5">
        <v>1201.3699999999999</v>
      </c>
      <c r="T1830" s="14">
        <v>39664</v>
      </c>
      <c r="U1830" s="5">
        <v>42.25</v>
      </c>
    </row>
    <row r="1831" spans="14:21" x14ac:dyDescent="0.75">
      <c r="N1831" s="14">
        <v>39342</v>
      </c>
      <c r="O1831" s="5">
        <v>1196.6400000000001</v>
      </c>
      <c r="T1831" s="14">
        <v>39661</v>
      </c>
      <c r="U1831" s="5">
        <v>42.63</v>
      </c>
    </row>
    <row r="1832" spans="14:21" x14ac:dyDescent="0.75">
      <c r="N1832" s="14">
        <v>39339</v>
      </c>
      <c r="O1832" s="5">
        <v>1197.97</v>
      </c>
      <c r="T1832" s="14">
        <v>39660</v>
      </c>
      <c r="U1832" s="5">
        <v>42.5</v>
      </c>
    </row>
    <row r="1833" spans="14:21" x14ac:dyDescent="0.75">
      <c r="N1833" s="14">
        <v>39338</v>
      </c>
      <c r="O1833" s="5">
        <v>1198.23</v>
      </c>
      <c r="T1833" s="14">
        <v>39659</v>
      </c>
      <c r="U1833" s="5">
        <v>42.9</v>
      </c>
    </row>
    <row r="1834" spans="14:21" x14ac:dyDescent="0.75">
      <c r="N1834" s="14">
        <v>39337</v>
      </c>
      <c r="O1834" s="5">
        <v>1198.6300000000001</v>
      </c>
      <c r="T1834" s="14">
        <v>39658</v>
      </c>
      <c r="U1834" s="5">
        <v>43.11</v>
      </c>
    </row>
    <row r="1835" spans="14:21" x14ac:dyDescent="0.75">
      <c r="N1835" s="14">
        <v>39336</v>
      </c>
      <c r="O1835" s="5">
        <v>1198.27</v>
      </c>
      <c r="T1835" s="14">
        <v>39657</v>
      </c>
      <c r="U1835" s="5">
        <v>41.3</v>
      </c>
    </row>
    <row r="1836" spans="14:21" x14ac:dyDescent="0.75">
      <c r="N1836" s="14">
        <v>39335</v>
      </c>
      <c r="O1836" s="5">
        <v>1195.92</v>
      </c>
      <c r="T1836" s="14">
        <v>39654</v>
      </c>
      <c r="U1836" s="5">
        <v>41.8</v>
      </c>
    </row>
    <row r="1837" spans="14:21" x14ac:dyDescent="0.75">
      <c r="N1837" s="14">
        <v>39332</v>
      </c>
      <c r="O1837" s="5">
        <v>1197.58</v>
      </c>
      <c r="T1837" s="14">
        <v>39653</v>
      </c>
      <c r="U1837" s="5">
        <v>41.47</v>
      </c>
    </row>
    <row r="1838" spans="14:21" x14ac:dyDescent="0.75">
      <c r="N1838" s="14">
        <v>39331</v>
      </c>
      <c r="O1838" s="5">
        <v>1199.92</v>
      </c>
      <c r="T1838" s="14">
        <v>39652</v>
      </c>
      <c r="U1838" s="5">
        <v>43.9</v>
      </c>
    </row>
    <row r="1839" spans="14:21" x14ac:dyDescent="0.75">
      <c r="N1839" s="14">
        <v>39330</v>
      </c>
      <c r="O1839" s="5">
        <v>1199.3</v>
      </c>
      <c r="T1839" s="14">
        <v>39651</v>
      </c>
      <c r="U1839" s="5">
        <v>42.5</v>
      </c>
    </row>
    <row r="1840" spans="14:21" x14ac:dyDescent="0.75">
      <c r="N1840" s="14">
        <v>39329</v>
      </c>
      <c r="O1840" s="5">
        <v>1201.03</v>
      </c>
      <c r="T1840" s="14">
        <v>39650</v>
      </c>
      <c r="U1840" s="5">
        <v>40.93</v>
      </c>
    </row>
    <row r="1841" spans="14:21" x14ac:dyDescent="0.75">
      <c r="N1841" s="14">
        <v>39325</v>
      </c>
      <c r="O1841" s="5">
        <v>1198.2</v>
      </c>
      <c r="T1841" s="14">
        <v>39647</v>
      </c>
      <c r="U1841" s="5">
        <v>40.5901</v>
      </c>
    </row>
    <row r="1842" spans="14:21" x14ac:dyDescent="0.75">
      <c r="N1842" s="14">
        <v>39324</v>
      </c>
      <c r="O1842" s="5">
        <v>1194.5</v>
      </c>
      <c r="T1842" s="14">
        <v>39646</v>
      </c>
      <c r="U1842" s="5">
        <v>40.340000000000003</v>
      </c>
    </row>
    <row r="1843" spans="14:21" x14ac:dyDescent="0.75">
      <c r="N1843" s="14">
        <v>39323</v>
      </c>
      <c r="O1843" s="5">
        <v>1194.25</v>
      </c>
      <c r="T1843" s="14">
        <v>39645</v>
      </c>
      <c r="U1843" s="5">
        <v>39.89</v>
      </c>
    </row>
    <row r="1844" spans="14:21" x14ac:dyDescent="0.75">
      <c r="N1844" s="14">
        <v>39322</v>
      </c>
      <c r="O1844" s="5">
        <v>1190.53</v>
      </c>
      <c r="T1844" s="14">
        <v>39644</v>
      </c>
      <c r="U1844" s="5">
        <v>37.82</v>
      </c>
    </row>
    <row r="1845" spans="14:21" x14ac:dyDescent="0.75">
      <c r="N1845" s="14">
        <v>39321</v>
      </c>
      <c r="O1845" s="5">
        <v>1195.19</v>
      </c>
      <c r="T1845" s="14">
        <v>39643</v>
      </c>
      <c r="U1845" s="5">
        <v>38.042000000000002</v>
      </c>
    </row>
    <row r="1846" spans="14:21" x14ac:dyDescent="0.75">
      <c r="N1846" s="14">
        <v>39318</v>
      </c>
      <c r="O1846" s="5">
        <v>1194.53</v>
      </c>
      <c r="T1846" s="14">
        <v>39640</v>
      </c>
      <c r="U1846" s="5">
        <v>38.409999999999997</v>
      </c>
    </row>
    <row r="1847" spans="14:21" x14ac:dyDescent="0.75">
      <c r="N1847" s="14">
        <v>39317</v>
      </c>
      <c r="O1847" s="5">
        <v>1189.99</v>
      </c>
      <c r="T1847" s="14">
        <v>39639</v>
      </c>
      <c r="U1847" s="5">
        <v>37.340000000000003</v>
      </c>
    </row>
    <row r="1848" spans="14:21" x14ac:dyDescent="0.75">
      <c r="N1848" s="14">
        <v>39316</v>
      </c>
      <c r="O1848" s="5">
        <v>1185.98</v>
      </c>
      <c r="T1848" s="14">
        <v>39638</v>
      </c>
      <c r="U1848" s="5">
        <v>37.32</v>
      </c>
    </row>
    <row r="1849" spans="14:21" x14ac:dyDescent="0.75">
      <c r="N1849" s="14">
        <v>39315</v>
      </c>
      <c r="O1849" s="5">
        <v>1178.7</v>
      </c>
      <c r="T1849" s="14">
        <v>39637</v>
      </c>
      <c r="U1849" s="5">
        <v>39.64</v>
      </c>
    </row>
    <row r="1850" spans="14:21" x14ac:dyDescent="0.75">
      <c r="N1850" s="14">
        <v>39314</v>
      </c>
      <c r="O1850" s="5">
        <v>1174.31</v>
      </c>
      <c r="T1850" s="14">
        <v>39636</v>
      </c>
      <c r="U1850" s="5">
        <v>37.78</v>
      </c>
    </row>
    <row r="1851" spans="14:21" x14ac:dyDescent="0.75">
      <c r="N1851" s="14">
        <v>39311</v>
      </c>
      <c r="O1851" s="5">
        <v>1168.75</v>
      </c>
      <c r="T1851" s="14">
        <v>39632</v>
      </c>
      <c r="U1851" s="5">
        <v>38</v>
      </c>
    </row>
    <row r="1852" spans="14:21" x14ac:dyDescent="0.75">
      <c r="N1852" s="14">
        <v>39310</v>
      </c>
      <c r="O1852" s="5">
        <v>1164.54</v>
      </c>
      <c r="T1852" s="14">
        <v>39631</v>
      </c>
      <c r="U1852" s="5">
        <v>38.212000000000003</v>
      </c>
    </row>
    <row r="1853" spans="14:21" x14ac:dyDescent="0.75">
      <c r="N1853" s="14">
        <v>39309</v>
      </c>
      <c r="O1853" s="5">
        <v>1178.47</v>
      </c>
      <c r="T1853" s="14">
        <v>39630</v>
      </c>
      <c r="U1853" s="5">
        <v>38.33</v>
      </c>
    </row>
    <row r="1854" spans="14:21" x14ac:dyDescent="0.75">
      <c r="N1854" s="14">
        <v>39308</v>
      </c>
      <c r="O1854" s="5">
        <v>1185.1400000000001</v>
      </c>
      <c r="T1854" s="14">
        <v>39629</v>
      </c>
      <c r="U1854" s="5">
        <v>38.450000000000003</v>
      </c>
    </row>
    <row r="1855" spans="14:21" x14ac:dyDescent="0.75">
      <c r="N1855" s="14">
        <v>39307</v>
      </c>
      <c r="O1855" s="5">
        <v>1191.5999999999999</v>
      </c>
      <c r="T1855" s="14">
        <v>39626</v>
      </c>
      <c r="U1855" s="5">
        <v>38.31</v>
      </c>
    </row>
    <row r="1856" spans="14:21" x14ac:dyDescent="0.75">
      <c r="N1856" s="14">
        <v>39304</v>
      </c>
      <c r="O1856" s="5">
        <v>1187.03</v>
      </c>
      <c r="T1856" s="14">
        <v>39625</v>
      </c>
      <c r="U1856" s="5">
        <v>38.9</v>
      </c>
    </row>
    <row r="1857" spans="14:21" x14ac:dyDescent="0.75">
      <c r="N1857" s="14">
        <v>39303</v>
      </c>
      <c r="O1857" s="5">
        <v>1191.0999999999999</v>
      </c>
      <c r="T1857" s="14">
        <v>39624</v>
      </c>
      <c r="U1857" s="5">
        <v>40.064</v>
      </c>
    </row>
    <row r="1858" spans="14:21" x14ac:dyDescent="0.75">
      <c r="N1858" s="14">
        <v>39302</v>
      </c>
      <c r="O1858" s="5">
        <v>1206.92</v>
      </c>
      <c r="T1858" s="14">
        <v>39623</v>
      </c>
      <c r="U1858" s="5">
        <v>39.630000000000003</v>
      </c>
    </row>
    <row r="1859" spans="14:21" x14ac:dyDescent="0.75">
      <c r="N1859" s="14">
        <v>39301</v>
      </c>
      <c r="O1859" s="5">
        <v>1203.1500000000001</v>
      </c>
      <c r="T1859" s="14">
        <v>39622</v>
      </c>
      <c r="U1859" s="5">
        <v>40.090000000000003</v>
      </c>
    </row>
    <row r="1860" spans="14:21" x14ac:dyDescent="0.75">
      <c r="N1860" s="14">
        <v>39300</v>
      </c>
      <c r="O1860" s="5">
        <v>1205.77</v>
      </c>
      <c r="T1860" s="14">
        <v>39619</v>
      </c>
      <c r="U1860" s="5">
        <v>41</v>
      </c>
    </row>
    <row r="1861" spans="14:21" x14ac:dyDescent="0.75">
      <c r="N1861" s="14">
        <v>39297</v>
      </c>
      <c r="O1861" s="5">
        <v>1212.1099999999999</v>
      </c>
      <c r="T1861" s="14">
        <v>39618</v>
      </c>
      <c r="U1861" s="5">
        <v>42.04</v>
      </c>
    </row>
    <row r="1862" spans="14:21" x14ac:dyDescent="0.75">
      <c r="N1862" s="14">
        <v>39296</v>
      </c>
      <c r="O1862" s="5">
        <v>1218.83</v>
      </c>
      <c r="T1862" s="14">
        <v>39617</v>
      </c>
      <c r="U1862" s="5">
        <v>41.28</v>
      </c>
    </row>
    <row r="1863" spans="14:21" x14ac:dyDescent="0.75">
      <c r="N1863" s="14">
        <v>39295</v>
      </c>
      <c r="O1863" s="5">
        <v>1217.26</v>
      </c>
      <c r="T1863" s="14">
        <v>39616</v>
      </c>
      <c r="U1863" s="5">
        <v>42.870100000000001</v>
      </c>
    </row>
    <row r="1864" spans="14:21" x14ac:dyDescent="0.75">
      <c r="N1864" s="14">
        <v>39294</v>
      </c>
      <c r="O1864" s="5">
        <v>1227.18</v>
      </c>
      <c r="T1864" s="14">
        <v>39615</v>
      </c>
      <c r="U1864" s="5">
        <v>43.42</v>
      </c>
    </row>
    <row r="1865" spans="14:21" x14ac:dyDescent="0.75">
      <c r="N1865" s="14">
        <v>39293</v>
      </c>
      <c r="O1865" s="5">
        <v>1222.25</v>
      </c>
      <c r="T1865" s="14">
        <v>39612</v>
      </c>
      <c r="U1865" s="5">
        <v>42.52</v>
      </c>
    </row>
    <row r="1866" spans="14:21" x14ac:dyDescent="0.75">
      <c r="N1866" s="14">
        <v>39290</v>
      </c>
      <c r="O1866" s="5">
        <v>1221.4100000000001</v>
      </c>
      <c r="T1866" s="14">
        <v>39611</v>
      </c>
      <c r="U1866" s="5">
        <v>41.7</v>
      </c>
    </row>
    <row r="1867" spans="14:21" x14ac:dyDescent="0.75">
      <c r="N1867" s="14">
        <v>39289</v>
      </c>
      <c r="O1867" s="5">
        <v>1228.57</v>
      </c>
      <c r="T1867" s="14">
        <v>39610</v>
      </c>
      <c r="U1867" s="5">
        <v>42.26</v>
      </c>
    </row>
    <row r="1868" spans="14:21" x14ac:dyDescent="0.75">
      <c r="N1868" s="14">
        <v>39288</v>
      </c>
      <c r="O1868" s="5">
        <v>1241.44</v>
      </c>
      <c r="T1868" s="14">
        <v>39609</v>
      </c>
      <c r="U1868" s="5">
        <v>42.240001999999997</v>
      </c>
    </row>
    <row r="1869" spans="14:21" x14ac:dyDescent="0.75">
      <c r="N1869" s="14">
        <v>39287</v>
      </c>
      <c r="O1869" s="5">
        <v>1246.53</v>
      </c>
      <c r="T1869" s="14">
        <v>39608</v>
      </c>
      <c r="U1869" s="5">
        <v>41.94</v>
      </c>
    </row>
    <row r="1870" spans="14:21" x14ac:dyDescent="0.75">
      <c r="N1870" s="14">
        <v>39286</v>
      </c>
      <c r="O1870" s="5">
        <v>1252.8399999999999</v>
      </c>
      <c r="T1870" s="14">
        <v>39605</v>
      </c>
      <c r="U1870" s="5">
        <v>43.06</v>
      </c>
    </row>
    <row r="1871" spans="14:21" x14ac:dyDescent="0.75">
      <c r="N1871" s="14">
        <v>39283</v>
      </c>
      <c r="O1871" s="5">
        <v>1253.55</v>
      </c>
      <c r="T1871" s="14">
        <v>39604</v>
      </c>
      <c r="U1871" s="5">
        <v>44.38</v>
      </c>
    </row>
    <row r="1872" spans="14:21" x14ac:dyDescent="0.75">
      <c r="N1872" s="14">
        <v>39282</v>
      </c>
      <c r="O1872" s="5">
        <v>1256.81</v>
      </c>
      <c r="T1872" s="14">
        <v>39603</v>
      </c>
      <c r="U1872" s="5">
        <v>43.57</v>
      </c>
    </row>
    <row r="1873" spans="14:21" x14ac:dyDescent="0.75">
      <c r="N1873" s="14">
        <v>39281</v>
      </c>
      <c r="O1873" s="5">
        <v>1254.76</v>
      </c>
      <c r="T1873" s="14">
        <v>39602</v>
      </c>
      <c r="U1873" s="5">
        <v>43.2</v>
      </c>
    </row>
    <row r="1874" spans="14:21" x14ac:dyDescent="0.75">
      <c r="N1874" s="14">
        <v>39280</v>
      </c>
      <c r="O1874" s="5">
        <v>1256.7</v>
      </c>
      <c r="T1874" s="14">
        <v>39601</v>
      </c>
      <c r="U1874" s="5">
        <v>42.84</v>
      </c>
    </row>
    <row r="1875" spans="14:21" x14ac:dyDescent="0.75">
      <c r="N1875" s="14">
        <v>39279</v>
      </c>
      <c r="O1875" s="5">
        <v>1256.4000000000001</v>
      </c>
      <c r="T1875" s="14">
        <v>39598</v>
      </c>
      <c r="U1875" s="5">
        <v>43.33</v>
      </c>
    </row>
    <row r="1876" spans="14:21" x14ac:dyDescent="0.75">
      <c r="N1876" s="14">
        <v>39276</v>
      </c>
      <c r="O1876" s="5">
        <v>1258.04</v>
      </c>
      <c r="T1876" s="14">
        <v>39597</v>
      </c>
      <c r="U1876" s="5">
        <v>43.57</v>
      </c>
    </row>
    <row r="1877" spans="14:21" x14ac:dyDescent="0.75">
      <c r="N1877" s="14">
        <v>39275</v>
      </c>
      <c r="O1877" s="5">
        <v>1256.51</v>
      </c>
      <c r="T1877" s="14">
        <v>39596</v>
      </c>
      <c r="U1877" s="5">
        <v>43</v>
      </c>
    </row>
    <row r="1878" spans="14:21" x14ac:dyDescent="0.75">
      <c r="N1878" s="14">
        <v>39274</v>
      </c>
      <c r="O1878" s="5">
        <v>1248.8900000000001</v>
      </c>
      <c r="T1878" s="14">
        <v>39595</v>
      </c>
      <c r="U1878" s="5">
        <v>42.98</v>
      </c>
    </row>
    <row r="1879" spans="14:21" x14ac:dyDescent="0.75">
      <c r="N1879" s="14">
        <v>39273</v>
      </c>
      <c r="O1879" s="5">
        <v>1250.1099999999999</v>
      </c>
      <c r="T1879" s="14">
        <v>39591</v>
      </c>
      <c r="U1879" s="5">
        <v>42.61</v>
      </c>
    </row>
    <row r="1880" spans="14:21" x14ac:dyDescent="0.75">
      <c r="N1880" s="14">
        <v>39272</v>
      </c>
      <c r="O1880" s="5">
        <v>1256.81</v>
      </c>
      <c r="T1880" s="14">
        <v>39590</v>
      </c>
      <c r="U1880" s="5">
        <v>42.77</v>
      </c>
    </row>
    <row r="1881" spans="14:21" x14ac:dyDescent="0.75">
      <c r="N1881" s="14">
        <v>39269</v>
      </c>
      <c r="O1881" s="5">
        <v>1254.6300000000001</v>
      </c>
      <c r="T1881" s="14">
        <v>39589</v>
      </c>
      <c r="U1881" s="5">
        <v>42.96</v>
      </c>
    </row>
    <row r="1882" spans="14:21" x14ac:dyDescent="0.75">
      <c r="N1882" s="14">
        <v>39268</v>
      </c>
      <c r="O1882" s="5">
        <v>1250.6099999999999</v>
      </c>
      <c r="T1882" s="14">
        <v>39588</v>
      </c>
      <c r="U1882" s="5">
        <v>44.06</v>
      </c>
    </row>
    <row r="1883" spans="14:21" x14ac:dyDescent="0.75">
      <c r="N1883" s="14">
        <v>39266</v>
      </c>
      <c r="O1883" s="5">
        <v>1248.71</v>
      </c>
      <c r="T1883" s="14">
        <v>39587</v>
      </c>
      <c r="U1883" s="5">
        <v>44.4</v>
      </c>
    </row>
    <row r="1884" spans="14:21" x14ac:dyDescent="0.75">
      <c r="N1884" s="14">
        <v>39265</v>
      </c>
      <c r="O1884" s="5">
        <v>1245.92</v>
      </c>
      <c r="T1884" s="14">
        <v>39584</v>
      </c>
      <c r="U1884" s="5">
        <v>44.48</v>
      </c>
    </row>
    <row r="1885" spans="14:21" x14ac:dyDescent="0.75">
      <c r="N1885" s="14">
        <v>39262</v>
      </c>
      <c r="O1885" s="5">
        <v>1241.52</v>
      </c>
      <c r="T1885" s="14">
        <v>39583</v>
      </c>
      <c r="U1885" s="5">
        <v>44.48</v>
      </c>
    </row>
    <row r="1886" spans="14:21" x14ac:dyDescent="0.75">
      <c r="N1886" s="14">
        <v>39261</v>
      </c>
      <c r="O1886" s="5">
        <v>1239.46</v>
      </c>
      <c r="T1886" s="14">
        <v>39582</v>
      </c>
      <c r="U1886" s="5">
        <v>44.21</v>
      </c>
    </row>
    <row r="1887" spans="14:21" x14ac:dyDescent="0.75">
      <c r="N1887" s="14">
        <v>39260</v>
      </c>
      <c r="O1887" s="5">
        <v>1235.8900000000001</v>
      </c>
      <c r="T1887" s="14">
        <v>39580</v>
      </c>
      <c r="U1887" s="5">
        <v>43.61</v>
      </c>
    </row>
    <row r="1888" spans="14:21" x14ac:dyDescent="0.75">
      <c r="N1888" s="14">
        <v>39259</v>
      </c>
      <c r="O1888" s="5">
        <v>1237.5999999999999</v>
      </c>
      <c r="T1888" s="14">
        <v>39577</v>
      </c>
      <c r="U1888" s="5">
        <v>42.592799999999997</v>
      </c>
    </row>
    <row r="1889" spans="14:21" x14ac:dyDescent="0.75">
      <c r="N1889" s="14">
        <v>39258</v>
      </c>
      <c r="O1889" s="5">
        <v>1239.32</v>
      </c>
      <c r="T1889" s="14">
        <v>39576</v>
      </c>
      <c r="U1889" s="5">
        <v>42.75</v>
      </c>
    </row>
    <row r="1890" spans="14:21" x14ac:dyDescent="0.75">
      <c r="N1890" s="14">
        <v>39255</v>
      </c>
      <c r="O1890" s="5">
        <v>1242.27</v>
      </c>
      <c r="T1890" s="14">
        <v>39575</v>
      </c>
      <c r="U1890" s="5">
        <v>42.88</v>
      </c>
    </row>
    <row r="1891" spans="14:21" x14ac:dyDescent="0.75">
      <c r="N1891" s="14">
        <v>39254</v>
      </c>
      <c r="O1891" s="5">
        <v>1244.27</v>
      </c>
      <c r="T1891" s="14">
        <v>39574</v>
      </c>
      <c r="U1891" s="5">
        <v>43.84</v>
      </c>
    </row>
    <row r="1892" spans="14:21" x14ac:dyDescent="0.75">
      <c r="N1892" s="14">
        <v>39253</v>
      </c>
      <c r="O1892" s="5">
        <v>1243.47</v>
      </c>
      <c r="T1892" s="14">
        <v>39573</v>
      </c>
      <c r="U1892" s="5">
        <v>44.031999999999996</v>
      </c>
    </row>
    <row r="1893" spans="14:21" x14ac:dyDescent="0.75">
      <c r="N1893" s="14">
        <v>39252</v>
      </c>
      <c r="O1893" s="5">
        <v>1244.69</v>
      </c>
      <c r="T1893" s="14">
        <v>39570</v>
      </c>
      <c r="U1893" s="5">
        <v>44.603999999999999</v>
      </c>
    </row>
    <row r="1894" spans="14:21" x14ac:dyDescent="0.75">
      <c r="N1894" s="14">
        <v>39251</v>
      </c>
      <c r="O1894" s="5">
        <v>1245.03</v>
      </c>
      <c r="T1894" s="14">
        <v>39569</v>
      </c>
      <c r="U1894" s="5">
        <v>44.03</v>
      </c>
    </row>
    <row r="1895" spans="14:21" x14ac:dyDescent="0.75">
      <c r="N1895" s="14">
        <v>39248</v>
      </c>
      <c r="O1895" s="5">
        <v>1244.07</v>
      </c>
      <c r="T1895" s="14">
        <v>39568</v>
      </c>
      <c r="U1895" s="5">
        <v>43.66</v>
      </c>
    </row>
    <row r="1896" spans="14:21" x14ac:dyDescent="0.75">
      <c r="N1896" s="14">
        <v>39247</v>
      </c>
      <c r="O1896" s="5">
        <v>1240.56</v>
      </c>
      <c r="T1896" s="14">
        <v>39567</v>
      </c>
      <c r="U1896" s="5">
        <v>43.77</v>
      </c>
    </row>
    <row r="1897" spans="14:21" x14ac:dyDescent="0.75">
      <c r="N1897" s="14">
        <v>39246</v>
      </c>
      <c r="O1897" s="5">
        <v>1237.99</v>
      </c>
      <c r="T1897" s="14">
        <v>39566</v>
      </c>
      <c r="U1897" s="5">
        <v>44.46</v>
      </c>
    </row>
    <row r="1898" spans="14:21" x14ac:dyDescent="0.75">
      <c r="N1898" s="14">
        <v>39245</v>
      </c>
      <c r="O1898" s="5">
        <v>1235.95</v>
      </c>
      <c r="T1898" s="14">
        <v>39563</v>
      </c>
      <c r="U1898" s="5">
        <v>44.64</v>
      </c>
    </row>
    <row r="1899" spans="14:21" x14ac:dyDescent="0.75">
      <c r="N1899" s="14">
        <v>39244</v>
      </c>
      <c r="O1899" s="5">
        <v>1238.1500000000001</v>
      </c>
      <c r="T1899" s="14">
        <v>39562</v>
      </c>
      <c r="U1899" s="5">
        <v>44.059899999999999</v>
      </c>
    </row>
    <row r="1900" spans="14:21" x14ac:dyDescent="0.75">
      <c r="N1900" s="14">
        <v>39241</v>
      </c>
      <c r="O1900" s="5">
        <v>1237.22</v>
      </c>
      <c r="T1900" s="14">
        <v>39561</v>
      </c>
      <c r="U1900" s="5">
        <v>43.600999999999999</v>
      </c>
    </row>
    <row r="1901" spans="14:21" x14ac:dyDescent="0.75">
      <c r="N1901" s="14">
        <v>39240</v>
      </c>
      <c r="O1901" s="5">
        <v>1237.1199999999999</v>
      </c>
      <c r="T1901" s="14">
        <v>39560</v>
      </c>
      <c r="U1901" s="5">
        <v>42.743000000000002</v>
      </c>
    </row>
    <row r="1902" spans="14:21" x14ac:dyDescent="0.75">
      <c r="N1902" s="14">
        <v>39239</v>
      </c>
      <c r="O1902" s="5">
        <v>1240.44</v>
      </c>
      <c r="T1902" s="14">
        <v>39559</v>
      </c>
      <c r="U1902" s="5">
        <v>43.32</v>
      </c>
    </row>
    <row r="1903" spans="14:21" x14ac:dyDescent="0.75">
      <c r="N1903" s="14">
        <v>39238</v>
      </c>
      <c r="O1903" s="5">
        <v>1243.7</v>
      </c>
      <c r="T1903" s="14">
        <v>39556</v>
      </c>
      <c r="U1903" s="5">
        <v>43.76</v>
      </c>
    </row>
    <row r="1904" spans="14:21" x14ac:dyDescent="0.75">
      <c r="N1904" s="14">
        <v>39237</v>
      </c>
      <c r="O1904" s="5">
        <v>1244.42</v>
      </c>
      <c r="T1904" s="14">
        <v>39555</v>
      </c>
      <c r="U1904" s="5">
        <v>43.76</v>
      </c>
    </row>
    <row r="1905" spans="14:21" x14ac:dyDescent="0.75">
      <c r="N1905" s="14">
        <v>39234</v>
      </c>
      <c r="O1905" s="5">
        <v>1244.04</v>
      </c>
      <c r="T1905" s="14">
        <v>39554</v>
      </c>
      <c r="U1905" s="5">
        <v>42.85</v>
      </c>
    </row>
    <row r="1906" spans="14:21" x14ac:dyDescent="0.75">
      <c r="N1906" s="14">
        <v>39233</v>
      </c>
      <c r="O1906" s="5">
        <v>1240.6199999999999</v>
      </c>
      <c r="T1906" s="14">
        <v>39553</v>
      </c>
      <c r="U1906" s="5">
        <v>41.65</v>
      </c>
    </row>
    <row r="1907" spans="14:21" x14ac:dyDescent="0.75">
      <c r="N1907" s="14">
        <v>39232</v>
      </c>
      <c r="O1907" s="5">
        <v>1236.17</v>
      </c>
      <c r="T1907" s="14">
        <v>39552</v>
      </c>
      <c r="U1907" s="5">
        <v>41.76</v>
      </c>
    </row>
    <row r="1908" spans="14:21" x14ac:dyDescent="0.75">
      <c r="N1908" s="14">
        <v>39231</v>
      </c>
      <c r="O1908" s="5">
        <v>1234.8900000000001</v>
      </c>
      <c r="T1908" s="14">
        <v>39549</v>
      </c>
      <c r="U1908" s="5">
        <v>41.98</v>
      </c>
    </row>
    <row r="1909" spans="14:21" x14ac:dyDescent="0.75">
      <c r="N1909" s="14">
        <v>39227</v>
      </c>
      <c r="O1909" s="5">
        <v>1233.23</v>
      </c>
      <c r="T1909" s="14">
        <v>39548</v>
      </c>
      <c r="U1909" s="5">
        <v>42.33</v>
      </c>
    </row>
    <row r="1910" spans="14:21" x14ac:dyDescent="0.75">
      <c r="N1910" s="14">
        <v>39226</v>
      </c>
      <c r="O1910" s="5">
        <v>1231.8599999999999</v>
      </c>
      <c r="T1910" s="14">
        <v>39547</v>
      </c>
      <c r="U1910" s="5">
        <v>42.54</v>
      </c>
    </row>
    <row r="1911" spans="14:21" x14ac:dyDescent="0.75">
      <c r="N1911" s="14">
        <v>39225</v>
      </c>
      <c r="O1911" s="5">
        <v>1236.6199999999999</v>
      </c>
      <c r="T1911" s="14">
        <v>39546</v>
      </c>
      <c r="U1911" s="5">
        <v>43.6</v>
      </c>
    </row>
    <row r="1912" spans="14:21" x14ac:dyDescent="0.75">
      <c r="N1912" s="14">
        <v>39224</v>
      </c>
      <c r="O1912" s="5">
        <v>1234.53</v>
      </c>
      <c r="T1912" s="14">
        <v>39545</v>
      </c>
      <c r="U1912" s="5">
        <v>44.18</v>
      </c>
    </row>
    <row r="1913" spans="14:21" x14ac:dyDescent="0.75">
      <c r="N1913" s="14">
        <v>39223</v>
      </c>
      <c r="O1913" s="5">
        <v>1233.73</v>
      </c>
      <c r="T1913" s="14">
        <v>39542</v>
      </c>
      <c r="U1913" s="5">
        <v>44.38</v>
      </c>
    </row>
    <row r="1914" spans="14:21" x14ac:dyDescent="0.75">
      <c r="N1914" s="14">
        <v>39220</v>
      </c>
      <c r="O1914" s="5">
        <v>1231.1300000000001</v>
      </c>
      <c r="T1914" s="14">
        <v>39541</v>
      </c>
      <c r="U1914" s="5">
        <v>44.78</v>
      </c>
    </row>
    <row r="1915" spans="14:21" x14ac:dyDescent="0.75">
      <c r="N1915" s="14">
        <v>39219</v>
      </c>
      <c r="O1915" s="5">
        <v>1229.99</v>
      </c>
      <c r="T1915" s="14">
        <v>39540</v>
      </c>
      <c r="U1915" s="5">
        <v>43.96</v>
      </c>
    </row>
    <row r="1916" spans="14:21" x14ac:dyDescent="0.75">
      <c r="N1916" s="14">
        <v>39218</v>
      </c>
      <c r="O1916" s="5">
        <v>1228.73</v>
      </c>
      <c r="T1916" s="14">
        <v>39539</v>
      </c>
      <c r="U1916" s="5">
        <v>43.82</v>
      </c>
    </row>
    <row r="1917" spans="14:21" x14ac:dyDescent="0.75">
      <c r="N1917" s="14">
        <v>39217</v>
      </c>
      <c r="O1917" s="5">
        <v>1228.32</v>
      </c>
      <c r="T1917" s="14">
        <v>39538</v>
      </c>
      <c r="U1917" s="5">
        <v>42.28</v>
      </c>
    </row>
    <row r="1918" spans="14:21" x14ac:dyDescent="0.75">
      <c r="N1918" s="14">
        <v>39216</v>
      </c>
      <c r="O1918" s="5">
        <v>1227.6500000000001</v>
      </c>
      <c r="T1918" s="14">
        <v>39535</v>
      </c>
      <c r="U1918" s="5">
        <v>41.61</v>
      </c>
    </row>
    <row r="1919" spans="14:21" x14ac:dyDescent="0.75">
      <c r="N1919" s="14">
        <v>39213</v>
      </c>
      <c r="O1919" s="5">
        <v>1226.6099999999999</v>
      </c>
      <c r="T1919" s="14">
        <v>39534</v>
      </c>
      <c r="U1919" s="5">
        <v>43</v>
      </c>
    </row>
    <row r="1920" spans="14:21" x14ac:dyDescent="0.75">
      <c r="N1920" s="14">
        <v>39212</v>
      </c>
      <c r="O1920" s="5">
        <v>1224.74</v>
      </c>
      <c r="T1920" s="14">
        <v>39533</v>
      </c>
      <c r="U1920" s="5">
        <v>43.22</v>
      </c>
    </row>
    <row r="1921" spans="14:21" x14ac:dyDescent="0.75">
      <c r="N1921" s="14">
        <v>39211</v>
      </c>
      <c r="O1921" s="5">
        <v>1227.53</v>
      </c>
      <c r="T1921" s="14">
        <v>39532</v>
      </c>
      <c r="U1921" s="5">
        <v>44.33</v>
      </c>
    </row>
    <row r="1922" spans="14:21" x14ac:dyDescent="0.75">
      <c r="N1922" s="14">
        <v>39210</v>
      </c>
      <c r="O1922" s="5">
        <v>1225.82</v>
      </c>
      <c r="T1922" s="14">
        <v>39531</v>
      </c>
      <c r="U1922" s="5">
        <v>44.85</v>
      </c>
    </row>
    <row r="1923" spans="14:21" x14ac:dyDescent="0.75">
      <c r="N1923" s="14">
        <v>39209</v>
      </c>
      <c r="O1923" s="5">
        <v>1227.76</v>
      </c>
      <c r="T1923" s="14">
        <v>39527</v>
      </c>
      <c r="U1923" s="5">
        <v>44.04</v>
      </c>
    </row>
    <row r="1924" spans="14:21" x14ac:dyDescent="0.75">
      <c r="N1924" s="14">
        <v>39206</v>
      </c>
      <c r="O1924" s="5">
        <v>1226.8900000000001</v>
      </c>
      <c r="T1924" s="14">
        <v>39526</v>
      </c>
      <c r="U1924" s="5">
        <v>43.164000000000001</v>
      </c>
    </row>
    <row r="1925" spans="14:21" x14ac:dyDescent="0.75">
      <c r="N1925" s="14">
        <v>39205</v>
      </c>
      <c r="O1925" s="5">
        <v>1225.46</v>
      </c>
      <c r="T1925" s="14">
        <v>39525</v>
      </c>
      <c r="U1925" s="5">
        <v>42.32</v>
      </c>
    </row>
    <row r="1926" spans="14:21" x14ac:dyDescent="0.75">
      <c r="N1926" s="14">
        <v>39204</v>
      </c>
      <c r="O1926" s="5">
        <v>1224.06</v>
      </c>
      <c r="T1926" s="14">
        <v>39524</v>
      </c>
      <c r="U1926" s="5">
        <v>41.11</v>
      </c>
    </row>
    <row r="1927" spans="14:21" x14ac:dyDescent="0.75">
      <c r="N1927" s="14">
        <v>39203</v>
      </c>
      <c r="O1927" s="5">
        <v>1221.32</v>
      </c>
      <c r="T1927" s="14">
        <v>39521</v>
      </c>
      <c r="U1927" s="5">
        <v>41.210099999999997</v>
      </c>
    </row>
    <row r="1928" spans="14:21" x14ac:dyDescent="0.75">
      <c r="N1928" s="14">
        <v>39202</v>
      </c>
      <c r="O1928" s="5">
        <v>1220.48</v>
      </c>
      <c r="T1928" s="14">
        <v>39520</v>
      </c>
      <c r="U1928" s="5">
        <v>41.47</v>
      </c>
    </row>
    <row r="1929" spans="14:21" x14ac:dyDescent="0.75">
      <c r="N1929" s="14">
        <v>39199</v>
      </c>
      <c r="O1929" s="5">
        <v>1221.99</v>
      </c>
      <c r="T1929" s="14">
        <v>39519</v>
      </c>
      <c r="U1929" s="5">
        <v>41.83</v>
      </c>
    </row>
    <row r="1930" spans="14:21" x14ac:dyDescent="0.75">
      <c r="N1930" s="14">
        <v>39198</v>
      </c>
      <c r="O1930" s="5">
        <v>1221.97</v>
      </c>
      <c r="T1930" s="14">
        <v>39518</v>
      </c>
      <c r="U1930" s="5">
        <v>41.4</v>
      </c>
    </row>
    <row r="1931" spans="14:21" x14ac:dyDescent="0.75">
      <c r="N1931" s="14">
        <v>39197</v>
      </c>
      <c r="O1931" s="5">
        <v>1221.43</v>
      </c>
      <c r="T1931" s="14">
        <v>39517</v>
      </c>
      <c r="U1931" s="5">
        <v>38.880000000000003</v>
      </c>
    </row>
    <row r="1932" spans="14:21" x14ac:dyDescent="0.75">
      <c r="N1932" s="14">
        <v>39196</v>
      </c>
      <c r="O1932" s="5">
        <v>1218.6300000000001</v>
      </c>
      <c r="T1932" s="14">
        <v>39514</v>
      </c>
      <c r="U1932" s="5">
        <v>39.61</v>
      </c>
    </row>
    <row r="1933" spans="14:21" x14ac:dyDescent="0.75">
      <c r="N1933" s="14">
        <v>39195</v>
      </c>
      <c r="O1933" s="5">
        <v>1219.03</v>
      </c>
      <c r="T1933" s="14">
        <v>39513</v>
      </c>
      <c r="U1933" s="5">
        <v>39.130000000000003</v>
      </c>
    </row>
    <row r="1934" spans="14:21" x14ac:dyDescent="0.75">
      <c r="N1934" s="14">
        <v>39192</v>
      </c>
      <c r="O1934" s="5">
        <v>1218.54</v>
      </c>
      <c r="T1934" s="14">
        <v>39512</v>
      </c>
      <c r="U1934" s="5">
        <v>40.71</v>
      </c>
    </row>
    <row r="1935" spans="14:21" x14ac:dyDescent="0.75">
      <c r="N1935" s="14">
        <v>39191</v>
      </c>
      <c r="O1935" s="5">
        <v>1214.99</v>
      </c>
      <c r="T1935" s="14">
        <v>39511</v>
      </c>
      <c r="U1935" s="5">
        <v>40.74</v>
      </c>
    </row>
    <row r="1936" spans="14:21" x14ac:dyDescent="0.75">
      <c r="N1936" s="14">
        <v>39190</v>
      </c>
      <c r="O1936" s="5">
        <v>1216.1600000000001</v>
      </c>
      <c r="T1936" s="14">
        <v>39510</v>
      </c>
      <c r="U1936" s="5">
        <v>40.299999999999997</v>
      </c>
    </row>
    <row r="1937" spans="14:21" x14ac:dyDescent="0.75">
      <c r="N1937" s="14">
        <v>39189</v>
      </c>
      <c r="O1937" s="5">
        <v>1217.3699999999999</v>
      </c>
      <c r="T1937" s="14">
        <v>39507</v>
      </c>
      <c r="U1937" s="5">
        <v>40.270000000000003</v>
      </c>
    </row>
    <row r="1938" spans="14:21" x14ac:dyDescent="0.75">
      <c r="N1938" s="14">
        <v>39188</v>
      </c>
      <c r="O1938" s="5">
        <v>1217.1099999999999</v>
      </c>
      <c r="T1938" s="14">
        <v>39506</v>
      </c>
      <c r="U1938" s="5">
        <v>41.07</v>
      </c>
    </row>
    <row r="1939" spans="14:21" x14ac:dyDescent="0.75">
      <c r="N1939" s="14">
        <v>39185</v>
      </c>
      <c r="O1939" s="5">
        <v>1213.69</v>
      </c>
      <c r="T1939" s="14">
        <v>39505</v>
      </c>
      <c r="U1939" s="5">
        <v>41.92</v>
      </c>
    </row>
    <row r="1940" spans="14:21" x14ac:dyDescent="0.75">
      <c r="N1940" s="14">
        <v>39184</v>
      </c>
      <c r="O1940" s="5">
        <v>1212.47</v>
      </c>
      <c r="T1940" s="14">
        <v>39504</v>
      </c>
      <c r="U1940" s="5">
        <v>42.27</v>
      </c>
    </row>
    <row r="1941" spans="14:21" x14ac:dyDescent="0.75">
      <c r="N1941" s="14">
        <v>39183</v>
      </c>
      <c r="O1941" s="5">
        <v>1211.47</v>
      </c>
      <c r="T1941" s="14">
        <v>39503</v>
      </c>
      <c r="U1941" s="5">
        <v>42.47</v>
      </c>
    </row>
    <row r="1942" spans="14:21" x14ac:dyDescent="0.75">
      <c r="N1942" s="14">
        <v>39182</v>
      </c>
      <c r="O1942" s="5">
        <v>1210.72</v>
      </c>
      <c r="T1942" s="14">
        <v>39500</v>
      </c>
      <c r="U1942" s="5">
        <v>41.31</v>
      </c>
    </row>
    <row r="1943" spans="14:21" x14ac:dyDescent="0.75">
      <c r="N1943" s="14">
        <v>39181</v>
      </c>
      <c r="O1943" s="5">
        <v>1208.73</v>
      </c>
      <c r="T1943" s="14">
        <v>39499</v>
      </c>
      <c r="U1943" s="5">
        <v>41.47</v>
      </c>
    </row>
    <row r="1944" spans="14:21" x14ac:dyDescent="0.75">
      <c r="N1944" s="14">
        <v>39177</v>
      </c>
      <c r="O1944" s="5">
        <v>1208.28</v>
      </c>
      <c r="T1944" s="14">
        <v>39498</v>
      </c>
      <c r="U1944" s="5">
        <v>40.93</v>
      </c>
    </row>
    <row r="1945" spans="14:21" x14ac:dyDescent="0.75">
      <c r="N1945" s="14">
        <v>39176</v>
      </c>
      <c r="O1945" s="5">
        <v>1205.71</v>
      </c>
      <c r="T1945" s="14">
        <v>39497</v>
      </c>
      <c r="U1945" s="5">
        <v>40.49</v>
      </c>
    </row>
    <row r="1946" spans="14:21" x14ac:dyDescent="0.75">
      <c r="N1946" s="14">
        <v>39175</v>
      </c>
      <c r="O1946" s="5">
        <v>1204.58</v>
      </c>
      <c r="T1946" s="14">
        <v>39493</v>
      </c>
      <c r="U1946" s="5">
        <v>40.450000000000003</v>
      </c>
    </row>
    <row r="1947" spans="14:21" x14ac:dyDescent="0.75">
      <c r="N1947" s="14">
        <v>39174</v>
      </c>
      <c r="O1947" s="5">
        <v>1202.47</v>
      </c>
      <c r="T1947" s="14">
        <v>39492</v>
      </c>
      <c r="U1947" s="5">
        <v>40.584000000000003</v>
      </c>
    </row>
    <row r="1948" spans="14:21" x14ac:dyDescent="0.75">
      <c r="N1948" s="14">
        <v>39171</v>
      </c>
      <c r="O1948" s="5">
        <v>1201.3399999999999</v>
      </c>
      <c r="T1948" s="14">
        <v>39491</v>
      </c>
      <c r="U1948" s="5">
        <v>40.669899999999998</v>
      </c>
    </row>
    <row r="1949" spans="14:21" x14ac:dyDescent="0.75">
      <c r="N1949" s="14">
        <v>39170</v>
      </c>
      <c r="O1949" s="5">
        <v>1202.48</v>
      </c>
      <c r="T1949" s="14">
        <v>39490</v>
      </c>
      <c r="U1949" s="5">
        <v>40.32</v>
      </c>
    </row>
    <row r="1950" spans="14:21" x14ac:dyDescent="0.75">
      <c r="N1950" s="14">
        <v>39169</v>
      </c>
      <c r="O1950" s="5">
        <v>1199.9000000000001</v>
      </c>
      <c r="T1950" s="14">
        <v>39489</v>
      </c>
      <c r="U1950" s="5">
        <v>39.070099999999996</v>
      </c>
    </row>
    <row r="1951" spans="14:21" x14ac:dyDescent="0.75">
      <c r="N1951" s="14">
        <v>39168</v>
      </c>
      <c r="O1951" s="5">
        <v>1201.82</v>
      </c>
      <c r="T1951" s="14">
        <v>39486</v>
      </c>
      <c r="U1951" s="5">
        <v>40</v>
      </c>
    </row>
    <row r="1952" spans="14:21" x14ac:dyDescent="0.75">
      <c r="N1952" s="14">
        <v>39167</v>
      </c>
      <c r="O1952" s="5">
        <v>1203.6600000000001</v>
      </c>
      <c r="T1952" s="14">
        <v>39485</v>
      </c>
      <c r="U1952" s="5">
        <v>40.06</v>
      </c>
    </row>
    <row r="1953" spans="14:21" x14ac:dyDescent="0.75">
      <c r="N1953" s="14">
        <v>39164</v>
      </c>
      <c r="O1953" s="5">
        <v>1204.83</v>
      </c>
      <c r="T1953" s="14">
        <v>39484</v>
      </c>
      <c r="U1953" s="5">
        <v>40.11</v>
      </c>
    </row>
    <row r="1954" spans="14:21" x14ac:dyDescent="0.75">
      <c r="N1954" s="14">
        <v>39163</v>
      </c>
      <c r="O1954" s="5">
        <v>1204.44</v>
      </c>
      <c r="T1954" s="14">
        <v>39483</v>
      </c>
      <c r="U1954" s="5">
        <v>40.28</v>
      </c>
    </row>
    <row r="1955" spans="14:21" x14ac:dyDescent="0.75">
      <c r="N1955" s="14">
        <v>39162</v>
      </c>
      <c r="O1955" s="5">
        <v>1202.1300000000001</v>
      </c>
      <c r="T1955" s="14">
        <v>39482</v>
      </c>
      <c r="U1955" s="5">
        <v>41.21</v>
      </c>
    </row>
    <row r="1956" spans="14:21" x14ac:dyDescent="0.75">
      <c r="N1956" s="14">
        <v>39161</v>
      </c>
      <c r="O1956" s="5">
        <v>1200.3</v>
      </c>
      <c r="T1956" s="14">
        <v>39479</v>
      </c>
      <c r="U1956" s="5">
        <v>41.46</v>
      </c>
    </row>
    <row r="1957" spans="14:21" x14ac:dyDescent="0.75">
      <c r="N1957" s="14">
        <v>39160</v>
      </c>
      <c r="O1957" s="5">
        <v>1199.1300000000001</v>
      </c>
      <c r="T1957" s="14">
        <v>39478</v>
      </c>
      <c r="U1957" s="5">
        <v>40.18</v>
      </c>
    </row>
    <row r="1958" spans="14:21" x14ac:dyDescent="0.75">
      <c r="N1958" s="14">
        <v>39157</v>
      </c>
      <c r="O1958" s="5">
        <v>1194.92</v>
      </c>
      <c r="T1958" s="14">
        <v>39477</v>
      </c>
      <c r="U1958" s="5">
        <v>39.479999999999997</v>
      </c>
    </row>
    <row r="1959" spans="14:21" x14ac:dyDescent="0.75">
      <c r="N1959" s="14">
        <v>39156</v>
      </c>
      <c r="O1959" s="5">
        <v>1194.44</v>
      </c>
      <c r="T1959" s="14">
        <v>39476</v>
      </c>
      <c r="U1959" s="5">
        <v>40.880000000000003</v>
      </c>
    </row>
    <row r="1960" spans="14:21" x14ac:dyDescent="0.75">
      <c r="N1960" s="14">
        <v>39155</v>
      </c>
      <c r="O1960" s="5">
        <v>1191.92</v>
      </c>
      <c r="T1960" s="14">
        <v>39475</v>
      </c>
      <c r="U1960" s="5">
        <v>40.17</v>
      </c>
    </row>
    <row r="1961" spans="14:21" x14ac:dyDescent="0.75">
      <c r="N1961" s="14">
        <v>39154</v>
      </c>
      <c r="O1961" s="5">
        <v>1194.57</v>
      </c>
      <c r="T1961" s="14">
        <v>39472</v>
      </c>
      <c r="U1961" s="5">
        <v>40.49</v>
      </c>
    </row>
    <row r="1962" spans="14:21" x14ac:dyDescent="0.75">
      <c r="N1962" s="14">
        <v>39153</v>
      </c>
      <c r="O1962" s="5">
        <v>1197.76</v>
      </c>
      <c r="T1962" s="14">
        <v>39471</v>
      </c>
      <c r="U1962" s="5">
        <v>39.533000000000001</v>
      </c>
    </row>
    <row r="1963" spans="14:21" x14ac:dyDescent="0.75">
      <c r="N1963" s="14">
        <v>39150</v>
      </c>
      <c r="O1963" s="5">
        <v>1196.98</v>
      </c>
      <c r="T1963" s="14">
        <v>39470</v>
      </c>
      <c r="U1963" s="5">
        <v>40.097000000000001</v>
      </c>
    </row>
    <row r="1964" spans="14:21" x14ac:dyDescent="0.75">
      <c r="N1964" s="14">
        <v>39149</v>
      </c>
      <c r="O1964" s="5">
        <v>1196.33</v>
      </c>
      <c r="T1964" s="14">
        <v>39469</v>
      </c>
      <c r="U1964" s="5">
        <v>36.67</v>
      </c>
    </row>
    <row r="1965" spans="14:21" x14ac:dyDescent="0.75">
      <c r="N1965" s="14">
        <v>39148</v>
      </c>
      <c r="O1965" s="5">
        <v>1193.54</v>
      </c>
      <c r="T1965" s="14">
        <v>39465</v>
      </c>
      <c r="U1965" s="5">
        <v>35.659999999999997</v>
      </c>
    </row>
    <row r="1966" spans="14:21" x14ac:dyDescent="0.75">
      <c r="N1966" s="14">
        <v>39147</v>
      </c>
      <c r="O1966" s="5">
        <v>1191.04</v>
      </c>
      <c r="T1966" s="14">
        <v>39464</v>
      </c>
      <c r="U1966" s="5">
        <v>36.17</v>
      </c>
    </row>
    <row r="1967" spans="14:21" x14ac:dyDescent="0.75">
      <c r="N1967" s="14">
        <v>39146</v>
      </c>
      <c r="O1967" s="5">
        <v>1187.83</v>
      </c>
      <c r="T1967" s="14">
        <v>39463</v>
      </c>
      <c r="U1967" s="5">
        <v>35.729999999999997</v>
      </c>
    </row>
    <row r="1968" spans="14:21" x14ac:dyDescent="0.75">
      <c r="N1968" s="14">
        <v>39143</v>
      </c>
      <c r="O1968" s="5">
        <v>1194.98</v>
      </c>
      <c r="T1968" s="14">
        <v>39462</v>
      </c>
      <c r="U1968" s="5">
        <v>35.33</v>
      </c>
    </row>
    <row r="1969" spans="14:21" x14ac:dyDescent="0.75">
      <c r="N1969" s="14">
        <v>39142</v>
      </c>
      <c r="O1969" s="5">
        <v>1198.19</v>
      </c>
      <c r="T1969" s="14">
        <v>39461</v>
      </c>
      <c r="U1969" s="5">
        <v>35.18</v>
      </c>
    </row>
    <row r="1970" spans="14:21" x14ac:dyDescent="0.75">
      <c r="N1970" s="14">
        <v>39141</v>
      </c>
      <c r="O1970" s="5">
        <v>1200.9100000000001</v>
      </c>
      <c r="T1970" s="14">
        <v>39458</v>
      </c>
      <c r="U1970" s="5">
        <v>36.49</v>
      </c>
    </row>
    <row r="1971" spans="14:21" x14ac:dyDescent="0.75">
      <c r="N1971" s="14">
        <v>39140</v>
      </c>
      <c r="O1971" s="5">
        <v>1205.05</v>
      </c>
      <c r="T1971" s="14">
        <v>39457</v>
      </c>
      <c r="U1971" s="5">
        <v>36.619999999999997</v>
      </c>
    </row>
    <row r="1972" spans="14:21" x14ac:dyDescent="0.75">
      <c r="N1972" s="14">
        <v>39139</v>
      </c>
      <c r="O1972" s="5">
        <v>1214.2</v>
      </c>
      <c r="T1972" s="14">
        <v>39456</v>
      </c>
      <c r="U1972" s="5">
        <v>35.6</v>
      </c>
    </row>
    <row r="1973" spans="14:21" x14ac:dyDescent="0.75">
      <c r="N1973" s="14">
        <v>39136</v>
      </c>
      <c r="O1973" s="5">
        <v>1214.3</v>
      </c>
      <c r="T1973" s="14">
        <v>39455</v>
      </c>
      <c r="U1973" s="5">
        <v>34.76</v>
      </c>
    </row>
    <row r="1974" spans="14:21" x14ac:dyDescent="0.75">
      <c r="N1974" s="14">
        <v>39135</v>
      </c>
      <c r="O1974" s="5">
        <v>1214.57</v>
      </c>
      <c r="T1974" s="14">
        <v>39454</v>
      </c>
      <c r="U1974" s="5">
        <v>35.799999999999997</v>
      </c>
    </row>
    <row r="1975" spans="14:21" x14ac:dyDescent="0.75">
      <c r="N1975" s="14">
        <v>39134</v>
      </c>
      <c r="O1975" s="5">
        <v>1213.52</v>
      </c>
      <c r="T1975" s="14">
        <v>39451</v>
      </c>
      <c r="U1975" s="5">
        <v>35.479900000000001</v>
      </c>
    </row>
    <row r="1976" spans="14:21" x14ac:dyDescent="0.75">
      <c r="N1976" s="14">
        <v>39133</v>
      </c>
      <c r="O1976" s="5">
        <v>1212.28</v>
      </c>
      <c r="T1976" s="14">
        <v>39450</v>
      </c>
      <c r="U1976" s="5">
        <v>36.35</v>
      </c>
    </row>
    <row r="1977" spans="14:21" x14ac:dyDescent="0.75">
      <c r="N1977" s="14">
        <v>39129</v>
      </c>
      <c r="O1977" s="5">
        <v>1210.96</v>
      </c>
      <c r="T1977" s="14">
        <v>39449</v>
      </c>
      <c r="U1977" s="5">
        <v>37.853000000000002</v>
      </c>
    </row>
    <row r="1978" spans="14:21" x14ac:dyDescent="0.75">
      <c r="N1978" s="14">
        <v>39128</v>
      </c>
      <c r="O1978" s="5">
        <v>1210.68</v>
      </c>
      <c r="T1978" s="14">
        <v>39447</v>
      </c>
      <c r="U1978" s="5">
        <v>38.340000000000003</v>
      </c>
    </row>
    <row r="1979" spans="14:21" x14ac:dyDescent="0.75">
      <c r="N1979" s="14">
        <v>39127</v>
      </c>
      <c r="O1979" s="5">
        <v>1209.57</v>
      </c>
      <c r="T1979" s="14">
        <v>39444</v>
      </c>
      <c r="U1979" s="5">
        <v>38.869999999999997</v>
      </c>
    </row>
    <row r="1980" spans="14:21" x14ac:dyDescent="0.75">
      <c r="N1980" s="14">
        <v>39126</v>
      </c>
      <c r="O1980" s="5">
        <v>1208.73</v>
      </c>
      <c r="T1980" s="14">
        <v>39443</v>
      </c>
      <c r="U1980" s="5">
        <v>39.33</v>
      </c>
    </row>
    <row r="1981" spans="14:21" x14ac:dyDescent="0.75">
      <c r="N1981" s="14">
        <v>39125</v>
      </c>
      <c r="O1981" s="5">
        <v>1206.8900000000001</v>
      </c>
      <c r="T1981" s="14">
        <v>39440</v>
      </c>
      <c r="U1981" s="5">
        <v>40.490099999999998</v>
      </c>
    </row>
    <row r="1982" spans="14:21" x14ac:dyDescent="0.75">
      <c r="N1982" s="14">
        <v>39122</v>
      </c>
      <c r="O1982" s="5">
        <v>1207.3499999999999</v>
      </c>
      <c r="T1982" s="14">
        <v>39437</v>
      </c>
      <c r="U1982" s="5">
        <v>39.469900000000003</v>
      </c>
    </row>
    <row r="1983" spans="14:21" x14ac:dyDescent="0.75">
      <c r="N1983" s="14">
        <v>39121</v>
      </c>
      <c r="O1983" s="5">
        <v>1206.67</v>
      </c>
      <c r="T1983" s="14">
        <v>39436</v>
      </c>
      <c r="U1983" s="5">
        <v>39.07</v>
      </c>
    </row>
    <row r="1984" spans="14:21" x14ac:dyDescent="0.75">
      <c r="N1984" s="14">
        <v>39120</v>
      </c>
      <c r="O1984" s="5">
        <v>1207.48</v>
      </c>
      <c r="T1984" s="14">
        <v>39435</v>
      </c>
      <c r="U1984" s="5">
        <v>38.78</v>
      </c>
    </row>
    <row r="1985" spans="14:21" x14ac:dyDescent="0.75">
      <c r="N1985" s="14">
        <v>39119</v>
      </c>
      <c r="O1985" s="5">
        <v>1207.1600000000001</v>
      </c>
      <c r="T1985" s="14">
        <v>39434</v>
      </c>
      <c r="U1985" s="5">
        <v>38.299900000000001</v>
      </c>
    </row>
    <row r="1986" spans="14:21" x14ac:dyDescent="0.75">
      <c r="N1986" s="14">
        <v>39118</v>
      </c>
      <c r="O1986" s="5">
        <v>1205.3</v>
      </c>
      <c r="T1986" s="14">
        <v>39433</v>
      </c>
      <c r="U1986" s="5">
        <v>38.57</v>
      </c>
    </row>
    <row r="1987" spans="14:21" x14ac:dyDescent="0.75">
      <c r="N1987" s="14">
        <v>39115</v>
      </c>
      <c r="O1987" s="5">
        <v>1205.05</v>
      </c>
      <c r="T1987" s="14">
        <v>39430</v>
      </c>
      <c r="U1987" s="5">
        <v>38.9</v>
      </c>
    </row>
    <row r="1988" spans="14:21" x14ac:dyDescent="0.75">
      <c r="N1988" s="14">
        <v>39114</v>
      </c>
      <c r="O1988" s="5">
        <v>1202.99</v>
      </c>
      <c r="T1988" s="14">
        <v>39429</v>
      </c>
      <c r="U1988" s="5">
        <v>39.26</v>
      </c>
    </row>
    <row r="1989" spans="14:21" x14ac:dyDescent="0.75">
      <c r="N1989" s="14">
        <v>39113</v>
      </c>
      <c r="O1989" s="5">
        <v>1199.9000000000001</v>
      </c>
      <c r="T1989" s="14">
        <v>39428</v>
      </c>
      <c r="U1989" s="5">
        <v>41.22</v>
      </c>
    </row>
    <row r="1990" spans="14:21" x14ac:dyDescent="0.75">
      <c r="N1990" s="14">
        <v>39112</v>
      </c>
      <c r="O1990" s="5">
        <v>1198.06</v>
      </c>
      <c r="T1990" s="14">
        <v>39427</v>
      </c>
      <c r="U1990" s="5">
        <v>42.21</v>
      </c>
    </row>
    <row r="1991" spans="14:21" x14ac:dyDescent="0.75">
      <c r="N1991" s="14">
        <v>39111</v>
      </c>
      <c r="O1991" s="5">
        <v>1197.43</v>
      </c>
      <c r="T1991" s="14">
        <v>39426</v>
      </c>
      <c r="U1991" s="5">
        <v>43.18</v>
      </c>
    </row>
    <row r="1992" spans="14:21" x14ac:dyDescent="0.75">
      <c r="N1992" s="14">
        <v>39108</v>
      </c>
      <c r="O1992" s="5">
        <v>1196.82</v>
      </c>
      <c r="T1992" s="14">
        <v>39423</v>
      </c>
      <c r="U1992" s="5">
        <v>42.75</v>
      </c>
    </row>
    <row r="1993" spans="14:21" x14ac:dyDescent="0.75">
      <c r="N1993" s="14">
        <v>39107</v>
      </c>
      <c r="O1993" s="5">
        <v>1197.49</v>
      </c>
      <c r="T1993" s="14">
        <v>39422</v>
      </c>
      <c r="U1993" s="5">
        <v>42.54</v>
      </c>
    </row>
    <row r="1994" spans="14:21" x14ac:dyDescent="0.75">
      <c r="N1994" s="14">
        <v>39106</v>
      </c>
      <c r="O1994" s="5">
        <v>1197.75</v>
      </c>
      <c r="T1994" s="14">
        <v>39421</v>
      </c>
      <c r="U1994" s="5">
        <v>40.950000000000003</v>
      </c>
    </row>
    <row r="1995" spans="14:21" x14ac:dyDescent="0.75">
      <c r="N1995" s="14">
        <v>39105</v>
      </c>
      <c r="O1995" s="5">
        <v>1195.71</v>
      </c>
      <c r="T1995" s="14">
        <v>39420</v>
      </c>
      <c r="U1995" s="5">
        <v>39.780099999999997</v>
      </c>
    </row>
    <row r="1996" spans="14:21" x14ac:dyDescent="0.75">
      <c r="N1996" s="14">
        <v>39104</v>
      </c>
      <c r="O1996" s="5">
        <v>1194.3800000000001</v>
      </c>
      <c r="T1996" s="14">
        <v>39419</v>
      </c>
      <c r="U1996" s="5">
        <v>40.9</v>
      </c>
    </row>
    <row r="1997" spans="14:21" x14ac:dyDescent="0.75">
      <c r="N1997" s="14">
        <v>39101</v>
      </c>
      <c r="O1997" s="5">
        <v>1194.19</v>
      </c>
      <c r="T1997" s="14">
        <v>39416</v>
      </c>
      <c r="U1997" s="5">
        <v>41.32</v>
      </c>
    </row>
    <row r="1998" spans="14:21" x14ac:dyDescent="0.75">
      <c r="N1998" s="14">
        <v>39100</v>
      </c>
      <c r="O1998" s="5">
        <v>1192.6099999999999</v>
      </c>
      <c r="T1998" s="14">
        <v>39415</v>
      </c>
      <c r="U1998" s="5">
        <v>39.92</v>
      </c>
    </row>
    <row r="1999" spans="14:21" x14ac:dyDescent="0.75">
      <c r="N1999" s="14">
        <v>39099</v>
      </c>
      <c r="O1999" s="5">
        <v>1192.77</v>
      </c>
      <c r="T1999" s="14">
        <v>39414</v>
      </c>
      <c r="U1999" s="5">
        <v>40.369999999999997</v>
      </c>
    </row>
    <row r="2000" spans="14:21" x14ac:dyDescent="0.75">
      <c r="N2000" s="14">
        <v>39098</v>
      </c>
      <c r="O2000" s="5">
        <v>1191.76</v>
      </c>
      <c r="T2000" s="14">
        <v>39413</v>
      </c>
      <c r="U2000" s="5">
        <v>39.31</v>
      </c>
    </row>
    <row r="2001" spans="14:21" x14ac:dyDescent="0.75">
      <c r="N2001" s="14">
        <v>39094</v>
      </c>
      <c r="O2001" s="5">
        <v>1189.96</v>
      </c>
      <c r="T2001" s="14">
        <v>39412</v>
      </c>
      <c r="U2001" s="5">
        <v>39.5</v>
      </c>
    </row>
    <row r="2002" spans="14:21" x14ac:dyDescent="0.75">
      <c r="N2002" s="14">
        <v>39093</v>
      </c>
      <c r="O2002" s="5">
        <v>1186.48</v>
      </c>
      <c r="T2002" s="14">
        <v>39409</v>
      </c>
      <c r="U2002" s="5">
        <v>41.04</v>
      </c>
    </row>
    <row r="2003" spans="14:21" x14ac:dyDescent="0.75">
      <c r="N2003" s="14">
        <v>39092</v>
      </c>
      <c r="O2003" s="5">
        <v>1182</v>
      </c>
      <c r="T2003" s="14">
        <v>39407</v>
      </c>
      <c r="U2003" s="5">
        <v>39.78</v>
      </c>
    </row>
    <row r="2004" spans="14:21" x14ac:dyDescent="0.75">
      <c r="N2004" s="14">
        <v>39091</v>
      </c>
      <c r="O2004" s="5">
        <v>1181.3699999999999</v>
      </c>
      <c r="T2004" s="14">
        <v>39406</v>
      </c>
      <c r="U2004" s="5">
        <v>40.01</v>
      </c>
    </row>
    <row r="2005" spans="14:21" x14ac:dyDescent="0.75">
      <c r="N2005" s="14">
        <v>39090</v>
      </c>
      <c r="O2005" s="5">
        <v>1180.52</v>
      </c>
      <c r="T2005" s="14">
        <v>39405</v>
      </c>
      <c r="U2005" s="5">
        <v>40.99</v>
      </c>
    </row>
    <row r="2006" spans="14:21" x14ac:dyDescent="0.75">
      <c r="N2006" s="14">
        <v>39087</v>
      </c>
      <c r="O2006" s="5">
        <v>1180.4000000000001</v>
      </c>
      <c r="T2006" s="14">
        <v>39400</v>
      </c>
      <c r="U2006" s="5">
        <v>43.3</v>
      </c>
    </row>
    <row r="2007" spans="14:21" x14ac:dyDescent="0.75">
      <c r="N2007" s="14">
        <v>39086</v>
      </c>
      <c r="O2007" s="5">
        <v>1182.95</v>
      </c>
      <c r="T2007" s="14">
        <v>39398</v>
      </c>
      <c r="U2007" s="5">
        <v>42.11</v>
      </c>
    </row>
    <row r="2008" spans="14:21" x14ac:dyDescent="0.75">
      <c r="N2008" s="14">
        <v>39085</v>
      </c>
      <c r="O2008" s="5">
        <v>1184.32</v>
      </c>
      <c r="T2008" s="14">
        <v>39395</v>
      </c>
      <c r="U2008" s="5">
        <v>42.13</v>
      </c>
    </row>
    <row r="2009" spans="14:21" x14ac:dyDescent="0.75">
      <c r="N2009" s="14">
        <v>39084</v>
      </c>
      <c r="O2009" s="5">
        <v>1184.31</v>
      </c>
      <c r="T2009" s="14">
        <v>39394</v>
      </c>
      <c r="U2009" s="5">
        <v>41.32</v>
      </c>
    </row>
    <row r="2010" spans="14:21" x14ac:dyDescent="0.75">
      <c r="N2010" s="14">
        <v>39080</v>
      </c>
      <c r="O2010" s="5">
        <v>1182.73</v>
      </c>
      <c r="T2010" s="14">
        <v>39393</v>
      </c>
      <c r="U2010" s="5">
        <v>42.47</v>
      </c>
    </row>
    <row r="2011" spans="14:21" x14ac:dyDescent="0.75">
      <c r="N2011" s="14">
        <v>39079</v>
      </c>
      <c r="O2011" s="5">
        <v>1180.1600000000001</v>
      </c>
      <c r="T2011" s="14">
        <v>39392</v>
      </c>
      <c r="U2011" s="5">
        <v>42.98</v>
      </c>
    </row>
    <row r="2012" spans="14:21" x14ac:dyDescent="0.75">
      <c r="N2012" s="14">
        <v>39078</v>
      </c>
      <c r="O2012" s="5">
        <v>1179.48</v>
      </c>
      <c r="T2012" s="14">
        <v>39391</v>
      </c>
      <c r="U2012" s="5">
        <v>43.27</v>
      </c>
    </row>
    <row r="2013" spans="14:21" x14ac:dyDescent="0.75">
      <c r="N2013" s="14">
        <v>39077</v>
      </c>
      <c r="O2013" s="5">
        <v>1176.4000000000001</v>
      </c>
      <c r="T2013" s="14">
        <v>39388</v>
      </c>
      <c r="U2013" s="5">
        <v>43.5</v>
      </c>
    </row>
    <row r="2014" spans="14:21" x14ac:dyDescent="0.75">
      <c r="N2014" s="14">
        <v>39073</v>
      </c>
      <c r="O2014" s="5">
        <v>1175.31</v>
      </c>
      <c r="T2014" s="14">
        <v>39387</v>
      </c>
      <c r="U2014" s="5">
        <v>45.18</v>
      </c>
    </row>
    <row r="2015" spans="14:21" x14ac:dyDescent="0.75">
      <c r="N2015" s="14">
        <v>39072</v>
      </c>
      <c r="O2015" s="5">
        <v>1175.79</v>
      </c>
      <c r="T2015" s="14">
        <v>39386</v>
      </c>
      <c r="U2015" s="5">
        <v>47.06</v>
      </c>
    </row>
    <row r="2016" spans="14:21" x14ac:dyDescent="0.75">
      <c r="N2016" s="14">
        <v>39071</v>
      </c>
      <c r="O2016" s="5">
        <v>1176.76</v>
      </c>
      <c r="T2016" s="14">
        <v>39385</v>
      </c>
      <c r="U2016" s="5">
        <v>45.78</v>
      </c>
    </row>
    <row r="2017" spans="14:21" x14ac:dyDescent="0.75">
      <c r="N2017" s="14">
        <v>39070</v>
      </c>
      <c r="O2017" s="5">
        <v>1175.7</v>
      </c>
      <c r="T2017" s="14">
        <v>39381</v>
      </c>
      <c r="U2017" s="5">
        <v>46.05</v>
      </c>
    </row>
    <row r="2018" spans="14:21" x14ac:dyDescent="0.75">
      <c r="N2018" s="14">
        <v>39069</v>
      </c>
      <c r="O2018" s="5">
        <v>1175.83</v>
      </c>
      <c r="T2018" s="14">
        <v>39380</v>
      </c>
      <c r="U2018" s="5">
        <v>45.25</v>
      </c>
    </row>
    <row r="2019" spans="14:21" x14ac:dyDescent="0.75">
      <c r="N2019" s="14">
        <v>39066</v>
      </c>
      <c r="O2019" s="5">
        <v>1176.49</v>
      </c>
      <c r="T2019" s="14">
        <v>39379</v>
      </c>
      <c r="U2019" s="5">
        <v>45.12</v>
      </c>
    </row>
    <row r="2020" spans="14:21" x14ac:dyDescent="0.75">
      <c r="N2020" s="14">
        <v>39065</v>
      </c>
      <c r="O2020" s="5">
        <v>1176.18</v>
      </c>
      <c r="T2020" s="14">
        <v>39378</v>
      </c>
      <c r="U2020" s="5">
        <v>45.56</v>
      </c>
    </row>
    <row r="2021" spans="14:21" x14ac:dyDescent="0.75">
      <c r="N2021" s="14">
        <v>39064</v>
      </c>
      <c r="O2021" s="5">
        <v>1174.04</v>
      </c>
      <c r="T2021" s="14">
        <v>39377</v>
      </c>
      <c r="U2021" s="5">
        <v>44.66</v>
      </c>
    </row>
    <row r="2022" spans="14:21" x14ac:dyDescent="0.75">
      <c r="N2022" s="14">
        <v>39063</v>
      </c>
      <c r="O2022" s="5">
        <v>1173.49</v>
      </c>
      <c r="T2022" s="14">
        <v>39374</v>
      </c>
      <c r="U2022" s="5">
        <v>45.32</v>
      </c>
    </row>
    <row r="2023" spans="14:21" x14ac:dyDescent="0.75">
      <c r="N2023" s="14">
        <v>39062</v>
      </c>
      <c r="O2023" s="5">
        <v>1174.31</v>
      </c>
      <c r="T2023" s="14">
        <v>39373</v>
      </c>
      <c r="U2023" s="5">
        <v>46.03</v>
      </c>
    </row>
    <row r="2024" spans="14:21" x14ac:dyDescent="0.75">
      <c r="N2024" s="14">
        <v>39059</v>
      </c>
      <c r="O2024" s="5">
        <v>1172.9000000000001</v>
      </c>
      <c r="T2024" s="14">
        <v>39372</v>
      </c>
      <c r="U2024" s="5">
        <v>45.41</v>
      </c>
    </row>
    <row r="2025" spans="14:21" x14ac:dyDescent="0.75">
      <c r="N2025" s="14">
        <v>39058</v>
      </c>
      <c r="O2025" s="5">
        <v>1173.3900000000001</v>
      </c>
      <c r="T2025" s="14">
        <v>39371</v>
      </c>
      <c r="U2025" s="5">
        <v>46.46</v>
      </c>
    </row>
    <row r="2026" spans="14:21" x14ac:dyDescent="0.75">
      <c r="N2026" s="14">
        <v>39057</v>
      </c>
      <c r="O2026" s="5">
        <v>1172.58</v>
      </c>
      <c r="T2026" s="14">
        <v>39370</v>
      </c>
      <c r="U2026" s="5">
        <v>47.48</v>
      </c>
    </row>
    <row r="2027" spans="14:21" x14ac:dyDescent="0.75">
      <c r="N2027" s="14">
        <v>39056</v>
      </c>
      <c r="O2027" s="5">
        <v>1171.6300000000001</v>
      </c>
      <c r="T2027" s="14">
        <v>39367</v>
      </c>
      <c r="U2027" s="5">
        <v>48.8</v>
      </c>
    </row>
    <row r="2028" spans="14:21" x14ac:dyDescent="0.75">
      <c r="N2028" s="14">
        <v>39055</v>
      </c>
      <c r="O2028" s="5">
        <v>1169.72</v>
      </c>
      <c r="T2028" s="14">
        <v>39366</v>
      </c>
      <c r="U2028" s="5">
        <v>49.4</v>
      </c>
    </row>
    <row r="2029" spans="14:21" x14ac:dyDescent="0.75">
      <c r="N2029" s="14">
        <v>39052</v>
      </c>
      <c r="O2029" s="5">
        <v>1168.21</v>
      </c>
      <c r="T2029" s="14">
        <v>39365</v>
      </c>
      <c r="U2029" s="5">
        <v>49.38</v>
      </c>
    </row>
    <row r="2030" spans="14:21" x14ac:dyDescent="0.75">
      <c r="N2030" s="14">
        <v>39051</v>
      </c>
      <c r="O2030" s="5">
        <v>1167.58</v>
      </c>
      <c r="T2030" s="14">
        <v>39364</v>
      </c>
      <c r="U2030" s="5">
        <v>49</v>
      </c>
    </row>
    <row r="2031" spans="14:21" x14ac:dyDescent="0.75">
      <c r="N2031" s="14">
        <v>39050</v>
      </c>
      <c r="O2031" s="5">
        <v>1165.92</v>
      </c>
      <c r="T2031" s="14">
        <v>39363</v>
      </c>
      <c r="U2031" s="5">
        <v>49.29</v>
      </c>
    </row>
    <row r="2032" spans="14:21" x14ac:dyDescent="0.75">
      <c r="N2032" s="14">
        <v>39049</v>
      </c>
      <c r="O2032" s="5">
        <v>1162.74</v>
      </c>
      <c r="T2032" s="14">
        <v>39360</v>
      </c>
      <c r="U2032" s="5">
        <v>50.02</v>
      </c>
    </row>
    <row r="2033" spans="14:21" x14ac:dyDescent="0.75">
      <c r="N2033" s="14">
        <v>39048</v>
      </c>
      <c r="O2033" s="5">
        <v>1164.19</v>
      </c>
      <c r="T2033" s="14">
        <v>39359</v>
      </c>
      <c r="U2033" s="5">
        <v>49</v>
      </c>
    </row>
    <row r="2034" spans="14:21" x14ac:dyDescent="0.75">
      <c r="N2034" s="14">
        <v>39045</v>
      </c>
      <c r="O2034" s="5">
        <v>1167.03</v>
      </c>
      <c r="T2034" s="14">
        <v>39358</v>
      </c>
      <c r="U2034" s="5">
        <v>48.7</v>
      </c>
    </row>
    <row r="2035" spans="14:21" x14ac:dyDescent="0.75">
      <c r="N2035" s="14">
        <v>39043</v>
      </c>
      <c r="O2035" s="5">
        <v>1166.8599999999999</v>
      </c>
      <c r="T2035" s="14">
        <v>39356</v>
      </c>
      <c r="U2035" s="5">
        <v>47.91</v>
      </c>
    </row>
    <row r="2036" spans="14:21" x14ac:dyDescent="0.75">
      <c r="N2036" s="14">
        <v>39042</v>
      </c>
      <c r="O2036" s="5">
        <v>1165.81</v>
      </c>
      <c r="T2036" s="14">
        <v>39353</v>
      </c>
      <c r="U2036" s="5">
        <v>47.74</v>
      </c>
    </row>
    <row r="2037" spans="14:21" x14ac:dyDescent="0.75">
      <c r="N2037" s="14">
        <v>39041</v>
      </c>
      <c r="O2037" s="5">
        <v>1164.96</v>
      </c>
      <c r="T2037" s="14">
        <v>39352</v>
      </c>
      <c r="U2037" s="5">
        <v>47.96</v>
      </c>
    </row>
    <row r="2038" spans="14:21" x14ac:dyDescent="0.75">
      <c r="N2038" s="14">
        <v>39038</v>
      </c>
      <c r="O2038" s="5">
        <v>1164.8</v>
      </c>
      <c r="T2038" s="14">
        <v>39346</v>
      </c>
      <c r="U2038" s="5">
        <v>47.69</v>
      </c>
    </row>
    <row r="2039" spans="14:21" x14ac:dyDescent="0.75">
      <c r="N2039" s="14">
        <v>39037</v>
      </c>
      <c r="O2039" s="5">
        <v>1165.3900000000001</v>
      </c>
      <c r="T2039" s="14">
        <v>39344</v>
      </c>
      <c r="U2039" s="5">
        <v>48.23</v>
      </c>
    </row>
    <row r="2040" spans="14:21" x14ac:dyDescent="0.75">
      <c r="N2040" s="14">
        <v>39036</v>
      </c>
      <c r="O2040" s="5">
        <v>1163.53</v>
      </c>
      <c r="T2040" s="14">
        <v>39338</v>
      </c>
      <c r="U2040" s="5">
        <v>46.6</v>
      </c>
    </row>
    <row r="2041" spans="14:21" x14ac:dyDescent="0.75">
      <c r="N2041" s="14">
        <v>39035</v>
      </c>
      <c r="O2041" s="5">
        <v>1161.21</v>
      </c>
      <c r="T2041" s="14">
        <v>39335</v>
      </c>
      <c r="U2041" s="5">
        <v>45.06</v>
      </c>
    </row>
    <row r="2042" spans="14:21" x14ac:dyDescent="0.75">
      <c r="N2042" s="14">
        <v>39034</v>
      </c>
      <c r="O2042" s="5">
        <v>1160.1400000000001</v>
      </c>
      <c r="T2042" s="14">
        <v>39330</v>
      </c>
      <c r="U2042" s="5">
        <v>46.3</v>
      </c>
    </row>
    <row r="2043" spans="14:21" x14ac:dyDescent="0.75">
      <c r="N2043" s="14">
        <v>39031</v>
      </c>
      <c r="O2043" s="5">
        <v>1160.08</v>
      </c>
      <c r="T2043" s="14">
        <v>39329</v>
      </c>
      <c r="U2043" s="5">
        <v>46.74</v>
      </c>
    </row>
    <row r="2044" spans="14:21" x14ac:dyDescent="0.75">
      <c r="N2044" s="14">
        <v>39030</v>
      </c>
      <c r="O2044" s="5">
        <v>1160.46</v>
      </c>
      <c r="T2044" s="14">
        <v>39323</v>
      </c>
      <c r="U2044" s="5">
        <v>45.5</v>
      </c>
    </row>
    <row r="2045" spans="14:21" x14ac:dyDescent="0.75">
      <c r="N2045" s="14">
        <v>39029</v>
      </c>
      <c r="O2045" s="5">
        <v>1160.04</v>
      </c>
      <c r="T2045" s="14">
        <v>39322</v>
      </c>
      <c r="U2045" s="5">
        <v>45.5</v>
      </c>
    </row>
    <row r="2046" spans="14:21" x14ac:dyDescent="0.75">
      <c r="N2046" s="14">
        <v>39028</v>
      </c>
      <c r="O2046" s="5">
        <v>1159.54</v>
      </c>
      <c r="T2046" s="14">
        <v>39321</v>
      </c>
      <c r="U2046" s="5">
        <v>46.2</v>
      </c>
    </row>
    <row r="2047" spans="14:21" x14ac:dyDescent="0.75">
      <c r="N2047" s="14">
        <v>39027</v>
      </c>
      <c r="O2047" s="5">
        <v>1158.47</v>
      </c>
      <c r="T2047" s="14">
        <v>39317</v>
      </c>
      <c r="U2047" s="5">
        <v>46.82</v>
      </c>
    </row>
    <row r="2048" spans="14:21" x14ac:dyDescent="0.75">
      <c r="N2048" s="14">
        <v>39024</v>
      </c>
      <c r="O2048" s="5">
        <v>1157.08</v>
      </c>
      <c r="T2048" s="14">
        <v>39316</v>
      </c>
      <c r="U2048" s="5">
        <v>46.99</v>
      </c>
    </row>
    <row r="2049" spans="14:21" x14ac:dyDescent="0.75">
      <c r="N2049" s="14">
        <v>39023</v>
      </c>
      <c r="O2049" s="5">
        <v>1156.6199999999999</v>
      </c>
      <c r="T2049" s="14">
        <v>39315</v>
      </c>
      <c r="U2049" s="5">
        <v>46.91</v>
      </c>
    </row>
    <row r="2050" spans="14:21" x14ac:dyDescent="0.75">
      <c r="N2050" s="14">
        <v>39022</v>
      </c>
      <c r="O2050" s="5">
        <v>1156.7</v>
      </c>
      <c r="T2050" s="14">
        <v>39311</v>
      </c>
      <c r="U2050" s="5">
        <v>46.25</v>
      </c>
    </row>
    <row r="2051" spans="14:21" x14ac:dyDescent="0.75">
      <c r="N2051" s="14">
        <v>39021</v>
      </c>
      <c r="O2051" s="5">
        <v>1157.5</v>
      </c>
      <c r="T2051" s="14">
        <v>39310</v>
      </c>
      <c r="U2051" s="5">
        <v>43.78</v>
      </c>
    </row>
    <row r="2052" spans="14:21" x14ac:dyDescent="0.75">
      <c r="N2052" s="14">
        <v>39020</v>
      </c>
      <c r="O2052" s="5">
        <v>1157.1099999999999</v>
      </c>
      <c r="T2052" s="14">
        <v>39309</v>
      </c>
      <c r="U2052" s="5">
        <v>43.41</v>
      </c>
    </row>
    <row r="2053" spans="14:21" x14ac:dyDescent="0.75">
      <c r="N2053" s="14">
        <v>39017</v>
      </c>
      <c r="O2053" s="5">
        <v>1157.8800000000001</v>
      </c>
      <c r="T2053" s="14">
        <v>39308</v>
      </c>
      <c r="U2053" s="5">
        <v>43.88</v>
      </c>
    </row>
    <row r="2054" spans="14:21" x14ac:dyDescent="0.75">
      <c r="N2054" s="14">
        <v>39016</v>
      </c>
      <c r="O2054" s="5">
        <v>1158.27</v>
      </c>
      <c r="T2054" s="14">
        <v>39304</v>
      </c>
      <c r="U2054" s="5">
        <v>45.55</v>
      </c>
    </row>
    <row r="2055" spans="14:21" x14ac:dyDescent="0.75">
      <c r="N2055" s="14">
        <v>39015</v>
      </c>
      <c r="O2055" s="5">
        <v>1156.21</v>
      </c>
      <c r="T2055" s="14">
        <v>39303</v>
      </c>
      <c r="U2055" s="5">
        <v>46.21</v>
      </c>
    </row>
    <row r="2056" spans="14:21" x14ac:dyDescent="0.75">
      <c r="N2056" s="14">
        <v>39014</v>
      </c>
      <c r="O2056" s="5">
        <v>1155.58</v>
      </c>
      <c r="T2056" s="14">
        <v>39301</v>
      </c>
      <c r="U2056" s="5">
        <v>44.83</v>
      </c>
    </row>
    <row r="2057" spans="14:21" x14ac:dyDescent="0.75">
      <c r="N2057" s="14">
        <v>39013</v>
      </c>
      <c r="O2057" s="5">
        <v>1154.45</v>
      </c>
      <c r="T2057" s="14">
        <v>39300</v>
      </c>
      <c r="U2057" s="5">
        <v>44.51</v>
      </c>
    </row>
    <row r="2058" spans="14:21" x14ac:dyDescent="0.75">
      <c r="N2058" s="14">
        <v>39010</v>
      </c>
      <c r="O2058" s="5">
        <v>1153.3499999999999</v>
      </c>
      <c r="T2058" s="14">
        <v>39297</v>
      </c>
      <c r="U2058" s="5">
        <v>44.13</v>
      </c>
    </row>
    <row r="2059" spans="14:21" x14ac:dyDescent="0.75">
      <c r="N2059" s="14">
        <v>39009</v>
      </c>
      <c r="O2059" s="5">
        <v>1153.3</v>
      </c>
      <c r="T2059" s="14">
        <v>39296</v>
      </c>
      <c r="U2059" s="5">
        <v>45.82</v>
      </c>
    </row>
    <row r="2060" spans="14:21" x14ac:dyDescent="0.75">
      <c r="N2060" s="14">
        <v>39008</v>
      </c>
      <c r="O2060" s="5">
        <v>1152.71</v>
      </c>
      <c r="T2060" s="14">
        <v>39295</v>
      </c>
      <c r="U2060" s="5">
        <v>45.26</v>
      </c>
    </row>
    <row r="2061" spans="14:21" x14ac:dyDescent="0.75">
      <c r="N2061" s="14">
        <v>39007</v>
      </c>
      <c r="O2061" s="5">
        <v>1151.3399999999999</v>
      </c>
      <c r="T2061" s="14">
        <v>39294</v>
      </c>
      <c r="U2061" s="5">
        <v>44.52</v>
      </c>
    </row>
    <row r="2062" spans="14:21" x14ac:dyDescent="0.75">
      <c r="N2062" s="14">
        <v>39006</v>
      </c>
      <c r="O2062" s="5">
        <v>1153.33</v>
      </c>
      <c r="T2062" s="14">
        <v>39293</v>
      </c>
      <c r="U2062" s="5">
        <v>44.92</v>
      </c>
    </row>
    <row r="2063" spans="14:21" x14ac:dyDescent="0.75">
      <c r="N2063" s="14">
        <v>39003</v>
      </c>
      <c r="O2063" s="5">
        <v>1151.8699999999999</v>
      </c>
      <c r="T2063" s="14">
        <v>39290</v>
      </c>
      <c r="U2063" s="5">
        <v>44.74</v>
      </c>
    </row>
    <row r="2064" spans="14:21" x14ac:dyDescent="0.75">
      <c r="N2064" s="14">
        <v>39002</v>
      </c>
      <c r="O2064" s="5">
        <v>1150.6300000000001</v>
      </c>
      <c r="T2064" s="14">
        <v>39289</v>
      </c>
      <c r="U2064" s="5">
        <v>46.03</v>
      </c>
    </row>
    <row r="2065" spans="14:21" x14ac:dyDescent="0.75">
      <c r="N2065" s="14">
        <v>39001</v>
      </c>
      <c r="O2065" s="5">
        <v>1147.6099999999999</v>
      </c>
      <c r="T2065" s="14">
        <v>39288</v>
      </c>
      <c r="U2065" s="5">
        <v>47.01</v>
      </c>
    </row>
    <row r="2066" spans="14:21" x14ac:dyDescent="0.75">
      <c r="N2066" s="14">
        <v>39000</v>
      </c>
      <c r="O2066" s="5">
        <v>1147.46</v>
      </c>
      <c r="T2066" s="14">
        <v>39287</v>
      </c>
      <c r="U2066" s="5">
        <v>48.15</v>
      </c>
    </row>
    <row r="2067" spans="14:21" x14ac:dyDescent="0.75">
      <c r="N2067" s="14">
        <v>38999</v>
      </c>
      <c r="O2067" s="5">
        <v>1146.08</v>
      </c>
      <c r="T2067" s="14">
        <v>39286</v>
      </c>
      <c r="U2067" s="5">
        <v>48.39</v>
      </c>
    </row>
    <row r="2068" spans="14:21" x14ac:dyDescent="0.75">
      <c r="N2068" s="14">
        <v>38996</v>
      </c>
      <c r="O2068" s="5">
        <v>1145.79</v>
      </c>
      <c r="T2068" s="14">
        <v>39283</v>
      </c>
      <c r="U2068" s="5">
        <v>49.16</v>
      </c>
    </row>
    <row r="2069" spans="14:21" x14ac:dyDescent="0.75">
      <c r="N2069" s="14">
        <v>38995</v>
      </c>
      <c r="O2069" s="5">
        <v>1146.29</v>
      </c>
      <c r="T2069" s="14">
        <v>39282</v>
      </c>
      <c r="U2069" s="5">
        <v>50.11</v>
      </c>
    </row>
    <row r="2070" spans="14:21" x14ac:dyDescent="0.75">
      <c r="N2070" s="14">
        <v>38994</v>
      </c>
      <c r="O2070" s="5">
        <v>1144.04</v>
      </c>
      <c r="T2070" s="14">
        <v>39275</v>
      </c>
      <c r="U2070" s="5">
        <v>50</v>
      </c>
    </row>
    <row r="2071" spans="14:21" x14ac:dyDescent="0.75">
      <c r="N2071" s="14">
        <v>38993</v>
      </c>
      <c r="O2071" s="5">
        <v>1143.9000000000001</v>
      </c>
      <c r="T2071" s="14">
        <v>39274</v>
      </c>
      <c r="U2071" s="5">
        <v>49.37</v>
      </c>
    </row>
    <row r="2072" spans="14:21" x14ac:dyDescent="0.75">
      <c r="N2072" s="14">
        <v>38992</v>
      </c>
      <c r="O2072" s="5">
        <v>1144.03</v>
      </c>
      <c r="T2072" s="14">
        <v>39273</v>
      </c>
      <c r="U2072" s="5">
        <v>50.27</v>
      </c>
    </row>
    <row r="2073" spans="14:21" x14ac:dyDescent="0.75">
      <c r="N2073" s="14">
        <v>38989</v>
      </c>
      <c r="O2073" s="5">
        <v>1143.44</v>
      </c>
      <c r="T2073" s="14">
        <v>39261</v>
      </c>
      <c r="U2073" s="5">
        <v>50.4</v>
      </c>
    </row>
    <row r="2074" spans="14:21" x14ac:dyDescent="0.75">
      <c r="N2074" s="14">
        <v>38988</v>
      </c>
      <c r="O2074" s="5">
        <v>1142.47</v>
      </c>
      <c r="T2074" s="14">
        <v>39258</v>
      </c>
      <c r="U2074" s="5">
        <v>49.47</v>
      </c>
    </row>
    <row r="2075" spans="14:21" x14ac:dyDescent="0.75">
      <c r="N2075" s="14">
        <v>38987</v>
      </c>
      <c r="O2075" s="5">
        <v>1141.46</v>
      </c>
      <c r="T2075" s="14">
        <v>39254</v>
      </c>
      <c r="U2075" s="5">
        <v>49.61</v>
      </c>
    </row>
    <row r="2076" spans="14:21" x14ac:dyDescent="0.75">
      <c r="N2076" s="14">
        <v>38986</v>
      </c>
      <c r="O2076" s="5">
        <v>1140.47</v>
      </c>
      <c r="T2076" s="14">
        <v>39252</v>
      </c>
      <c r="U2076" s="5">
        <v>50.91</v>
      </c>
    </row>
    <row r="2077" spans="14:21" x14ac:dyDescent="0.75">
      <c r="N2077" s="14">
        <v>38985</v>
      </c>
      <c r="O2077" s="5">
        <v>1139.93</v>
      </c>
      <c r="T2077" s="14">
        <v>39246</v>
      </c>
      <c r="U2077" s="5">
        <v>50.91</v>
      </c>
    </row>
    <row r="2078" spans="14:21" x14ac:dyDescent="0.75">
      <c r="N2078" s="14">
        <v>38982</v>
      </c>
      <c r="O2078" s="5">
        <v>1139.81</v>
      </c>
      <c r="T2078" s="14">
        <v>39244</v>
      </c>
      <c r="U2078" s="5">
        <v>51.35</v>
      </c>
    </row>
    <row r="2079" spans="14:21" x14ac:dyDescent="0.75">
      <c r="N2079" s="14">
        <v>38981</v>
      </c>
      <c r="O2079" s="5">
        <v>1140.1199999999999</v>
      </c>
      <c r="T2079" s="14">
        <v>39240</v>
      </c>
      <c r="U2079" s="5">
        <v>51.29</v>
      </c>
    </row>
    <row r="2080" spans="14:21" x14ac:dyDescent="0.75">
      <c r="N2080" s="14">
        <v>38980</v>
      </c>
      <c r="O2080" s="5">
        <v>1140.1600000000001</v>
      </c>
      <c r="T2080" s="14">
        <v>39238</v>
      </c>
      <c r="U2080" s="5">
        <v>53.29</v>
      </c>
    </row>
    <row r="2081" spans="14:21" x14ac:dyDescent="0.75">
      <c r="N2081" s="14">
        <v>38979</v>
      </c>
      <c r="O2081" s="5">
        <v>1139.7</v>
      </c>
      <c r="T2081" s="14">
        <v>39237</v>
      </c>
      <c r="U2081" s="5">
        <v>53.59</v>
      </c>
    </row>
    <row r="2082" spans="14:21" x14ac:dyDescent="0.75">
      <c r="N2082" s="14">
        <v>38978</v>
      </c>
      <c r="O2082" s="5">
        <v>1140.77</v>
      </c>
      <c r="T2082" s="14">
        <v>39234</v>
      </c>
      <c r="U2082" s="5">
        <v>53.32</v>
      </c>
    </row>
    <row r="2083" spans="14:21" x14ac:dyDescent="0.75">
      <c r="N2083" s="14">
        <v>38975</v>
      </c>
      <c r="O2083" s="5">
        <v>1139.83</v>
      </c>
      <c r="T2083" s="14">
        <v>39233</v>
      </c>
      <c r="U2083" s="5">
        <v>53.44</v>
      </c>
    </row>
    <row r="2084" spans="14:21" x14ac:dyDescent="0.75">
      <c r="N2084" s="14">
        <v>38974</v>
      </c>
      <c r="O2084" s="5">
        <v>1140.01</v>
      </c>
      <c r="T2084" s="14">
        <v>39232</v>
      </c>
      <c r="U2084" s="5">
        <v>53.89</v>
      </c>
    </row>
    <row r="2085" spans="14:21" x14ac:dyDescent="0.75">
      <c r="N2085" s="14">
        <v>38973</v>
      </c>
      <c r="O2085" s="5">
        <v>1140.43</v>
      </c>
      <c r="T2085" s="14">
        <v>39231</v>
      </c>
      <c r="U2085" s="5">
        <v>52.92</v>
      </c>
    </row>
    <row r="2086" spans="14:21" x14ac:dyDescent="0.75">
      <c r="N2086" s="14">
        <v>38972</v>
      </c>
      <c r="O2086" s="5">
        <v>1139.26</v>
      </c>
      <c r="T2086" s="14">
        <v>39227</v>
      </c>
      <c r="U2086" s="5">
        <v>50.44</v>
      </c>
    </row>
    <row r="2087" spans="14:21" x14ac:dyDescent="0.75">
      <c r="N2087" s="14">
        <v>38971</v>
      </c>
      <c r="O2087" s="5">
        <v>1137.77</v>
      </c>
      <c r="T2087" s="14">
        <v>39225</v>
      </c>
      <c r="U2087" s="5">
        <v>49.6</v>
      </c>
    </row>
    <row r="2088" spans="14:21" x14ac:dyDescent="0.75">
      <c r="N2088" s="14">
        <v>38968</v>
      </c>
      <c r="O2088" s="5">
        <v>1138.6500000000001</v>
      </c>
      <c r="T2088" s="14">
        <v>39224</v>
      </c>
      <c r="U2088" s="5">
        <v>49.44</v>
      </c>
    </row>
    <row r="2089" spans="14:21" x14ac:dyDescent="0.75">
      <c r="N2089" s="14">
        <v>38967</v>
      </c>
      <c r="O2089" s="5">
        <v>1138.49</v>
      </c>
      <c r="T2089" s="14">
        <v>39217</v>
      </c>
      <c r="U2089" s="5">
        <v>51.56</v>
      </c>
    </row>
    <row r="2090" spans="14:21" x14ac:dyDescent="0.75">
      <c r="N2090" s="14">
        <v>38966</v>
      </c>
      <c r="O2090" s="5">
        <v>1140.58</v>
      </c>
      <c r="T2090" s="14">
        <v>39213</v>
      </c>
      <c r="U2090" s="5">
        <v>51.19</v>
      </c>
    </row>
    <row r="2091" spans="14:21" x14ac:dyDescent="0.75">
      <c r="N2091" s="14">
        <v>38965</v>
      </c>
      <c r="O2091" s="5">
        <v>1141.55</v>
      </c>
      <c r="T2091" s="14">
        <v>39212</v>
      </c>
      <c r="U2091" s="5">
        <v>49.39</v>
      </c>
    </row>
    <row r="2092" spans="14:21" x14ac:dyDescent="0.75">
      <c r="N2092" s="14">
        <v>38961</v>
      </c>
      <c r="O2092" s="5">
        <v>1140.51</v>
      </c>
      <c r="T2092" s="14">
        <v>39211</v>
      </c>
      <c r="U2092" s="5">
        <v>49.09</v>
      </c>
    </row>
    <row r="2093" spans="14:21" x14ac:dyDescent="0.75">
      <c r="N2093" s="14">
        <v>38960</v>
      </c>
      <c r="O2093" s="5">
        <v>1138.8</v>
      </c>
      <c r="T2093" s="14">
        <v>39210</v>
      </c>
      <c r="U2093" s="5">
        <v>49.16</v>
      </c>
    </row>
    <row r="2094" spans="14:21" x14ac:dyDescent="0.75">
      <c r="N2094" s="14">
        <v>38959</v>
      </c>
      <c r="O2094" s="5">
        <v>1137.82</v>
      </c>
      <c r="T2094" s="14">
        <v>39209</v>
      </c>
      <c r="U2094" s="5">
        <v>49.07</v>
      </c>
    </row>
    <row r="2095" spans="14:21" x14ac:dyDescent="0.75">
      <c r="N2095" s="14">
        <v>38958</v>
      </c>
      <c r="O2095" s="5">
        <v>1135.8599999999999</v>
      </c>
      <c r="T2095" s="14">
        <v>39206</v>
      </c>
      <c r="U2095" s="5">
        <v>48.88</v>
      </c>
    </row>
    <row r="2096" spans="14:21" x14ac:dyDescent="0.75">
      <c r="N2096" s="14">
        <v>38957</v>
      </c>
      <c r="O2096" s="5">
        <v>1135.29</v>
      </c>
    </row>
    <row r="2097" spans="14:15" x14ac:dyDescent="0.75">
      <c r="N2097" s="14">
        <v>38954</v>
      </c>
      <c r="O2097" s="5">
        <v>1135.49</v>
      </c>
    </row>
    <row r="2098" spans="14:15" x14ac:dyDescent="0.75">
      <c r="N2098" s="14">
        <v>38953</v>
      </c>
      <c r="O2098" s="5">
        <v>1135.51</v>
      </c>
    </row>
    <row r="2099" spans="14:15" x14ac:dyDescent="0.75">
      <c r="N2099" s="14">
        <v>38952</v>
      </c>
      <c r="O2099" s="5">
        <v>1135.0899999999999</v>
      </c>
    </row>
    <row r="2100" spans="14:15" x14ac:dyDescent="0.75">
      <c r="N2100" s="14">
        <v>38951</v>
      </c>
      <c r="O2100" s="5">
        <v>1136.52</v>
      </c>
    </row>
    <row r="2101" spans="14:15" x14ac:dyDescent="0.75">
      <c r="N2101" s="14">
        <v>38950</v>
      </c>
      <c r="O2101" s="5">
        <v>1136.51</v>
      </c>
    </row>
    <row r="2102" spans="14:15" x14ac:dyDescent="0.75">
      <c r="N2102" s="14">
        <v>38947</v>
      </c>
      <c r="O2102" s="5">
        <v>1136.9000000000001</v>
      </c>
    </row>
    <row r="2103" spans="14:15" x14ac:dyDescent="0.75">
      <c r="N2103" s="14">
        <v>38946</v>
      </c>
      <c r="O2103" s="5">
        <v>1136.04</v>
      </c>
    </row>
    <row r="2104" spans="14:15" x14ac:dyDescent="0.75">
      <c r="N2104" s="14">
        <v>38945</v>
      </c>
      <c r="O2104" s="5">
        <v>1135.22</v>
      </c>
    </row>
    <row r="2105" spans="14:15" x14ac:dyDescent="0.75">
      <c r="N2105" s="14">
        <v>38944</v>
      </c>
      <c r="O2105" s="5">
        <v>1133.1300000000001</v>
      </c>
    </row>
    <row r="2106" spans="14:15" x14ac:dyDescent="0.75">
      <c r="N2106" s="14">
        <v>38943</v>
      </c>
      <c r="O2106" s="5">
        <v>1131.3800000000001</v>
      </c>
    </row>
    <row r="2107" spans="14:15" x14ac:dyDescent="0.75">
      <c r="N2107" s="14">
        <v>38940</v>
      </c>
      <c r="O2107" s="5">
        <v>1131.17</v>
      </c>
    </row>
    <row r="2108" spans="14:15" x14ac:dyDescent="0.75">
      <c r="N2108" s="14">
        <v>38939</v>
      </c>
      <c r="O2108" s="5">
        <v>1131.28</v>
      </c>
    </row>
    <row r="2109" spans="14:15" x14ac:dyDescent="0.75">
      <c r="N2109" s="14">
        <v>38938</v>
      </c>
      <c r="O2109" s="5">
        <v>1133.98</v>
      </c>
    </row>
    <row r="2110" spans="14:15" x14ac:dyDescent="0.75">
      <c r="N2110" s="14">
        <v>38937</v>
      </c>
      <c r="O2110" s="5">
        <v>1134.05</v>
      </c>
    </row>
    <row r="2111" spans="14:15" x14ac:dyDescent="0.75">
      <c r="N2111" s="14">
        <v>38936</v>
      </c>
      <c r="O2111" s="5">
        <v>1134.73</v>
      </c>
    </row>
    <row r="2112" spans="14:15" x14ac:dyDescent="0.75">
      <c r="N2112" s="14">
        <v>38933</v>
      </c>
      <c r="O2112" s="5">
        <v>1135.97</v>
      </c>
    </row>
    <row r="2113" spans="14:15" x14ac:dyDescent="0.75">
      <c r="N2113" s="14">
        <v>38932</v>
      </c>
      <c r="O2113" s="5">
        <v>1135.93</v>
      </c>
    </row>
    <row r="2114" spans="14:15" x14ac:dyDescent="0.75">
      <c r="N2114" s="14">
        <v>38931</v>
      </c>
      <c r="O2114" s="5">
        <v>1136.45</v>
      </c>
    </row>
    <row r="2115" spans="14:15" x14ac:dyDescent="0.75">
      <c r="N2115" s="14">
        <v>38930</v>
      </c>
      <c r="O2115" s="5">
        <v>1135.18</v>
      </c>
    </row>
    <row r="2116" spans="14:15" x14ac:dyDescent="0.75">
      <c r="N2116" s="14">
        <v>38929</v>
      </c>
      <c r="O2116" s="5">
        <v>1134.8599999999999</v>
      </c>
    </row>
    <row r="2117" spans="14:15" x14ac:dyDescent="0.75">
      <c r="N2117" s="14">
        <v>38926</v>
      </c>
      <c r="O2117" s="5">
        <v>1134.72</v>
      </c>
    </row>
    <row r="2118" spans="14:15" x14ac:dyDescent="0.75">
      <c r="N2118" s="14">
        <v>38925</v>
      </c>
      <c r="O2118" s="5">
        <v>1133.4000000000001</v>
      </c>
    </row>
    <row r="2119" spans="14:15" x14ac:dyDescent="0.75">
      <c r="N2119" s="14">
        <v>38924</v>
      </c>
      <c r="O2119" s="5">
        <v>1133.06</v>
      </c>
    </row>
    <row r="2120" spans="14:15" x14ac:dyDescent="0.75">
      <c r="N2120" s="14">
        <v>38923</v>
      </c>
      <c r="O2120" s="5">
        <v>1132.0999999999999</v>
      </c>
    </row>
    <row r="2121" spans="14:15" x14ac:dyDescent="0.75">
      <c r="N2121" s="14">
        <v>38922</v>
      </c>
      <c r="O2121" s="5">
        <v>1130.51</v>
      </c>
    </row>
    <row r="2122" spans="14:15" x14ac:dyDescent="0.75">
      <c r="N2122" s="14">
        <v>38919</v>
      </c>
      <c r="O2122" s="5">
        <v>1127.99</v>
      </c>
    </row>
    <row r="2123" spans="14:15" x14ac:dyDescent="0.75">
      <c r="N2123" s="14">
        <v>38918</v>
      </c>
      <c r="O2123" s="5">
        <v>1131.01</v>
      </c>
    </row>
    <row r="2124" spans="14:15" x14ac:dyDescent="0.75">
      <c r="N2124" s="14">
        <v>38917</v>
      </c>
      <c r="O2124" s="5">
        <v>1132.1400000000001</v>
      </c>
    </row>
    <row r="2125" spans="14:15" x14ac:dyDescent="0.75">
      <c r="N2125" s="14">
        <v>38916</v>
      </c>
      <c r="O2125" s="5">
        <v>1128.78</v>
      </c>
    </row>
    <row r="2126" spans="14:15" x14ac:dyDescent="0.75">
      <c r="N2126" s="14">
        <v>38915</v>
      </c>
      <c r="O2126" s="5">
        <v>1129.95</v>
      </c>
    </row>
    <row r="2127" spans="14:15" x14ac:dyDescent="0.75">
      <c r="N2127" s="14">
        <v>38912</v>
      </c>
      <c r="O2127" s="5">
        <v>1132.3399999999999</v>
      </c>
    </row>
    <row r="2128" spans="14:15" x14ac:dyDescent="0.75">
      <c r="N2128" s="14">
        <v>38911</v>
      </c>
      <c r="O2128" s="5">
        <v>1134.4100000000001</v>
      </c>
    </row>
    <row r="2129" spans="14:15" x14ac:dyDescent="0.75">
      <c r="N2129" s="14">
        <v>38910</v>
      </c>
      <c r="O2129" s="5">
        <v>1137.5999999999999</v>
      </c>
    </row>
    <row r="2130" spans="14:15" x14ac:dyDescent="0.75">
      <c r="N2130" s="14">
        <v>38909</v>
      </c>
      <c r="O2130" s="5">
        <v>1138.54</v>
      </c>
    </row>
    <row r="2131" spans="14:15" x14ac:dyDescent="0.75">
      <c r="N2131" s="14">
        <v>38908</v>
      </c>
      <c r="O2131" s="5">
        <v>1138.33</v>
      </c>
    </row>
    <row r="2132" spans="14:15" x14ac:dyDescent="0.75">
      <c r="N2132" s="14">
        <v>38905</v>
      </c>
      <c r="O2132" s="5">
        <v>1138.82</v>
      </c>
    </row>
    <row r="2133" spans="14:15" x14ac:dyDescent="0.75">
      <c r="N2133" s="14">
        <v>38904</v>
      </c>
      <c r="O2133" s="5">
        <v>1139.72</v>
      </c>
    </row>
    <row r="2134" spans="14:15" x14ac:dyDescent="0.75">
      <c r="N2134" s="14">
        <v>38903</v>
      </c>
      <c r="O2134" s="5">
        <v>1139.77</v>
      </c>
    </row>
    <row r="2135" spans="14:15" x14ac:dyDescent="0.75">
      <c r="N2135" s="14">
        <v>38901</v>
      </c>
      <c r="O2135" s="5">
        <v>1141.19</v>
      </c>
    </row>
    <row r="2136" spans="14:15" x14ac:dyDescent="0.75">
      <c r="N2136" s="14">
        <v>38898</v>
      </c>
      <c r="O2136" s="5">
        <v>1139.95</v>
      </c>
    </row>
    <row r="2137" spans="14:15" x14ac:dyDescent="0.75">
      <c r="N2137" s="14">
        <v>38897</v>
      </c>
      <c r="O2137" s="5">
        <v>1136.6099999999999</v>
      </c>
    </row>
    <row r="2138" spans="14:15" x14ac:dyDescent="0.75">
      <c r="N2138" s="14">
        <v>38896</v>
      </c>
      <c r="O2138" s="5">
        <v>1132.74</v>
      </c>
    </row>
    <row r="2139" spans="14:15" x14ac:dyDescent="0.75">
      <c r="N2139" s="14">
        <v>38895</v>
      </c>
      <c r="O2139" s="5">
        <v>1133.25</v>
      </c>
    </row>
    <row r="2140" spans="14:15" x14ac:dyDescent="0.75">
      <c r="N2140" s="14">
        <v>38894</v>
      </c>
      <c r="O2140" s="5">
        <v>1135.1600000000001</v>
      </c>
    </row>
    <row r="2141" spans="14:15" x14ac:dyDescent="0.75">
      <c r="N2141" s="14">
        <v>38891</v>
      </c>
      <c r="O2141" s="5">
        <v>1133.54</v>
      </c>
    </row>
    <row r="2142" spans="14:15" x14ac:dyDescent="0.75">
      <c r="N2142" s="14">
        <v>38890</v>
      </c>
      <c r="O2142" s="5">
        <v>1132.45</v>
      </c>
    </row>
    <row r="2143" spans="14:15" x14ac:dyDescent="0.75">
      <c r="N2143" s="14">
        <v>38889</v>
      </c>
      <c r="O2143" s="5">
        <v>1132.6400000000001</v>
      </c>
    </row>
    <row r="2144" spans="14:15" x14ac:dyDescent="0.75">
      <c r="N2144" s="14">
        <v>38888</v>
      </c>
      <c r="O2144" s="5">
        <v>1131.1500000000001</v>
      </c>
    </row>
    <row r="2145" spans="14:15" x14ac:dyDescent="0.75">
      <c r="N2145" s="14">
        <v>38887</v>
      </c>
      <c r="O2145" s="5">
        <v>1131.49</v>
      </c>
    </row>
    <row r="2146" spans="14:15" x14ac:dyDescent="0.75">
      <c r="N2146" s="14">
        <v>38884</v>
      </c>
      <c r="O2146" s="5">
        <v>1132.42</v>
      </c>
    </row>
    <row r="2147" spans="14:15" x14ac:dyDescent="0.75">
      <c r="N2147" s="14">
        <v>38883</v>
      </c>
      <c r="O2147" s="5">
        <v>1132.17</v>
      </c>
    </row>
    <row r="2148" spans="14:15" x14ac:dyDescent="0.75">
      <c r="N2148" s="14">
        <v>38882</v>
      </c>
      <c r="O2148" s="5">
        <v>1125.8</v>
      </c>
    </row>
    <row r="2149" spans="14:15" x14ac:dyDescent="0.75">
      <c r="N2149" s="14">
        <v>38881</v>
      </c>
      <c r="O2149" s="5">
        <v>1124.18</v>
      </c>
    </row>
    <row r="2150" spans="14:15" x14ac:dyDescent="0.75">
      <c r="N2150" s="14">
        <v>38880</v>
      </c>
      <c r="O2150" s="5">
        <v>1131.1099999999999</v>
      </c>
    </row>
    <row r="2151" spans="14:15" x14ac:dyDescent="0.75">
      <c r="N2151" s="14">
        <v>38877</v>
      </c>
      <c r="O2151" s="5">
        <v>1134.3900000000001</v>
      </c>
    </row>
    <row r="2152" spans="14:15" x14ac:dyDescent="0.75">
      <c r="N2152" s="14">
        <v>38876</v>
      </c>
      <c r="O2152" s="5">
        <v>1133.47</v>
      </c>
    </row>
    <row r="2153" spans="14:15" x14ac:dyDescent="0.75">
      <c r="N2153" s="14">
        <v>38875</v>
      </c>
      <c r="O2153" s="5">
        <v>1139.4000000000001</v>
      </c>
    </row>
    <row r="2154" spans="14:15" x14ac:dyDescent="0.75">
      <c r="N2154" s="14">
        <v>38874</v>
      </c>
      <c r="O2154" s="5">
        <v>1141.1099999999999</v>
      </c>
    </row>
    <row r="2155" spans="14:15" x14ac:dyDescent="0.75">
      <c r="N2155" s="14">
        <v>38873</v>
      </c>
      <c r="O2155" s="5">
        <v>1143.8800000000001</v>
      </c>
    </row>
    <row r="2156" spans="14:15" x14ac:dyDescent="0.75">
      <c r="N2156" s="14">
        <v>38870</v>
      </c>
      <c r="O2156" s="5">
        <v>1146.6199999999999</v>
      </c>
    </row>
    <row r="2157" spans="14:15" x14ac:dyDescent="0.75">
      <c r="N2157" s="14">
        <v>38869</v>
      </c>
      <c r="O2157" s="5">
        <v>1145.04</v>
      </c>
    </row>
    <row r="2158" spans="14:15" x14ac:dyDescent="0.75">
      <c r="N2158" s="14">
        <v>38868</v>
      </c>
      <c r="O2158" s="5">
        <v>1143.04</v>
      </c>
    </row>
    <row r="2159" spans="14:15" x14ac:dyDescent="0.75">
      <c r="N2159" s="14">
        <v>38867</v>
      </c>
      <c r="O2159" s="5">
        <v>1141.1600000000001</v>
      </c>
    </row>
    <row r="2160" spans="14:15" x14ac:dyDescent="0.75">
      <c r="N2160" s="14">
        <v>38863</v>
      </c>
      <c r="O2160" s="5">
        <v>1142.19</v>
      </c>
    </row>
    <row r="2161" spans="14:15" x14ac:dyDescent="0.75">
      <c r="N2161" s="14">
        <v>38862</v>
      </c>
      <c r="O2161" s="5">
        <v>1139.7</v>
      </c>
    </row>
    <row r="2162" spans="14:15" x14ac:dyDescent="0.75">
      <c r="N2162" s="14">
        <v>38861</v>
      </c>
      <c r="O2162" s="5">
        <v>1137.5</v>
      </c>
    </row>
    <row r="2163" spans="14:15" x14ac:dyDescent="0.75">
      <c r="N2163" s="14">
        <v>38860</v>
      </c>
      <c r="O2163" s="5">
        <v>1139.49</v>
      </c>
    </row>
    <row r="2164" spans="14:15" x14ac:dyDescent="0.75">
      <c r="N2164" s="14">
        <v>38859</v>
      </c>
      <c r="O2164" s="5">
        <v>1138.07</v>
      </c>
    </row>
    <row r="2165" spans="14:15" x14ac:dyDescent="0.75">
      <c r="N2165" s="14">
        <v>38856</v>
      </c>
      <c r="O2165" s="5">
        <v>1143.52</v>
      </c>
    </row>
    <row r="2166" spans="14:15" x14ac:dyDescent="0.75">
      <c r="N2166" s="14">
        <v>38855</v>
      </c>
      <c r="O2166" s="5">
        <v>1144.56</v>
      </c>
    </row>
    <row r="2167" spans="14:15" x14ac:dyDescent="0.75">
      <c r="N2167" s="14">
        <v>38854</v>
      </c>
      <c r="O2167" s="5">
        <v>1147.9000000000001</v>
      </c>
    </row>
    <row r="2168" spans="14:15" x14ac:dyDescent="0.75">
      <c r="N2168" s="14">
        <v>38853</v>
      </c>
      <c r="O2168" s="5">
        <v>1151.3800000000001</v>
      </c>
    </row>
    <row r="2169" spans="14:15" x14ac:dyDescent="0.75">
      <c r="N2169" s="14">
        <v>38852</v>
      </c>
      <c r="O2169" s="5">
        <v>1152.02</v>
      </c>
    </row>
    <row r="2170" spans="14:15" x14ac:dyDescent="0.75">
      <c r="N2170" s="14">
        <v>38849</v>
      </c>
      <c r="O2170" s="5">
        <v>1156.81</v>
      </c>
    </row>
    <row r="2171" spans="14:15" x14ac:dyDescent="0.75">
      <c r="N2171" s="14">
        <v>38848</v>
      </c>
      <c r="O2171" s="5">
        <v>1160.55</v>
      </c>
    </row>
    <row r="2172" spans="14:15" x14ac:dyDescent="0.75">
      <c r="N2172" s="14">
        <v>38847</v>
      </c>
      <c r="O2172" s="5">
        <v>1159.69</v>
      </c>
    </row>
    <row r="2173" spans="14:15" x14ac:dyDescent="0.75">
      <c r="N2173" s="14">
        <v>38846</v>
      </c>
      <c r="O2173" s="5">
        <v>1159.2</v>
      </c>
    </row>
    <row r="2174" spans="14:15" x14ac:dyDescent="0.75">
      <c r="N2174" s="14">
        <v>38845</v>
      </c>
      <c r="O2174" s="5">
        <v>1158.05</v>
      </c>
    </row>
    <row r="2175" spans="14:15" x14ac:dyDescent="0.75">
      <c r="N2175" s="14">
        <v>38842</v>
      </c>
      <c r="O2175" s="5">
        <v>1156.7</v>
      </c>
    </row>
    <row r="2176" spans="14:15" x14ac:dyDescent="0.75">
      <c r="N2176" s="14">
        <v>38841</v>
      </c>
      <c r="O2176" s="5">
        <v>1154.4000000000001</v>
      </c>
    </row>
    <row r="2177" spans="14:15" x14ac:dyDescent="0.75">
      <c r="N2177" s="14">
        <v>38840</v>
      </c>
      <c r="O2177" s="5">
        <v>1153</v>
      </c>
    </row>
    <row r="2178" spans="14:15" x14ac:dyDescent="0.75">
      <c r="N2178" s="14">
        <v>38839</v>
      </c>
      <c r="O2178" s="5">
        <v>1153.05</v>
      </c>
    </row>
    <row r="2179" spans="14:15" x14ac:dyDescent="0.75">
      <c r="N2179" s="14">
        <v>38838</v>
      </c>
      <c r="O2179" s="5">
        <v>1150.6500000000001</v>
      </c>
    </row>
    <row r="2180" spans="14:15" x14ac:dyDescent="0.75">
      <c r="N2180" s="14">
        <v>38835</v>
      </c>
      <c r="O2180" s="5">
        <v>1149.8900000000001</v>
      </c>
    </row>
    <row r="2181" spans="14:15" x14ac:dyDescent="0.75">
      <c r="N2181" s="14">
        <v>38834</v>
      </c>
      <c r="O2181" s="5">
        <v>1148.76</v>
      </c>
    </row>
    <row r="2182" spans="14:15" x14ac:dyDescent="0.75">
      <c r="N2182" s="14">
        <v>38833</v>
      </c>
      <c r="O2182" s="5">
        <v>1149.78</v>
      </c>
    </row>
    <row r="2183" spans="14:15" x14ac:dyDescent="0.75">
      <c r="N2183" s="14">
        <v>38832</v>
      </c>
      <c r="O2183" s="5">
        <v>1148.77</v>
      </c>
    </row>
    <row r="2184" spans="14:15" x14ac:dyDescent="0.75">
      <c r="N2184" s="14">
        <v>38831</v>
      </c>
      <c r="O2184" s="5">
        <v>1147.81</v>
      </c>
    </row>
    <row r="2185" spans="14:15" x14ac:dyDescent="0.75">
      <c r="N2185" s="14">
        <v>38828</v>
      </c>
      <c r="O2185" s="5">
        <v>1150.0999999999999</v>
      </c>
    </row>
    <row r="2186" spans="14:15" x14ac:dyDescent="0.75">
      <c r="N2186" s="14">
        <v>38827</v>
      </c>
      <c r="O2186" s="5">
        <v>1148.03</v>
      </c>
    </row>
    <row r="2187" spans="14:15" x14ac:dyDescent="0.75">
      <c r="N2187" s="14">
        <v>38826</v>
      </c>
      <c r="O2187" s="5">
        <v>1148.47</v>
      </c>
    </row>
    <row r="2188" spans="14:15" x14ac:dyDescent="0.75">
      <c r="N2188" s="14">
        <v>38825</v>
      </c>
      <c r="O2188" s="5">
        <v>1145.9100000000001</v>
      </c>
    </row>
    <row r="2189" spans="14:15" x14ac:dyDescent="0.75">
      <c r="N2189" s="14">
        <v>38824</v>
      </c>
      <c r="O2189" s="5">
        <v>1143.43</v>
      </c>
    </row>
    <row r="2190" spans="14:15" x14ac:dyDescent="0.75">
      <c r="N2190" s="14">
        <v>38820</v>
      </c>
      <c r="O2190" s="5">
        <v>1142.93</v>
      </c>
    </row>
    <row r="2191" spans="14:15" x14ac:dyDescent="0.75">
      <c r="N2191" s="14">
        <v>38819</v>
      </c>
      <c r="O2191" s="5">
        <v>1142.44</v>
      </c>
    </row>
    <row r="2192" spans="14:15" x14ac:dyDescent="0.75">
      <c r="N2192" s="14">
        <v>38818</v>
      </c>
      <c r="O2192" s="5">
        <v>1142.8399999999999</v>
      </c>
    </row>
    <row r="2193" spans="14:15" x14ac:dyDescent="0.75">
      <c r="N2193" s="14">
        <v>38817</v>
      </c>
      <c r="O2193" s="5">
        <v>1144.3499999999999</v>
      </c>
    </row>
    <row r="2194" spans="14:15" x14ac:dyDescent="0.75">
      <c r="N2194" s="14">
        <v>38814</v>
      </c>
      <c r="O2194" s="5">
        <v>1144.55</v>
      </c>
    </row>
    <row r="2195" spans="14:15" x14ac:dyDescent="0.75">
      <c r="N2195" s="14">
        <v>38813</v>
      </c>
      <c r="O2195" s="5">
        <v>1144.93</v>
      </c>
    </row>
    <row r="2196" spans="14:15" x14ac:dyDescent="0.75">
      <c r="N2196" s="14">
        <v>38812</v>
      </c>
      <c r="O2196" s="5">
        <v>1143.3</v>
      </c>
    </row>
    <row r="2197" spans="14:15" x14ac:dyDescent="0.75">
      <c r="N2197" s="14">
        <v>38811</v>
      </c>
      <c r="O2197" s="5">
        <v>1141.96</v>
      </c>
    </row>
    <row r="2198" spans="14:15" x14ac:dyDescent="0.75">
      <c r="N2198" s="14">
        <v>38810</v>
      </c>
      <c r="O2198" s="5">
        <v>1141.5899999999999</v>
      </c>
    </row>
    <row r="2199" spans="14:15" x14ac:dyDescent="0.75">
      <c r="N2199" s="14">
        <v>38807</v>
      </c>
      <c r="O2199" s="5">
        <v>1139.5899999999999</v>
      </c>
    </row>
    <row r="2200" spans="14:15" x14ac:dyDescent="0.75">
      <c r="N2200" s="14">
        <v>38806</v>
      </c>
      <c r="O2200" s="5">
        <v>1139.5</v>
      </c>
    </row>
    <row r="2201" spans="14:15" x14ac:dyDescent="0.75">
      <c r="N2201" s="14">
        <v>38805</v>
      </c>
      <c r="O2201" s="5">
        <v>1137.44</v>
      </c>
    </row>
    <row r="2202" spans="14:15" x14ac:dyDescent="0.75">
      <c r="N2202" s="14">
        <v>38804</v>
      </c>
      <c r="O2202" s="5">
        <v>1136.1099999999999</v>
      </c>
    </row>
    <row r="2203" spans="14:15" x14ac:dyDescent="0.75">
      <c r="N2203" s="14">
        <v>38803</v>
      </c>
      <c r="O2203" s="5">
        <v>1136.3900000000001</v>
      </c>
    </row>
    <row r="2204" spans="14:15" x14ac:dyDescent="0.75">
      <c r="N2204" s="14">
        <v>38800</v>
      </c>
      <c r="O2204" s="5">
        <v>1136.54</v>
      </c>
    </row>
    <row r="2205" spans="14:15" x14ac:dyDescent="0.75">
      <c r="N2205" s="14">
        <v>38799</v>
      </c>
      <c r="O2205" s="5">
        <v>1135.32</v>
      </c>
    </row>
    <row r="2206" spans="14:15" x14ac:dyDescent="0.75">
      <c r="N2206" s="14">
        <v>38798</v>
      </c>
      <c r="O2206" s="5">
        <v>1135.23</v>
      </c>
    </row>
    <row r="2207" spans="14:15" x14ac:dyDescent="0.75">
      <c r="N2207" s="14">
        <v>38797</v>
      </c>
      <c r="O2207" s="5">
        <v>1135.49</v>
      </c>
    </row>
    <row r="2208" spans="14:15" x14ac:dyDescent="0.75">
      <c r="N2208" s="14">
        <v>38796</v>
      </c>
      <c r="O2208" s="5">
        <v>1135.5999999999999</v>
      </c>
    </row>
    <row r="2209" spans="14:15" x14ac:dyDescent="0.75">
      <c r="N2209" s="14">
        <v>38793</v>
      </c>
      <c r="O2209" s="5">
        <v>1135.82</v>
      </c>
    </row>
    <row r="2210" spans="14:15" x14ac:dyDescent="0.75">
      <c r="N2210" s="14">
        <v>38792</v>
      </c>
      <c r="O2210" s="5">
        <v>1134.81</v>
      </c>
    </row>
    <row r="2211" spans="14:15" x14ac:dyDescent="0.75">
      <c r="N2211" s="14">
        <v>38791</v>
      </c>
      <c r="O2211" s="5">
        <v>1134.8</v>
      </c>
    </row>
    <row r="2212" spans="14:15" x14ac:dyDescent="0.75">
      <c r="N2212" s="14">
        <v>38790</v>
      </c>
      <c r="O2212" s="5">
        <v>1132.97</v>
      </c>
    </row>
    <row r="2213" spans="14:15" x14ac:dyDescent="0.75">
      <c r="N2213" s="14">
        <v>38789</v>
      </c>
      <c r="O2213" s="5">
        <v>1132.26</v>
      </c>
    </row>
    <row r="2214" spans="14:15" x14ac:dyDescent="0.75">
      <c r="N2214" s="14">
        <v>38786</v>
      </c>
      <c r="O2214" s="5">
        <v>1130.45</v>
      </c>
    </row>
    <row r="2215" spans="14:15" x14ac:dyDescent="0.75">
      <c r="N2215" s="14">
        <v>38785</v>
      </c>
      <c r="O2215" s="5">
        <v>1129.33</v>
      </c>
    </row>
    <row r="2216" spans="14:15" x14ac:dyDescent="0.75">
      <c r="N2216" s="14">
        <v>38784</v>
      </c>
      <c r="O2216" s="5">
        <v>1128.42</v>
      </c>
    </row>
    <row r="2217" spans="14:15" x14ac:dyDescent="0.75">
      <c r="N2217" s="14">
        <v>38783</v>
      </c>
      <c r="O2217" s="5">
        <v>1130.49</v>
      </c>
    </row>
    <row r="2218" spans="14:15" x14ac:dyDescent="0.75">
      <c r="N2218" s="14">
        <v>38782</v>
      </c>
      <c r="O2218" s="5">
        <v>1134.07</v>
      </c>
    </row>
    <row r="2219" spans="14:15" x14ac:dyDescent="0.75">
      <c r="N2219" s="14">
        <v>38779</v>
      </c>
      <c r="O2219" s="5">
        <v>1134.45</v>
      </c>
    </row>
    <row r="2220" spans="14:15" x14ac:dyDescent="0.75">
      <c r="N2220" s="14">
        <v>38778</v>
      </c>
      <c r="O2220" s="5">
        <v>1134.57</v>
      </c>
    </row>
    <row r="2221" spans="14:15" x14ac:dyDescent="0.75">
      <c r="N2221" s="14">
        <v>38777</v>
      </c>
      <c r="O2221" s="5">
        <v>1134.3800000000001</v>
      </c>
    </row>
    <row r="2222" spans="14:15" x14ac:dyDescent="0.75">
      <c r="N2222" s="14">
        <v>38776</v>
      </c>
      <c r="O2222" s="5">
        <v>1132.8</v>
      </c>
    </row>
    <row r="2223" spans="14:15" x14ac:dyDescent="0.75">
      <c r="N2223" s="14">
        <v>38775</v>
      </c>
      <c r="O2223" s="5">
        <v>1135.3599999999999</v>
      </c>
    </row>
    <row r="2224" spans="14:15" x14ac:dyDescent="0.75">
      <c r="N2224" s="14">
        <v>38772</v>
      </c>
      <c r="O2224" s="5">
        <v>1134.27</v>
      </c>
    </row>
    <row r="2225" spans="14:15" x14ac:dyDescent="0.75">
      <c r="N2225" s="14">
        <v>38771</v>
      </c>
      <c r="O2225" s="5">
        <v>1133.06</v>
      </c>
    </row>
    <row r="2226" spans="14:15" x14ac:dyDescent="0.75">
      <c r="N2226" s="14">
        <v>38770</v>
      </c>
      <c r="O2226" s="5">
        <v>1132.27</v>
      </c>
    </row>
    <row r="2227" spans="14:15" x14ac:dyDescent="0.75">
      <c r="N2227" s="14">
        <v>38769</v>
      </c>
      <c r="O2227" s="5">
        <v>1132.01</v>
      </c>
    </row>
    <row r="2228" spans="14:15" x14ac:dyDescent="0.75">
      <c r="N2228" s="14">
        <v>38765</v>
      </c>
      <c r="O2228" s="5">
        <v>1132.3800000000001</v>
      </c>
    </row>
    <row r="2229" spans="14:15" x14ac:dyDescent="0.75">
      <c r="N2229" s="14">
        <v>38764</v>
      </c>
      <c r="O2229" s="5">
        <v>1132.27</v>
      </c>
    </row>
    <row r="2230" spans="14:15" x14ac:dyDescent="0.75">
      <c r="N2230" s="14">
        <v>38763</v>
      </c>
      <c r="O2230" s="5">
        <v>1130.77</v>
      </c>
    </row>
    <row r="2231" spans="14:15" x14ac:dyDescent="0.75">
      <c r="N2231" s="14">
        <v>38762</v>
      </c>
      <c r="O2231" s="5">
        <v>1130.31</v>
      </c>
    </row>
    <row r="2232" spans="14:15" x14ac:dyDescent="0.75">
      <c r="N2232" s="14">
        <v>38761</v>
      </c>
      <c r="O2232" s="5">
        <v>1128.74</v>
      </c>
    </row>
    <row r="2233" spans="14:15" x14ac:dyDescent="0.75">
      <c r="N2233" s="14">
        <v>38758</v>
      </c>
      <c r="O2233" s="5">
        <v>1131.8399999999999</v>
      </c>
    </row>
    <row r="2234" spans="14:15" x14ac:dyDescent="0.75">
      <c r="N2234" s="14">
        <v>38757</v>
      </c>
      <c r="O2234" s="5">
        <v>1132.53</v>
      </c>
    </row>
    <row r="2235" spans="14:15" x14ac:dyDescent="0.75">
      <c r="N2235" s="14">
        <v>38756</v>
      </c>
      <c r="O2235" s="5">
        <v>1132.01</v>
      </c>
    </row>
    <row r="2236" spans="14:15" x14ac:dyDescent="0.75">
      <c r="N2236" s="14">
        <v>38755</v>
      </c>
      <c r="O2236" s="5">
        <v>1132.6400000000001</v>
      </c>
    </row>
    <row r="2237" spans="14:15" x14ac:dyDescent="0.75">
      <c r="N2237" s="14">
        <v>38754</v>
      </c>
      <c r="O2237" s="5">
        <v>1133.7</v>
      </c>
    </row>
    <row r="2238" spans="14:15" x14ac:dyDescent="0.75">
      <c r="N2238" s="14">
        <v>38751</v>
      </c>
      <c r="O2238" s="5">
        <v>1133.31</v>
      </c>
    </row>
    <row r="2239" spans="14:15" x14ac:dyDescent="0.75">
      <c r="N2239" s="14">
        <v>38750</v>
      </c>
      <c r="O2239" s="5">
        <v>1133.49</v>
      </c>
    </row>
    <row r="2240" spans="14:15" x14ac:dyDescent="0.75">
      <c r="N2240" s="14">
        <v>38749</v>
      </c>
      <c r="O2240" s="5">
        <v>1133.78</v>
      </c>
    </row>
    <row r="2241" spans="14:15" x14ac:dyDescent="0.75">
      <c r="N2241" s="14">
        <v>38748</v>
      </c>
      <c r="O2241" s="5">
        <v>1132.46</v>
      </c>
    </row>
    <row r="2242" spans="14:15" x14ac:dyDescent="0.75">
      <c r="N2242" s="14">
        <v>38747</v>
      </c>
      <c r="O2242" s="5">
        <v>1131.43</v>
      </c>
    </row>
    <row r="2243" spans="14:15" x14ac:dyDescent="0.75">
      <c r="N2243" s="14">
        <v>38744</v>
      </c>
      <c r="O2243" s="5">
        <v>1130.68</v>
      </c>
    </row>
    <row r="2244" spans="14:15" x14ac:dyDescent="0.75">
      <c r="N2244" s="14">
        <v>38743</v>
      </c>
      <c r="O2244" s="5">
        <v>1128.3399999999999</v>
      </c>
    </row>
    <row r="2245" spans="14:15" x14ac:dyDescent="0.75">
      <c r="N2245" s="14">
        <v>38742</v>
      </c>
      <c r="O2245" s="5">
        <v>1126.82</v>
      </c>
    </row>
    <row r="2246" spans="14:15" x14ac:dyDescent="0.75">
      <c r="N2246" s="14">
        <v>38741</v>
      </c>
      <c r="O2246" s="5">
        <v>1126.31</v>
      </c>
    </row>
    <row r="2247" spans="14:15" x14ac:dyDescent="0.75">
      <c r="N2247" s="14">
        <v>38740</v>
      </c>
      <c r="O2247" s="5">
        <v>1124.99</v>
      </c>
    </row>
    <row r="2248" spans="14:15" x14ac:dyDescent="0.75">
      <c r="N2248" s="14">
        <v>38737</v>
      </c>
      <c r="O2248" s="5">
        <v>1124.74</v>
      </c>
    </row>
    <row r="2249" spans="14:15" x14ac:dyDescent="0.75">
      <c r="N2249" s="14">
        <v>38736</v>
      </c>
      <c r="O2249" s="5">
        <v>1125.72</v>
      </c>
    </row>
    <row r="2250" spans="14:15" x14ac:dyDescent="0.75">
      <c r="N2250" s="14">
        <v>38735</v>
      </c>
      <c r="O2250" s="5">
        <v>1122.78</v>
      </c>
    </row>
    <row r="2251" spans="14:15" x14ac:dyDescent="0.75">
      <c r="N2251" s="14">
        <v>38734</v>
      </c>
      <c r="O2251" s="5">
        <v>1125.22</v>
      </c>
    </row>
    <row r="2252" spans="14:15" x14ac:dyDescent="0.75">
      <c r="N2252" s="14">
        <v>38730</v>
      </c>
      <c r="O2252" s="5">
        <v>1125.1600000000001</v>
      </c>
    </row>
    <row r="2253" spans="14:15" x14ac:dyDescent="0.75">
      <c r="N2253" s="14">
        <v>38729</v>
      </c>
      <c r="O2253" s="5">
        <v>1125.01</v>
      </c>
    </row>
    <row r="2254" spans="14:15" x14ac:dyDescent="0.75">
      <c r="N2254" s="14">
        <v>38728</v>
      </c>
      <c r="O2254" s="5">
        <v>1124.31</v>
      </c>
    </row>
    <row r="2255" spans="14:15" x14ac:dyDescent="0.75">
      <c r="N2255" s="14">
        <v>38727</v>
      </c>
      <c r="O2255" s="5">
        <v>1122.93</v>
      </c>
    </row>
    <row r="2256" spans="14:15" x14ac:dyDescent="0.75">
      <c r="N2256" s="14">
        <v>38726</v>
      </c>
      <c r="O2256" s="5">
        <v>1123.1600000000001</v>
      </c>
    </row>
    <row r="2257" spans="14:15" x14ac:dyDescent="0.75">
      <c r="N2257" s="14">
        <v>38723</v>
      </c>
      <c r="O2257" s="5">
        <v>1120.5999999999999</v>
      </c>
    </row>
    <row r="2258" spans="14:15" x14ac:dyDescent="0.75">
      <c r="N2258" s="14">
        <v>38722</v>
      </c>
      <c r="O2258" s="5">
        <v>1118.5999999999999</v>
      </c>
    </row>
    <row r="2259" spans="14:15" x14ac:dyDescent="0.75">
      <c r="N2259" s="14">
        <v>38721</v>
      </c>
      <c r="O2259" s="5">
        <v>1118.04</v>
      </c>
    </row>
    <row r="2260" spans="14:15" x14ac:dyDescent="0.75">
      <c r="N2260" s="14">
        <v>38720</v>
      </c>
      <c r="O2260" s="5">
        <v>1115.1099999999999</v>
      </c>
    </row>
    <row r="2261" spans="14:15" x14ac:dyDescent="0.75">
      <c r="N2261" s="14">
        <v>38716</v>
      </c>
      <c r="O2261" s="5">
        <v>1113.02</v>
      </c>
    </row>
    <row r="2262" spans="14:15" x14ac:dyDescent="0.75">
      <c r="N2262" s="14">
        <v>38715</v>
      </c>
      <c r="O2262" s="5">
        <v>1111.67</v>
      </c>
    </row>
    <row r="2263" spans="14:15" x14ac:dyDescent="0.75">
      <c r="N2263" s="14">
        <v>38714</v>
      </c>
      <c r="O2263" s="5">
        <v>1110.3399999999999</v>
      </c>
    </row>
    <row r="2264" spans="14:15" x14ac:dyDescent="0.75">
      <c r="N2264" s="14">
        <v>38713</v>
      </c>
      <c r="O2264" s="5">
        <v>1109.32</v>
      </c>
    </row>
    <row r="2265" spans="14:15" x14ac:dyDescent="0.75">
      <c r="N2265" s="14">
        <v>38709</v>
      </c>
      <c r="O2265" s="5">
        <v>1110.75</v>
      </c>
    </row>
    <row r="2266" spans="14:15" x14ac:dyDescent="0.75">
      <c r="N2266" s="14">
        <v>38708</v>
      </c>
      <c r="O2266" s="5">
        <v>1110.51</v>
      </c>
    </row>
    <row r="2267" spans="14:15" x14ac:dyDescent="0.75">
      <c r="N2267" s="14">
        <v>38707</v>
      </c>
      <c r="O2267" s="5">
        <v>1110.28</v>
      </c>
    </row>
    <row r="2268" spans="14:15" x14ac:dyDescent="0.75">
      <c r="N2268" s="14">
        <v>38706</v>
      </c>
      <c r="O2268" s="5">
        <v>1108.3800000000001</v>
      </c>
    </row>
    <row r="2269" spans="14:15" x14ac:dyDescent="0.75">
      <c r="N2269" s="14">
        <v>38705</v>
      </c>
      <c r="O2269" s="5">
        <v>1107.2</v>
      </c>
    </row>
    <row r="2270" spans="14:15" x14ac:dyDescent="0.75">
      <c r="N2270" s="14">
        <v>38702</v>
      </c>
      <c r="O2270" s="5">
        <v>1108.73</v>
      </c>
    </row>
    <row r="2271" spans="14:15" x14ac:dyDescent="0.75">
      <c r="N2271" s="14">
        <v>38701</v>
      </c>
      <c r="O2271" s="5">
        <v>1107.79</v>
      </c>
    </row>
    <row r="2272" spans="14:15" x14ac:dyDescent="0.75">
      <c r="N2272" s="14">
        <v>38700</v>
      </c>
      <c r="O2272" s="5">
        <v>1108.72</v>
      </c>
    </row>
    <row r="2273" spans="14:15" x14ac:dyDescent="0.75">
      <c r="N2273" s="14">
        <v>38699</v>
      </c>
      <c r="O2273" s="5">
        <v>1109.22</v>
      </c>
    </row>
    <row r="2274" spans="14:15" x14ac:dyDescent="0.75">
      <c r="N2274" s="14">
        <v>38698</v>
      </c>
      <c r="O2274" s="5">
        <v>1108.9100000000001</v>
      </c>
    </row>
    <row r="2275" spans="14:15" x14ac:dyDescent="0.75">
      <c r="N2275" s="14">
        <v>38695</v>
      </c>
      <c r="O2275" s="5">
        <v>1108.52</v>
      </c>
    </row>
    <row r="2276" spans="14:15" x14ac:dyDescent="0.75">
      <c r="N2276" s="14">
        <v>38694</v>
      </c>
      <c r="O2276" s="5">
        <v>1107.69</v>
      </c>
    </row>
    <row r="2277" spans="14:15" x14ac:dyDescent="0.75">
      <c r="N2277" s="14">
        <v>38693</v>
      </c>
      <c r="O2277" s="5">
        <v>1108.05</v>
      </c>
    </row>
    <row r="2278" spans="14:15" x14ac:dyDescent="0.75">
      <c r="N2278" s="14">
        <v>38692</v>
      </c>
      <c r="O2278" s="5">
        <v>1108.29</v>
      </c>
    </row>
    <row r="2279" spans="14:15" x14ac:dyDescent="0.75">
      <c r="N2279" s="14">
        <v>38691</v>
      </c>
      <c r="O2279" s="5">
        <v>1107.08</v>
      </c>
    </row>
    <row r="2280" spans="14:15" x14ac:dyDescent="0.75">
      <c r="N2280" s="14">
        <v>38688</v>
      </c>
      <c r="O2280" s="5">
        <v>1105.74</v>
      </c>
    </row>
    <row r="2281" spans="14:15" x14ac:dyDescent="0.75">
      <c r="N2281" s="14">
        <v>38687</v>
      </c>
      <c r="O2281" s="5">
        <v>1104.31</v>
      </c>
    </row>
    <row r="2282" spans="14:15" x14ac:dyDescent="0.75">
      <c r="N2282" s="14">
        <v>38686</v>
      </c>
      <c r="O2282" s="5">
        <v>1101.1199999999999</v>
      </c>
    </row>
    <row r="2283" spans="14:15" x14ac:dyDescent="0.75">
      <c r="N2283" s="14">
        <v>38685</v>
      </c>
      <c r="O2283" s="5">
        <v>1100.45</v>
      </c>
    </row>
    <row r="2284" spans="14:15" x14ac:dyDescent="0.75">
      <c r="N2284" s="14">
        <v>38684</v>
      </c>
      <c r="O2284" s="5">
        <v>1099.44</v>
      </c>
    </row>
    <row r="2285" spans="14:15" x14ac:dyDescent="0.75">
      <c r="N2285" s="14">
        <v>38681</v>
      </c>
      <c r="O2285" s="5">
        <v>1100.8699999999999</v>
      </c>
    </row>
    <row r="2286" spans="14:15" x14ac:dyDescent="0.75">
      <c r="N2286" s="14">
        <v>38679</v>
      </c>
      <c r="O2286" s="5">
        <v>1100.26</v>
      </c>
    </row>
    <row r="2287" spans="14:15" x14ac:dyDescent="0.75">
      <c r="N2287" s="14">
        <v>38678</v>
      </c>
      <c r="O2287" s="5">
        <v>1099.33</v>
      </c>
    </row>
    <row r="2288" spans="14:15" x14ac:dyDescent="0.75">
      <c r="N2288" s="14">
        <v>38677</v>
      </c>
      <c r="O2288" s="5">
        <v>1098.77</v>
      </c>
    </row>
    <row r="2289" spans="14:15" x14ac:dyDescent="0.75">
      <c r="N2289" s="14">
        <v>38674</v>
      </c>
      <c r="O2289" s="5">
        <v>1097.81</v>
      </c>
    </row>
    <row r="2290" spans="14:15" x14ac:dyDescent="0.75">
      <c r="N2290" s="14">
        <v>38673</v>
      </c>
      <c r="O2290" s="5">
        <v>1096.32</v>
      </c>
    </row>
    <row r="2291" spans="14:15" x14ac:dyDescent="0.75">
      <c r="N2291" s="14">
        <v>38672</v>
      </c>
      <c r="O2291" s="5">
        <v>1093.94</v>
      </c>
    </row>
    <row r="2292" spans="14:15" x14ac:dyDescent="0.75">
      <c r="N2292" s="14">
        <v>38671</v>
      </c>
      <c r="O2292" s="5">
        <v>1094.0999999999999</v>
      </c>
    </row>
    <row r="2293" spans="14:15" x14ac:dyDescent="0.75">
      <c r="N2293" s="14">
        <v>38670</v>
      </c>
      <c r="O2293" s="5">
        <v>1094.55</v>
      </c>
    </row>
    <row r="2294" spans="14:15" x14ac:dyDescent="0.75">
      <c r="N2294" s="14">
        <v>38667</v>
      </c>
      <c r="O2294" s="5">
        <v>1094.95</v>
      </c>
    </row>
    <row r="2295" spans="14:15" x14ac:dyDescent="0.75">
      <c r="N2295" s="14">
        <v>38666</v>
      </c>
      <c r="O2295" s="5">
        <v>1093.94</v>
      </c>
    </row>
    <row r="2296" spans="14:15" x14ac:dyDescent="0.75">
      <c r="N2296" s="14">
        <v>38665</v>
      </c>
      <c r="O2296" s="5">
        <v>1093.78</v>
      </c>
    </row>
    <row r="2297" spans="14:15" x14ac:dyDescent="0.75">
      <c r="N2297" s="14">
        <v>38664</v>
      </c>
      <c r="O2297" s="5">
        <v>1093.29</v>
      </c>
    </row>
    <row r="2298" spans="14:15" x14ac:dyDescent="0.75">
      <c r="N2298" s="14">
        <v>38663</v>
      </c>
      <c r="O2298" s="5">
        <v>1094.56</v>
      </c>
    </row>
    <row r="2299" spans="14:15" x14ac:dyDescent="0.75">
      <c r="N2299" s="14">
        <v>38660</v>
      </c>
      <c r="O2299" s="5">
        <v>1094.29</v>
      </c>
    </row>
    <row r="2300" spans="14:15" x14ac:dyDescent="0.75">
      <c r="N2300" s="14">
        <v>38659</v>
      </c>
      <c r="O2300" s="5">
        <v>1093.32</v>
      </c>
    </row>
    <row r="2301" spans="14:15" x14ac:dyDescent="0.75">
      <c r="N2301" s="14">
        <v>38658</v>
      </c>
      <c r="O2301" s="5">
        <v>1092.78</v>
      </c>
    </row>
    <row r="2302" spans="14:15" x14ac:dyDescent="0.75">
      <c r="N2302" s="14">
        <v>38657</v>
      </c>
      <c r="O2302" s="5">
        <v>1090.8699999999999</v>
      </c>
    </row>
    <row r="2303" spans="14:15" x14ac:dyDescent="0.75">
      <c r="N2303" s="14">
        <v>38656</v>
      </c>
      <c r="O2303" s="5">
        <v>1090.55</v>
      </c>
    </row>
    <row r="2304" spans="14:15" x14ac:dyDescent="0.75">
      <c r="N2304" s="14">
        <v>38653</v>
      </c>
      <c r="O2304" s="5">
        <v>1086.73</v>
      </c>
    </row>
    <row r="2305" spans="14:15" x14ac:dyDescent="0.75">
      <c r="N2305" s="14">
        <v>38652</v>
      </c>
      <c r="O2305" s="5">
        <v>1086.03</v>
      </c>
    </row>
    <row r="2306" spans="14:15" x14ac:dyDescent="0.75">
      <c r="N2306" s="14">
        <v>38651</v>
      </c>
      <c r="O2306" s="5">
        <v>1089.0999999999999</v>
      </c>
    </row>
    <row r="2307" spans="14:15" x14ac:dyDescent="0.75">
      <c r="N2307" s="14">
        <v>38650</v>
      </c>
      <c r="O2307" s="5">
        <v>1090.1199999999999</v>
      </c>
    </row>
    <row r="2308" spans="14:15" x14ac:dyDescent="0.75">
      <c r="N2308" s="14">
        <v>38649</v>
      </c>
      <c r="O2308" s="5">
        <v>1090.0999999999999</v>
      </c>
    </row>
    <row r="2309" spans="14:15" x14ac:dyDescent="0.75">
      <c r="N2309" s="14">
        <v>38646</v>
      </c>
      <c r="O2309" s="5">
        <v>1087.1600000000001</v>
      </c>
    </row>
    <row r="2310" spans="14:15" x14ac:dyDescent="0.75">
      <c r="N2310" s="14">
        <v>38645</v>
      </c>
      <c r="O2310" s="5">
        <v>1086.79</v>
      </c>
    </row>
    <row r="2311" spans="14:15" x14ac:dyDescent="0.75">
      <c r="N2311" s="14">
        <v>38644</v>
      </c>
      <c r="O2311" s="5">
        <v>1089.3</v>
      </c>
    </row>
    <row r="2312" spans="14:15" x14ac:dyDescent="0.75">
      <c r="N2312" s="14">
        <v>38643</v>
      </c>
      <c r="O2312" s="5">
        <v>1090.98</v>
      </c>
    </row>
    <row r="2313" spans="14:15" x14ac:dyDescent="0.75">
      <c r="N2313" s="14">
        <v>38642</v>
      </c>
      <c r="O2313" s="5">
        <v>1094.8</v>
      </c>
    </row>
    <row r="2314" spans="14:15" x14ac:dyDescent="0.75">
      <c r="N2314" s="14">
        <v>38639</v>
      </c>
      <c r="O2314" s="5">
        <v>1093.1199999999999</v>
      </c>
    </row>
    <row r="2315" spans="14:15" x14ac:dyDescent="0.75">
      <c r="N2315" s="14">
        <v>38638</v>
      </c>
      <c r="O2315" s="5">
        <v>1091.98</v>
      </c>
    </row>
    <row r="2316" spans="14:15" x14ac:dyDescent="0.75">
      <c r="N2316" s="14">
        <v>38637</v>
      </c>
      <c r="O2316" s="5">
        <v>1095.4000000000001</v>
      </c>
    </row>
    <row r="2317" spans="14:15" x14ac:dyDescent="0.75">
      <c r="N2317" s="14">
        <v>38636</v>
      </c>
      <c r="O2317" s="5">
        <v>1099.78</v>
      </c>
    </row>
    <row r="2318" spans="14:15" x14ac:dyDescent="0.75">
      <c r="N2318" s="14">
        <v>38635</v>
      </c>
      <c r="O2318" s="5">
        <v>1099.49</v>
      </c>
    </row>
    <row r="2319" spans="14:15" x14ac:dyDescent="0.75">
      <c r="N2319" s="14">
        <v>38632</v>
      </c>
      <c r="O2319" s="5">
        <v>1101.0999999999999</v>
      </c>
    </row>
    <row r="2320" spans="14:15" x14ac:dyDescent="0.75">
      <c r="N2320" s="14">
        <v>38631</v>
      </c>
      <c r="O2320" s="5">
        <v>1099.97</v>
      </c>
    </row>
    <row r="2321" spans="14:15" x14ac:dyDescent="0.75">
      <c r="N2321" s="14">
        <v>38630</v>
      </c>
      <c r="O2321" s="5">
        <v>1103.02</v>
      </c>
    </row>
    <row r="2322" spans="14:15" x14ac:dyDescent="0.75">
      <c r="N2322" s="14">
        <v>38629</v>
      </c>
      <c r="O2322" s="5">
        <v>1107.31</v>
      </c>
    </row>
    <row r="2323" spans="14:15" x14ac:dyDescent="0.75">
      <c r="N2323" s="14">
        <v>38628</v>
      </c>
      <c r="O2323" s="5">
        <v>1108.05</v>
      </c>
    </row>
    <row r="2324" spans="14:15" x14ac:dyDescent="0.75">
      <c r="N2324" s="14">
        <v>38625</v>
      </c>
      <c r="O2324" s="5">
        <v>1108.1300000000001</v>
      </c>
    </row>
    <row r="2325" spans="14:15" x14ac:dyDescent="0.75">
      <c r="N2325" s="14">
        <v>38624</v>
      </c>
      <c r="O2325" s="5">
        <v>1106.26</v>
      </c>
    </row>
    <row r="2326" spans="14:15" x14ac:dyDescent="0.75">
      <c r="N2326" s="14">
        <v>38623</v>
      </c>
      <c r="O2326" s="5">
        <v>1105.3399999999999</v>
      </c>
    </row>
    <row r="2327" spans="14:15" x14ac:dyDescent="0.75">
      <c r="N2327" s="14">
        <v>38622</v>
      </c>
      <c r="O2327" s="5">
        <v>1104.07</v>
      </c>
    </row>
    <row r="2328" spans="14:15" x14ac:dyDescent="0.75">
      <c r="N2328" s="14">
        <v>38621</v>
      </c>
      <c r="O2328" s="5">
        <v>1104.5899999999999</v>
      </c>
    </row>
    <row r="2329" spans="14:15" x14ac:dyDescent="0.75">
      <c r="N2329" s="14">
        <v>38618</v>
      </c>
      <c r="O2329" s="5">
        <v>1102.54</v>
      </c>
    </row>
    <row r="2330" spans="14:15" x14ac:dyDescent="0.75">
      <c r="N2330" s="14">
        <v>38617</v>
      </c>
      <c r="O2330" s="5">
        <v>1102.71</v>
      </c>
    </row>
    <row r="2331" spans="14:15" x14ac:dyDescent="0.75">
      <c r="N2331" s="14">
        <v>38616</v>
      </c>
      <c r="O2331" s="5">
        <v>1103.6500000000001</v>
      </c>
    </row>
    <row r="2332" spans="14:15" x14ac:dyDescent="0.75">
      <c r="N2332" s="14">
        <v>38615</v>
      </c>
      <c r="O2332" s="5">
        <v>1105.0899999999999</v>
      </c>
    </row>
    <row r="2333" spans="14:15" x14ac:dyDescent="0.75">
      <c r="N2333" s="14">
        <v>38614</v>
      </c>
      <c r="O2333" s="5">
        <v>1106.3</v>
      </c>
    </row>
    <row r="2334" spans="14:15" x14ac:dyDescent="0.75">
      <c r="N2334" s="14">
        <v>38611</v>
      </c>
      <c r="O2334" s="5">
        <v>1104.3800000000001</v>
      </c>
    </row>
    <row r="2335" spans="14:15" x14ac:dyDescent="0.75">
      <c r="N2335" s="14">
        <v>38610</v>
      </c>
      <c r="O2335" s="5">
        <v>1103.6600000000001</v>
      </c>
    </row>
    <row r="2336" spans="14:15" x14ac:dyDescent="0.75">
      <c r="N2336" s="14">
        <v>38609</v>
      </c>
      <c r="O2336" s="5">
        <v>1102.8</v>
      </c>
    </row>
    <row r="2337" spans="14:15" x14ac:dyDescent="0.75">
      <c r="N2337" s="14">
        <v>38608</v>
      </c>
      <c r="O2337" s="5">
        <v>1103.25</v>
      </c>
    </row>
    <row r="2338" spans="14:15" x14ac:dyDescent="0.75">
      <c r="N2338" s="14">
        <v>38607</v>
      </c>
      <c r="O2338" s="5">
        <v>1104.29</v>
      </c>
    </row>
    <row r="2339" spans="14:15" x14ac:dyDescent="0.75">
      <c r="N2339" s="14">
        <v>38604</v>
      </c>
      <c r="O2339" s="5">
        <v>1104.3800000000001</v>
      </c>
    </row>
    <row r="2340" spans="14:15" x14ac:dyDescent="0.75">
      <c r="N2340" s="14">
        <v>38603</v>
      </c>
      <c r="O2340" s="5">
        <v>1104</v>
      </c>
    </row>
    <row r="2341" spans="14:15" x14ac:dyDescent="0.75">
      <c r="N2341" s="14">
        <v>38602</v>
      </c>
      <c r="O2341" s="5">
        <v>1103.25</v>
      </c>
    </row>
    <row r="2342" spans="14:15" x14ac:dyDescent="0.75">
      <c r="N2342" s="14">
        <v>38601</v>
      </c>
      <c r="O2342" s="5">
        <v>1103.17</v>
      </c>
    </row>
    <row r="2343" spans="14:15" x14ac:dyDescent="0.75">
      <c r="N2343" s="14">
        <v>38597</v>
      </c>
      <c r="O2343" s="5">
        <v>1102.3800000000001</v>
      </c>
    </row>
    <row r="2344" spans="14:15" x14ac:dyDescent="0.75">
      <c r="N2344" s="14">
        <v>38596</v>
      </c>
      <c r="O2344" s="5">
        <v>1103.0899999999999</v>
      </c>
    </row>
    <row r="2345" spans="14:15" x14ac:dyDescent="0.75">
      <c r="N2345" s="14">
        <v>38595</v>
      </c>
      <c r="O2345" s="5">
        <v>1101.6300000000001</v>
      </c>
    </row>
    <row r="2346" spans="14:15" x14ac:dyDescent="0.75">
      <c r="N2346" s="14">
        <v>38594</v>
      </c>
      <c r="O2346" s="5">
        <v>1099.94</v>
      </c>
    </row>
    <row r="2347" spans="14:15" x14ac:dyDescent="0.75">
      <c r="N2347" s="14">
        <v>38593</v>
      </c>
      <c r="O2347" s="5">
        <v>1099.4100000000001</v>
      </c>
    </row>
    <row r="2348" spans="14:15" x14ac:dyDescent="0.75">
      <c r="N2348" s="14">
        <v>38590</v>
      </c>
      <c r="O2348" s="5">
        <v>1099.0899999999999</v>
      </c>
    </row>
    <row r="2349" spans="14:15" x14ac:dyDescent="0.75">
      <c r="N2349" s="14">
        <v>38589</v>
      </c>
      <c r="O2349" s="5">
        <v>1099.57</v>
      </c>
    </row>
    <row r="2350" spans="14:15" x14ac:dyDescent="0.75">
      <c r="N2350" s="14">
        <v>38588</v>
      </c>
      <c r="O2350" s="5">
        <v>1099.52</v>
      </c>
    </row>
    <row r="2351" spans="14:15" x14ac:dyDescent="0.75">
      <c r="N2351" s="14">
        <v>38587</v>
      </c>
      <c r="O2351" s="5">
        <v>1099.8699999999999</v>
      </c>
    </row>
    <row r="2352" spans="14:15" x14ac:dyDescent="0.75">
      <c r="N2352" s="14">
        <v>38586</v>
      </c>
      <c r="O2352" s="5">
        <v>1100.8699999999999</v>
      </c>
    </row>
    <row r="2353" spans="14:15" x14ac:dyDescent="0.75">
      <c r="N2353" s="14">
        <v>38583</v>
      </c>
      <c r="O2353" s="5">
        <v>1099.58</v>
      </c>
    </row>
    <row r="2354" spans="14:15" x14ac:dyDescent="0.75">
      <c r="N2354" s="14">
        <v>38582</v>
      </c>
      <c r="O2354" s="5">
        <v>1099.3399999999999</v>
      </c>
    </row>
    <row r="2355" spans="14:15" x14ac:dyDescent="0.75">
      <c r="N2355" s="14">
        <v>38581</v>
      </c>
      <c r="O2355" s="5">
        <v>1099.77</v>
      </c>
    </row>
    <row r="2356" spans="14:15" x14ac:dyDescent="0.75">
      <c r="N2356" s="14">
        <v>38580</v>
      </c>
      <c r="O2356" s="5">
        <v>1100.6400000000001</v>
      </c>
    </row>
    <row r="2357" spans="14:15" x14ac:dyDescent="0.75">
      <c r="N2357" s="14">
        <v>38579</v>
      </c>
      <c r="O2357" s="5">
        <v>1101.1600000000001</v>
      </c>
    </row>
    <row r="2358" spans="14:15" x14ac:dyDescent="0.75">
      <c r="N2358" s="14">
        <v>38576</v>
      </c>
      <c r="O2358" s="5">
        <v>1101.6400000000001</v>
      </c>
    </row>
    <row r="2359" spans="14:15" x14ac:dyDescent="0.75">
      <c r="N2359" s="14">
        <v>38575</v>
      </c>
      <c r="O2359" s="5">
        <v>1102.0899999999999</v>
      </c>
    </row>
    <row r="2360" spans="14:15" x14ac:dyDescent="0.75">
      <c r="N2360" s="14">
        <v>38574</v>
      </c>
      <c r="O2360" s="5">
        <v>1101.19</v>
      </c>
    </row>
    <row r="2361" spans="14:15" x14ac:dyDescent="0.75">
      <c r="N2361" s="14">
        <v>38573</v>
      </c>
      <c r="O2361" s="5">
        <v>1099.82</v>
      </c>
    </row>
    <row r="2362" spans="14:15" x14ac:dyDescent="0.75">
      <c r="N2362" s="14">
        <v>38572</v>
      </c>
      <c r="O2362" s="5">
        <v>1100.1199999999999</v>
      </c>
    </row>
    <row r="2363" spans="14:15" x14ac:dyDescent="0.75">
      <c r="N2363" s="14">
        <v>38569</v>
      </c>
      <c r="O2363" s="5">
        <v>1099.82</v>
      </c>
    </row>
    <row r="2364" spans="14:15" x14ac:dyDescent="0.75">
      <c r="N2364" s="14">
        <v>38568</v>
      </c>
      <c r="O2364" s="5">
        <v>1100.8599999999999</v>
      </c>
    </row>
    <row r="2365" spans="14:15" x14ac:dyDescent="0.75">
      <c r="N2365" s="14">
        <v>38567</v>
      </c>
      <c r="O2365" s="5">
        <v>1100.4100000000001</v>
      </c>
    </row>
    <row r="2366" spans="14:15" x14ac:dyDescent="0.75">
      <c r="N2366" s="14">
        <v>38566</v>
      </c>
      <c r="O2366" s="5">
        <v>1100.56</v>
      </c>
    </row>
    <row r="2367" spans="14:15" x14ac:dyDescent="0.75">
      <c r="N2367" s="14">
        <v>38565</v>
      </c>
      <c r="O2367" s="5">
        <v>1100.3699999999999</v>
      </c>
    </row>
    <row r="2368" spans="14:15" x14ac:dyDescent="0.75">
      <c r="N2368" s="14">
        <v>38562</v>
      </c>
      <c r="O2368" s="5">
        <v>1098.94</v>
      </c>
    </row>
    <row r="2369" spans="14:15" x14ac:dyDescent="0.75">
      <c r="N2369" s="14">
        <v>38561</v>
      </c>
      <c r="O2369" s="5">
        <v>1098.74</v>
      </c>
    </row>
    <row r="2370" spans="14:15" x14ac:dyDescent="0.75">
      <c r="N2370" s="14">
        <v>38560</v>
      </c>
      <c r="O2370" s="5">
        <v>1096.8399999999999</v>
      </c>
    </row>
    <row r="2371" spans="14:15" x14ac:dyDescent="0.75">
      <c r="N2371" s="14">
        <v>38559</v>
      </c>
      <c r="O2371" s="5">
        <v>1095.9000000000001</v>
      </c>
    </row>
    <row r="2372" spans="14:15" x14ac:dyDescent="0.75">
      <c r="N2372" s="14">
        <v>38558</v>
      </c>
      <c r="O2372" s="5">
        <v>1095.3900000000001</v>
      </c>
    </row>
    <row r="2373" spans="14:15" x14ac:dyDescent="0.75">
      <c r="N2373" s="14">
        <v>38555</v>
      </c>
      <c r="O2373" s="5">
        <v>1096.21</v>
      </c>
    </row>
    <row r="2374" spans="14:15" x14ac:dyDescent="0.75">
      <c r="N2374" s="14">
        <v>38554</v>
      </c>
      <c r="O2374" s="5">
        <v>1095.4100000000001</v>
      </c>
    </row>
    <row r="2375" spans="14:15" x14ac:dyDescent="0.75">
      <c r="N2375" s="14">
        <v>38553</v>
      </c>
      <c r="O2375" s="5">
        <v>1094.82</v>
      </c>
    </row>
    <row r="2376" spans="14:15" x14ac:dyDescent="0.75">
      <c r="N2376" s="14">
        <v>38552</v>
      </c>
      <c r="O2376" s="5">
        <v>1094.08</v>
      </c>
    </row>
    <row r="2377" spans="14:15" x14ac:dyDescent="0.75">
      <c r="N2377" s="14">
        <v>38551</v>
      </c>
      <c r="O2377" s="5">
        <v>1093.4100000000001</v>
      </c>
    </row>
    <row r="2378" spans="14:15" x14ac:dyDescent="0.75">
      <c r="N2378" s="14">
        <v>38548</v>
      </c>
      <c r="O2378" s="5">
        <v>1094.3599999999999</v>
      </c>
    </row>
    <row r="2379" spans="14:15" x14ac:dyDescent="0.75">
      <c r="N2379" s="14">
        <v>38547</v>
      </c>
      <c r="O2379" s="5">
        <v>1093.71</v>
      </c>
    </row>
    <row r="2380" spans="14:15" x14ac:dyDescent="0.75">
      <c r="N2380" s="14">
        <v>38546</v>
      </c>
      <c r="O2380" s="5">
        <v>1093.8699999999999</v>
      </c>
    </row>
    <row r="2381" spans="14:15" x14ac:dyDescent="0.75">
      <c r="N2381" s="14">
        <v>38545</v>
      </c>
      <c r="O2381" s="5">
        <v>1092.8699999999999</v>
      </c>
    </row>
    <row r="2382" spans="14:15" x14ac:dyDescent="0.75">
      <c r="N2382" s="14">
        <v>38544</v>
      </c>
      <c r="O2382" s="5">
        <v>1091.22</v>
      </c>
    </row>
    <row r="2383" spans="14:15" x14ac:dyDescent="0.75">
      <c r="N2383" s="14">
        <v>38541</v>
      </c>
      <c r="O2383" s="5">
        <v>1089.8399999999999</v>
      </c>
    </row>
    <row r="2384" spans="14:15" x14ac:dyDescent="0.75">
      <c r="N2384" s="14">
        <v>38540</v>
      </c>
      <c r="O2384" s="5">
        <v>1088.8</v>
      </c>
    </row>
    <row r="2385" spans="14:15" x14ac:dyDescent="0.75">
      <c r="N2385" s="14">
        <v>38539</v>
      </c>
      <c r="O2385" s="5">
        <v>1088.97</v>
      </c>
    </row>
    <row r="2386" spans="14:15" x14ac:dyDescent="0.75">
      <c r="N2386" s="14">
        <v>38538</v>
      </c>
      <c r="O2386" s="5">
        <v>1088.02</v>
      </c>
    </row>
    <row r="2387" spans="14:15" x14ac:dyDescent="0.75">
      <c r="N2387" s="14">
        <v>38534</v>
      </c>
      <c r="O2387" s="5">
        <v>1087.6099999999999</v>
      </c>
    </row>
    <row r="2388" spans="14:15" x14ac:dyDescent="0.75">
      <c r="N2388" s="14">
        <v>38533</v>
      </c>
      <c r="O2388" s="5">
        <v>1087.6099999999999</v>
      </c>
    </row>
    <row r="2389" spans="14:15" x14ac:dyDescent="0.75">
      <c r="N2389" s="14">
        <v>38532</v>
      </c>
      <c r="O2389" s="5">
        <v>1087.0899999999999</v>
      </c>
    </row>
    <row r="2390" spans="14:15" x14ac:dyDescent="0.75">
      <c r="N2390" s="14">
        <v>38531</v>
      </c>
      <c r="O2390" s="5">
        <v>1086.6300000000001</v>
      </c>
    </row>
    <row r="2391" spans="14:15" x14ac:dyDescent="0.75">
      <c r="N2391" s="14">
        <v>38530</v>
      </c>
      <c r="O2391" s="5">
        <v>1086.06</v>
      </c>
    </row>
    <row r="2392" spans="14:15" x14ac:dyDescent="0.75">
      <c r="N2392" s="14">
        <v>38527</v>
      </c>
      <c r="O2392" s="5">
        <v>1085.97</v>
      </c>
    </row>
    <row r="2393" spans="14:15" x14ac:dyDescent="0.75">
      <c r="N2393" s="14">
        <v>38526</v>
      </c>
      <c r="O2393" s="5">
        <v>1087.0899999999999</v>
      </c>
    </row>
    <row r="2394" spans="14:15" x14ac:dyDescent="0.75">
      <c r="N2394" s="14">
        <v>38525</v>
      </c>
      <c r="O2394" s="5">
        <v>1089.57</v>
      </c>
    </row>
    <row r="2395" spans="14:15" x14ac:dyDescent="0.75">
      <c r="N2395" s="14">
        <v>38524</v>
      </c>
      <c r="O2395" s="5">
        <v>1088.6199999999999</v>
      </c>
    </row>
    <row r="2396" spans="14:15" x14ac:dyDescent="0.75">
      <c r="N2396" s="14">
        <v>38523</v>
      </c>
      <c r="O2396" s="5">
        <v>1088.03</v>
      </c>
    </row>
    <row r="2397" spans="14:15" x14ac:dyDescent="0.75">
      <c r="N2397" s="14">
        <v>38520</v>
      </c>
      <c r="O2397" s="5">
        <v>1087.29</v>
      </c>
    </row>
    <row r="2398" spans="14:15" x14ac:dyDescent="0.75">
      <c r="N2398" s="14">
        <v>38519</v>
      </c>
      <c r="O2398" s="5">
        <v>1086.55</v>
      </c>
    </row>
    <row r="2399" spans="14:15" x14ac:dyDescent="0.75">
      <c r="N2399" s="14">
        <v>38518</v>
      </c>
      <c r="O2399" s="5">
        <v>1085.7</v>
      </c>
    </row>
    <row r="2400" spans="14:15" x14ac:dyDescent="0.75">
      <c r="N2400" s="14">
        <v>38517</v>
      </c>
      <c r="O2400" s="5">
        <v>1085.48</v>
      </c>
    </row>
    <row r="2401" spans="14:15" x14ac:dyDescent="0.75">
      <c r="N2401" s="14">
        <v>38516</v>
      </c>
      <c r="O2401" s="5">
        <v>1084.94</v>
      </c>
    </row>
    <row r="2402" spans="14:15" x14ac:dyDescent="0.75">
      <c r="N2402" s="14">
        <v>38513</v>
      </c>
      <c r="O2402" s="5">
        <v>1085.17</v>
      </c>
    </row>
    <row r="2403" spans="14:15" x14ac:dyDescent="0.75">
      <c r="N2403" s="14">
        <v>38512</v>
      </c>
      <c r="O2403" s="5">
        <v>1084.67</v>
      </c>
    </row>
    <row r="2404" spans="14:15" x14ac:dyDescent="0.75">
      <c r="N2404" s="14">
        <v>38511</v>
      </c>
      <c r="O2404" s="5">
        <v>1084.8399999999999</v>
      </c>
    </row>
    <row r="2405" spans="14:15" x14ac:dyDescent="0.75">
      <c r="N2405" s="14">
        <v>38510</v>
      </c>
      <c r="O2405" s="5">
        <v>1085.17</v>
      </c>
    </row>
    <row r="2406" spans="14:15" x14ac:dyDescent="0.75">
      <c r="N2406" s="14">
        <v>38509</v>
      </c>
      <c r="O2406" s="5">
        <v>1084.94</v>
      </c>
    </row>
    <row r="2407" spans="14:15" x14ac:dyDescent="0.75">
      <c r="N2407" s="14">
        <v>38506</v>
      </c>
      <c r="O2407" s="5">
        <v>1084.98</v>
      </c>
    </row>
    <row r="2408" spans="14:15" x14ac:dyDescent="0.75">
      <c r="N2408" s="14">
        <v>38505</v>
      </c>
      <c r="O2408" s="5">
        <v>1084.3</v>
      </c>
    </row>
    <row r="2409" spans="14:15" x14ac:dyDescent="0.75">
      <c r="N2409" s="14">
        <v>38504</v>
      </c>
      <c r="O2409" s="5">
        <v>1084.3699999999999</v>
      </c>
    </row>
    <row r="2410" spans="14:15" x14ac:dyDescent="0.75">
      <c r="N2410" s="14">
        <v>38503</v>
      </c>
      <c r="O2410" s="5">
        <v>1083.31</v>
      </c>
    </row>
    <row r="2411" spans="14:15" x14ac:dyDescent="0.75">
      <c r="N2411" s="14">
        <v>38499</v>
      </c>
      <c r="O2411" s="5">
        <v>1082.8599999999999</v>
      </c>
    </row>
    <row r="2412" spans="14:15" x14ac:dyDescent="0.75">
      <c r="N2412" s="14">
        <v>38498</v>
      </c>
      <c r="O2412" s="5">
        <v>1081.04</v>
      </c>
    </row>
    <row r="2413" spans="14:15" x14ac:dyDescent="0.75">
      <c r="N2413" s="14">
        <v>38497</v>
      </c>
      <c r="O2413" s="5">
        <v>1080.45</v>
      </c>
    </row>
    <row r="2414" spans="14:15" x14ac:dyDescent="0.75">
      <c r="N2414" s="14">
        <v>38496</v>
      </c>
      <c r="O2414" s="5">
        <v>1080.73</v>
      </c>
    </row>
    <row r="2415" spans="14:15" x14ac:dyDescent="0.75">
      <c r="N2415" s="14">
        <v>38495</v>
      </c>
      <c r="O2415" s="5">
        <v>1080.79</v>
      </c>
    </row>
    <row r="2416" spans="14:15" x14ac:dyDescent="0.75">
      <c r="N2416" s="14">
        <v>38492</v>
      </c>
      <c r="O2416" s="5">
        <v>1079.83</v>
      </c>
    </row>
    <row r="2417" spans="14:15" x14ac:dyDescent="0.75">
      <c r="N2417" s="14">
        <v>38491</v>
      </c>
      <c r="O2417" s="5">
        <v>1079.68</v>
      </c>
    </row>
    <row r="2418" spans="14:15" x14ac:dyDescent="0.75">
      <c r="N2418" s="14">
        <v>38490</v>
      </c>
      <c r="O2418" s="5">
        <v>1080.44</v>
      </c>
    </row>
    <row r="2419" spans="14:15" x14ac:dyDescent="0.75">
      <c r="N2419" s="14">
        <v>38489</v>
      </c>
      <c r="O2419" s="5">
        <v>1079.08</v>
      </c>
    </row>
    <row r="2420" spans="14:15" x14ac:dyDescent="0.75">
      <c r="N2420" s="14">
        <v>38488</v>
      </c>
      <c r="O2420" s="5">
        <v>1080.17</v>
      </c>
    </row>
    <row r="2421" spans="14:15" x14ac:dyDescent="0.75">
      <c r="N2421" s="14">
        <v>38485</v>
      </c>
      <c r="O2421" s="5">
        <v>1080.77</v>
      </c>
    </row>
    <row r="2422" spans="14:15" x14ac:dyDescent="0.75">
      <c r="N2422" s="14">
        <v>38484</v>
      </c>
      <c r="O2422" s="5">
        <v>1082.57</v>
      </c>
    </row>
    <row r="2423" spans="14:15" x14ac:dyDescent="0.75">
      <c r="N2423" s="14">
        <v>38483</v>
      </c>
      <c r="O2423" s="5">
        <v>1085.58</v>
      </c>
    </row>
    <row r="2424" spans="14:15" x14ac:dyDescent="0.75">
      <c r="N2424" s="14">
        <v>38482</v>
      </c>
      <c r="O2424" s="5">
        <v>1086.92</v>
      </c>
    </row>
    <row r="2425" spans="14:15" x14ac:dyDescent="0.75">
      <c r="N2425" s="14">
        <v>38481</v>
      </c>
      <c r="O2425" s="5">
        <v>1088.4100000000001</v>
      </c>
    </row>
    <row r="2426" spans="14:15" x14ac:dyDescent="0.75">
      <c r="N2426" s="14">
        <v>38478</v>
      </c>
      <c r="O2426" s="5">
        <v>1087.3</v>
      </c>
    </row>
    <row r="2427" spans="14:15" x14ac:dyDescent="0.75">
      <c r="N2427" s="14">
        <v>38477</v>
      </c>
      <c r="O2427" s="5">
        <v>1088.1400000000001</v>
      </c>
    </row>
    <row r="2428" spans="14:15" x14ac:dyDescent="0.75">
      <c r="N2428" s="14">
        <v>38476</v>
      </c>
      <c r="O2428" s="5">
        <v>1087.94</v>
      </c>
    </row>
    <row r="2429" spans="14:15" x14ac:dyDescent="0.75">
      <c r="N2429" s="14">
        <v>38475</v>
      </c>
      <c r="O2429" s="5">
        <v>1086.43</v>
      </c>
    </row>
    <row r="2430" spans="14:15" x14ac:dyDescent="0.75">
      <c r="N2430" s="14">
        <v>38474</v>
      </c>
      <c r="O2430" s="5">
        <v>1086.75</v>
      </c>
    </row>
    <row r="2431" spans="14:15" x14ac:dyDescent="0.75">
      <c r="N2431" s="14">
        <v>38471</v>
      </c>
      <c r="O2431" s="5">
        <v>1086.4100000000001</v>
      </c>
    </row>
    <row r="2432" spans="14:15" x14ac:dyDescent="0.75">
      <c r="N2432" s="14">
        <v>38470</v>
      </c>
      <c r="O2432" s="5">
        <v>1086.29</v>
      </c>
    </row>
    <row r="2433" spans="14:15" x14ac:dyDescent="0.75">
      <c r="N2433" s="14">
        <v>38469</v>
      </c>
      <c r="O2433" s="5">
        <v>1088.52</v>
      </c>
    </row>
    <row r="2434" spans="14:15" x14ac:dyDescent="0.75">
      <c r="N2434" s="14">
        <v>38468</v>
      </c>
      <c r="O2434" s="5">
        <v>1090.05</v>
      </c>
    </row>
    <row r="2435" spans="14:15" x14ac:dyDescent="0.75">
      <c r="N2435" s="14">
        <v>38467</v>
      </c>
      <c r="O2435" s="5">
        <v>1093</v>
      </c>
    </row>
    <row r="2436" spans="14:15" x14ac:dyDescent="0.75">
      <c r="N2436" s="14">
        <v>38464</v>
      </c>
      <c r="O2436" s="5">
        <v>1092.3399999999999</v>
      </c>
    </row>
    <row r="2437" spans="14:15" x14ac:dyDescent="0.75">
      <c r="N2437" s="14">
        <v>38463</v>
      </c>
      <c r="O2437" s="5">
        <v>1092.28</v>
      </c>
    </row>
    <row r="2438" spans="14:15" x14ac:dyDescent="0.75">
      <c r="N2438" s="14">
        <v>38462</v>
      </c>
      <c r="O2438" s="5">
        <v>1090.7</v>
      </c>
    </row>
    <row r="2439" spans="14:15" x14ac:dyDescent="0.75">
      <c r="N2439" s="14">
        <v>38461</v>
      </c>
      <c r="O2439" s="5">
        <v>1091.5899999999999</v>
      </c>
    </row>
    <row r="2440" spans="14:15" x14ac:dyDescent="0.75">
      <c r="N2440" s="14">
        <v>38460</v>
      </c>
      <c r="O2440" s="5">
        <v>1090.1199999999999</v>
      </c>
    </row>
    <row r="2441" spans="14:15" x14ac:dyDescent="0.75">
      <c r="N2441" s="14">
        <v>38457</v>
      </c>
      <c r="O2441" s="5">
        <v>1093.33</v>
      </c>
    </row>
    <row r="2442" spans="14:15" x14ac:dyDescent="0.75">
      <c r="N2442" s="14">
        <v>38456</v>
      </c>
      <c r="O2442" s="5">
        <v>1097.4100000000001</v>
      </c>
    </row>
    <row r="2443" spans="14:15" x14ac:dyDescent="0.75">
      <c r="N2443" s="14">
        <v>38455</v>
      </c>
      <c r="O2443" s="5">
        <v>1100.78</v>
      </c>
    </row>
    <row r="2444" spans="14:15" x14ac:dyDescent="0.75">
      <c r="N2444" s="14">
        <v>38454</v>
      </c>
      <c r="O2444" s="5">
        <v>1102.72</v>
      </c>
    </row>
    <row r="2445" spans="14:15" x14ac:dyDescent="0.75">
      <c r="N2445" s="14">
        <v>38453</v>
      </c>
      <c r="O2445" s="5">
        <v>1102.48</v>
      </c>
    </row>
    <row r="2446" spans="14:15" x14ac:dyDescent="0.75">
      <c r="N2446" s="14">
        <v>38450</v>
      </c>
      <c r="O2446" s="5">
        <v>1103.3800000000001</v>
      </c>
    </row>
    <row r="2447" spans="14:15" x14ac:dyDescent="0.75">
      <c r="N2447" s="14">
        <v>38449</v>
      </c>
      <c r="O2447" s="5">
        <v>1103.31</v>
      </c>
    </row>
    <row r="2448" spans="14:15" x14ac:dyDescent="0.75">
      <c r="N2448" s="14">
        <v>38448</v>
      </c>
      <c r="O2448" s="5">
        <v>1101.9100000000001</v>
      </c>
    </row>
    <row r="2449" spans="14:15" x14ac:dyDescent="0.75">
      <c r="N2449" s="14">
        <v>38447</v>
      </c>
      <c r="O2449" s="5">
        <v>1101.8399999999999</v>
      </c>
    </row>
    <row r="2450" spans="14:15" x14ac:dyDescent="0.75">
      <c r="N2450" s="14">
        <v>38446</v>
      </c>
      <c r="O2450" s="5">
        <v>1101.28</v>
      </c>
    </row>
    <row r="2451" spans="14:15" x14ac:dyDescent="0.75">
      <c r="N2451" s="14">
        <v>38443</v>
      </c>
      <c r="O2451" s="5">
        <v>1103.48</v>
      </c>
    </row>
    <row r="2452" spans="14:15" x14ac:dyDescent="0.75">
      <c r="N2452" s="14">
        <v>38442</v>
      </c>
      <c r="O2452" s="5">
        <v>1103.53</v>
      </c>
    </row>
    <row r="2453" spans="14:15" x14ac:dyDescent="0.75">
      <c r="N2453" s="14">
        <v>38441</v>
      </c>
      <c r="O2453" s="5">
        <v>1103.49</v>
      </c>
    </row>
    <row r="2454" spans="14:15" x14ac:dyDescent="0.75">
      <c r="N2454" s="14">
        <v>38440</v>
      </c>
      <c r="O2454" s="5">
        <v>1103.49</v>
      </c>
    </row>
    <row r="2455" spans="14:15" x14ac:dyDescent="0.75">
      <c r="N2455" s="14">
        <v>38439</v>
      </c>
      <c r="O2455" s="5">
        <v>1104.8</v>
      </c>
    </row>
    <row r="2456" spans="14:15" x14ac:dyDescent="0.75">
      <c r="N2456" s="14">
        <v>38435</v>
      </c>
      <c r="O2456" s="5">
        <v>1105.27</v>
      </c>
    </row>
    <row r="2457" spans="14:15" x14ac:dyDescent="0.75">
      <c r="N2457" s="14">
        <v>38434</v>
      </c>
      <c r="O2457" s="5">
        <v>1104.94</v>
      </c>
    </row>
    <row r="2458" spans="14:15" x14ac:dyDescent="0.75">
      <c r="N2458" s="14">
        <v>38433</v>
      </c>
      <c r="O2458" s="5">
        <v>1108.24</v>
      </c>
    </row>
    <row r="2459" spans="14:15" x14ac:dyDescent="0.75">
      <c r="N2459" s="14">
        <v>38432</v>
      </c>
      <c r="O2459" s="5">
        <v>1109.1199999999999</v>
      </c>
    </row>
    <row r="2460" spans="14:15" x14ac:dyDescent="0.75">
      <c r="N2460" s="14">
        <v>38429</v>
      </c>
      <c r="O2460" s="5">
        <v>1109.8900000000001</v>
      </c>
    </row>
    <row r="2461" spans="14:15" x14ac:dyDescent="0.75">
      <c r="N2461" s="14">
        <v>38428</v>
      </c>
      <c r="O2461" s="5">
        <v>1110.3699999999999</v>
      </c>
    </row>
    <row r="2462" spans="14:15" x14ac:dyDescent="0.75">
      <c r="N2462" s="14">
        <v>38427</v>
      </c>
      <c r="O2462" s="5">
        <v>1111.3</v>
      </c>
    </row>
    <row r="2463" spans="14:15" x14ac:dyDescent="0.75">
      <c r="N2463" s="14">
        <v>38426</v>
      </c>
      <c r="O2463" s="5">
        <v>1111.94</v>
      </c>
    </row>
    <row r="2464" spans="14:15" x14ac:dyDescent="0.75">
      <c r="N2464" s="14">
        <v>38425</v>
      </c>
      <c r="O2464" s="5">
        <v>1112.5999999999999</v>
      </c>
    </row>
    <row r="2465" spans="14:15" x14ac:dyDescent="0.75">
      <c r="N2465" s="14">
        <v>38422</v>
      </c>
      <c r="O2465" s="5">
        <v>1113.21</v>
      </c>
    </row>
    <row r="2466" spans="14:15" x14ac:dyDescent="0.75">
      <c r="N2466" s="14">
        <v>38421</v>
      </c>
      <c r="O2466" s="5">
        <v>1112.33</v>
      </c>
    </row>
    <row r="2467" spans="14:15" x14ac:dyDescent="0.75">
      <c r="N2467" s="14">
        <v>38420</v>
      </c>
      <c r="O2467" s="5">
        <v>1113.93</v>
      </c>
    </row>
    <row r="2468" spans="14:15" x14ac:dyDescent="0.75">
      <c r="N2468" s="14">
        <v>38419</v>
      </c>
      <c r="O2468" s="5">
        <v>1114.3399999999999</v>
      </c>
    </row>
    <row r="2469" spans="14:15" x14ac:dyDescent="0.75">
      <c r="N2469" s="14">
        <v>38418</v>
      </c>
      <c r="O2469" s="5">
        <v>1115.1199999999999</v>
      </c>
    </row>
    <row r="2470" spans="14:15" x14ac:dyDescent="0.75">
      <c r="N2470" s="14">
        <v>38415</v>
      </c>
      <c r="O2470" s="5">
        <v>1115.2</v>
      </c>
    </row>
    <row r="2471" spans="14:15" x14ac:dyDescent="0.75">
      <c r="N2471" s="14">
        <v>38414</v>
      </c>
      <c r="O2471" s="5">
        <v>1113.44</v>
      </c>
    </row>
    <row r="2472" spans="14:15" x14ac:dyDescent="0.75">
      <c r="N2472" s="14">
        <v>38413</v>
      </c>
      <c r="O2472" s="5">
        <v>1112.08</v>
      </c>
    </row>
    <row r="2473" spans="14:15" x14ac:dyDescent="0.75">
      <c r="N2473" s="14">
        <v>38412</v>
      </c>
      <c r="O2473" s="5">
        <v>1111.6400000000001</v>
      </c>
    </row>
    <row r="2474" spans="14:15" x14ac:dyDescent="0.75">
      <c r="N2474" s="14">
        <v>38411</v>
      </c>
      <c r="O2474" s="5">
        <v>1109.82</v>
      </c>
    </row>
    <row r="2475" spans="14:15" x14ac:dyDescent="0.75">
      <c r="N2475" s="14">
        <v>38408</v>
      </c>
      <c r="O2475" s="5">
        <v>1109.25</v>
      </c>
    </row>
    <row r="2476" spans="14:15" x14ac:dyDescent="0.75">
      <c r="N2476" s="14">
        <v>38407</v>
      </c>
      <c r="O2476" s="5">
        <v>1107.49</v>
      </c>
    </row>
    <row r="2477" spans="14:15" x14ac:dyDescent="0.75">
      <c r="N2477" s="14">
        <v>38406</v>
      </c>
      <c r="O2477" s="5">
        <v>1106.3900000000001</v>
      </c>
    </row>
    <row r="2478" spans="14:15" x14ac:dyDescent="0.75">
      <c r="N2478" s="14">
        <v>38405</v>
      </c>
      <c r="O2478" s="5">
        <v>1106.0899999999999</v>
      </c>
    </row>
    <row r="2479" spans="14:15" x14ac:dyDescent="0.75">
      <c r="N2479" s="14">
        <v>38401</v>
      </c>
      <c r="O2479" s="5">
        <v>1107.47</v>
      </c>
    </row>
    <row r="2480" spans="14:15" x14ac:dyDescent="0.75">
      <c r="N2480" s="14">
        <v>38400</v>
      </c>
      <c r="O2480" s="5">
        <v>1107</v>
      </c>
    </row>
    <row r="2481" spans="14:15" x14ac:dyDescent="0.75">
      <c r="N2481" s="14">
        <v>38399</v>
      </c>
      <c r="O2481" s="5">
        <v>1105.49</v>
      </c>
    </row>
    <row r="2482" spans="14:15" x14ac:dyDescent="0.75">
      <c r="N2482" s="14">
        <v>38398</v>
      </c>
      <c r="O2482" s="5">
        <v>1105.49</v>
      </c>
    </row>
    <row r="2483" spans="14:15" x14ac:dyDescent="0.75">
      <c r="N2483" s="14">
        <v>38397</v>
      </c>
      <c r="O2483" s="5">
        <v>1104.8699999999999</v>
      </c>
    </row>
    <row r="2484" spans="14:15" x14ac:dyDescent="0.75">
      <c r="N2484" s="14">
        <v>38394</v>
      </c>
      <c r="O2484" s="5">
        <v>1104.06</v>
      </c>
    </row>
    <row r="2485" spans="14:15" x14ac:dyDescent="0.75">
      <c r="N2485" s="14">
        <v>38393</v>
      </c>
      <c r="O2485" s="5">
        <v>1102</v>
      </c>
    </row>
    <row r="2486" spans="14:15" x14ac:dyDescent="0.75">
      <c r="N2486" s="14">
        <v>38392</v>
      </c>
      <c r="O2486" s="5">
        <v>1103.1300000000001</v>
      </c>
    </row>
    <row r="2487" spans="14:15" x14ac:dyDescent="0.75">
      <c r="N2487" s="14">
        <v>38391</v>
      </c>
      <c r="O2487" s="5">
        <v>1104.74</v>
      </c>
    </row>
    <row r="2488" spans="14:15" x14ac:dyDescent="0.75">
      <c r="N2488" s="14">
        <v>38390</v>
      </c>
      <c r="O2488" s="5">
        <v>1105.3</v>
      </c>
    </row>
    <row r="2489" spans="14:15" x14ac:dyDescent="0.75">
      <c r="N2489" s="14">
        <v>38387</v>
      </c>
      <c r="O2489" s="5">
        <v>1105.57</v>
      </c>
    </row>
    <row r="2490" spans="14:15" x14ac:dyDescent="0.75">
      <c r="N2490" s="14">
        <v>38386</v>
      </c>
      <c r="O2490" s="5">
        <v>1104.44</v>
      </c>
    </row>
    <row r="2491" spans="14:15" x14ac:dyDescent="0.75">
      <c r="N2491" s="14">
        <v>38385</v>
      </c>
      <c r="O2491" s="5">
        <v>1105.19</v>
      </c>
    </row>
    <row r="2492" spans="14:15" x14ac:dyDescent="0.75">
      <c r="N2492" s="14">
        <v>38384</v>
      </c>
      <c r="O2492" s="5">
        <v>1104.5999999999999</v>
      </c>
    </row>
    <row r="2493" spans="14:15" x14ac:dyDescent="0.75">
      <c r="N2493" s="14">
        <v>38383</v>
      </c>
      <c r="O2493" s="5">
        <v>1104.05</v>
      </c>
    </row>
    <row r="2494" spans="14:15" x14ac:dyDescent="0.75">
      <c r="N2494" s="14">
        <v>38380</v>
      </c>
      <c r="O2494" s="5">
        <v>1103.08</v>
      </c>
    </row>
    <row r="2495" spans="14:15" x14ac:dyDescent="0.75">
      <c r="N2495" s="14">
        <v>38379</v>
      </c>
      <c r="O2495" s="5">
        <v>1104.19</v>
      </c>
    </row>
    <row r="2496" spans="14:15" x14ac:dyDescent="0.75">
      <c r="N2496" s="14">
        <v>38378</v>
      </c>
      <c r="O2496" s="5">
        <v>1103.32</v>
      </c>
    </row>
    <row r="2497" spans="14:15" x14ac:dyDescent="0.75">
      <c r="N2497" s="14">
        <v>38377</v>
      </c>
      <c r="O2497" s="5">
        <v>1101.8699999999999</v>
      </c>
    </row>
    <row r="2498" spans="14:15" x14ac:dyDescent="0.75">
      <c r="N2498" s="14">
        <v>38376</v>
      </c>
      <c r="O2498" s="5">
        <v>1102.1600000000001</v>
      </c>
    </row>
    <row r="2499" spans="14:15" x14ac:dyDescent="0.75">
      <c r="N2499" s="14">
        <v>38373</v>
      </c>
      <c r="O2499" s="5">
        <v>1103.08</v>
      </c>
    </row>
    <row r="2500" spans="14:15" x14ac:dyDescent="0.75">
      <c r="N2500" s="14">
        <v>38372</v>
      </c>
      <c r="O2500" s="5">
        <v>1102.51</v>
      </c>
    </row>
    <row r="2501" spans="14:15" x14ac:dyDescent="0.75">
      <c r="N2501" s="14">
        <v>38371</v>
      </c>
      <c r="O2501" s="5">
        <v>1105.21</v>
      </c>
    </row>
    <row r="2502" spans="14:15" x14ac:dyDescent="0.75">
      <c r="N2502" s="14">
        <v>38370</v>
      </c>
      <c r="O2502" s="5">
        <v>1106.4100000000001</v>
      </c>
    </row>
    <row r="2503" spans="14:15" x14ac:dyDescent="0.75">
      <c r="N2503" s="14">
        <v>38366</v>
      </c>
      <c r="O2503" s="5">
        <v>1105.7</v>
      </c>
    </row>
    <row r="2504" spans="14:15" x14ac:dyDescent="0.75">
      <c r="N2504" s="14">
        <v>38365</v>
      </c>
      <c r="O2504" s="5">
        <v>1106.1600000000001</v>
      </c>
    </row>
    <row r="2505" spans="14:15" x14ac:dyDescent="0.75">
      <c r="N2505" s="14">
        <v>38364</v>
      </c>
      <c r="O2505" s="5">
        <v>1102.8499999999999</v>
      </c>
    </row>
    <row r="2506" spans="14:15" x14ac:dyDescent="0.75">
      <c r="N2506" s="14">
        <v>38363</v>
      </c>
      <c r="O2506" s="5">
        <v>1100.8499999999999</v>
      </c>
    </row>
    <row r="2507" spans="14:15" x14ac:dyDescent="0.75">
      <c r="N2507" s="14">
        <v>38362</v>
      </c>
      <c r="O2507" s="5">
        <v>1103.23</v>
      </c>
    </row>
    <row r="2508" spans="14:15" x14ac:dyDescent="0.75">
      <c r="N2508" s="14">
        <v>38359</v>
      </c>
      <c r="O2508" s="5">
        <v>1104.5</v>
      </c>
    </row>
    <row r="2509" spans="14:15" x14ac:dyDescent="0.75">
      <c r="N2509" s="14">
        <v>38358</v>
      </c>
      <c r="O2509" s="5">
        <v>1104.73</v>
      </c>
    </row>
    <row r="2510" spans="14:15" x14ac:dyDescent="0.75">
      <c r="N2510" s="14">
        <v>38357</v>
      </c>
      <c r="O2510" s="5">
        <v>1104.47</v>
      </c>
    </row>
    <row r="2511" spans="14:15" x14ac:dyDescent="0.75">
      <c r="N2511" s="14">
        <v>38356</v>
      </c>
      <c r="O2511" s="5">
        <v>1106.26</v>
      </c>
    </row>
    <row r="2512" spans="14:15" x14ac:dyDescent="0.75">
      <c r="N2512" s="14">
        <v>38355</v>
      </c>
      <c r="O2512" s="5">
        <v>1110.78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BA447"/>
  <sheetViews>
    <sheetView topLeftCell="A427" workbookViewId="0">
      <selection activeCell="G45" sqref="G45:G446"/>
    </sheetView>
  </sheetViews>
  <sheetFormatPr defaultColWidth="8.86328125" defaultRowHeight="14.75" x14ac:dyDescent="0.75"/>
  <cols>
    <col min="1" max="3" width="8.86328125" style="4"/>
    <col min="4" max="4" width="10.54296875" style="4" bestFit="1" customWidth="1"/>
    <col min="5" max="5" width="10.54296875" style="5" bestFit="1" customWidth="1"/>
    <col min="6" max="6" width="7.86328125" style="5" bestFit="1" customWidth="1"/>
    <col min="7" max="7" width="12.1328125" style="5" bestFit="1" customWidth="1"/>
    <col min="8" max="8" width="10.1328125" style="5" bestFit="1" customWidth="1"/>
    <col min="9" max="9" width="8.1328125" style="5" bestFit="1" customWidth="1"/>
    <col min="10" max="11" width="8.86328125" style="4"/>
    <col min="12" max="12" width="10.54296875" style="4" bestFit="1" customWidth="1"/>
    <col min="13" max="14" width="8.86328125" style="39"/>
    <col min="15" max="16" width="12.6328125" style="39" bestFit="1" customWidth="1"/>
    <col min="17" max="19" width="8.86328125" style="4"/>
    <col min="20" max="22" width="8.86328125" style="39"/>
    <col min="23" max="23" width="9.54296875" style="39" bestFit="1" customWidth="1"/>
    <col min="24" max="25" width="8.86328125" style="4"/>
    <col min="26" max="26" width="8.86328125" style="40"/>
    <col min="27" max="28" width="8.86328125" style="4"/>
    <col min="29" max="29" width="10.54296875" style="4" bestFit="1" customWidth="1"/>
    <col min="30" max="30" width="15.6328125" style="5" customWidth="1"/>
    <col min="31" max="31" width="11.1328125" style="5" customWidth="1"/>
    <col min="32" max="32" width="9" style="5" bestFit="1" customWidth="1"/>
    <col min="33" max="33" width="9.36328125" style="5" bestFit="1" customWidth="1"/>
    <col min="34" max="34" width="9" style="5" bestFit="1" customWidth="1"/>
    <col min="35" max="36" width="8.86328125" style="4"/>
    <col min="37" max="37" width="10.54296875" style="4" bestFit="1" customWidth="1"/>
    <col min="38" max="38" width="16" style="39" customWidth="1"/>
    <col min="39" max="39" width="12.86328125" style="39" customWidth="1"/>
    <col min="40" max="42" width="8.86328125" style="39"/>
    <col min="43" max="44" width="8.86328125" style="4"/>
    <col min="45" max="45" width="17.36328125" style="4" customWidth="1"/>
    <col min="46" max="46" width="13.40625" style="4" customWidth="1"/>
    <col min="47" max="51" width="8.86328125" style="4"/>
    <col min="52" max="52" width="10.54296875" style="4" bestFit="1" customWidth="1"/>
    <col min="53" max="53" width="12.6328125" style="4" bestFit="1" customWidth="1"/>
    <col min="54" max="16384" width="8.86328125" style="4"/>
  </cols>
  <sheetData>
    <row r="1" spans="3:53" x14ac:dyDescent="0.75">
      <c r="C1" s="38" t="s">
        <v>205</v>
      </c>
      <c r="AB1" s="38" t="s">
        <v>206</v>
      </c>
    </row>
    <row r="2" spans="3:53" ht="15.5" thickBot="1" x14ac:dyDescent="0.9">
      <c r="D2" s="38" t="s">
        <v>204</v>
      </c>
      <c r="L2" s="38" t="s">
        <v>115</v>
      </c>
      <c r="S2" s="38" t="s">
        <v>116</v>
      </c>
      <c r="AC2" s="38" t="s">
        <v>174</v>
      </c>
      <c r="AL2" s="52" t="s">
        <v>207</v>
      </c>
    </row>
    <row r="3" spans="3:53" ht="15.5" thickBot="1" x14ac:dyDescent="0.9">
      <c r="AS3" s="32" t="s">
        <v>156</v>
      </c>
      <c r="AT3" s="33" t="s">
        <v>157</v>
      </c>
      <c r="AU3" s="33" t="s">
        <v>158</v>
      </c>
      <c r="AV3" s="33" t="s">
        <v>159</v>
      </c>
      <c r="AW3" s="34" t="s">
        <v>160</v>
      </c>
    </row>
    <row r="4" spans="3:53" ht="30.25" thickBot="1" x14ac:dyDescent="0.9">
      <c r="C4" s="38" t="s">
        <v>15</v>
      </c>
      <c r="D4" s="38" t="s">
        <v>16</v>
      </c>
      <c r="E4" s="41" t="s">
        <v>0</v>
      </c>
      <c r="F4" s="42" t="s">
        <v>2</v>
      </c>
      <c r="G4" s="42" t="s">
        <v>17</v>
      </c>
      <c r="H4" s="42" t="s">
        <v>4</v>
      </c>
      <c r="I4" s="43" t="s">
        <v>18</v>
      </c>
      <c r="J4" s="38"/>
      <c r="K4" s="38"/>
      <c r="L4" s="44" t="s">
        <v>16</v>
      </c>
      <c r="M4" s="45" t="s">
        <v>0</v>
      </c>
      <c r="N4" s="46" t="s">
        <v>2</v>
      </c>
      <c r="O4" s="46" t="s">
        <v>17</v>
      </c>
      <c r="P4" s="47" t="s">
        <v>4</v>
      </c>
      <c r="Q4" s="38"/>
      <c r="R4" s="38"/>
      <c r="S4" s="38"/>
      <c r="T4" s="45" t="s">
        <v>0</v>
      </c>
      <c r="U4" s="46" t="s">
        <v>2</v>
      </c>
      <c r="V4" s="46" t="s">
        <v>17</v>
      </c>
      <c r="W4" s="47" t="s">
        <v>4</v>
      </c>
      <c r="X4" s="38"/>
      <c r="Y4" s="38"/>
      <c r="Z4" s="48"/>
      <c r="AA4" s="38"/>
      <c r="AB4" s="38"/>
      <c r="AC4" s="38"/>
      <c r="AD4" s="49" t="s">
        <v>156</v>
      </c>
      <c r="AE4" s="50" t="s">
        <v>157</v>
      </c>
      <c r="AF4" s="50" t="s">
        <v>158</v>
      </c>
      <c r="AG4" s="50" t="s">
        <v>159</v>
      </c>
      <c r="AH4" s="51" t="s">
        <v>160</v>
      </c>
      <c r="AI4" s="38"/>
      <c r="AJ4" s="38"/>
      <c r="AK4" s="38"/>
      <c r="AL4" s="53" t="s">
        <v>156</v>
      </c>
      <c r="AM4" s="54" t="s">
        <v>157</v>
      </c>
      <c r="AN4" s="54" t="s">
        <v>158</v>
      </c>
      <c r="AO4" s="54" t="s">
        <v>159</v>
      </c>
      <c r="AP4" s="55" t="s">
        <v>160</v>
      </c>
      <c r="AS4" s="16">
        <f>benchmark!C8</f>
        <v>0.15</v>
      </c>
      <c r="AT4" s="17">
        <f>benchmark!D8</f>
        <v>0.15</v>
      </c>
      <c r="AU4" s="17">
        <f>benchmark!E8</f>
        <v>0.6</v>
      </c>
      <c r="AV4" s="17">
        <f>benchmark!F8</f>
        <v>0.05</v>
      </c>
      <c r="AW4" s="18">
        <f>benchmark!G8</f>
        <v>0.05</v>
      </c>
      <c r="AZ4" s="38" t="s">
        <v>175</v>
      </c>
      <c r="BA4" s="57" t="s">
        <v>154</v>
      </c>
    </row>
    <row r="5" spans="3:53" x14ac:dyDescent="0.75">
      <c r="C5" s="4">
        <v>5</v>
      </c>
      <c r="D5" s="58">
        <v>42300</v>
      </c>
      <c r="E5" s="5">
        <f>+VLOOKUP(D5,'Prezzi Trade'!$I$9:$J$468,2,0)</f>
        <v>22.555</v>
      </c>
      <c r="F5" s="5">
        <f>+VLOOKUP(D5,'Prezzi Trade'!$K$9:$L$468,2,0)</f>
        <v>154.63999999999999</v>
      </c>
      <c r="G5" s="5">
        <f>+VLOOKUP(D5,'Prezzi Trade'!$M$9:$N$468,2,0)/VLOOKUP(D5,'Prezzi Trade'!$O$9:$P$468,2,0)</f>
        <v>725.73996731432726</v>
      </c>
      <c r="H5" s="5">
        <f>+(VLOOKUP(D5,'Prezzi FI'!$C$8:$D$468,2,0)+VLOOKUP(D5,'Prezzi FI'!$H$8:$I$467,2,0))/100</f>
        <v>1.1699085</v>
      </c>
      <c r="I5" s="5">
        <f>+IF(VLOOKUP(D5,'Prezzi FI'!$H$8:$I$467,2,0)&lt;VLOOKUP(D6,'Prezzi FI'!$H$8:$I$467,2,0),4.25/2,0)/100</f>
        <v>0</v>
      </c>
      <c r="K5" s="4" t="str">
        <f>+YEAR( L5) &amp; WEEKNUM(L5,2)</f>
        <v>201543</v>
      </c>
      <c r="L5" s="14">
        <f>+D5</f>
        <v>42300</v>
      </c>
      <c r="M5" s="39">
        <f>+LN(E5/E6)</f>
        <v>6.8958119993651965E-3</v>
      </c>
      <c r="N5" s="39">
        <f>+LN(F5/F6)</f>
        <v>2.30917864744065E-2</v>
      </c>
      <c r="O5" s="39">
        <f>+LN(G5/G6)</f>
        <v>-2.4586385084139487E-4</v>
      </c>
      <c r="P5" s="39">
        <f>+LN((H5+I5)/H6)</f>
        <v>-1.0530183644341514E-4</v>
      </c>
      <c r="S5" s="59" t="s">
        <v>22</v>
      </c>
      <c r="T5" s="39">
        <f>+SUMIF($K$5:$K$445,$S5,M$5:M$445)</f>
        <v>1.9022616797400971E-2</v>
      </c>
      <c r="U5" s="39">
        <f>+SUMIF($K$5:$K$445,$S5,N$5:N$445)</f>
        <v>4.4969227006701459E-2</v>
      </c>
      <c r="V5" s="39">
        <f>+SUMIF($K$5:$K$445,$S5,O$5:O$445)</f>
        <v>6.9030498129863966E-3</v>
      </c>
      <c r="W5" s="39">
        <f>+SUMIF($K$5:$K$445,$S5,P$5:P$445)</f>
        <v>5.5004002780068275E-3</v>
      </c>
      <c r="AC5" s="58">
        <v>42300</v>
      </c>
      <c r="AD5" s="5">
        <f>+VLOOKUP(AC5,benchmark!$L$6:$M$533,2,0)</f>
        <v>161.29</v>
      </c>
      <c r="AE5" s="5">
        <f>+IFERROR(VLOOKUP(AC5,benchmark!$N$6:$O$2508,2,0),AE6)</f>
        <v>1106.3800000000001</v>
      </c>
      <c r="AF5" s="5">
        <f>+VLOOKUP(AC5,benchmark!$P$6:$Q$289,2,0)</f>
        <v>17.16</v>
      </c>
      <c r="AG5" s="5">
        <f>+VLOOKUP(AC5,benchmark!$R$6:$S$64,2,0)</f>
        <v>1007.576</v>
      </c>
      <c r="AH5" s="5">
        <f>+VLOOKUP(AC5,benchmark!$T$6:$U$2091,2,0)</f>
        <v>61.93</v>
      </c>
      <c r="AK5" s="14">
        <f>+AC5</f>
        <v>42300</v>
      </c>
      <c r="AL5" s="39">
        <f>+AD5/AD6-1</f>
        <v>2.2181380315609456E-2</v>
      </c>
      <c r="AM5" s="39">
        <f>+AE5/AE6-1</f>
        <v>2.9461622836837176E-3</v>
      </c>
      <c r="AN5" s="39">
        <f>+AF5/AF6-1</f>
        <v>1.4590020426028527E-3</v>
      </c>
      <c r="AO5" s="39">
        <f>+AG5/AG6-1</f>
        <v>3.5987382005113755E-3</v>
      </c>
      <c r="AP5" s="39">
        <f>+AH5/AH6-1</f>
        <v>-1.2438207622388786E-2</v>
      </c>
      <c r="AZ5" s="14">
        <f>+AK5</f>
        <v>42300</v>
      </c>
      <c r="BA5" s="39">
        <f>+SUMPRODUCT($AS$4:$AW$4,AL5:AP5)</f>
        <v>4.2025591443618166E-3</v>
      </c>
    </row>
    <row r="6" spans="3:53" x14ac:dyDescent="0.75">
      <c r="C6" s="4">
        <v>4</v>
      </c>
      <c r="D6" s="58">
        <v>42299</v>
      </c>
      <c r="E6" s="5">
        <f>+VLOOKUP(D6,'Prezzi Trade'!$I$9:$J$468,2,0)</f>
        <v>22.4</v>
      </c>
      <c r="F6" s="5">
        <f>+VLOOKUP(D6,'Prezzi Trade'!$K$9:$L$468,2,0)</f>
        <v>151.11000000000001</v>
      </c>
      <c r="G6" s="5">
        <f>+VLOOKUP(D6,'Prezzi Trade'!$M$9:$N$468,2,0)/VLOOKUP(D6,'Prezzi Trade'!$O$9:$P$468,2,0)</f>
        <v>725.91842247433817</v>
      </c>
      <c r="H6" s="5">
        <f>+(VLOOKUP(D6,'Prezzi FI'!$C$8:$D$468,2,0)+VLOOKUP(D6,'Prezzi FI'!$H$8:$I$467,2,0))/100</f>
        <v>1.1700317</v>
      </c>
      <c r="I6" s="5">
        <f>+IF(VLOOKUP(D6,'Prezzi FI'!$H$8:$I$467,2,0)&lt;VLOOKUP(D7,'Prezzi FI'!$H$8:$I$467,2,0),4.25/2,0)/100</f>
        <v>0</v>
      </c>
      <c r="K6" s="4" t="str">
        <f t="shared" ref="K6:K69" si="0">+YEAR( L6) &amp; WEEKNUM(L6,2)</f>
        <v>201543</v>
      </c>
      <c r="L6" s="14">
        <f t="shared" ref="L6:L69" si="1">+D6</f>
        <v>42299</v>
      </c>
      <c r="M6" s="39">
        <f t="shared" ref="M6:M69" si="2">+LN(E6/E7)</f>
        <v>1.7564063322623762E-2</v>
      </c>
      <c r="N6" s="39">
        <f t="shared" ref="N6:N69" si="3">+LN(F6/F7)</f>
        <v>2.0863344511912307E-2</v>
      </c>
      <c r="O6" s="39">
        <f t="shared" ref="O6:O69" si="4">+LN(G6/G7)</f>
        <v>2.1677054723985002E-2</v>
      </c>
      <c r="P6" s="39">
        <f t="shared" ref="P6:P69" si="5">+LN((H6+I6)/H7)</f>
        <v>5.5711515260682375E-3</v>
      </c>
      <c r="S6" s="59" t="s">
        <v>23</v>
      </c>
      <c r="T6" s="39">
        <f t="shared" ref="T6:W69" si="6">+SUMIF($K$5:$K$445,$S6,M$5:M$445)</f>
        <v>1.356545539251245E-3</v>
      </c>
      <c r="U6" s="39">
        <f t="shared" si="6"/>
        <v>5.0179802859823559E-3</v>
      </c>
      <c r="V6" s="39">
        <f t="shared" si="6"/>
        <v>-2.1007922088183036E-2</v>
      </c>
      <c r="W6" s="39">
        <f t="shared" si="6"/>
        <v>1.2792116971480656E-3</v>
      </c>
      <c r="AC6" s="58">
        <v>42299</v>
      </c>
      <c r="AD6" s="5">
        <f>+VLOOKUP(AC6,benchmark!$L$6:$M$533,2,0)</f>
        <v>157.79</v>
      </c>
      <c r="AE6" s="5">
        <f>+IFERROR(VLOOKUP(AC6,benchmark!$N$6:$O$2508,2,0),AE7)</f>
        <v>1103.1300000000001</v>
      </c>
      <c r="AF6" s="5">
        <f>+VLOOKUP(AC6,benchmark!$P$6:$Q$289,2,0)</f>
        <v>17.135000000000002</v>
      </c>
      <c r="AG6" s="5">
        <f>+VLOOKUP(AC6,benchmark!$R$6:$S$64,2,0)</f>
        <v>1003.963</v>
      </c>
      <c r="AH6" s="5">
        <f>+VLOOKUP(AC6,benchmark!$T$6:$U$2091,2,0)</f>
        <v>62.71</v>
      </c>
      <c r="AK6" s="14">
        <f t="shared" ref="AK6:AK24" si="7">+AC6</f>
        <v>42299</v>
      </c>
      <c r="AL6" s="39">
        <f t="shared" ref="AL6:AP24" si="8">+AD6/AD7-1</f>
        <v>2.6409939504325797E-2</v>
      </c>
      <c r="AM6" s="39">
        <f t="shared" si="8"/>
        <v>-6.3451776649681157E-5</v>
      </c>
      <c r="AN6" s="39">
        <f t="shared" si="8"/>
        <v>-2.0384391380314781E-3</v>
      </c>
      <c r="AO6" s="39">
        <f t="shared" si="8"/>
        <v>2.2379114998467342E-2</v>
      </c>
      <c r="AP6" s="39">
        <f t="shared" si="8"/>
        <v>3.8418440851608615E-3</v>
      </c>
      <c r="AZ6" s="14">
        <f t="shared" ref="AZ6:AZ24" si="9">+AK6</f>
        <v>42299</v>
      </c>
      <c r="BA6" s="39">
        <f t="shared" ref="BA6:BA24" si="10">+SUMPRODUCT($AS$4:$AW$4,AL6:AP6)</f>
        <v>4.0399576305139408E-3</v>
      </c>
    </row>
    <row r="7" spans="3:53" x14ac:dyDescent="0.75">
      <c r="C7" s="4">
        <v>3</v>
      </c>
      <c r="D7" s="58">
        <v>42298</v>
      </c>
      <c r="E7" s="5">
        <f>+VLOOKUP(D7,'Prezzi Trade'!$I$9:$J$468,2,0)</f>
        <v>22.01</v>
      </c>
      <c r="F7" s="5">
        <f>+VLOOKUP(D7,'Prezzi Trade'!$K$9:$L$468,2,0)</f>
        <v>147.99</v>
      </c>
      <c r="G7" s="5">
        <f>+VLOOKUP(D7,'Prezzi Trade'!$M$9:$N$468,2,0)/VLOOKUP(D7,'Prezzi Trade'!$O$9:$P$468,2,0)</f>
        <v>710.35197600564572</v>
      </c>
      <c r="H7" s="5">
        <f>+(VLOOKUP(D7,'Prezzi FI'!$C$8:$D$468,2,0)+VLOOKUP(D7,'Prezzi FI'!$H$8:$I$467,2,0))/100</f>
        <v>1.1635313999999999</v>
      </c>
      <c r="I7" s="5">
        <f>+IF(VLOOKUP(D7,'Prezzi FI'!$H$8:$I$467,2,0)&lt;VLOOKUP(D8,'Prezzi FI'!$H$8:$I$467,2,0),4.25/2,0)/100</f>
        <v>0</v>
      </c>
      <c r="K7" s="4" t="str">
        <f t="shared" si="0"/>
        <v>201543</v>
      </c>
      <c r="L7" s="14">
        <f t="shared" si="1"/>
        <v>42298</v>
      </c>
      <c r="M7" s="39">
        <f t="shared" si="2"/>
        <v>-3.4017495101195004E-3</v>
      </c>
      <c r="N7" s="39">
        <f t="shared" si="3"/>
        <v>2.2323702827371896E-3</v>
      </c>
      <c r="O7" s="39">
        <f t="shared" si="4"/>
        <v>-3.8973687074042584E-3</v>
      </c>
      <c r="P7" s="39">
        <f t="shared" si="5"/>
        <v>1.0290361131280285E-3</v>
      </c>
      <c r="S7" s="59" t="s">
        <v>24</v>
      </c>
      <c r="T7" s="39">
        <f t="shared" si="6"/>
        <v>3.9926844758472649E-2</v>
      </c>
      <c r="U7" s="39">
        <f t="shared" si="6"/>
        <v>4.5264774515575881E-2</v>
      </c>
      <c r="V7" s="39">
        <f t="shared" si="6"/>
        <v>4.0722001948900334E-2</v>
      </c>
      <c r="W7" s="39">
        <f t="shared" si="6"/>
        <v>-4.2391907402937766E-4</v>
      </c>
      <c r="AC7" s="58">
        <v>42298</v>
      </c>
      <c r="AD7" s="5">
        <f>+VLOOKUP(AC7,benchmark!$L$6:$M$533,2,0)</f>
        <v>153.72999999999999</v>
      </c>
      <c r="AE7" s="5">
        <f>+IFERROR(VLOOKUP(AC7,benchmark!$N$6:$O$2508,2,0),AE8)</f>
        <v>1103.2</v>
      </c>
      <c r="AF7" s="5">
        <f>+VLOOKUP(AC7,benchmark!$P$6:$Q$289,2,0)</f>
        <v>17.170000000000002</v>
      </c>
      <c r="AG7" s="5">
        <f>+VLOOKUP(AC7,benchmark!$R$6:$S$64,2,0)</f>
        <v>981.98699999999997</v>
      </c>
      <c r="AH7" s="5">
        <f>+VLOOKUP(AC7,benchmark!$T$6:$U$2091,2,0)</f>
        <v>62.47</v>
      </c>
      <c r="AK7" s="14">
        <f t="shared" si="7"/>
        <v>42298</v>
      </c>
      <c r="AL7" s="39">
        <f t="shared" si="8"/>
        <v>-4.1458832674743373E-3</v>
      </c>
      <c r="AM7" s="39">
        <f t="shared" si="8"/>
        <v>-1.7734988598936408E-3</v>
      </c>
      <c r="AN7" s="39">
        <f t="shared" si="8"/>
        <v>2.9205607476636697E-3</v>
      </c>
      <c r="AO7" s="39">
        <f t="shared" si="8"/>
        <v>-6.8520028075512718E-3</v>
      </c>
      <c r="AP7" s="39">
        <f t="shared" si="8"/>
        <v>-1.6005121638917874E-4</v>
      </c>
      <c r="AZ7" s="14">
        <f t="shared" si="9"/>
        <v>42298</v>
      </c>
      <c r="BA7" s="39">
        <f t="shared" si="10"/>
        <v>5.1382642829598244E-4</v>
      </c>
    </row>
    <row r="8" spans="3:53" x14ac:dyDescent="0.75">
      <c r="C8" s="4">
        <v>2</v>
      </c>
      <c r="D8" s="58">
        <v>42297</v>
      </c>
      <c r="E8" s="5">
        <f>+VLOOKUP(D8,'Prezzi Trade'!$I$9:$J$468,2,0)</f>
        <v>22.085000000000001</v>
      </c>
      <c r="F8" s="5">
        <f>+VLOOKUP(D8,'Prezzi Trade'!$K$9:$L$468,2,0)</f>
        <v>147.66</v>
      </c>
      <c r="G8" s="5">
        <f>+VLOOKUP(D8,'Prezzi Trade'!$M$9:$N$468,2,0)/VLOOKUP(D8,'Prezzi Trade'!$O$9:$P$468,2,0)</f>
        <v>713.12588152327214</v>
      </c>
      <c r="H8" s="5">
        <f>+(VLOOKUP(D8,'Prezzi FI'!$C$8:$D$468,2,0)+VLOOKUP(D8,'Prezzi FI'!$H$8:$I$467,2,0))/100</f>
        <v>1.1623347000000002</v>
      </c>
      <c r="I8" s="5">
        <f>+IF(VLOOKUP(D8,'Prezzi FI'!$H$8:$I$467,2,0)&lt;VLOOKUP(D9,'Prezzi FI'!$H$8:$I$467,2,0),4.25/2,0)/100</f>
        <v>0</v>
      </c>
      <c r="K8" s="4" t="str">
        <f t="shared" si="0"/>
        <v>201543</v>
      </c>
      <c r="L8" s="14">
        <f t="shared" si="1"/>
        <v>42297</v>
      </c>
      <c r="M8" s="39">
        <f t="shared" si="2"/>
        <v>-6.5440829276154321E-3</v>
      </c>
      <c r="N8" s="39">
        <f t="shared" si="3"/>
        <v>-3.1104224143925024E-3</v>
      </c>
      <c r="O8" s="39">
        <f t="shared" si="4"/>
        <v>-2.1230188383017891E-3</v>
      </c>
      <c r="P8" s="39">
        <f t="shared" si="5"/>
        <v>-1.5243877870647952E-3</v>
      </c>
      <c r="S8" s="59" t="s">
        <v>25</v>
      </c>
      <c r="T8" s="39">
        <f t="shared" si="6"/>
        <v>5.1935905219970303E-3</v>
      </c>
      <c r="U8" s="39">
        <f t="shared" si="6"/>
        <v>-1.6157264036372736E-2</v>
      </c>
      <c r="V8" s="39">
        <f t="shared" si="6"/>
        <v>-1.0362612414824057E-2</v>
      </c>
      <c r="W8" s="39">
        <f t="shared" si="6"/>
        <v>4.4462704805835005E-3</v>
      </c>
      <c r="AC8" s="58">
        <v>42297</v>
      </c>
      <c r="AD8" s="5">
        <f>+VLOOKUP(AC8,benchmark!$L$6:$M$533,2,0)</f>
        <v>154.37</v>
      </c>
      <c r="AE8" s="5">
        <f>+IFERROR(VLOOKUP(AC8,benchmark!$N$6:$O$2508,2,0),AE9)</f>
        <v>1105.1600000000001</v>
      </c>
      <c r="AF8" s="5">
        <f>+VLOOKUP(AC8,benchmark!$P$6:$Q$289,2,0)</f>
        <v>17.12</v>
      </c>
      <c r="AG8" s="5">
        <f>+VLOOKUP(AC8,benchmark!$R$6:$S$64,2,0)</f>
        <v>988.76199999999994</v>
      </c>
      <c r="AH8" s="5">
        <f>+VLOOKUP(AC8,benchmark!$T$6:$U$2091,2,0)</f>
        <v>62.48</v>
      </c>
      <c r="AK8" s="14">
        <f t="shared" si="7"/>
        <v>42297</v>
      </c>
      <c r="AL8" s="39">
        <f t="shared" si="8"/>
        <v>-4.4498903650199706E-3</v>
      </c>
      <c r="AM8" s="39">
        <f t="shared" si="8"/>
        <v>0</v>
      </c>
      <c r="AN8" s="39">
        <f t="shared" si="8"/>
        <v>5.8445353594405169E-4</v>
      </c>
      <c r="AO8" s="39">
        <f t="shared" si="8"/>
        <v>-1.1124899243930564E-5</v>
      </c>
      <c r="AP8" s="39">
        <f t="shared" si="8"/>
        <v>-4.7992321228607082E-4</v>
      </c>
      <c r="AZ8" s="14">
        <f t="shared" si="9"/>
        <v>42297</v>
      </c>
      <c r="BA8" s="39">
        <f t="shared" si="10"/>
        <v>-3.4136383876306461E-4</v>
      </c>
    </row>
    <row r="9" spans="3:53" x14ac:dyDescent="0.75">
      <c r="C9" s="4">
        <v>1</v>
      </c>
      <c r="D9" s="58">
        <v>42296</v>
      </c>
      <c r="E9" s="5">
        <f>+VLOOKUP(D9,'Prezzi Trade'!$I$9:$J$468,2,0)</f>
        <v>22.23</v>
      </c>
      <c r="F9" s="5">
        <f>+VLOOKUP(D9,'Prezzi Trade'!$K$9:$L$468,2,0)</f>
        <v>148.12</v>
      </c>
      <c r="G9" s="5">
        <f>+VLOOKUP(D9,'Prezzi Trade'!$M$9:$N$468,2,0)/VLOOKUP(D9,'Prezzi Trade'!$O$9:$P$468,2,0)</f>
        <v>714.64146944542563</v>
      </c>
      <c r="H9" s="5">
        <f>+(VLOOKUP(D9,'Prezzi FI'!$C$8:$D$468,2,0)+VLOOKUP(D9,'Prezzi FI'!$H$8:$I$467,2,0))/100</f>
        <v>1.1641078999999999</v>
      </c>
      <c r="I9" s="5">
        <f>+IF(VLOOKUP(D9,'Prezzi FI'!$H$8:$I$467,2,0)&lt;VLOOKUP(D10,'Prezzi FI'!$H$8:$I$467,2,0),4.25/2,0)/100</f>
        <v>0</v>
      </c>
      <c r="K9" s="4" t="str">
        <f t="shared" si="0"/>
        <v>201543</v>
      </c>
      <c r="L9" s="14">
        <f t="shared" si="1"/>
        <v>42296</v>
      </c>
      <c r="M9" s="39">
        <f t="shared" si="2"/>
        <v>4.5085739131469453E-3</v>
      </c>
      <c r="N9" s="39">
        <f t="shared" si="3"/>
        <v>1.8921481520379623E-3</v>
      </c>
      <c r="O9" s="39">
        <f t="shared" si="4"/>
        <v>-8.5077535144511603E-3</v>
      </c>
      <c r="P9" s="39">
        <f t="shared" si="5"/>
        <v>5.2990226231877224E-4</v>
      </c>
      <c r="S9" s="59" t="s">
        <v>26</v>
      </c>
      <c r="T9" s="39">
        <f t="shared" si="6"/>
        <v>-8.7192728672881685E-3</v>
      </c>
      <c r="U9" s="39">
        <f t="shared" si="6"/>
        <v>-3.911712168688599E-3</v>
      </c>
      <c r="V9" s="39">
        <f t="shared" si="6"/>
        <v>1.1914832904283733E-2</v>
      </c>
      <c r="W9" s="39">
        <f t="shared" si="6"/>
        <v>-4.1699042627694625E-4</v>
      </c>
      <c r="AC9" s="58">
        <v>42296</v>
      </c>
      <c r="AD9" s="5">
        <f>+VLOOKUP(AC9,benchmark!$L$6:$M$533,2,0)</f>
        <v>155.06</v>
      </c>
      <c r="AE9" s="5">
        <f>+IFERROR(VLOOKUP(AC9,benchmark!$N$6:$O$2508,2,0),AE10)</f>
        <v>1105.1600000000001</v>
      </c>
      <c r="AF9" s="5">
        <f>+VLOOKUP(AC9,benchmark!$P$6:$Q$289,2,0)</f>
        <v>17.11</v>
      </c>
      <c r="AG9" s="5">
        <f>+VLOOKUP(AC9,benchmark!$R$6:$S$64,2,0)</f>
        <v>988.77300000000002</v>
      </c>
      <c r="AH9" s="5">
        <f>+VLOOKUP(AC9,benchmark!$T$6:$U$2091,2,0)</f>
        <v>62.51</v>
      </c>
      <c r="AK9" s="14">
        <f t="shared" si="7"/>
        <v>42296</v>
      </c>
      <c r="AL9" s="39">
        <f t="shared" si="8"/>
        <v>4.2095719189172431E-3</v>
      </c>
      <c r="AM9" s="39">
        <f t="shared" si="8"/>
        <v>1.5587616907126733E-3</v>
      </c>
      <c r="AN9" s="39">
        <f t="shared" si="8"/>
        <v>-2.9137529137529539E-3</v>
      </c>
      <c r="AO9" s="39">
        <f t="shared" si="8"/>
        <v>-1.0074726982207238E-2</v>
      </c>
      <c r="AP9" s="39">
        <f t="shared" si="8"/>
        <v>1.5927189988623303E-2</v>
      </c>
      <c r="AZ9" s="14">
        <f t="shared" si="9"/>
        <v>42296</v>
      </c>
      <c r="BA9" s="39">
        <f t="shared" si="10"/>
        <v>-5.9037855648648137E-4</v>
      </c>
    </row>
    <row r="10" spans="3:53" x14ac:dyDescent="0.75">
      <c r="C10" s="4">
        <v>5</v>
      </c>
      <c r="D10" s="58">
        <v>42293</v>
      </c>
      <c r="E10" s="5">
        <f>+VLOOKUP(D10,'Prezzi Trade'!$I$9:$J$468,2,0)</f>
        <v>22.13</v>
      </c>
      <c r="F10" s="5">
        <f>+VLOOKUP(D10,'Prezzi Trade'!$K$9:$L$468,2,0)</f>
        <v>147.84</v>
      </c>
      <c r="G10" s="5">
        <f>+VLOOKUP(D10,'Prezzi Trade'!$M$9:$N$468,2,0)/VLOOKUP(D10,'Prezzi Trade'!$O$9:$P$468,2,0)</f>
        <v>720.74739996474523</v>
      </c>
      <c r="H10" s="5">
        <f>+(VLOOKUP(D10,'Prezzi FI'!$C$8:$D$468,2,0)+VLOOKUP(D10,'Prezzi FI'!$H$8:$I$467,2,0))/100</f>
        <v>1.1634911999999999</v>
      </c>
      <c r="I10" s="5">
        <f>+IF(VLOOKUP(D10,'Prezzi FI'!$H$8:$I$467,2,0)&lt;VLOOKUP(D11,'Prezzi FI'!$H$8:$I$467,2,0),4.25/2,0)/100</f>
        <v>0</v>
      </c>
      <c r="K10" s="4" t="str">
        <f t="shared" si="0"/>
        <v>201542</v>
      </c>
      <c r="L10" s="14">
        <f t="shared" si="1"/>
        <v>42293</v>
      </c>
      <c r="M10" s="39">
        <f t="shared" si="2"/>
        <v>4.5289932487065331E-3</v>
      </c>
      <c r="N10" s="39">
        <f t="shared" si="3"/>
        <v>1.4237782662772399E-2</v>
      </c>
      <c r="O10" s="39">
        <f t="shared" si="4"/>
        <v>5.5246676611376373E-3</v>
      </c>
      <c r="P10" s="39">
        <f t="shared" si="5"/>
        <v>6.6786876351266917E-4</v>
      </c>
      <c r="S10" s="59" t="s">
        <v>27</v>
      </c>
      <c r="T10" s="39">
        <f t="shared" si="6"/>
        <v>-9.5739201800373597E-3</v>
      </c>
      <c r="U10" s="39">
        <f t="shared" si="6"/>
        <v>8.2604599915083524E-3</v>
      </c>
      <c r="V10" s="39">
        <f t="shared" si="6"/>
        <v>-6.9453395843360171E-3</v>
      </c>
      <c r="W10" s="39">
        <f t="shared" si="6"/>
        <v>1.1038010874130527E-3</v>
      </c>
      <c r="AC10" s="58">
        <v>42293</v>
      </c>
      <c r="AD10" s="5">
        <f>+VLOOKUP(AC10,benchmark!$L$6:$M$533,2,0)</f>
        <v>154.41</v>
      </c>
      <c r="AE10" s="5">
        <f>+IFERROR(VLOOKUP(AC10,benchmark!$N$6:$O$2508,2,0),AE11)</f>
        <v>1103.44</v>
      </c>
      <c r="AF10" s="5">
        <f>+VLOOKUP(AC10,benchmark!$P$6:$Q$289,2,0)</f>
        <v>17.16</v>
      </c>
      <c r="AG10" s="5">
        <f>+VLOOKUP(AC10,benchmark!$R$6:$S$64,2,0)</f>
        <v>998.83600000000001</v>
      </c>
      <c r="AH10" s="5">
        <f>+VLOOKUP(AC10,benchmark!$T$6:$U$2091,2,0)</f>
        <v>61.53</v>
      </c>
      <c r="AK10" s="14">
        <f t="shared" si="7"/>
        <v>42293</v>
      </c>
      <c r="AL10" s="39">
        <f t="shared" si="8"/>
        <v>5.0771333723882428E-3</v>
      </c>
      <c r="AM10" s="39">
        <f t="shared" si="8"/>
        <v>7.4368322722251357E-4</v>
      </c>
      <c r="AN10" s="39">
        <f t="shared" si="8"/>
        <v>5.8309037900894367E-4</v>
      </c>
      <c r="AO10" s="39">
        <f t="shared" si="8"/>
        <v>1.9751882648337826E-3</v>
      </c>
      <c r="AP10" s="39">
        <f t="shared" si="8"/>
        <v>9.8473658296405198E-3</v>
      </c>
      <c r="AZ10" s="14">
        <f t="shared" si="9"/>
        <v>42293</v>
      </c>
      <c r="BA10" s="39">
        <f t="shared" si="10"/>
        <v>1.8141044220706946E-3</v>
      </c>
    </row>
    <row r="11" spans="3:53" x14ac:dyDescent="0.75">
      <c r="C11" s="4">
        <v>4</v>
      </c>
      <c r="D11" s="58">
        <v>42292</v>
      </c>
      <c r="E11" s="5">
        <f>+VLOOKUP(D11,'Prezzi Trade'!$I$9:$J$468,2,0)</f>
        <v>22.03</v>
      </c>
      <c r="F11" s="5">
        <f>+VLOOKUP(D11,'Prezzi Trade'!$K$9:$L$468,2,0)</f>
        <v>145.75</v>
      </c>
      <c r="G11" s="5">
        <f>+VLOOKUP(D11,'Prezzi Trade'!$M$9:$N$468,2,0)/VLOOKUP(D11,'Prezzi Trade'!$O$9:$P$468,2,0)</f>
        <v>716.77648919346336</v>
      </c>
      <c r="H11" s="5">
        <f>+(VLOOKUP(D11,'Prezzi FI'!$C$8:$D$468,2,0)+VLOOKUP(D11,'Prezzi FI'!$H$8:$I$467,2,0))/100</f>
        <v>1.1627144</v>
      </c>
      <c r="I11" s="5">
        <f>+IF(VLOOKUP(D11,'Prezzi FI'!$H$8:$I$467,2,0)&lt;VLOOKUP(D12,'Prezzi FI'!$H$8:$I$467,2,0),4.25/2,0)/100</f>
        <v>0</v>
      </c>
      <c r="K11" s="4" t="str">
        <f t="shared" si="0"/>
        <v>201542</v>
      </c>
      <c r="L11" s="14">
        <f t="shared" si="1"/>
        <v>42292</v>
      </c>
      <c r="M11" s="39">
        <f t="shared" si="2"/>
        <v>1.7399706365753095E-2</v>
      </c>
      <c r="N11" s="39">
        <f t="shared" si="3"/>
        <v>9.5826454560138195E-3</v>
      </c>
      <c r="O11" s="39">
        <f t="shared" si="4"/>
        <v>2.1457303845472337E-3</v>
      </c>
      <c r="P11" s="39">
        <f t="shared" si="5"/>
        <v>2.9272004263916922E-4</v>
      </c>
      <c r="S11" s="59" t="s">
        <v>28</v>
      </c>
      <c r="T11" s="39">
        <f t="shared" si="6"/>
        <v>1.3335090575398102E-2</v>
      </c>
      <c r="U11" s="39">
        <f t="shared" si="6"/>
        <v>-4.3487478228198349E-3</v>
      </c>
      <c r="V11" s="39">
        <f t="shared" si="6"/>
        <v>-2.0884276462404636E-2</v>
      </c>
      <c r="W11" s="39">
        <f t="shared" si="6"/>
        <v>1.9363427825456439E-3</v>
      </c>
      <c r="AC11" s="58">
        <v>42292</v>
      </c>
      <c r="AD11" s="5">
        <f>+VLOOKUP(AC11,benchmark!$L$6:$M$533,2,0)</f>
        <v>153.63</v>
      </c>
      <c r="AE11" s="5">
        <f>+IFERROR(VLOOKUP(AC11,benchmark!$N$6:$O$2508,2,0),AE12)</f>
        <v>1102.6199999999999</v>
      </c>
      <c r="AF11" s="5">
        <f>+VLOOKUP(AC11,benchmark!$P$6:$Q$289,2,0)</f>
        <v>17.149999999999999</v>
      </c>
      <c r="AG11" s="5">
        <f>+VLOOKUP(AC11,benchmark!$R$6:$S$64,2,0)</f>
        <v>996.86699999999996</v>
      </c>
      <c r="AH11" s="5">
        <f>+VLOOKUP(AC11,benchmark!$T$6:$U$2091,2,0)</f>
        <v>60.93</v>
      </c>
      <c r="AK11" s="14">
        <f t="shared" si="7"/>
        <v>42292</v>
      </c>
      <c r="AL11" s="39">
        <f t="shared" si="8"/>
        <v>1.8631481235910297E-2</v>
      </c>
      <c r="AM11" s="39">
        <f t="shared" si="8"/>
        <v>1.9355014584412356E-3</v>
      </c>
      <c r="AN11" s="39">
        <f t="shared" si="8"/>
        <v>-1.7462165308499422E-3</v>
      </c>
      <c r="AO11" s="39">
        <f t="shared" si="8"/>
        <v>4.2320377649682772E-3</v>
      </c>
      <c r="AP11" s="39">
        <f t="shared" si="8"/>
        <v>1.3979031452820756E-2</v>
      </c>
      <c r="AZ11" s="14">
        <f t="shared" si="9"/>
        <v>42292</v>
      </c>
      <c r="BA11" s="39">
        <f t="shared" si="10"/>
        <v>2.9478709465322163E-3</v>
      </c>
    </row>
    <row r="12" spans="3:53" x14ac:dyDescent="0.75">
      <c r="C12" s="4">
        <v>3</v>
      </c>
      <c r="D12" s="58">
        <v>42291</v>
      </c>
      <c r="E12" s="5">
        <f>+VLOOKUP(D12,'Prezzi Trade'!$I$9:$J$468,2,0)</f>
        <v>21.65</v>
      </c>
      <c r="F12" s="5">
        <f>+VLOOKUP(D12,'Prezzi Trade'!$K$9:$L$468,2,0)</f>
        <v>144.36000000000001</v>
      </c>
      <c r="G12" s="5">
        <f>+VLOOKUP(D12,'Prezzi Trade'!$M$9:$N$468,2,0)/VLOOKUP(D12,'Prezzi Trade'!$O$9:$P$468,2,0)</f>
        <v>715.24012899851834</v>
      </c>
      <c r="H12" s="5">
        <f>+(VLOOKUP(D12,'Prezzi FI'!$C$8:$D$468,2,0)+VLOOKUP(D12,'Prezzi FI'!$H$8:$I$467,2,0))/100</f>
        <v>1.1623741000000001</v>
      </c>
      <c r="I12" s="5">
        <f>+IF(VLOOKUP(D12,'Prezzi FI'!$H$8:$I$467,2,0)&lt;VLOOKUP(D13,'Prezzi FI'!$H$8:$I$467,2,0),4.25/2,0)/100</f>
        <v>0</v>
      </c>
      <c r="K12" s="4" t="str">
        <f t="shared" si="0"/>
        <v>201542</v>
      </c>
      <c r="L12" s="14">
        <f t="shared" si="1"/>
        <v>42291</v>
      </c>
      <c r="M12" s="39">
        <f t="shared" si="2"/>
        <v>-9.8817304163850844E-3</v>
      </c>
      <c r="N12" s="39">
        <f t="shared" si="3"/>
        <v>-1.2665367541090112E-2</v>
      </c>
      <c r="O12" s="39">
        <f t="shared" si="4"/>
        <v>-1.3080347121481891E-2</v>
      </c>
      <c r="P12" s="39">
        <f t="shared" si="5"/>
        <v>4.1019304903422437E-4</v>
      </c>
      <c r="S12" s="59" t="s">
        <v>29</v>
      </c>
      <c r="T12" s="39">
        <f t="shared" si="6"/>
        <v>-2.7869894846687861E-2</v>
      </c>
      <c r="U12" s="39">
        <f t="shared" si="6"/>
        <v>-3.3854891385912578E-2</v>
      </c>
      <c r="V12" s="39">
        <f t="shared" si="6"/>
        <v>-7.3444072830456319E-4</v>
      </c>
      <c r="W12" s="39">
        <f t="shared" si="6"/>
        <v>2.6955472068670634E-3</v>
      </c>
      <c r="AC12" s="58">
        <v>42291</v>
      </c>
      <c r="AD12" s="5">
        <f>+VLOOKUP(AC12,benchmark!$L$6:$M$533,2,0)</f>
        <v>150.82</v>
      </c>
      <c r="AE12" s="5">
        <f>+IFERROR(VLOOKUP(AC12,benchmark!$N$6:$O$2508,2,0),AE13)</f>
        <v>1100.49</v>
      </c>
      <c r="AF12" s="5">
        <f>+VLOOKUP(AC12,benchmark!$P$6:$Q$289,2,0)</f>
        <v>17.18</v>
      </c>
      <c r="AG12" s="5">
        <f>+VLOOKUP(AC12,benchmark!$R$6:$S$64,2,0)</f>
        <v>992.66600000000005</v>
      </c>
      <c r="AH12" s="5">
        <f>+VLOOKUP(AC12,benchmark!$T$6:$U$2091,2,0)</f>
        <v>60.09</v>
      </c>
      <c r="AK12" s="14">
        <f t="shared" si="7"/>
        <v>42291</v>
      </c>
      <c r="AL12" s="39">
        <f t="shared" si="8"/>
        <v>-1.0367454068241577E-2</v>
      </c>
      <c r="AM12" s="39">
        <f t="shared" si="8"/>
        <v>-2.0132219713252519E-3</v>
      </c>
      <c r="AN12" s="39">
        <f t="shared" si="8"/>
        <v>4.0911747516072516E-3</v>
      </c>
      <c r="AO12" s="39">
        <f t="shared" si="8"/>
        <v>-6.7261163832265103E-3</v>
      </c>
      <c r="AP12" s="39">
        <f t="shared" si="8"/>
        <v>-1.1189731775547163E-2</v>
      </c>
      <c r="AZ12" s="14">
        <f t="shared" si="9"/>
        <v>42291</v>
      </c>
      <c r="BA12" s="39">
        <f t="shared" si="10"/>
        <v>-2.9818896290935697E-4</v>
      </c>
    </row>
    <row r="13" spans="3:53" x14ac:dyDescent="0.75">
      <c r="C13" s="4">
        <v>2</v>
      </c>
      <c r="D13" s="58">
        <v>42290</v>
      </c>
      <c r="E13" s="5">
        <f>+VLOOKUP(D13,'Prezzi Trade'!$I$9:$J$468,2,0)</f>
        <v>21.864999999999998</v>
      </c>
      <c r="F13" s="5">
        <f>+VLOOKUP(D13,'Prezzi Trade'!$K$9:$L$468,2,0)</f>
        <v>146.19999999999999</v>
      </c>
      <c r="G13" s="5">
        <f>+VLOOKUP(D13,'Prezzi Trade'!$M$9:$N$468,2,0)/VLOOKUP(D13,'Prezzi Trade'!$O$9:$P$468,2,0)</f>
        <v>724.65717299578068</v>
      </c>
      <c r="H13" s="5">
        <f>+(VLOOKUP(D13,'Prezzi FI'!$C$8:$D$468,2,0)+VLOOKUP(D13,'Prezzi FI'!$H$8:$I$467,2,0))/100</f>
        <v>1.1618974</v>
      </c>
      <c r="I13" s="5">
        <f>+IF(VLOOKUP(D13,'Prezzi FI'!$H$8:$I$467,2,0)&lt;VLOOKUP(D14,'Prezzi FI'!$H$8:$I$467,2,0),4.25/2,0)/100</f>
        <v>0</v>
      </c>
      <c r="K13" s="4" t="str">
        <f t="shared" si="0"/>
        <v>201542</v>
      </c>
      <c r="L13" s="14">
        <f t="shared" si="1"/>
        <v>42290</v>
      </c>
      <c r="M13" s="39">
        <f t="shared" si="2"/>
        <v>-6.8579268889654718E-4</v>
      </c>
      <c r="N13" s="39">
        <f t="shared" si="3"/>
        <v>-3.1414353499753592E-3</v>
      </c>
      <c r="O13" s="39">
        <f t="shared" si="4"/>
        <v>-9.7196370451461574E-3</v>
      </c>
      <c r="P13" s="39">
        <f t="shared" si="5"/>
        <v>-1.8347613312705749E-4</v>
      </c>
      <c r="S13" s="59" t="s">
        <v>30</v>
      </c>
      <c r="T13" s="39">
        <f t="shared" si="6"/>
        <v>1.6395702691533218E-2</v>
      </c>
      <c r="U13" s="39">
        <f t="shared" si="6"/>
        <v>1.6096378084932722E-2</v>
      </c>
      <c r="V13" s="39">
        <f t="shared" si="6"/>
        <v>4.8750067965339407E-2</v>
      </c>
      <c r="W13" s="39">
        <f t="shared" si="6"/>
        <v>-8.4539290652410701E-4</v>
      </c>
      <c r="AC13" s="58">
        <v>42290</v>
      </c>
      <c r="AD13" s="5">
        <f>+VLOOKUP(AC13,benchmark!$L$6:$M$533,2,0)</f>
        <v>152.4</v>
      </c>
      <c r="AE13" s="5">
        <f>+IFERROR(VLOOKUP(AC13,benchmark!$N$6:$O$2508,2,0),AE14)</f>
        <v>1102.71</v>
      </c>
      <c r="AF13" s="5">
        <f>+VLOOKUP(AC13,benchmark!$P$6:$Q$289,2,0)</f>
        <v>17.11</v>
      </c>
      <c r="AG13" s="5">
        <f>+VLOOKUP(AC13,benchmark!$R$6:$S$64,2,0)</f>
        <v>999.38800000000003</v>
      </c>
      <c r="AH13" s="5">
        <f>+VLOOKUP(AC13,benchmark!$T$6:$U$2091,2,0)</f>
        <v>60.77</v>
      </c>
      <c r="AK13" s="14">
        <f t="shared" si="7"/>
        <v>42290</v>
      </c>
      <c r="AL13" s="39">
        <f t="shared" si="8"/>
        <v>-8.4580351333766179E-3</v>
      </c>
      <c r="AM13" s="39">
        <f t="shared" si="8"/>
        <v>0</v>
      </c>
      <c r="AN13" s="39">
        <f t="shared" si="8"/>
        <v>-1.7502917152859565E-3</v>
      </c>
      <c r="AO13" s="39">
        <f t="shared" si="8"/>
        <v>-5.5731953285060865E-3</v>
      </c>
      <c r="AP13" s="39">
        <f t="shared" si="8"/>
        <v>-8.8076985809818487E-3</v>
      </c>
      <c r="AZ13" s="14">
        <f t="shared" si="9"/>
        <v>42290</v>
      </c>
      <c r="BA13" s="39">
        <f t="shared" si="10"/>
        <v>-3.0379249946524637E-3</v>
      </c>
    </row>
    <row r="14" spans="3:53" x14ac:dyDescent="0.75">
      <c r="C14" s="4">
        <v>1</v>
      </c>
      <c r="D14" s="58">
        <v>42289</v>
      </c>
      <c r="E14" s="5">
        <f>+VLOOKUP(D14,'Prezzi Trade'!$I$9:$J$468,2,0)</f>
        <v>21.88</v>
      </c>
      <c r="F14" s="5">
        <f>+VLOOKUP(D14,'Prezzi Trade'!$K$9:$L$468,2,0)</f>
        <v>146.66</v>
      </c>
      <c r="G14" s="5">
        <f>+VLOOKUP(D14,'Prezzi Trade'!$M$9:$N$468,2,0)/VLOOKUP(D14,'Prezzi Trade'!$O$9:$P$468,2,0)</f>
        <v>731.734918538089</v>
      </c>
      <c r="H14" s="5">
        <f>+(VLOOKUP(D14,'Prezzi FI'!$C$8:$D$468,2,0)+VLOOKUP(D14,'Prezzi FI'!$H$8:$I$467,2,0))/100</f>
        <v>1.1621106000000001</v>
      </c>
      <c r="I14" s="5">
        <f>+IF(VLOOKUP(D14,'Prezzi FI'!$H$8:$I$467,2,0)&lt;VLOOKUP(D15,'Prezzi FI'!$H$8:$I$467,2,0),4.25/2,0)/100</f>
        <v>0</v>
      </c>
      <c r="K14" s="4" t="str">
        <f t="shared" si="0"/>
        <v>201542</v>
      </c>
      <c r="L14" s="14">
        <f t="shared" si="1"/>
        <v>42289</v>
      </c>
      <c r="M14" s="39">
        <f t="shared" si="2"/>
        <v>-1.0004630969926752E-2</v>
      </c>
      <c r="N14" s="39">
        <f t="shared" si="3"/>
        <v>-2.9956449417383904E-3</v>
      </c>
      <c r="O14" s="39">
        <f t="shared" si="4"/>
        <v>-5.8783359672398561E-3</v>
      </c>
      <c r="P14" s="39">
        <f t="shared" si="5"/>
        <v>9.1905975089060313E-5</v>
      </c>
      <c r="S14" s="59" t="s">
        <v>31</v>
      </c>
      <c r="T14" s="39">
        <f t="shared" si="6"/>
        <v>-6.7952361387871918E-2</v>
      </c>
      <c r="U14" s="39">
        <f t="shared" si="6"/>
        <v>-6.8552730634775502E-2</v>
      </c>
      <c r="V14" s="39">
        <f t="shared" si="6"/>
        <v>-6.4243465968699356E-2</v>
      </c>
      <c r="W14" s="39">
        <f t="shared" si="6"/>
        <v>-3.1240309616284408E-3</v>
      </c>
      <c r="AC14" s="58">
        <v>42289</v>
      </c>
      <c r="AD14" s="5">
        <f>+VLOOKUP(AC14,benchmark!$L$6:$M$533,2,0)</f>
        <v>153.69999999999999</v>
      </c>
      <c r="AE14" s="5">
        <f>+IFERROR(VLOOKUP(AC14,benchmark!$N$6:$O$2508,2,0),AE15)</f>
        <v>1102.71</v>
      </c>
      <c r="AF14" s="5">
        <f>+VLOOKUP(AC14,benchmark!$P$6:$Q$289,2,0)</f>
        <v>17.14</v>
      </c>
      <c r="AG14" s="5">
        <f>+VLOOKUP(AC14,benchmark!$R$6:$S$64,2,0)</f>
        <v>1004.989</v>
      </c>
      <c r="AH14" s="5">
        <f>+VLOOKUP(AC14,benchmark!$T$6:$U$2091,2,0)</f>
        <v>61.31</v>
      </c>
      <c r="AK14" s="14">
        <f t="shared" si="7"/>
        <v>42289</v>
      </c>
      <c r="AL14" s="39">
        <f t="shared" si="8"/>
        <v>-5.2022369618942577E-4</v>
      </c>
      <c r="AM14" s="39">
        <f t="shared" si="8"/>
        <v>0</v>
      </c>
      <c r="AN14" s="39">
        <f t="shared" si="8"/>
        <v>4.1007615700059397E-3</v>
      </c>
      <c r="AO14" s="39">
        <f t="shared" si="8"/>
        <v>-1.1435991009379087E-2</v>
      </c>
      <c r="AP14" s="39">
        <f t="shared" si="8"/>
        <v>5.5765130391995932E-3</v>
      </c>
      <c r="AZ14" s="14">
        <f t="shared" si="9"/>
        <v>42289</v>
      </c>
      <c r="BA14" s="39">
        <f t="shared" si="10"/>
        <v>2.0894494890661757E-3</v>
      </c>
    </row>
    <row r="15" spans="3:53" x14ac:dyDescent="0.75">
      <c r="C15" s="4">
        <v>5</v>
      </c>
      <c r="D15" s="58">
        <v>42286</v>
      </c>
      <c r="E15" s="5">
        <f>+VLOOKUP(D15,'Prezzi Trade'!$I$9:$J$468,2,0)</f>
        <v>22.1</v>
      </c>
      <c r="F15" s="5">
        <f>+VLOOKUP(D15,'Prezzi Trade'!$K$9:$L$468,2,0)</f>
        <v>147.1</v>
      </c>
      <c r="G15" s="5">
        <f>+VLOOKUP(D15,'Prezzi Trade'!$M$9:$N$468,2,0)/VLOOKUP(D15,'Prezzi Trade'!$O$9:$P$468,2,0)</f>
        <v>736.0489695261582</v>
      </c>
      <c r="H15" s="5">
        <f>+(VLOOKUP(D15,'Prezzi FI'!$C$8:$D$468,2,0)+VLOOKUP(D15,'Prezzi FI'!$H$8:$I$467,2,0))/100</f>
        <v>1.1620037999999999</v>
      </c>
      <c r="I15" s="5">
        <f>+IF(VLOOKUP(D15,'Prezzi FI'!$H$8:$I$467,2,0)&lt;VLOOKUP(D16,'Prezzi FI'!$H$8:$I$467,2,0),4.25/2,0)/100</f>
        <v>0</v>
      </c>
      <c r="K15" s="4" t="str">
        <f t="shared" si="0"/>
        <v>201541</v>
      </c>
      <c r="L15" s="14">
        <f t="shared" si="1"/>
        <v>42286</v>
      </c>
      <c r="M15" s="39">
        <f t="shared" si="2"/>
        <v>5.6721649524663744E-3</v>
      </c>
      <c r="N15" s="39">
        <f t="shared" si="3"/>
        <v>2.4503143215436241E-3</v>
      </c>
      <c r="O15" s="39">
        <f t="shared" si="4"/>
        <v>7.7105374511985333E-3</v>
      </c>
      <c r="P15" s="39">
        <f t="shared" si="5"/>
        <v>3.4145131945639243E-4</v>
      </c>
      <c r="S15" s="59" t="s">
        <v>32</v>
      </c>
      <c r="T15" s="39">
        <f t="shared" si="6"/>
        <v>-1.9175423261513051E-2</v>
      </c>
      <c r="U15" s="39">
        <f t="shared" si="6"/>
        <v>-1.5670108529306156E-2</v>
      </c>
      <c r="V15" s="39">
        <f t="shared" si="6"/>
        <v>-1.5593955521493364E-2</v>
      </c>
      <c r="W15" s="39">
        <f t="shared" si="6"/>
        <v>4.6607907558569828E-4</v>
      </c>
      <c r="AC15" s="58">
        <v>42286</v>
      </c>
      <c r="AD15" s="5">
        <f>+VLOOKUP(AC15,benchmark!$L$6:$M$533,2,0)</f>
        <v>153.78</v>
      </c>
      <c r="AE15" s="5">
        <f>+IFERROR(VLOOKUP(AC15,benchmark!$N$6:$O$2508,2,0),AE16)</f>
        <v>1102.71</v>
      </c>
      <c r="AF15" s="5">
        <f>+VLOOKUP(AC15,benchmark!$P$6:$Q$289,2,0)</f>
        <v>17.07</v>
      </c>
      <c r="AG15" s="5">
        <f>+VLOOKUP(AC15,benchmark!$R$6:$S$64,2,0)</f>
        <v>1016.615</v>
      </c>
      <c r="AH15" s="5">
        <f>+VLOOKUP(AC15,benchmark!$T$6:$U$2091,2,0)</f>
        <v>60.97</v>
      </c>
      <c r="AK15" s="14">
        <f t="shared" si="7"/>
        <v>42286</v>
      </c>
      <c r="AL15" s="39">
        <f t="shared" si="8"/>
        <v>0</v>
      </c>
      <c r="AM15" s="39">
        <f t="shared" si="8"/>
        <v>2.0862056454551414E-4</v>
      </c>
      <c r="AN15" s="39">
        <f t="shared" si="8"/>
        <v>-3.5026269702276291E-3</v>
      </c>
      <c r="AO15" s="39">
        <f t="shared" si="8"/>
        <v>4.929677707615765E-3</v>
      </c>
      <c r="AP15" s="39">
        <f t="shared" si="8"/>
        <v>-2.9435813573180925E-3</v>
      </c>
      <c r="AZ15" s="14">
        <f t="shared" si="9"/>
        <v>42286</v>
      </c>
      <c r="BA15" s="39">
        <f t="shared" si="10"/>
        <v>-1.9709782799398668E-3</v>
      </c>
    </row>
    <row r="16" spans="3:53" x14ac:dyDescent="0.75">
      <c r="C16" s="4">
        <v>4</v>
      </c>
      <c r="D16" s="58">
        <v>42285</v>
      </c>
      <c r="E16" s="5">
        <f>+VLOOKUP(D16,'Prezzi Trade'!$I$9:$J$468,2,0)</f>
        <v>21.975000000000001</v>
      </c>
      <c r="F16" s="5">
        <f>+VLOOKUP(D16,'Prezzi Trade'!$K$9:$L$468,2,0)</f>
        <v>146.74</v>
      </c>
      <c r="G16" s="5">
        <f>+VLOOKUP(D16,'Prezzi Trade'!$M$9:$N$468,2,0)/VLOOKUP(D16,'Prezzi Trade'!$O$9:$P$468,2,0)</f>
        <v>730.39546018797671</v>
      </c>
      <c r="H16" s="5">
        <f>+(VLOOKUP(D16,'Prezzi FI'!$C$8:$D$468,2,0)+VLOOKUP(D16,'Prezzi FI'!$H$8:$I$467,2,0))/100</f>
        <v>1.1616071000000001</v>
      </c>
      <c r="I16" s="5">
        <f>+IF(VLOOKUP(D16,'Prezzi FI'!$H$8:$I$467,2,0)&lt;VLOOKUP(D17,'Prezzi FI'!$H$8:$I$467,2,0),4.25/2,0)/100</f>
        <v>0</v>
      </c>
      <c r="K16" s="4" t="str">
        <f t="shared" si="0"/>
        <v>201541</v>
      </c>
      <c r="L16" s="14">
        <f t="shared" si="1"/>
        <v>42285</v>
      </c>
      <c r="M16" s="39">
        <f t="shared" si="2"/>
        <v>4.7896088825642932E-3</v>
      </c>
      <c r="N16" s="39">
        <f t="shared" si="3"/>
        <v>5.0556915775118606E-3</v>
      </c>
      <c r="O16" s="39">
        <f t="shared" si="4"/>
        <v>-4.4996149293110039E-3</v>
      </c>
      <c r="P16" s="39">
        <f t="shared" si="5"/>
        <v>6.5473853079330707E-4</v>
      </c>
      <c r="S16" s="59" t="s">
        <v>33</v>
      </c>
      <c r="T16" s="39">
        <f t="shared" si="6"/>
        <v>6.6374293565736302E-3</v>
      </c>
      <c r="U16" s="39">
        <f t="shared" si="6"/>
        <v>-7.4930300523049767E-3</v>
      </c>
      <c r="V16" s="39">
        <f t="shared" si="6"/>
        <v>-2.5552394330198101E-2</v>
      </c>
      <c r="W16" s="39">
        <f t="shared" si="6"/>
        <v>1.6014001235243133E-4</v>
      </c>
      <c r="AC16" s="58">
        <v>42285</v>
      </c>
      <c r="AD16" s="5">
        <f>+VLOOKUP(AC16,benchmark!$L$6:$M$533,2,0)</f>
        <v>153.78</v>
      </c>
      <c r="AE16" s="5">
        <f>+IFERROR(VLOOKUP(AC16,benchmark!$N$6:$O$2508,2,0),AE17)</f>
        <v>1102.48</v>
      </c>
      <c r="AF16" s="5">
        <f>+VLOOKUP(AC16,benchmark!$P$6:$Q$289,2,0)</f>
        <v>17.13</v>
      </c>
      <c r="AG16" s="5">
        <f>+VLOOKUP(AC16,benchmark!$R$6:$S$64,2,0)</f>
        <v>1011.628</v>
      </c>
      <c r="AH16" s="5">
        <f>+VLOOKUP(AC16,benchmark!$T$6:$U$2091,2,0)</f>
        <v>61.15</v>
      </c>
      <c r="AK16" s="14">
        <f t="shared" si="7"/>
        <v>42285</v>
      </c>
      <c r="AL16" s="39">
        <f t="shared" si="8"/>
        <v>1.6283462515469527E-3</v>
      </c>
      <c r="AM16" s="39">
        <f t="shared" si="8"/>
        <v>1.4169966936743439E-3</v>
      </c>
      <c r="AN16" s="39">
        <f t="shared" si="8"/>
        <v>2.340550029256816E-3</v>
      </c>
      <c r="AO16" s="39">
        <f t="shared" si="8"/>
        <v>-1.999694176026301E-3</v>
      </c>
      <c r="AP16" s="39">
        <f t="shared" si="8"/>
        <v>7.0816864295124571E-3</v>
      </c>
      <c r="AZ16" s="14">
        <f t="shared" si="9"/>
        <v>42285</v>
      </c>
      <c r="BA16" s="39">
        <f t="shared" si="10"/>
        <v>2.115231072011592E-3</v>
      </c>
    </row>
    <row r="17" spans="3:53" x14ac:dyDescent="0.75">
      <c r="C17" s="4">
        <v>3</v>
      </c>
      <c r="D17" s="58">
        <v>42284</v>
      </c>
      <c r="E17" s="5">
        <f>+VLOOKUP(D17,'Prezzi Trade'!$I$9:$J$468,2,0)</f>
        <v>21.87</v>
      </c>
      <c r="F17" s="5">
        <f>+VLOOKUP(D17,'Prezzi Trade'!$K$9:$L$468,2,0)</f>
        <v>146</v>
      </c>
      <c r="G17" s="5">
        <f>+VLOOKUP(D17,'Prezzi Trade'!$M$9:$N$468,2,0)/VLOOKUP(D17,'Prezzi Trade'!$O$9:$P$468,2,0)</f>
        <v>733.68936359590566</v>
      </c>
      <c r="H17" s="5">
        <f>+(VLOOKUP(D17,'Prezzi FI'!$C$8:$D$468,2,0)+VLOOKUP(D17,'Prezzi FI'!$H$8:$I$467,2,0))/100</f>
        <v>1.1608468000000001</v>
      </c>
      <c r="I17" s="5">
        <f>+IF(VLOOKUP(D17,'Prezzi FI'!$H$8:$I$467,2,0)&lt;VLOOKUP(D18,'Prezzi FI'!$H$8:$I$467,2,0),4.25/2,0)/100</f>
        <v>0</v>
      </c>
      <c r="K17" s="4" t="str">
        <f t="shared" si="0"/>
        <v>201541</v>
      </c>
      <c r="L17" s="14">
        <f t="shared" si="1"/>
        <v>42284</v>
      </c>
      <c r="M17" s="39">
        <f t="shared" si="2"/>
        <v>-2.5117035695702106E-3</v>
      </c>
      <c r="N17" s="39">
        <f t="shared" si="3"/>
        <v>2.8121696231018884E-3</v>
      </c>
      <c r="O17" s="39">
        <f t="shared" si="4"/>
        <v>4.1832707777570586E-3</v>
      </c>
      <c r="P17" s="39">
        <f t="shared" si="5"/>
        <v>-3.7319235656657336E-4</v>
      </c>
      <c r="S17" s="59" t="s">
        <v>34</v>
      </c>
      <c r="T17" s="39">
        <f t="shared" si="6"/>
        <v>-6.4426073311901061E-4</v>
      </c>
      <c r="U17" s="39">
        <f t="shared" si="6"/>
        <v>4.4008621260880482E-3</v>
      </c>
      <c r="V17" s="39">
        <f t="shared" si="6"/>
        <v>-1.2530018825287211E-2</v>
      </c>
      <c r="W17" s="39">
        <f t="shared" si="6"/>
        <v>2.9697831038849967E-3</v>
      </c>
      <c r="AC17" s="58">
        <v>42284</v>
      </c>
      <c r="AD17" s="5">
        <f>+VLOOKUP(AC17,benchmark!$L$6:$M$533,2,0)</f>
        <v>153.53</v>
      </c>
      <c r="AE17" s="5">
        <f>+IFERROR(VLOOKUP(AC17,benchmark!$N$6:$O$2508,2,0),AE18)</f>
        <v>1100.92</v>
      </c>
      <c r="AF17" s="5">
        <f>+VLOOKUP(AC17,benchmark!$P$6:$Q$289,2,0)</f>
        <v>17.09</v>
      </c>
      <c r="AG17" s="5">
        <f>+VLOOKUP(AC17,benchmark!$R$6:$S$64,2,0)</f>
        <v>1013.655</v>
      </c>
      <c r="AH17" s="5">
        <f>+VLOOKUP(AC17,benchmark!$T$6:$U$2091,2,0)</f>
        <v>60.72</v>
      </c>
      <c r="AK17" s="14">
        <f t="shared" si="7"/>
        <v>42284</v>
      </c>
      <c r="AL17" s="39">
        <f t="shared" si="8"/>
        <v>1.1929870814658683E-2</v>
      </c>
      <c r="AM17" s="39">
        <f t="shared" si="8"/>
        <v>4.9073956269651831E-4</v>
      </c>
      <c r="AN17" s="39">
        <f t="shared" si="8"/>
        <v>0</v>
      </c>
      <c r="AO17" s="39">
        <f t="shared" si="8"/>
        <v>2.5418238822649819E-3</v>
      </c>
      <c r="AP17" s="39">
        <f t="shared" si="8"/>
        <v>8.4703537618335822E-3</v>
      </c>
      <c r="AZ17" s="14">
        <f t="shared" si="9"/>
        <v>42284</v>
      </c>
      <c r="BA17" s="39">
        <f t="shared" si="10"/>
        <v>2.4137004388082085E-3</v>
      </c>
    </row>
    <row r="18" spans="3:53" x14ac:dyDescent="0.75">
      <c r="C18" s="4">
        <v>2</v>
      </c>
      <c r="D18" s="58">
        <v>42283</v>
      </c>
      <c r="E18" s="5">
        <f>+VLOOKUP(D18,'Prezzi Trade'!$I$9:$J$468,2,0)</f>
        <v>21.925000000000001</v>
      </c>
      <c r="F18" s="5">
        <f>+VLOOKUP(D18,'Prezzi Trade'!$K$9:$L$468,2,0)</f>
        <v>145.59</v>
      </c>
      <c r="G18" s="5">
        <f>+VLOOKUP(D18,'Prezzi Trade'!$M$9:$N$468,2,0)/VLOOKUP(D18,'Prezzi Trade'!$O$9:$P$468,2,0)</f>
        <v>730.62655307064244</v>
      </c>
      <c r="H18" s="5">
        <f>+(VLOOKUP(D18,'Prezzi FI'!$C$8:$D$468,2,0)+VLOOKUP(D18,'Prezzi FI'!$H$8:$I$467,2,0))/100</f>
        <v>1.1612800999999999</v>
      </c>
      <c r="I18" s="5">
        <f>+IF(VLOOKUP(D18,'Prezzi FI'!$H$8:$I$467,2,0)&lt;VLOOKUP(D19,'Prezzi FI'!$H$8:$I$467,2,0),4.25/2,0)/100</f>
        <v>0</v>
      </c>
      <c r="K18" s="4" t="str">
        <f t="shared" si="0"/>
        <v>201541</v>
      </c>
      <c r="L18" s="14">
        <f t="shared" si="1"/>
        <v>42283</v>
      </c>
      <c r="M18" s="39">
        <f t="shared" si="2"/>
        <v>6.4058786888412976E-3</v>
      </c>
      <c r="N18" s="39">
        <f t="shared" si="3"/>
        <v>6.8709635793710552E-4</v>
      </c>
      <c r="O18" s="39">
        <f t="shared" si="4"/>
        <v>7.5735851221861005E-3</v>
      </c>
      <c r="P18" s="39">
        <f t="shared" si="5"/>
        <v>-7.860645592261341E-4</v>
      </c>
      <c r="S18" s="59" t="s">
        <v>35</v>
      </c>
      <c r="T18" s="39">
        <f t="shared" si="6"/>
        <v>-8.7635486585295064E-3</v>
      </c>
      <c r="U18" s="39">
        <f t="shared" si="6"/>
        <v>-2.6119263558610731E-2</v>
      </c>
      <c r="V18" s="39">
        <f t="shared" si="6"/>
        <v>-5.2118891642338891E-2</v>
      </c>
      <c r="W18" s="39">
        <f t="shared" si="6"/>
        <v>2.8931186732364506E-3</v>
      </c>
      <c r="AC18" s="58">
        <v>42283</v>
      </c>
      <c r="AD18" s="5">
        <f>+VLOOKUP(AC18,benchmark!$L$6:$M$533,2,0)</f>
        <v>151.72</v>
      </c>
      <c r="AE18" s="5">
        <f>+IFERROR(VLOOKUP(AC18,benchmark!$N$6:$O$2508,2,0),AE19)</f>
        <v>1100.3800000000001</v>
      </c>
      <c r="AF18" s="5">
        <f>+VLOOKUP(AC18,benchmark!$P$6:$Q$289,2,0)</f>
        <v>17.09</v>
      </c>
      <c r="AG18" s="5">
        <f>+VLOOKUP(AC18,benchmark!$R$6:$S$64,2,0)</f>
        <v>1011.085</v>
      </c>
      <c r="AH18" s="5">
        <f>+VLOOKUP(AC18,benchmark!$T$6:$U$2091,2,0)</f>
        <v>60.21</v>
      </c>
      <c r="AK18" s="14">
        <f t="shared" si="7"/>
        <v>42283</v>
      </c>
      <c r="AL18" s="39">
        <f t="shared" si="8"/>
        <v>-1.7764326600434588E-3</v>
      </c>
      <c r="AM18" s="39">
        <f t="shared" si="8"/>
        <v>9.9975460568835217E-5</v>
      </c>
      <c r="AN18" s="39">
        <f t="shared" si="8"/>
        <v>-1.7523364485981796E-3</v>
      </c>
      <c r="AO18" s="39">
        <f t="shared" si="8"/>
        <v>7.4862590825570674E-3</v>
      </c>
      <c r="AP18" s="39">
        <f t="shared" si="8"/>
        <v>-7.4183976261127382E-3</v>
      </c>
      <c r="AZ18" s="14">
        <f t="shared" si="9"/>
        <v>42283</v>
      </c>
      <c r="BA18" s="39">
        <f t="shared" si="10"/>
        <v>-1.2994773762578847E-3</v>
      </c>
    </row>
    <row r="19" spans="3:53" x14ac:dyDescent="0.75">
      <c r="C19" s="4">
        <v>1</v>
      </c>
      <c r="D19" s="58">
        <v>42282</v>
      </c>
      <c r="E19" s="5">
        <f>+VLOOKUP(D19,'Prezzi Trade'!$I$9:$J$468,2,0)</f>
        <v>21.785</v>
      </c>
      <c r="F19" s="5">
        <f>+VLOOKUP(D19,'Prezzi Trade'!$K$9:$L$468,2,0)</f>
        <v>145.49</v>
      </c>
      <c r="G19" s="5">
        <f>+VLOOKUP(D19,'Prezzi Trade'!$M$9:$N$468,2,0)/VLOOKUP(D19,'Prezzi Trade'!$O$9:$P$468,2,0)</f>
        <v>725.11399195350907</v>
      </c>
      <c r="H19" s="5">
        <f>+(VLOOKUP(D19,'Prezzi FI'!$C$8:$D$468,2,0)+VLOOKUP(D19,'Prezzi FI'!$H$8:$I$467,2,0))/100</f>
        <v>1.1621933000000002</v>
      </c>
      <c r="I19" s="5">
        <f>+IF(VLOOKUP(D19,'Prezzi FI'!$H$8:$I$467,2,0)&lt;VLOOKUP(D20,'Prezzi FI'!$H$8:$I$467,2,0),4.25/2,0)/100</f>
        <v>0</v>
      </c>
      <c r="K19" s="4" t="str">
        <f t="shared" si="0"/>
        <v>201541</v>
      </c>
      <c r="L19" s="14">
        <f t="shared" si="1"/>
        <v>42282</v>
      </c>
      <c r="M19" s="39">
        <f t="shared" si="2"/>
        <v>2.5570895804170893E-2</v>
      </c>
      <c r="N19" s="39">
        <f t="shared" si="3"/>
        <v>3.4259502635481401E-2</v>
      </c>
      <c r="O19" s="39">
        <f t="shared" si="4"/>
        <v>2.5754223527069645E-2</v>
      </c>
      <c r="P19" s="39">
        <f t="shared" si="5"/>
        <v>-2.6085200848636954E-4</v>
      </c>
      <c r="S19" s="59" t="s">
        <v>36</v>
      </c>
      <c r="T19" s="39">
        <f t="shared" si="6"/>
        <v>3.7290251666856976E-2</v>
      </c>
      <c r="U19" s="39">
        <f t="shared" si="6"/>
        <v>4.6359262021609185E-2</v>
      </c>
      <c r="V19" s="39">
        <f t="shared" si="6"/>
        <v>1.3691916219124129E-2</v>
      </c>
      <c r="W19" s="39">
        <f t="shared" si="6"/>
        <v>7.9481373487419772E-3</v>
      </c>
      <c r="AC19" s="58">
        <v>42282</v>
      </c>
      <c r="AD19" s="5">
        <f>+VLOOKUP(AC19,benchmark!$L$6:$M$533,2,0)</f>
        <v>151.99</v>
      </c>
      <c r="AE19" s="5">
        <f>+IFERROR(VLOOKUP(AC19,benchmark!$N$6:$O$2508,2,0),AE20)</f>
        <v>1100.27</v>
      </c>
      <c r="AF19" s="5">
        <f>+VLOOKUP(AC19,benchmark!$P$6:$Q$289,2,0)</f>
        <v>17.12</v>
      </c>
      <c r="AG19" s="5">
        <f>+VLOOKUP(AC19,benchmark!$R$6:$S$64,2,0)</f>
        <v>1003.572</v>
      </c>
      <c r="AH19" s="5">
        <f>+VLOOKUP(AC19,benchmark!$T$6:$U$2091,2,0)</f>
        <v>60.66</v>
      </c>
      <c r="AK19" s="14">
        <f t="shared" si="7"/>
        <v>42282</v>
      </c>
      <c r="AL19" s="39">
        <f t="shared" si="8"/>
        <v>2.5020231993525766E-2</v>
      </c>
      <c r="AM19" s="39">
        <f t="shared" si="8"/>
        <v>3.2369246480414837E-3</v>
      </c>
      <c r="AN19" s="39">
        <f t="shared" si="8"/>
        <v>-5.8377116170449384E-4</v>
      </c>
      <c r="AO19" s="39">
        <f t="shared" si="8"/>
        <v>1.6965434775999988E-2</v>
      </c>
      <c r="AP19" s="39">
        <f t="shared" si="8"/>
        <v>1.3737090143387087E-2</v>
      </c>
      <c r="AZ19" s="14">
        <f t="shared" si="9"/>
        <v>42282</v>
      </c>
      <c r="BA19" s="39">
        <f t="shared" si="10"/>
        <v>5.4234370451817452E-3</v>
      </c>
    </row>
    <row r="20" spans="3:53" x14ac:dyDescent="0.75">
      <c r="C20" s="4">
        <v>5</v>
      </c>
      <c r="D20" s="58">
        <v>42279</v>
      </c>
      <c r="E20" s="5">
        <f>+VLOOKUP(D20,'Prezzi Trade'!$I$9:$J$468,2,0)</f>
        <v>21.234999999999999</v>
      </c>
      <c r="F20" s="5">
        <f>+VLOOKUP(D20,'Prezzi Trade'!$K$9:$L$468,2,0)</f>
        <v>140.59</v>
      </c>
      <c r="G20" s="5">
        <f>+VLOOKUP(D20,'Prezzi Trade'!$M$9:$N$468,2,0)/VLOOKUP(D20,'Prezzi Trade'!$O$9:$P$468,2,0)</f>
        <v>706.6776697296815</v>
      </c>
      <c r="H20" s="5">
        <f>+(VLOOKUP(D20,'Prezzi FI'!$C$8:$D$468,2,0)+VLOOKUP(D20,'Prezzi FI'!$H$8:$I$467,2,0))/100</f>
        <v>1.1624964999999998</v>
      </c>
      <c r="I20" s="5">
        <f>+IF(VLOOKUP(D20,'Prezzi FI'!$H$8:$I$467,2,0)&lt;VLOOKUP(D21,'Prezzi FI'!$H$8:$I$467,2,0),4.25/2,0)/100</f>
        <v>0</v>
      </c>
      <c r="K20" s="4" t="str">
        <f t="shared" si="0"/>
        <v>201540</v>
      </c>
      <c r="L20" s="14">
        <f t="shared" si="1"/>
        <v>42279</v>
      </c>
      <c r="M20" s="39">
        <f t="shared" si="2"/>
        <v>1.1842866979680348E-2</v>
      </c>
      <c r="N20" s="39">
        <f t="shared" si="3"/>
        <v>-1.6346259991710731E-3</v>
      </c>
      <c r="O20" s="39">
        <f t="shared" si="4"/>
        <v>-1.5223821936712933E-2</v>
      </c>
      <c r="P20" s="39">
        <f t="shared" si="5"/>
        <v>2.0379523121084324E-3</v>
      </c>
      <c r="S20" s="59" t="s">
        <v>37</v>
      </c>
      <c r="T20" s="39">
        <f t="shared" si="6"/>
        <v>-1.0328627146767921E-2</v>
      </c>
      <c r="U20" s="39">
        <f t="shared" si="6"/>
        <v>-1.8852860787865293E-2</v>
      </c>
      <c r="V20" s="39">
        <f t="shared" si="6"/>
        <v>-2.7438769976830441E-2</v>
      </c>
      <c r="W20" s="39">
        <f t="shared" si="6"/>
        <v>5.4173178569696077E-3</v>
      </c>
      <c r="AC20" s="58">
        <v>42279</v>
      </c>
      <c r="AD20" s="5">
        <f>+VLOOKUP(AC20,benchmark!$L$6:$M$533,2,0)</f>
        <v>148.28</v>
      </c>
      <c r="AE20" s="5">
        <f>+IFERROR(VLOOKUP(AC20,benchmark!$N$6:$O$2508,2,0),AE21)</f>
        <v>1096.72</v>
      </c>
      <c r="AF20" s="5">
        <f>+VLOOKUP(AC20,benchmark!$P$6:$Q$289,2,0)</f>
        <v>17.13</v>
      </c>
      <c r="AG20" s="5">
        <f>+VLOOKUP(AC20,benchmark!$R$6:$S$64,2,0)</f>
        <v>986.83</v>
      </c>
      <c r="AH20" s="5">
        <f>+VLOOKUP(AC20,benchmark!$T$6:$U$2091,2,0)</f>
        <v>59.838000000000001</v>
      </c>
      <c r="AK20" s="14">
        <f t="shared" si="7"/>
        <v>42279</v>
      </c>
      <c r="AL20" s="39">
        <f t="shared" si="8"/>
        <v>5.3562953420569492E-3</v>
      </c>
      <c r="AM20" s="39">
        <f t="shared" si="8"/>
        <v>9.1189290729820627E-5</v>
      </c>
      <c r="AN20" s="39">
        <f t="shared" si="8"/>
        <v>-1.1661807580174433E-3</v>
      </c>
      <c r="AO20" s="39">
        <f t="shared" si="8"/>
        <v>1.0803791978819532E-3</v>
      </c>
      <c r="AP20" s="39">
        <f t="shared" si="8"/>
        <v>1.0046790496060165E-2</v>
      </c>
      <c r="AZ20" s="14">
        <f t="shared" si="9"/>
        <v>42279</v>
      </c>
      <c r="BA20" s="39">
        <f t="shared" si="10"/>
        <v>6.7377272480465553E-4</v>
      </c>
    </row>
    <row r="21" spans="3:53" x14ac:dyDescent="0.75">
      <c r="C21" s="4">
        <v>4</v>
      </c>
      <c r="D21" s="58">
        <v>42278</v>
      </c>
      <c r="E21" s="5">
        <f>+VLOOKUP(D21,'Prezzi Trade'!$I$9:$J$468,2,0)</f>
        <v>20.984999999999999</v>
      </c>
      <c r="F21" s="5">
        <f>+VLOOKUP(D21,'Prezzi Trade'!$K$9:$L$468,2,0)</f>
        <v>140.82</v>
      </c>
      <c r="G21" s="5">
        <f>+VLOOKUP(D21,'Prezzi Trade'!$M$9:$N$468,2,0)/VLOOKUP(D21,'Prezzi Trade'!$O$9:$P$468,2,0)</f>
        <v>717.51831338216914</v>
      </c>
      <c r="H21" s="5">
        <f>+(VLOOKUP(D21,'Prezzi FI'!$C$8:$D$468,2,0)+VLOOKUP(D21,'Prezzi FI'!$H$8:$I$467,2,0))/100</f>
        <v>1.1601298</v>
      </c>
      <c r="I21" s="5">
        <f>+IF(VLOOKUP(D21,'Prezzi FI'!$H$8:$I$467,2,0)&lt;VLOOKUP(D22,'Prezzi FI'!$H$8:$I$467,2,0),4.25/2,0)/100</f>
        <v>0</v>
      </c>
      <c r="K21" s="4" t="str">
        <f t="shared" si="0"/>
        <v>201540</v>
      </c>
      <c r="L21" s="14">
        <f t="shared" si="1"/>
        <v>42278</v>
      </c>
      <c r="M21" s="39">
        <f t="shared" si="2"/>
        <v>-5.7020824489079506E-3</v>
      </c>
      <c r="N21" s="39">
        <f t="shared" si="3"/>
        <v>-1.2774112871811447E-3</v>
      </c>
      <c r="O21" s="39">
        <f t="shared" si="4"/>
        <v>4.4712291647450072E-4</v>
      </c>
      <c r="P21" s="39">
        <f t="shared" si="5"/>
        <v>1.086934458392636E-3</v>
      </c>
      <c r="S21" s="59" t="s">
        <v>38</v>
      </c>
      <c r="T21" s="39">
        <f t="shared" si="6"/>
        <v>-5.5493033304668364E-2</v>
      </c>
      <c r="U21" s="39">
        <f t="shared" si="6"/>
        <v>-1.6768208690292451E-2</v>
      </c>
      <c r="V21" s="39">
        <f t="shared" si="6"/>
        <v>-3.8671567222965143E-4</v>
      </c>
      <c r="W21" s="39">
        <f t="shared" si="6"/>
        <v>-7.5294739877290549E-3</v>
      </c>
      <c r="AC21" s="58">
        <v>42278</v>
      </c>
      <c r="AD21" s="5">
        <f>+VLOOKUP(AC21,benchmark!$L$6:$M$533,2,0)</f>
        <v>147.49</v>
      </c>
      <c r="AE21" s="5">
        <f>+IFERROR(VLOOKUP(AC21,benchmark!$N$6:$O$2508,2,0),AE22)</f>
        <v>1096.6199999999999</v>
      </c>
      <c r="AF21" s="5">
        <f>+VLOOKUP(AC21,benchmark!$P$6:$Q$289,2,0)</f>
        <v>17.149999999999999</v>
      </c>
      <c r="AG21" s="5">
        <f>+VLOOKUP(AC21,benchmark!$R$6:$S$64,2,0)</f>
        <v>985.76499999999999</v>
      </c>
      <c r="AH21" s="5">
        <f>+VLOOKUP(AC21,benchmark!$T$6:$U$2091,2,0)</f>
        <v>59.242800000000003</v>
      </c>
      <c r="AK21" s="14">
        <f t="shared" si="7"/>
        <v>42278</v>
      </c>
      <c r="AL21" s="39">
        <f t="shared" si="8"/>
        <v>4.0697280065127295E-4</v>
      </c>
      <c r="AM21" s="39">
        <f t="shared" si="8"/>
        <v>3.7803549689241489E-3</v>
      </c>
      <c r="AN21" s="39">
        <f t="shared" si="8"/>
        <v>2.9239766081869956E-3</v>
      </c>
      <c r="AO21" s="39">
        <f t="shared" si="8"/>
        <v>-7.9533606798246614E-3</v>
      </c>
      <c r="AP21" s="39">
        <f t="shared" si="8"/>
        <v>-7.7923392197543073E-4</v>
      </c>
      <c r="AZ21" s="14">
        <f t="shared" si="9"/>
        <v>42278</v>
      </c>
      <c r="BA21" s="39">
        <f t="shared" si="10"/>
        <v>1.9458554002585063E-3</v>
      </c>
    </row>
    <row r="22" spans="3:53" x14ac:dyDescent="0.75">
      <c r="C22" s="4">
        <v>3</v>
      </c>
      <c r="D22" s="58">
        <v>42277</v>
      </c>
      <c r="E22" s="5">
        <f>+VLOOKUP(D22,'Prezzi Trade'!$I$9:$J$468,2,0)</f>
        <v>21.105</v>
      </c>
      <c r="F22" s="5">
        <f>+VLOOKUP(D22,'Prezzi Trade'!$K$9:$L$468,2,0)</f>
        <v>141</v>
      </c>
      <c r="G22" s="5">
        <f>+VLOOKUP(D22,'Prezzi Trade'!$M$9:$N$468,2,0)/VLOOKUP(D22,'Prezzi Trade'!$O$9:$P$468,2,0)</f>
        <v>717.1975662133143</v>
      </c>
      <c r="H22" s="5">
        <f>+(VLOOKUP(D22,'Prezzi FI'!$C$8:$D$468,2,0)+VLOOKUP(D22,'Prezzi FI'!$H$8:$I$467,2,0))/100</f>
        <v>1.1588695</v>
      </c>
      <c r="I22" s="5">
        <f>+IF(VLOOKUP(D22,'Prezzi FI'!$H$8:$I$467,2,0)&lt;VLOOKUP(D23,'Prezzi FI'!$H$8:$I$467,2,0),4.25/2,0)/100</f>
        <v>0</v>
      </c>
      <c r="K22" s="4" t="str">
        <f t="shared" si="0"/>
        <v>201540</v>
      </c>
      <c r="L22" s="14">
        <f t="shared" si="1"/>
        <v>42277</v>
      </c>
      <c r="M22" s="39">
        <f t="shared" si="2"/>
        <v>2.8353653340312701E-2</v>
      </c>
      <c r="N22" s="39">
        <f t="shared" si="3"/>
        <v>2.2593752908362665E-2</v>
      </c>
      <c r="O22" s="39">
        <f t="shared" si="4"/>
        <v>1.3536734220122056E-2</v>
      </c>
      <c r="P22" s="39">
        <f t="shared" si="5"/>
        <v>1.0942296569427327E-4</v>
      </c>
      <c r="S22" s="59" t="s">
        <v>39</v>
      </c>
      <c r="T22" s="39">
        <f t="shared" si="6"/>
        <v>5.330914949281932E-2</v>
      </c>
      <c r="U22" s="39">
        <f t="shared" si="6"/>
        <v>1.7146853147675181E-2</v>
      </c>
      <c r="V22" s="39">
        <f t="shared" si="6"/>
        <v>3.4342057287976124E-2</v>
      </c>
      <c r="W22" s="39">
        <f t="shared" si="6"/>
        <v>9.2092601111615005E-3</v>
      </c>
      <c r="AC22" s="58">
        <v>42277</v>
      </c>
      <c r="AD22" s="5">
        <f>+VLOOKUP(AC22,benchmark!$L$6:$M$533,2,0)</f>
        <v>147.43</v>
      </c>
      <c r="AE22" s="5">
        <f>+IFERROR(VLOOKUP(AC22,benchmark!$N$6:$O$2508,2,0),AE23)</f>
        <v>1092.49</v>
      </c>
      <c r="AF22" s="5">
        <f>+VLOOKUP(AC22,benchmark!$P$6:$Q$289,2,0)</f>
        <v>17.100000000000001</v>
      </c>
      <c r="AG22" s="5">
        <f>+VLOOKUP(AC22,benchmark!$R$6:$S$64,2,0)</f>
        <v>993.66800000000001</v>
      </c>
      <c r="AH22" s="5">
        <f>+VLOOKUP(AC22,benchmark!$T$6:$U$2091,2,0)</f>
        <v>59.289000000000001</v>
      </c>
      <c r="AK22" s="14">
        <f t="shared" si="7"/>
        <v>42277</v>
      </c>
      <c r="AL22" s="39">
        <f t="shared" si="8"/>
        <v>2.5600000000000067E-2</v>
      </c>
      <c r="AM22" s="39">
        <f t="shared" si="8"/>
        <v>0</v>
      </c>
      <c r="AN22" s="39">
        <f t="shared" si="8"/>
        <v>0</v>
      </c>
      <c r="AO22" s="39">
        <f t="shared" si="8"/>
        <v>1.4492487286530631E-2</v>
      </c>
      <c r="AP22" s="39">
        <f t="shared" si="8"/>
        <v>8.1448733208637769E-3</v>
      </c>
      <c r="AZ22" s="14">
        <f t="shared" si="9"/>
        <v>42277</v>
      </c>
      <c r="BA22" s="39">
        <f t="shared" si="10"/>
        <v>4.971868030369731E-3</v>
      </c>
    </row>
    <row r="23" spans="3:53" x14ac:dyDescent="0.75">
      <c r="C23" s="4">
        <v>2</v>
      </c>
      <c r="D23" s="58">
        <v>42276</v>
      </c>
      <c r="E23" s="5">
        <f>+VLOOKUP(D23,'Prezzi Trade'!$I$9:$J$468,2,0)</f>
        <v>20.515000000000001</v>
      </c>
      <c r="F23" s="5">
        <f>+VLOOKUP(D23,'Prezzi Trade'!$K$9:$L$468,2,0)</f>
        <v>137.85</v>
      </c>
      <c r="G23" s="5">
        <f>+VLOOKUP(D23,'Prezzi Trade'!$M$9:$N$468,2,0)/VLOOKUP(D23,'Prezzi Trade'!$O$9:$P$468,2,0)</f>
        <v>707.5544686527345</v>
      </c>
      <c r="H23" s="5">
        <f>+(VLOOKUP(D23,'Prezzi FI'!$C$8:$D$468,2,0)+VLOOKUP(D23,'Prezzi FI'!$H$8:$I$467,2,0))/100</f>
        <v>1.1587426999999999</v>
      </c>
      <c r="I23" s="5">
        <f>+IF(VLOOKUP(D23,'Prezzi FI'!$H$8:$I$467,2,0)&lt;VLOOKUP(D24,'Prezzi FI'!$H$8:$I$467,2,0),4.25/2,0)/100</f>
        <v>0</v>
      </c>
      <c r="K23" s="4" t="str">
        <f t="shared" si="0"/>
        <v>201540</v>
      </c>
      <c r="L23" s="14">
        <f t="shared" si="1"/>
        <v>42276</v>
      </c>
      <c r="M23" s="39">
        <f t="shared" si="2"/>
        <v>-3.6491951455486483E-3</v>
      </c>
      <c r="N23" s="39">
        <f t="shared" si="3"/>
        <v>-9.8174469306701925E-3</v>
      </c>
      <c r="O23" s="39">
        <f t="shared" si="4"/>
        <v>8.9379492548115388E-3</v>
      </c>
      <c r="P23" s="39">
        <f t="shared" si="5"/>
        <v>5.4962589143459735E-4</v>
      </c>
      <c r="S23" s="59" t="s">
        <v>40</v>
      </c>
      <c r="T23" s="39">
        <f t="shared" si="6"/>
        <v>-9.9848886857040221E-3</v>
      </c>
      <c r="U23" s="39">
        <f t="shared" si="6"/>
        <v>-5.0482742284969125E-4</v>
      </c>
      <c r="V23" s="39">
        <f t="shared" si="6"/>
        <v>-2.6103381918276547E-2</v>
      </c>
      <c r="W23" s="39">
        <f t="shared" si="6"/>
        <v>-1.4931958291137526E-3</v>
      </c>
      <c r="AC23" s="58">
        <v>42276</v>
      </c>
      <c r="AD23" s="5">
        <f>+VLOOKUP(AC23,benchmark!$L$6:$M$533,2,0)</f>
        <v>143.75</v>
      </c>
      <c r="AE23" s="5">
        <f>+IFERROR(VLOOKUP(AC23,benchmark!$N$6:$O$2508,2,0),AE24)</f>
        <v>1092.49</v>
      </c>
      <c r="AF23" s="5">
        <f>+VLOOKUP(AC23,benchmark!$P$6:$Q$289,2,0)</f>
        <v>17.100000000000001</v>
      </c>
      <c r="AG23" s="5">
        <f>+VLOOKUP(AC23,benchmark!$R$6:$S$64,2,0)</f>
        <v>979.47299999999996</v>
      </c>
      <c r="AH23" s="5">
        <f>+VLOOKUP(AC23,benchmark!$T$6:$U$2091,2,0)</f>
        <v>58.81</v>
      </c>
      <c r="AK23" s="14">
        <f t="shared" si="7"/>
        <v>42276</v>
      </c>
      <c r="AL23" s="39">
        <f t="shared" si="8"/>
        <v>-7.1828164928516847E-3</v>
      </c>
      <c r="AM23" s="39">
        <f t="shared" si="8"/>
        <v>-2.6019318202565866E-3</v>
      </c>
      <c r="AN23" s="39">
        <f t="shared" si="8"/>
        <v>1.7574692442883233E-3</v>
      </c>
      <c r="AO23" s="39">
        <f t="shared" si="8"/>
        <v>5.2300085080005942E-3</v>
      </c>
      <c r="AP23" s="39">
        <f t="shared" si="8"/>
        <v>1.6243303957145461E-2</v>
      </c>
      <c r="AZ23" s="14">
        <f t="shared" si="9"/>
        <v>42276</v>
      </c>
      <c r="BA23" s="39">
        <f t="shared" si="10"/>
        <v>6.6043492286405612E-4</v>
      </c>
    </row>
    <row r="24" spans="3:53" x14ac:dyDescent="0.75">
      <c r="C24" s="4">
        <v>1</v>
      </c>
      <c r="D24" s="58">
        <v>42275</v>
      </c>
      <c r="E24" s="5">
        <f>+VLOOKUP(D24,'Prezzi Trade'!$I$9:$J$468,2,0)</f>
        <v>20.59</v>
      </c>
      <c r="F24" s="5">
        <f>+VLOOKUP(D24,'Prezzi Trade'!$K$9:$L$468,2,0)</f>
        <v>139.21</v>
      </c>
      <c r="G24" s="5">
        <f>+VLOOKUP(D24,'Prezzi Trade'!$M$9:$N$468,2,0)/VLOOKUP(D24,'Prezzi Trade'!$O$9:$P$468,2,0)</f>
        <v>701.25856088232672</v>
      </c>
      <c r="H24" s="5">
        <f>+(VLOOKUP(D24,'Prezzi FI'!$C$8:$D$468,2,0)+VLOOKUP(D24,'Prezzi FI'!$H$8:$I$467,2,0))/100</f>
        <v>1.1581059999999999</v>
      </c>
      <c r="I24" s="5">
        <f>+IF(VLOOKUP(D24,'Prezzi FI'!$H$8:$I$467,2,0)&lt;VLOOKUP(D25,'Prezzi FI'!$H$8:$I$467,2,0),4.25/2,0)/100</f>
        <v>0</v>
      </c>
      <c r="K24" s="4" t="str">
        <f t="shared" si="0"/>
        <v>201540</v>
      </c>
      <c r="L24" s="14">
        <f t="shared" si="1"/>
        <v>42275</v>
      </c>
      <c r="M24" s="39">
        <f t="shared" si="2"/>
        <v>-2.5651652203539418E-2</v>
      </c>
      <c r="N24" s="39">
        <f t="shared" si="3"/>
        <v>-2.6021532727712987E-2</v>
      </c>
      <c r="O24" s="39">
        <f t="shared" si="4"/>
        <v>-1.8060596869519219E-2</v>
      </c>
      <c r="P24" s="39">
        <f t="shared" si="5"/>
        <v>6.6233485295356075E-4</v>
      </c>
      <c r="S24" s="59" t="s">
        <v>41</v>
      </c>
      <c r="T24" s="39">
        <f t="shared" si="6"/>
        <v>3.245000143327282E-3</v>
      </c>
      <c r="U24" s="39">
        <f t="shared" si="6"/>
        <v>-7.1662363509899778E-3</v>
      </c>
      <c r="V24" s="39">
        <f t="shared" si="6"/>
        <v>-6.1155116177409163E-3</v>
      </c>
      <c r="W24" s="39">
        <f t="shared" si="6"/>
        <v>-4.8002177024026628E-3</v>
      </c>
      <c r="AC24" s="58">
        <v>42275</v>
      </c>
      <c r="AD24" s="5">
        <f>+VLOOKUP(AC24,benchmark!$L$6:$M$533,2,0)</f>
        <v>144.79</v>
      </c>
      <c r="AE24" s="5">
        <f>+IFERROR(VLOOKUP(AC24,benchmark!$N$6:$O$2508,2,0),AE25)</f>
        <v>1095.3399999999999</v>
      </c>
      <c r="AF24" s="5">
        <f>+VLOOKUP(AC24,benchmark!$P$6:$Q$289,2,0)</f>
        <v>17.07</v>
      </c>
      <c r="AG24" s="5">
        <f>+VLOOKUP(AC24,benchmark!$R$6:$S$64,2,0)</f>
        <v>974.37699999999995</v>
      </c>
      <c r="AH24" s="5">
        <f>+VLOOKUP(AC24,benchmark!$T$6:$U$2091,2,0)</f>
        <v>57.87</v>
      </c>
      <c r="AK24" s="14">
        <f t="shared" si="7"/>
        <v>42275</v>
      </c>
      <c r="AL24" s="39">
        <f t="shared" si="8"/>
        <v>-2.294351845603626E-2</v>
      </c>
      <c r="AM24" s="39">
        <f t="shared" si="8"/>
        <v>-6.3501279097193386E-3</v>
      </c>
      <c r="AN24" s="39">
        <f t="shared" si="8"/>
        <v>5.8616647127784915E-4</v>
      </c>
      <c r="AO24" s="39">
        <f t="shared" si="8"/>
        <v>-1.7651239811066866E-2</v>
      </c>
      <c r="AP24" s="39">
        <f t="shared" si="8"/>
        <v>-1.5816326530612268E-2</v>
      </c>
      <c r="AZ24" s="14">
        <f t="shared" si="9"/>
        <v>42275</v>
      </c>
      <c r="BA24" s="39">
        <f t="shared" si="10"/>
        <v>-5.7157253891805867E-3</v>
      </c>
    </row>
    <row r="25" spans="3:53" x14ac:dyDescent="0.75">
      <c r="C25" s="4">
        <v>5</v>
      </c>
      <c r="D25" s="58">
        <v>42272</v>
      </c>
      <c r="E25" s="5">
        <f>+VLOOKUP(D25,'Prezzi Trade'!$I$9:$J$468,2,0)</f>
        <v>21.125</v>
      </c>
      <c r="F25" s="5">
        <f>+VLOOKUP(D25,'Prezzi Trade'!$K$9:$L$468,2,0)</f>
        <v>142.88</v>
      </c>
      <c r="G25" s="5">
        <f>+VLOOKUP(D25,'Prezzi Trade'!$M$9:$N$468,2,0)/VLOOKUP(D25,'Prezzi Trade'!$O$9:$P$468,2,0)</f>
        <v>714.03877077005541</v>
      </c>
      <c r="H25" s="5">
        <f>+(VLOOKUP(D25,'Prezzi FI'!$C$8:$D$468,2,0)+VLOOKUP(D25,'Prezzi FI'!$H$8:$I$467,2,0))/100</f>
        <v>1.1573392</v>
      </c>
      <c r="I25" s="5">
        <f>+IF(VLOOKUP(D25,'Prezzi FI'!$H$8:$I$467,2,0)&lt;VLOOKUP(D26,'Prezzi FI'!$H$8:$I$467,2,0),4.25/2,0)/100</f>
        <v>0</v>
      </c>
      <c r="K25" s="4" t="str">
        <f t="shared" si="0"/>
        <v>201539</v>
      </c>
      <c r="L25" s="14">
        <f t="shared" si="1"/>
        <v>42272</v>
      </c>
      <c r="M25" s="39">
        <f t="shared" si="2"/>
        <v>3.2718819426631976E-2</v>
      </c>
      <c r="N25" s="39">
        <f t="shared" si="3"/>
        <v>2.5447026428248885E-2</v>
      </c>
      <c r="O25" s="39">
        <f t="shared" si="4"/>
        <v>1.3478068018978882E-2</v>
      </c>
      <c r="P25" s="39">
        <f t="shared" si="5"/>
        <v>-1.5655574076626386E-3</v>
      </c>
      <c r="S25" s="59" t="s">
        <v>42</v>
      </c>
      <c r="T25" s="39">
        <f t="shared" si="6"/>
        <v>-2.9674500983186802E-2</v>
      </c>
      <c r="U25" s="39">
        <f t="shared" si="6"/>
        <v>-2.1992523369215533E-2</v>
      </c>
      <c r="V25" s="39">
        <f t="shared" si="6"/>
        <v>-1.9240833542153963E-2</v>
      </c>
      <c r="W25" s="39">
        <f t="shared" si="6"/>
        <v>-8.6671726177918323E-3</v>
      </c>
      <c r="AC25" s="58">
        <v>42272</v>
      </c>
      <c r="AD25" s="5">
        <f>+VLOOKUP(AC25,benchmark!$L$6:$M$533,2,0)</f>
        <v>148.19</v>
      </c>
      <c r="AE25" s="5">
        <f>+IFERROR(VLOOKUP(AC25,benchmark!$N$6:$O$2508,2,0),AE26)</f>
        <v>1102.3399999999999</v>
      </c>
      <c r="AF25" s="5">
        <f>+VLOOKUP(AC25,benchmark!$P$6:$Q$289,2,0)</f>
        <v>17.059999999999999</v>
      </c>
      <c r="AG25" s="5">
        <f>+VLOOKUP(AC25,benchmark!$R$6:$S$64,2,0)</f>
        <v>991.88499999999999</v>
      </c>
      <c r="AH25" s="5">
        <f>+VLOOKUP(AC25,benchmark!$T$6:$U$2091,2,0)</f>
        <v>58.8</v>
      </c>
      <c r="AK25" s="14"/>
    </row>
    <row r="26" spans="3:53" x14ac:dyDescent="0.75">
      <c r="C26" s="4">
        <v>4</v>
      </c>
      <c r="D26" s="58">
        <v>42271</v>
      </c>
      <c r="E26" s="5">
        <f>+VLOOKUP(D26,'Prezzi Trade'!$I$9:$J$468,2,0)</f>
        <v>20.445</v>
      </c>
      <c r="F26" s="5">
        <f>+VLOOKUP(D26,'Prezzi Trade'!$K$9:$L$468,2,0)</f>
        <v>139.29</v>
      </c>
      <c r="G26" s="5">
        <f>+VLOOKUP(D26,'Prezzi Trade'!$M$9:$N$468,2,0)/VLOOKUP(D26,'Prezzi Trade'!$O$9:$P$468,2,0)</f>
        <v>704.47947279365917</v>
      </c>
      <c r="H26" s="5">
        <f>+(VLOOKUP(D26,'Prezzi FI'!$C$8:$D$468,2,0)+VLOOKUP(D26,'Prezzi FI'!$H$8:$I$467,2,0))/100</f>
        <v>1.1591525</v>
      </c>
      <c r="I26" s="5">
        <f>+IF(VLOOKUP(D26,'Prezzi FI'!$H$8:$I$467,2,0)&lt;VLOOKUP(D27,'Prezzi FI'!$H$8:$I$467,2,0),4.25/2,0)/100</f>
        <v>0</v>
      </c>
      <c r="K26" s="4" t="str">
        <f t="shared" si="0"/>
        <v>201539</v>
      </c>
      <c r="L26" s="14">
        <f t="shared" si="1"/>
        <v>42271</v>
      </c>
      <c r="M26" s="39">
        <f t="shared" si="2"/>
        <v>-2.033476022691022E-2</v>
      </c>
      <c r="N26" s="39">
        <f t="shared" si="3"/>
        <v>-2.2152130531396318E-2</v>
      </c>
      <c r="O26" s="39">
        <f t="shared" si="4"/>
        <v>-1.5045275023772894E-2</v>
      </c>
      <c r="P26" s="39">
        <f t="shared" si="5"/>
        <v>6.8202374779717458E-4</v>
      </c>
      <c r="S26" s="59" t="s">
        <v>43</v>
      </c>
      <c r="T26" s="39">
        <f t="shared" si="6"/>
        <v>-1.2541970422878161E-2</v>
      </c>
      <c r="U26" s="39">
        <f t="shared" si="6"/>
        <v>-9.8775268052307078E-3</v>
      </c>
      <c r="V26" s="39">
        <f t="shared" si="6"/>
        <v>-1.4798270432296798E-2</v>
      </c>
      <c r="W26" s="39">
        <f t="shared" si="6"/>
        <v>-2.9984064730749172E-3</v>
      </c>
      <c r="AC26" s="14"/>
    </row>
    <row r="27" spans="3:53" x14ac:dyDescent="0.75">
      <c r="C27" s="4">
        <v>3</v>
      </c>
      <c r="D27" s="58">
        <v>42270</v>
      </c>
      <c r="E27" s="5">
        <f>+VLOOKUP(D27,'Prezzi Trade'!$I$9:$J$468,2,0)</f>
        <v>20.864999999999998</v>
      </c>
      <c r="F27" s="5">
        <f>+VLOOKUP(D27,'Prezzi Trade'!$K$9:$L$468,2,0)</f>
        <v>142.41</v>
      </c>
      <c r="G27" s="5">
        <f>+VLOOKUP(D27,'Prezzi Trade'!$M$9:$N$468,2,0)/VLOOKUP(D27,'Prezzi Trade'!$O$9:$P$468,2,0)</f>
        <v>715.15869468037545</v>
      </c>
      <c r="H27" s="5">
        <f>+(VLOOKUP(D27,'Prezzi FI'!$C$8:$D$468,2,0)+VLOOKUP(D27,'Prezzi FI'!$H$8:$I$467,2,0))/100</f>
        <v>1.1583622</v>
      </c>
      <c r="I27" s="5">
        <f>+IF(VLOOKUP(D27,'Prezzi FI'!$H$8:$I$467,2,0)&lt;VLOOKUP(D28,'Prezzi FI'!$H$8:$I$467,2,0),4.25/2,0)/100</f>
        <v>0</v>
      </c>
      <c r="K27" s="4" t="str">
        <f t="shared" si="0"/>
        <v>201539</v>
      </c>
      <c r="L27" s="14">
        <f t="shared" si="1"/>
        <v>42270</v>
      </c>
      <c r="M27" s="39">
        <f t="shared" si="2"/>
        <v>-2.6325251532064277E-3</v>
      </c>
      <c r="N27" s="39">
        <f t="shared" si="3"/>
        <v>-1.2631580626914854E-3</v>
      </c>
      <c r="O27" s="39">
        <f t="shared" si="4"/>
        <v>6.059518652145969E-3</v>
      </c>
      <c r="P27" s="39">
        <f t="shared" si="5"/>
        <v>4.3761001391912633E-4</v>
      </c>
      <c r="S27" s="59" t="s">
        <v>44</v>
      </c>
      <c r="T27" s="39">
        <f t="shared" si="6"/>
        <v>2.8230229431324898E-2</v>
      </c>
      <c r="U27" s="39">
        <f t="shared" si="6"/>
        <v>3.6704769038374996E-2</v>
      </c>
      <c r="V27" s="39">
        <f t="shared" si="6"/>
        <v>1.4957288765454539E-2</v>
      </c>
      <c r="W27" s="39">
        <f t="shared" si="6"/>
        <v>-7.8534290900142151E-4</v>
      </c>
      <c r="AC27" s="14"/>
    </row>
    <row r="28" spans="3:53" x14ac:dyDescent="0.75">
      <c r="C28" s="4">
        <v>2</v>
      </c>
      <c r="D28" s="58">
        <v>42269</v>
      </c>
      <c r="E28" s="5">
        <f>+VLOOKUP(D28,'Prezzi Trade'!$I$9:$J$468,2,0)</f>
        <v>20.92</v>
      </c>
      <c r="F28" s="5">
        <f>+VLOOKUP(D28,'Prezzi Trade'!$K$9:$L$468,2,0)</f>
        <v>142.59</v>
      </c>
      <c r="G28" s="5">
        <f>+VLOOKUP(D28,'Prezzi Trade'!$M$9:$N$468,2,0)/VLOOKUP(D28,'Prezzi Trade'!$O$9:$P$468,2,0)</f>
        <v>710.83828026623496</v>
      </c>
      <c r="H28" s="5">
        <f>+(VLOOKUP(D28,'Prezzi FI'!$C$8:$D$468,2,0)+VLOOKUP(D28,'Prezzi FI'!$H$8:$I$467,2,0))/100</f>
        <v>1.1578553999999999</v>
      </c>
      <c r="I28" s="5">
        <f>+IF(VLOOKUP(D28,'Prezzi FI'!$H$8:$I$467,2,0)&lt;VLOOKUP(D29,'Prezzi FI'!$H$8:$I$467,2,0),4.25/2,0)/100</f>
        <v>0</v>
      </c>
      <c r="K28" s="4" t="str">
        <f t="shared" si="0"/>
        <v>201539</v>
      </c>
      <c r="L28" s="14">
        <f t="shared" si="1"/>
        <v>42269</v>
      </c>
      <c r="M28" s="39">
        <f t="shared" si="2"/>
        <v>-2.8741672179549524E-2</v>
      </c>
      <c r="N28" s="39">
        <f t="shared" si="3"/>
        <v>-1.8827191282209499E-2</v>
      </c>
      <c r="O28" s="39">
        <f t="shared" si="4"/>
        <v>-7.1258364150248339E-3</v>
      </c>
      <c r="P28" s="39">
        <f t="shared" si="5"/>
        <v>1.1378357230149275E-3</v>
      </c>
      <c r="S28" s="59" t="s">
        <v>45</v>
      </c>
      <c r="T28" s="39">
        <f t="shared" si="6"/>
        <v>4.7119384674060598E-3</v>
      </c>
      <c r="U28" s="39">
        <f t="shared" si="6"/>
        <v>-1.4434593111977487E-2</v>
      </c>
      <c r="V28" s="39">
        <f t="shared" si="6"/>
        <v>-1.7428870709858137E-2</v>
      </c>
      <c r="W28" s="39">
        <f t="shared" si="6"/>
        <v>3.9059158761503348E-4</v>
      </c>
      <c r="AC28" s="14"/>
    </row>
    <row r="29" spans="3:53" x14ac:dyDescent="0.75">
      <c r="C29" s="4">
        <v>1</v>
      </c>
      <c r="D29" s="58">
        <v>42268</v>
      </c>
      <c r="E29" s="5">
        <f>+VLOOKUP(D29,'Prezzi Trade'!$I$9:$J$468,2,0)</f>
        <v>21.53</v>
      </c>
      <c r="F29" s="5">
        <f>+VLOOKUP(D29,'Prezzi Trade'!$K$9:$L$468,2,0)</f>
        <v>145.30000000000001</v>
      </c>
      <c r="G29" s="5">
        <f>+VLOOKUP(D29,'Prezzi Trade'!$M$9:$N$468,2,0)/VLOOKUP(D29,'Prezzi Trade'!$O$9:$P$468,2,0)</f>
        <v>715.92168782406577</v>
      </c>
      <c r="H29" s="5">
        <f>+(VLOOKUP(D29,'Prezzi FI'!$C$8:$D$468,2,0)+VLOOKUP(D29,'Prezzi FI'!$H$8:$I$467,2,0))/100</f>
        <v>1.1565387</v>
      </c>
      <c r="I29" s="5">
        <f>+IF(VLOOKUP(D29,'Prezzi FI'!$H$8:$I$467,2,0)&lt;VLOOKUP(D30,'Prezzi FI'!$H$8:$I$467,2,0),4.25/2,0)/100</f>
        <v>0</v>
      </c>
      <c r="K29" s="4" t="str">
        <f t="shared" si="0"/>
        <v>201539</v>
      </c>
      <c r="L29" s="14">
        <f t="shared" si="1"/>
        <v>42268</v>
      </c>
      <c r="M29" s="39">
        <f t="shared" si="2"/>
        <v>1.0270865265746026E-2</v>
      </c>
      <c r="N29" s="39">
        <f t="shared" si="3"/>
        <v>1.2883741279359817E-2</v>
      </c>
      <c r="O29" s="39">
        <f t="shared" si="4"/>
        <v>1.454835767195661E-2</v>
      </c>
      <c r="P29" s="39">
        <f t="shared" si="5"/>
        <v>-1.108902503345536E-3</v>
      </c>
      <c r="S29" s="59" t="s">
        <v>46</v>
      </c>
      <c r="T29" s="39">
        <f t="shared" si="6"/>
        <v>1.2312500288817743E-2</v>
      </c>
      <c r="U29" s="39">
        <f t="shared" si="6"/>
        <v>5.0377940299571183E-3</v>
      </c>
      <c r="V29" s="39">
        <f t="shared" si="6"/>
        <v>2.0940344953829649E-3</v>
      </c>
      <c r="W29" s="39">
        <f t="shared" si="6"/>
        <v>-2.9457789367103443E-3</v>
      </c>
      <c r="AC29" s="14"/>
    </row>
    <row r="30" spans="3:53" x14ac:dyDescent="0.75">
      <c r="C30" s="4">
        <v>5</v>
      </c>
      <c r="D30" s="58">
        <v>42265</v>
      </c>
      <c r="E30" s="5">
        <f>+VLOOKUP(D30,'Prezzi Trade'!$I$9:$J$468,2,0)</f>
        <v>21.31</v>
      </c>
      <c r="F30" s="5">
        <f>+VLOOKUP(D30,'Prezzi Trade'!$K$9:$L$468,2,0)</f>
        <v>143.44</v>
      </c>
      <c r="G30" s="5">
        <f>+VLOOKUP(D30,'Prezzi Trade'!$M$9:$N$468,2,0)/VLOOKUP(D30,'Prezzi Trade'!$O$9:$P$468,2,0)</f>
        <v>705.58160106147716</v>
      </c>
      <c r="H30" s="5">
        <f>+(VLOOKUP(D30,'Prezzi FI'!$C$8:$D$468,2,0)+VLOOKUP(D30,'Prezzi FI'!$H$8:$I$467,2,0))/100</f>
        <v>1.1578219000000001</v>
      </c>
      <c r="I30" s="5">
        <f>+IF(VLOOKUP(D30,'Prezzi FI'!$H$8:$I$467,2,0)&lt;VLOOKUP(D31,'Prezzi FI'!$H$8:$I$467,2,0),4.25/2,0)/100</f>
        <v>0</v>
      </c>
      <c r="K30" s="4" t="str">
        <f t="shared" si="0"/>
        <v>201538</v>
      </c>
      <c r="L30" s="14">
        <f t="shared" si="1"/>
        <v>42265</v>
      </c>
      <c r="M30" s="39">
        <f t="shared" si="2"/>
        <v>-2.5024475431073511E-2</v>
      </c>
      <c r="N30" s="39">
        <f t="shared" si="3"/>
        <v>-1.6524730428596493E-2</v>
      </c>
      <c r="O30" s="39">
        <f t="shared" si="4"/>
        <v>-1.2437248634593636E-2</v>
      </c>
      <c r="P30" s="39">
        <f t="shared" si="5"/>
        <v>3.3798858175151962E-3</v>
      </c>
      <c r="S30" s="59" t="s">
        <v>47</v>
      </c>
      <c r="T30" s="39">
        <f t="shared" si="6"/>
        <v>-1.6383207570417776E-2</v>
      </c>
      <c r="U30" s="39">
        <f t="shared" si="6"/>
        <v>-3.6848529008225619E-2</v>
      </c>
      <c r="V30" s="39">
        <f t="shared" si="6"/>
        <v>-1.614267773667756E-2</v>
      </c>
      <c r="W30" s="39">
        <f t="shared" si="6"/>
        <v>-1.2751494695318775E-3</v>
      </c>
      <c r="AC30" s="14"/>
    </row>
    <row r="31" spans="3:53" x14ac:dyDescent="0.75">
      <c r="C31" s="4">
        <v>4</v>
      </c>
      <c r="D31" s="58">
        <v>42264</v>
      </c>
      <c r="E31" s="5">
        <f>+VLOOKUP(D31,'Prezzi Trade'!$I$9:$J$468,2,0)</f>
        <v>21.85</v>
      </c>
      <c r="F31" s="5">
        <f>+VLOOKUP(D31,'Prezzi Trade'!$K$9:$L$468,2,0)</f>
        <v>145.83000000000001</v>
      </c>
      <c r="G31" s="5">
        <f>+VLOOKUP(D31,'Prezzi Trade'!$M$9:$N$468,2,0)/VLOOKUP(D31,'Prezzi Trade'!$O$9:$P$468,2,0)</f>
        <v>714.41189331001306</v>
      </c>
      <c r="H31" s="5">
        <f>+(VLOOKUP(D31,'Prezzi FI'!$C$8:$D$468,2,0)+VLOOKUP(D31,'Prezzi FI'!$H$8:$I$467,2,0))/100</f>
        <v>1.1539151999999999</v>
      </c>
      <c r="I31" s="5">
        <f>+IF(VLOOKUP(D31,'Prezzi FI'!$H$8:$I$467,2,0)&lt;VLOOKUP(D32,'Prezzi FI'!$H$8:$I$467,2,0),4.25/2,0)/100</f>
        <v>0</v>
      </c>
      <c r="K31" s="4" t="str">
        <f t="shared" si="0"/>
        <v>201538</v>
      </c>
      <c r="L31" s="14">
        <f t="shared" si="1"/>
        <v>42264</v>
      </c>
      <c r="M31" s="39">
        <f t="shared" si="2"/>
        <v>2.2909517465557624E-3</v>
      </c>
      <c r="N31" s="39">
        <f t="shared" si="3"/>
        <v>4.115226395525826E-4</v>
      </c>
      <c r="O31" s="39">
        <f t="shared" si="4"/>
        <v>-1.2850027195334651E-2</v>
      </c>
      <c r="P31" s="39">
        <f t="shared" si="5"/>
        <v>-1.9037715053391325E-4</v>
      </c>
      <c r="S31" s="59" t="s">
        <v>48</v>
      </c>
      <c r="T31" s="39">
        <f t="shared" si="6"/>
        <v>1.7252961919658531E-2</v>
      </c>
      <c r="U31" s="39">
        <f t="shared" si="6"/>
        <v>1.0026054874005614E-2</v>
      </c>
      <c r="V31" s="39">
        <f t="shared" si="6"/>
        <v>-3.5799032278953486E-3</v>
      </c>
      <c r="W31" s="39">
        <f t="shared" si="6"/>
        <v>1.9015156816726332E-3</v>
      </c>
      <c r="AC31" s="14"/>
    </row>
    <row r="32" spans="3:53" x14ac:dyDescent="0.75">
      <c r="C32" s="4">
        <v>3</v>
      </c>
      <c r="D32" s="58">
        <v>42263</v>
      </c>
      <c r="E32" s="5">
        <f>+VLOOKUP(D32,'Prezzi Trade'!$I$9:$J$468,2,0)</f>
        <v>21.8</v>
      </c>
      <c r="F32" s="5">
        <f>+VLOOKUP(D32,'Prezzi Trade'!$K$9:$L$468,2,0)</f>
        <v>145.77000000000001</v>
      </c>
      <c r="G32" s="5">
        <f>+VLOOKUP(D32,'Prezzi Trade'!$M$9:$N$468,2,0)/VLOOKUP(D32,'Prezzi Trade'!$O$9:$P$468,2,0)</f>
        <v>723.65134201435023</v>
      </c>
      <c r="H32" s="5">
        <f>+(VLOOKUP(D32,'Prezzi FI'!$C$8:$D$468,2,0)+VLOOKUP(D32,'Prezzi FI'!$H$8:$I$467,2,0))/100</f>
        <v>1.1541349000000001</v>
      </c>
      <c r="I32" s="5">
        <f>+IF(VLOOKUP(D32,'Prezzi FI'!$H$8:$I$467,2,0)&lt;VLOOKUP(D33,'Prezzi FI'!$H$8:$I$467,2,0),4.25/2,0)/100</f>
        <v>0</v>
      </c>
      <c r="K32" s="4" t="str">
        <f t="shared" si="0"/>
        <v>201538</v>
      </c>
      <c r="L32" s="14">
        <f t="shared" si="1"/>
        <v>42263</v>
      </c>
      <c r="M32" s="39">
        <f t="shared" si="2"/>
        <v>8.2911575839811815E-3</v>
      </c>
      <c r="N32" s="39">
        <f t="shared" si="3"/>
        <v>1.1244987589626457E-2</v>
      </c>
      <c r="O32" s="39">
        <f t="shared" si="4"/>
        <v>1.6311832364244765E-2</v>
      </c>
      <c r="P32" s="39">
        <f t="shared" si="5"/>
        <v>-6.35079317474196E-4</v>
      </c>
      <c r="S32" s="59" t="s">
        <v>49</v>
      </c>
      <c r="T32" s="39">
        <f t="shared" si="6"/>
        <v>-3.5893620282074358E-2</v>
      </c>
      <c r="U32" s="39">
        <f t="shared" si="6"/>
        <v>-2.1557864917887928E-2</v>
      </c>
      <c r="V32" s="39">
        <f t="shared" si="6"/>
        <v>1.1056228865511197E-2</v>
      </c>
      <c r="W32" s="39">
        <f t="shared" si="6"/>
        <v>-6.6030989011687516E-3</v>
      </c>
      <c r="AC32" s="14"/>
    </row>
    <row r="33" spans="3:29" x14ac:dyDescent="0.75">
      <c r="C33" s="4">
        <v>2</v>
      </c>
      <c r="D33" s="58">
        <v>42262</v>
      </c>
      <c r="E33" s="5">
        <f>+VLOOKUP(D33,'Prezzi Trade'!$I$9:$J$468,2,0)</f>
        <v>21.62</v>
      </c>
      <c r="F33" s="5">
        <f>+VLOOKUP(D33,'Prezzi Trade'!$K$9:$L$468,2,0)</f>
        <v>144.13999999999999</v>
      </c>
      <c r="G33" s="5">
        <f>+VLOOKUP(D33,'Prezzi Trade'!$M$9:$N$468,2,0)/VLOOKUP(D33,'Prezzi Trade'!$O$9:$P$468,2,0)</f>
        <v>711.94301437954914</v>
      </c>
      <c r="H33" s="5">
        <f>+(VLOOKUP(D33,'Prezzi FI'!$C$8:$D$468,2,0)+VLOOKUP(D33,'Prezzi FI'!$H$8:$I$467,2,0))/100</f>
        <v>1.1548680999999998</v>
      </c>
      <c r="I33" s="5">
        <f>+IF(VLOOKUP(D33,'Prezzi FI'!$H$8:$I$467,2,0)&lt;VLOOKUP(D34,'Prezzi FI'!$H$8:$I$467,2,0),4.25/2,0)/100</f>
        <v>0</v>
      </c>
      <c r="K33" s="4" t="str">
        <f t="shared" si="0"/>
        <v>201538</v>
      </c>
      <c r="L33" s="14">
        <f t="shared" si="1"/>
        <v>42262</v>
      </c>
      <c r="M33" s="39">
        <f t="shared" si="2"/>
        <v>1.5851147737618563E-2</v>
      </c>
      <c r="N33" s="39">
        <f t="shared" si="3"/>
        <v>9.8303158546178375E-3</v>
      </c>
      <c r="O33" s="39">
        <f t="shared" si="4"/>
        <v>4.0628419657099662E-3</v>
      </c>
      <c r="P33" s="39">
        <f t="shared" si="5"/>
        <v>-6.780293609369352E-4</v>
      </c>
      <c r="S33" s="59" t="s">
        <v>50</v>
      </c>
      <c r="T33" s="39">
        <f t="shared" si="6"/>
        <v>2.3140826677028613E-2</v>
      </c>
      <c r="U33" s="39">
        <f t="shared" si="6"/>
        <v>4.1978626645802125E-2</v>
      </c>
      <c r="V33" s="39">
        <f t="shared" si="6"/>
        <v>3.4440659336850407E-2</v>
      </c>
      <c r="W33" s="39">
        <f t="shared" si="6"/>
        <v>1.634000759442451E-3</v>
      </c>
      <c r="AC33" s="14"/>
    </row>
    <row r="34" spans="3:29" x14ac:dyDescent="0.75">
      <c r="C34" s="4">
        <v>1</v>
      </c>
      <c r="D34" s="58">
        <v>42261</v>
      </c>
      <c r="E34" s="5">
        <f>+VLOOKUP(D34,'Prezzi Trade'!$I$9:$J$468,2,0)</f>
        <v>21.28</v>
      </c>
      <c r="F34" s="5">
        <f>+VLOOKUP(D34,'Prezzi Trade'!$K$9:$L$468,2,0)</f>
        <v>142.72999999999999</v>
      </c>
      <c r="G34" s="5">
        <f>+VLOOKUP(D34,'Prezzi Trade'!$M$9:$N$468,2,0)/VLOOKUP(D34,'Prezzi Trade'!$O$9:$P$468,2,0)</f>
        <v>709.05637038346003</v>
      </c>
      <c r="H34" s="5">
        <f>+(VLOOKUP(D34,'Prezzi FI'!$C$8:$D$468,2,0)+VLOOKUP(D34,'Prezzi FI'!$H$8:$I$467,2,0))/100</f>
        <v>1.1556514</v>
      </c>
      <c r="I34" s="5">
        <f>+IF(VLOOKUP(D34,'Prezzi FI'!$H$8:$I$467,2,0)&lt;VLOOKUP(D35,'Prezzi FI'!$H$8:$I$467,2,0),4.25/2,0)/100</f>
        <v>0</v>
      </c>
      <c r="K34" s="4" t="str">
        <f t="shared" si="0"/>
        <v>201538</v>
      </c>
      <c r="L34" s="14">
        <f t="shared" si="1"/>
        <v>42261</v>
      </c>
      <c r="M34" s="39">
        <f t="shared" si="2"/>
        <v>-1.0982701817119354E-2</v>
      </c>
      <c r="N34" s="39">
        <f t="shared" si="3"/>
        <v>3.2983643363079683E-3</v>
      </c>
      <c r="O34" s="39">
        <f t="shared" si="4"/>
        <v>-2.0327380843624607E-3</v>
      </c>
      <c r="P34" s="39">
        <f t="shared" si="5"/>
        <v>-7.7259890115709902E-4</v>
      </c>
      <c r="S34" s="59" t="s">
        <v>51</v>
      </c>
      <c r="T34" s="39">
        <f t="shared" si="6"/>
        <v>1.4494575016440418E-2</v>
      </c>
      <c r="U34" s="39">
        <f t="shared" si="6"/>
        <v>7.9617264508028626E-3</v>
      </c>
      <c r="V34" s="39">
        <f t="shared" si="6"/>
        <v>-8.0500301734481514E-3</v>
      </c>
      <c r="W34" s="39">
        <f t="shared" si="6"/>
        <v>3.5715545080400243E-3</v>
      </c>
      <c r="AC34" s="14"/>
    </row>
    <row r="35" spans="3:29" x14ac:dyDescent="0.75">
      <c r="C35" s="4">
        <v>5</v>
      </c>
      <c r="D35" s="58">
        <v>42258</v>
      </c>
      <c r="E35" s="5">
        <f>+VLOOKUP(D35,'Prezzi Trade'!$I$9:$J$468,2,0)</f>
        <v>21.515000000000001</v>
      </c>
      <c r="F35" s="5">
        <f>+VLOOKUP(D35,'Prezzi Trade'!$K$9:$L$468,2,0)</f>
        <v>142.26</v>
      </c>
      <c r="G35" s="5">
        <f>+VLOOKUP(D35,'Prezzi Trade'!$M$9:$N$468,2,0)/VLOOKUP(D35,'Prezzi Trade'!$O$9:$P$468,2,0)</f>
        <v>710.49916218361409</v>
      </c>
      <c r="H35" s="5">
        <f>+(VLOOKUP(D35,'Prezzi FI'!$C$8:$D$468,2,0)+VLOOKUP(D35,'Prezzi FI'!$H$8:$I$467,2,0))/100</f>
        <v>1.1565445999999999</v>
      </c>
      <c r="I35" s="5">
        <f>+IF(VLOOKUP(D35,'Prezzi FI'!$H$8:$I$467,2,0)&lt;VLOOKUP(D36,'Prezzi FI'!$H$8:$I$467,2,0),4.25/2,0)/100</f>
        <v>0</v>
      </c>
      <c r="K35" s="4" t="str">
        <f t="shared" si="0"/>
        <v>201537</v>
      </c>
      <c r="L35" s="14">
        <f t="shared" si="1"/>
        <v>42258</v>
      </c>
      <c r="M35" s="39">
        <f t="shared" si="2"/>
        <v>-8.5618942558507976E-3</v>
      </c>
      <c r="N35" s="39">
        <f t="shared" si="3"/>
        <v>-9.0966969740374423E-3</v>
      </c>
      <c r="O35" s="39">
        <f t="shared" si="4"/>
        <v>-1.450579549757164E-2</v>
      </c>
      <c r="P35" s="39">
        <f t="shared" si="5"/>
        <v>6.6320437116493557E-5</v>
      </c>
      <c r="S35" s="59" t="s">
        <v>52</v>
      </c>
      <c r="T35" s="39">
        <f t="shared" si="6"/>
        <v>-7.3817095933917873E-3</v>
      </c>
      <c r="U35" s="39">
        <f t="shared" si="6"/>
        <v>-2.6985373296943699E-2</v>
      </c>
      <c r="V35" s="39">
        <f t="shared" si="6"/>
        <v>-8.9974493824802881E-4</v>
      </c>
      <c r="W35" s="39">
        <f t="shared" si="6"/>
        <v>-3.2395926965920465E-3</v>
      </c>
      <c r="AC35" s="14"/>
    </row>
    <row r="36" spans="3:29" x14ac:dyDescent="0.75">
      <c r="C36" s="4">
        <v>4</v>
      </c>
      <c r="D36" s="58">
        <v>42257</v>
      </c>
      <c r="E36" s="5">
        <f>+VLOOKUP(D36,'Prezzi Trade'!$I$9:$J$468,2,0)</f>
        <v>21.7</v>
      </c>
      <c r="F36" s="5">
        <f>+VLOOKUP(D36,'Prezzi Trade'!$K$9:$L$468,2,0)</f>
        <v>143.56</v>
      </c>
      <c r="G36" s="5">
        <f>+VLOOKUP(D36,'Prezzi Trade'!$M$9:$N$468,2,0)/VLOOKUP(D36,'Prezzi Trade'!$O$9:$P$468,2,0)</f>
        <v>720.88063142958504</v>
      </c>
      <c r="H36" s="5">
        <f>+(VLOOKUP(D36,'Prezzi FI'!$C$8:$D$468,2,0)+VLOOKUP(D36,'Prezzi FI'!$H$8:$I$467,2,0))/100</f>
        <v>1.1564679</v>
      </c>
      <c r="I36" s="5">
        <f>+IF(VLOOKUP(D36,'Prezzi FI'!$H$8:$I$467,2,0)&lt;VLOOKUP(D37,'Prezzi FI'!$H$8:$I$467,2,0),4.25/2,0)/100</f>
        <v>0</v>
      </c>
      <c r="K36" s="4" t="str">
        <f t="shared" si="0"/>
        <v>201537</v>
      </c>
      <c r="L36" s="14">
        <f t="shared" si="1"/>
        <v>42257</v>
      </c>
      <c r="M36" s="39">
        <f t="shared" si="2"/>
        <v>-8.4892100964448804E-3</v>
      </c>
      <c r="N36" s="39">
        <f t="shared" si="3"/>
        <v>-2.0408871631207123E-2</v>
      </c>
      <c r="O36" s="39">
        <f t="shared" si="4"/>
        <v>-3.6092176595806311E-3</v>
      </c>
      <c r="P36" s="39">
        <f t="shared" si="5"/>
        <v>-2.245378750660288E-4</v>
      </c>
      <c r="S36" s="59" t="s">
        <v>53</v>
      </c>
      <c r="T36" s="39">
        <f t="shared" si="6"/>
        <v>1.7676401322721757E-2</v>
      </c>
      <c r="U36" s="39">
        <f t="shared" si="6"/>
        <v>7.2598921799540174E-3</v>
      </c>
      <c r="V36" s="39">
        <f t="shared" si="6"/>
        <v>-1.6604601648303758E-2</v>
      </c>
      <c r="W36" s="39">
        <f t="shared" si="6"/>
        <v>-2.6805531030704506E-3</v>
      </c>
      <c r="AC36" s="14"/>
    </row>
    <row r="37" spans="3:29" x14ac:dyDescent="0.75">
      <c r="C37" s="4">
        <v>3</v>
      </c>
      <c r="D37" s="58">
        <v>42256</v>
      </c>
      <c r="E37" s="5">
        <f>+VLOOKUP(D37,'Prezzi Trade'!$I$9:$J$468,2,0)</f>
        <v>21.885000000000002</v>
      </c>
      <c r="F37" s="5">
        <f>+VLOOKUP(D37,'Prezzi Trade'!$K$9:$L$468,2,0)</f>
        <v>146.52000000000001</v>
      </c>
      <c r="G37" s="5">
        <f>+VLOOKUP(D37,'Prezzi Trade'!$M$9:$N$468,2,0)/VLOOKUP(D37,'Prezzi Trade'!$O$9:$P$468,2,0)</f>
        <v>723.48714744734025</v>
      </c>
      <c r="H37" s="5">
        <f>+(VLOOKUP(D37,'Prezzi FI'!$C$8:$D$468,2,0)+VLOOKUP(D37,'Prezzi FI'!$H$8:$I$467,2,0))/100</f>
        <v>1.1567276</v>
      </c>
      <c r="I37" s="5">
        <f>+IF(VLOOKUP(D37,'Prezzi FI'!$H$8:$I$467,2,0)&lt;VLOOKUP(D38,'Prezzi FI'!$H$8:$I$467,2,0),4.25/2,0)/100</f>
        <v>0</v>
      </c>
      <c r="K37" s="4" t="str">
        <f t="shared" si="0"/>
        <v>201537</v>
      </c>
      <c r="L37" s="14">
        <f t="shared" si="1"/>
        <v>42256</v>
      </c>
      <c r="M37" s="39">
        <f t="shared" si="2"/>
        <v>1.0334229070014064E-2</v>
      </c>
      <c r="N37" s="39">
        <f t="shared" si="3"/>
        <v>1.4505461772139863E-2</v>
      </c>
      <c r="O37" s="39">
        <f t="shared" si="4"/>
        <v>-4.7180382868838031E-3</v>
      </c>
      <c r="P37" s="39">
        <f t="shared" si="5"/>
        <v>7.5042090175406236E-5</v>
      </c>
      <c r="S37" s="59" t="s">
        <v>54</v>
      </c>
      <c r="T37" s="39">
        <f t="shared" si="6"/>
        <v>1.2851938473453181E-2</v>
      </c>
      <c r="U37" s="39">
        <f t="shared" si="6"/>
        <v>1.3251757916748437E-2</v>
      </c>
      <c r="V37" s="39">
        <f t="shared" si="6"/>
        <v>-5.1088171692463568E-4</v>
      </c>
      <c r="W37" s="39">
        <f t="shared" si="6"/>
        <v>1.6628464349015078E-3</v>
      </c>
      <c r="AC37" s="14"/>
    </row>
    <row r="38" spans="3:29" x14ac:dyDescent="0.75">
      <c r="C38" s="4">
        <v>2</v>
      </c>
      <c r="D38" s="58">
        <v>42255</v>
      </c>
      <c r="E38" s="5">
        <f>+VLOOKUP(D38,'Prezzi Trade'!$I$9:$J$468,2,0)</f>
        <v>21.66</v>
      </c>
      <c r="F38" s="5">
        <f>+VLOOKUP(D38,'Prezzi Trade'!$K$9:$L$468,2,0)</f>
        <v>144.41</v>
      </c>
      <c r="G38" s="5">
        <f>+VLOOKUP(D38,'Prezzi Trade'!$M$9:$N$468,2,0)/VLOOKUP(D38,'Prezzi Trade'!$O$9:$P$468,2,0)</f>
        <v>726.90865255826429</v>
      </c>
      <c r="H38" s="5">
        <f>+(VLOOKUP(D38,'Prezzi FI'!$C$8:$D$468,2,0)+VLOOKUP(D38,'Prezzi FI'!$H$8:$I$467,2,0))/100</f>
        <v>1.1566407999999999</v>
      </c>
      <c r="I38" s="5">
        <f>+IF(VLOOKUP(D38,'Prezzi FI'!$H$8:$I$467,2,0)&lt;VLOOKUP(D39,'Prezzi FI'!$H$8:$I$467,2,0),4.25/2,0)/100</f>
        <v>0</v>
      </c>
      <c r="K38" s="4" t="str">
        <f t="shared" si="0"/>
        <v>201537</v>
      </c>
      <c r="L38" s="14">
        <f t="shared" si="1"/>
        <v>42255</v>
      </c>
      <c r="M38" s="39">
        <f t="shared" si="2"/>
        <v>1.3011335975945369E-2</v>
      </c>
      <c r="N38" s="39">
        <f t="shared" si="3"/>
        <v>7.8557183860173806E-3</v>
      </c>
      <c r="O38" s="39">
        <f t="shared" si="4"/>
        <v>1.764673711643993E-2</v>
      </c>
      <c r="P38" s="39">
        <f t="shared" si="5"/>
        <v>1.5112904697694215E-3</v>
      </c>
      <c r="S38" s="59" t="s">
        <v>55</v>
      </c>
      <c r="T38" s="39">
        <f t="shared" si="6"/>
        <v>4.9184091995729245E-3</v>
      </c>
      <c r="U38" s="39">
        <f t="shared" si="6"/>
        <v>1.6074399333879302E-2</v>
      </c>
      <c r="V38" s="39">
        <f t="shared" si="6"/>
        <v>1.2297922701752536E-2</v>
      </c>
      <c r="W38" s="39">
        <f t="shared" si="6"/>
        <v>2.2586098114929965E-3</v>
      </c>
      <c r="AC38" s="14"/>
    </row>
    <row r="39" spans="3:29" x14ac:dyDescent="0.75">
      <c r="C39" s="4">
        <v>1</v>
      </c>
      <c r="D39" s="58">
        <v>42254</v>
      </c>
      <c r="E39" s="5">
        <f>+VLOOKUP(D39,'Prezzi Trade'!$I$9:$J$468,2,0)</f>
        <v>21.38</v>
      </c>
      <c r="F39" s="5">
        <f>+VLOOKUP(D39,'Prezzi Trade'!$K$9:$L$468,2,0)</f>
        <v>143.28</v>
      </c>
      <c r="G39" s="5">
        <f>+VLOOKUP(D39,'Prezzi Trade'!$M$9:$N$468,2,0)/VLOOKUP(D39,'Prezzi Trade'!$O$9:$P$468,2,0)</f>
        <v>714.19360616101005</v>
      </c>
      <c r="H39" s="5">
        <f>+(VLOOKUP(D39,'Prezzi FI'!$C$8:$D$468,2,0)+VLOOKUP(D39,'Prezzi FI'!$H$8:$I$467,2,0))/100</f>
        <v>1.1548941000000001</v>
      </c>
      <c r="I39" s="5">
        <f>+IF(VLOOKUP(D39,'Prezzi FI'!$H$8:$I$467,2,0)&lt;VLOOKUP(D40,'Prezzi FI'!$H$8:$I$467,2,0),4.25/2,0)/100</f>
        <v>0</v>
      </c>
      <c r="K39" s="4" t="str">
        <f t="shared" si="0"/>
        <v>201537</v>
      </c>
      <c r="L39" s="14">
        <f t="shared" si="1"/>
        <v>42254</v>
      </c>
      <c r="M39" s="39">
        <f t="shared" si="2"/>
        <v>7.040629881734344E-3</v>
      </c>
      <c r="N39" s="39">
        <f t="shared" si="3"/>
        <v>2.7956406242674874E-3</v>
      </c>
      <c r="O39" s="39">
        <f t="shared" si="4"/>
        <v>-1.5697962134808494E-2</v>
      </c>
      <c r="P39" s="39">
        <f t="shared" si="5"/>
        <v>5.0822766055035149E-4</v>
      </c>
      <c r="S39" s="59" t="s">
        <v>56</v>
      </c>
      <c r="T39" s="39">
        <f t="shared" si="6"/>
        <v>2.4042890939626547E-2</v>
      </c>
      <c r="U39" s="39">
        <f t="shared" si="6"/>
        <v>2.1284178223213226E-2</v>
      </c>
      <c r="V39" s="39">
        <f t="shared" si="6"/>
        <v>2.4290991416579394E-2</v>
      </c>
      <c r="W39" s="39">
        <f t="shared" si="6"/>
        <v>8.6084606275789958E-3</v>
      </c>
      <c r="AC39" s="14"/>
    </row>
    <row r="40" spans="3:29" x14ac:dyDescent="0.75">
      <c r="C40" s="4">
        <v>5</v>
      </c>
      <c r="D40" s="58">
        <v>42251</v>
      </c>
      <c r="E40" s="5">
        <f>+VLOOKUP(D40,'Prezzi Trade'!$I$9:$J$468,2,0)</f>
        <v>21.23</v>
      </c>
      <c r="F40" s="5">
        <f>+VLOOKUP(D40,'Prezzi Trade'!$K$9:$L$468,2,0)</f>
        <v>142.88</v>
      </c>
      <c r="G40" s="5">
        <f>+VLOOKUP(D40,'Prezzi Trade'!$M$9:$N$468,2,0)/VLOOKUP(D40,'Prezzi Trade'!$O$9:$P$468,2,0)</f>
        <v>725.4934505652252</v>
      </c>
      <c r="H40" s="5">
        <f>+(VLOOKUP(D40,'Prezzi FI'!$C$8:$D$468,2,0)+VLOOKUP(D40,'Prezzi FI'!$H$8:$I$467,2,0))/100</f>
        <v>1.1543072999999999</v>
      </c>
      <c r="I40" s="5">
        <f>+IF(VLOOKUP(D40,'Prezzi FI'!$H$8:$I$467,2,0)&lt;VLOOKUP(D41,'Prezzi FI'!$H$8:$I$467,2,0),4.25/2,0)/100</f>
        <v>0</v>
      </c>
      <c r="K40" s="4" t="str">
        <f t="shared" si="0"/>
        <v>201536</v>
      </c>
      <c r="L40" s="14">
        <f t="shared" si="1"/>
        <v>42251</v>
      </c>
      <c r="M40" s="39">
        <f t="shared" si="2"/>
        <v>-3.1527877892210468E-2</v>
      </c>
      <c r="N40" s="39">
        <f t="shared" si="3"/>
        <v>-2.3380742714616223E-2</v>
      </c>
      <c r="O40" s="39">
        <f t="shared" si="4"/>
        <v>-1.8388807576535049E-2</v>
      </c>
      <c r="P40" s="39">
        <f t="shared" si="5"/>
        <v>1.8441897700711622E-3</v>
      </c>
      <c r="S40" s="59" t="s">
        <v>57</v>
      </c>
      <c r="T40" s="39">
        <f t="shared" si="6"/>
        <v>2.9588646580362497E-2</v>
      </c>
      <c r="U40" s="39">
        <f t="shared" si="6"/>
        <v>1.0619110406998235E-2</v>
      </c>
      <c r="V40" s="39">
        <f t="shared" si="6"/>
        <v>-1.5357271489780291E-2</v>
      </c>
      <c r="W40" s="39">
        <f t="shared" si="6"/>
        <v>3.5087044089213487E-3</v>
      </c>
      <c r="AC40" s="14"/>
    </row>
    <row r="41" spans="3:29" x14ac:dyDescent="0.75">
      <c r="C41" s="4">
        <v>4</v>
      </c>
      <c r="D41" s="58">
        <v>42250</v>
      </c>
      <c r="E41" s="5">
        <f>+VLOOKUP(D41,'Prezzi Trade'!$I$9:$J$468,2,0)</f>
        <v>21.91</v>
      </c>
      <c r="F41" s="5">
        <f>+VLOOKUP(D41,'Prezzi Trade'!$K$9:$L$468,2,0)</f>
        <v>146.26</v>
      </c>
      <c r="G41" s="5">
        <f>+VLOOKUP(D41,'Prezzi Trade'!$M$9:$N$468,2,0)/VLOOKUP(D41,'Prezzi Trade'!$O$9:$P$468,2,0)</f>
        <v>738.95782753349511</v>
      </c>
      <c r="H41" s="5">
        <f>+(VLOOKUP(D41,'Prezzi FI'!$C$8:$D$468,2,0)+VLOOKUP(D41,'Prezzi FI'!$H$8:$I$467,2,0))/100</f>
        <v>1.1521804999999998</v>
      </c>
      <c r="I41" s="5">
        <f>+IF(VLOOKUP(D41,'Prezzi FI'!$H$8:$I$467,2,0)&lt;VLOOKUP(D42,'Prezzi FI'!$H$8:$I$467,2,0),4.25/2,0)/100</f>
        <v>0</v>
      </c>
      <c r="K41" s="4" t="str">
        <f t="shared" si="0"/>
        <v>201536</v>
      </c>
      <c r="L41" s="14">
        <f t="shared" si="1"/>
        <v>42250</v>
      </c>
      <c r="M41" s="39">
        <f t="shared" si="2"/>
        <v>2.635990773376785E-2</v>
      </c>
      <c r="N41" s="39">
        <f t="shared" si="3"/>
        <v>2.8362335195198627E-2</v>
      </c>
      <c r="O41" s="39">
        <f t="shared" si="4"/>
        <v>3.7608685141265995E-2</v>
      </c>
      <c r="P41" s="39">
        <f t="shared" si="5"/>
        <v>3.1295760414873316E-3</v>
      </c>
      <c r="S41" s="59" t="s">
        <v>58</v>
      </c>
      <c r="T41" s="39">
        <f t="shared" si="6"/>
        <v>2.0786795516959233E-2</v>
      </c>
      <c r="U41" s="39">
        <f t="shared" si="6"/>
        <v>6.5308487090488003E-3</v>
      </c>
      <c r="V41" s="39">
        <f t="shared" si="6"/>
        <v>1.0249264761941457E-2</v>
      </c>
      <c r="W41" s="39">
        <f t="shared" si="6"/>
        <v>-4.1115441170810592E-4</v>
      </c>
      <c r="AC41" s="14"/>
    </row>
    <row r="42" spans="3:29" x14ac:dyDescent="0.75">
      <c r="C42" s="4">
        <v>3</v>
      </c>
      <c r="D42" s="58">
        <v>42249</v>
      </c>
      <c r="E42" s="5">
        <f>+VLOOKUP(D42,'Prezzi Trade'!$I$9:$J$468,2,0)</f>
        <v>21.34</v>
      </c>
      <c r="F42" s="5">
        <f>+VLOOKUP(D42,'Prezzi Trade'!$K$9:$L$468,2,0)</f>
        <v>142.16999999999999</v>
      </c>
      <c r="G42" s="5">
        <f>+VLOOKUP(D42,'Prezzi Trade'!$M$9:$N$468,2,0)/VLOOKUP(D42,'Prezzi Trade'!$O$9:$P$468,2,0)</f>
        <v>711.68270087297333</v>
      </c>
      <c r="H42" s="5">
        <f>+(VLOOKUP(D42,'Prezzi FI'!$C$8:$D$468,2,0)+VLOOKUP(D42,'Prezzi FI'!$H$8:$I$467,2,0))/100</f>
        <v>1.1485802999999999</v>
      </c>
      <c r="I42" s="5">
        <f>+IF(VLOOKUP(D42,'Prezzi FI'!$H$8:$I$467,2,0)&lt;VLOOKUP(D43,'Prezzi FI'!$H$8:$I$467,2,0),4.25/2,0)/100</f>
        <v>0</v>
      </c>
      <c r="K42" s="4" t="str">
        <f t="shared" si="0"/>
        <v>201536</v>
      </c>
      <c r="L42" s="14">
        <f t="shared" si="1"/>
        <v>42249</v>
      </c>
      <c r="M42" s="39">
        <f t="shared" si="2"/>
        <v>3.7558729598052647E-3</v>
      </c>
      <c r="N42" s="39">
        <f t="shared" si="3"/>
        <v>-1.6866965837298497E-3</v>
      </c>
      <c r="O42" s="39">
        <f t="shared" si="4"/>
        <v>-4.3592925076005457E-3</v>
      </c>
      <c r="P42" s="39">
        <f t="shared" si="5"/>
        <v>-3.1616647716595052E-4</v>
      </c>
      <c r="S42" s="59" t="s">
        <v>59</v>
      </c>
      <c r="T42" s="39">
        <f t="shared" si="6"/>
        <v>1.0435721451191773E-2</v>
      </c>
      <c r="U42" s="39">
        <f t="shared" si="6"/>
        <v>2.4676232171523933E-2</v>
      </c>
      <c r="V42" s="39">
        <f t="shared" si="6"/>
        <v>4.7194402238913968E-2</v>
      </c>
      <c r="W42" s="39">
        <f t="shared" si="6"/>
        <v>2.5143819832633084E-3</v>
      </c>
      <c r="AC42" s="14"/>
    </row>
    <row r="43" spans="3:29" x14ac:dyDescent="0.75">
      <c r="C43" s="4">
        <v>2</v>
      </c>
      <c r="D43" s="58">
        <v>42248</v>
      </c>
      <c r="E43" s="5">
        <f>+VLOOKUP(D43,'Prezzi Trade'!$I$9:$J$468,2,0)</f>
        <v>21.26</v>
      </c>
      <c r="F43" s="5">
        <f>+VLOOKUP(D43,'Prezzi Trade'!$K$9:$L$468,2,0)</f>
        <v>142.41</v>
      </c>
      <c r="G43" s="5">
        <f>+VLOOKUP(D43,'Prezzi Trade'!$M$9:$N$468,2,0)/VLOOKUP(D43,'Prezzi Trade'!$O$9:$P$468,2,0)</f>
        <v>714.79190598215075</v>
      </c>
      <c r="H43" s="5">
        <f>+(VLOOKUP(D43,'Prezzi FI'!$C$8:$D$468,2,0)+VLOOKUP(D43,'Prezzi FI'!$H$8:$I$467,2,0))/100</f>
        <v>1.1489434999999999</v>
      </c>
      <c r="I43" s="5">
        <f>+IF(VLOOKUP(D43,'Prezzi FI'!$H$8:$I$467,2,0)&lt;VLOOKUP(D44,'Prezzi FI'!$H$8:$I$467,2,0),4.25/2,0)/100</f>
        <v>0</v>
      </c>
      <c r="K43" s="4" t="str">
        <f t="shared" si="0"/>
        <v>201536</v>
      </c>
      <c r="L43" s="14">
        <f t="shared" si="1"/>
        <v>42248</v>
      </c>
      <c r="M43" s="39">
        <f t="shared" si="2"/>
        <v>-2.2556473135799813E-2</v>
      </c>
      <c r="N43" s="39">
        <f t="shared" si="3"/>
        <v>-2.7837277335829524E-2</v>
      </c>
      <c r="O43" s="39">
        <f t="shared" si="4"/>
        <v>-1.2736604902167126E-2</v>
      </c>
      <c r="P43" s="39">
        <f t="shared" si="5"/>
        <v>-1.6291266653484754E-3</v>
      </c>
      <c r="S43" s="59" t="s">
        <v>60</v>
      </c>
      <c r="T43" s="39">
        <f t="shared" si="6"/>
        <v>1.9536025749390569E-3</v>
      </c>
      <c r="U43" s="39">
        <f t="shared" si="6"/>
        <v>-1.7046623995713293E-2</v>
      </c>
      <c r="V43" s="39">
        <f t="shared" si="6"/>
        <v>-1.8156935810263203E-2</v>
      </c>
      <c r="W43" s="39">
        <f t="shared" si="6"/>
        <v>-3.4878093634849593E-3</v>
      </c>
      <c r="AC43" s="14"/>
    </row>
    <row r="44" spans="3:29" x14ac:dyDescent="0.75">
      <c r="C44" s="4">
        <v>1</v>
      </c>
      <c r="D44" s="58">
        <v>42247</v>
      </c>
      <c r="E44" s="5">
        <f>+VLOOKUP(D44,'Prezzi Trade'!$I$9:$J$468,2,0)</f>
        <v>21.745000000000001</v>
      </c>
      <c r="F44" s="5">
        <f>+VLOOKUP(D44,'Prezzi Trade'!$K$9:$L$468,2,0)</f>
        <v>146.43</v>
      </c>
      <c r="G44" s="5">
        <f>+VLOOKUP(D45,'Prezzi Trade'!$M$9:$N$468,2,0)/VLOOKUP(D44,'Prezzi Trade'!$O$9:$P$468,2,0)</f>
        <v>723.95415217197399</v>
      </c>
      <c r="H44" s="5">
        <f>+(VLOOKUP(D44,'Prezzi FI'!$C$8:$D$468,2,0)+VLOOKUP(D44,'Prezzi FI'!$H$8:$I$467,2,0))/100</f>
        <v>1.1508167999999999</v>
      </c>
      <c r="I44" s="5">
        <f>+IF(VLOOKUP(D44,'Prezzi FI'!$H$8:$I$467,2,0)&lt;VLOOKUP(D45,'Prezzi FI'!$H$8:$I$467,2,0),4.25/2,0)/100</f>
        <v>0</v>
      </c>
      <c r="K44" s="4" t="str">
        <f t="shared" si="0"/>
        <v>201536</v>
      </c>
      <c r="L44" s="14">
        <f t="shared" si="1"/>
        <v>42247</v>
      </c>
      <c r="M44" s="39">
        <f t="shared" si="2"/>
        <v>-3.9013245122506935E-3</v>
      </c>
      <c r="N44" s="39">
        <f t="shared" si="3"/>
        <v>-9.3125099469356081E-3</v>
      </c>
      <c r="O44" s="39">
        <f t="shared" si="4"/>
        <v>-2.8584208832678373E-3</v>
      </c>
      <c r="P44" s="39">
        <f t="shared" si="5"/>
        <v>-3.329254621770046E-4</v>
      </c>
      <c r="S44" s="59" t="s">
        <v>61</v>
      </c>
      <c r="T44" s="39">
        <f t="shared" si="6"/>
        <v>6.5402578838647432E-2</v>
      </c>
      <c r="U44" s="39">
        <f t="shared" si="6"/>
        <v>4.5797156601779215E-2</v>
      </c>
      <c r="V44" s="39">
        <f t="shared" si="6"/>
        <v>2.0072923402870018E-2</v>
      </c>
      <c r="W44" s="39">
        <f t="shared" si="6"/>
        <v>3.3726529274761097E-3</v>
      </c>
      <c r="AC44" s="14"/>
    </row>
    <row r="45" spans="3:29" x14ac:dyDescent="0.75">
      <c r="C45" s="4">
        <v>5</v>
      </c>
      <c r="D45" s="58">
        <v>42244</v>
      </c>
      <c r="E45" s="5">
        <f>+VLOOKUP(D45,'Prezzi Trade'!$I$9:$J$468,2,0)</f>
        <v>21.83</v>
      </c>
      <c r="F45" s="5">
        <f>+VLOOKUP(D45,'Prezzi Trade'!$K$9:$L$468,2,0)</f>
        <v>147.80000000000001</v>
      </c>
      <c r="G45" s="5">
        <f>+VLOOKUP(D45,'Prezzi Trade'!$M$9:$N$468,2,0)/VLOOKUP(D45,'Prezzi Trade'!$O$9:$P$468,2,0)</f>
        <v>726.0264782180875</v>
      </c>
      <c r="H45" s="5">
        <f>+(VLOOKUP(D45,'Prezzi FI'!$C$8:$D$468,2,0)+VLOOKUP(D45,'Prezzi FI'!$H$8:$I$467,2,0))/100</f>
        <v>1.1512</v>
      </c>
      <c r="I45" s="5">
        <f>+IF(VLOOKUP(D45,'Prezzi FI'!$H$8:$I$467,2,0)&lt;VLOOKUP(D46,'Prezzi FI'!$H$8:$I$467,2,0),4.25/2,0)/100</f>
        <v>2.1250000000000002E-2</v>
      </c>
      <c r="K45" s="4" t="str">
        <f t="shared" si="0"/>
        <v>201535</v>
      </c>
      <c r="L45" s="14">
        <f t="shared" si="1"/>
        <v>42244</v>
      </c>
      <c r="M45" s="39">
        <f t="shared" si="2"/>
        <v>-2.0592616818257219E-3</v>
      </c>
      <c r="N45" s="39">
        <f t="shared" si="3"/>
        <v>1.1021269461855736E-2</v>
      </c>
      <c r="O45" s="39">
        <f t="shared" si="4"/>
        <v>3.3746337929203028E-2</v>
      </c>
      <c r="P45" s="39">
        <f t="shared" si="5"/>
        <v>5.9337828283065591E-4</v>
      </c>
      <c r="S45" s="59" t="s">
        <v>62</v>
      </c>
      <c r="T45" s="39">
        <f t="shared" si="6"/>
        <v>5.1677941478591304E-2</v>
      </c>
      <c r="U45" s="39">
        <f t="shared" si="6"/>
        <v>1.9754245829036843E-2</v>
      </c>
      <c r="V45" s="39">
        <f t="shared" si="6"/>
        <v>5.2446106010666793E-3</v>
      </c>
      <c r="W45" s="39">
        <f t="shared" si="6"/>
        <v>9.4676286269557482E-3</v>
      </c>
      <c r="AC45" s="14"/>
    </row>
    <row r="46" spans="3:29" x14ac:dyDescent="0.75">
      <c r="C46" s="4">
        <v>4</v>
      </c>
      <c r="D46" s="58">
        <v>42243</v>
      </c>
      <c r="E46" s="5">
        <f>+VLOOKUP(D46,'Prezzi Trade'!$I$9:$J$468,2,0)</f>
        <v>21.875</v>
      </c>
      <c r="F46" s="5">
        <f>+VLOOKUP(D46,'Prezzi Trade'!$K$9:$L$468,2,0)</f>
        <v>146.18</v>
      </c>
      <c r="G46" s="5">
        <f>+VLOOKUP(D46,'Prezzi Trade'!$M$9:$N$468,2,0)/VLOOKUP(D46,'Prezzi Trade'!$O$9:$P$468,2,0)</f>
        <v>701.93453704527246</v>
      </c>
      <c r="H46" s="5">
        <f>+(VLOOKUP(D46,'Prezzi FI'!$C$8:$D$468,2,0)+VLOOKUP(D46,'Prezzi FI'!$H$8:$I$467,2,0))/100</f>
        <v>1.1717545</v>
      </c>
      <c r="I46" s="5">
        <f>+IF(VLOOKUP(D46,'Prezzi FI'!$H$8:$I$467,2,0)&lt;VLOOKUP(D47,'Prezzi FI'!$H$8:$I$467,2,0),4.25/2,0)/100</f>
        <v>0</v>
      </c>
      <c r="K46" s="4" t="str">
        <f t="shared" si="0"/>
        <v>201535</v>
      </c>
      <c r="L46" s="14">
        <f t="shared" si="1"/>
        <v>42243</v>
      </c>
      <c r="M46" s="39">
        <f t="shared" si="2"/>
        <v>3.1815059963470324E-2</v>
      </c>
      <c r="N46" s="39">
        <f t="shared" si="3"/>
        <v>5.1588576005534521E-2</v>
      </c>
      <c r="O46" s="39">
        <f t="shared" si="4"/>
        <v>3.4043920228057752E-2</v>
      </c>
      <c r="P46" s="39">
        <f t="shared" si="5"/>
        <v>1.4403314440454968E-3</v>
      </c>
      <c r="S46" s="59" t="s">
        <v>63</v>
      </c>
      <c r="T46" s="39">
        <f t="shared" si="6"/>
        <v>-4.9326536084252998E-2</v>
      </c>
      <c r="U46" s="39">
        <f t="shared" si="6"/>
        <v>4.5220171736996811E-3</v>
      </c>
      <c r="V46" s="39">
        <f t="shared" si="6"/>
        <v>-1.7642260495559264E-2</v>
      </c>
      <c r="W46" s="39">
        <f t="shared" si="6"/>
        <v>-9.4307361098388536E-3</v>
      </c>
      <c r="AC46" s="14"/>
    </row>
    <row r="47" spans="3:29" x14ac:dyDescent="0.75">
      <c r="C47" s="4">
        <v>3</v>
      </c>
      <c r="D47" s="58">
        <v>42242</v>
      </c>
      <c r="E47" s="5">
        <f>+VLOOKUP(D47,'Prezzi Trade'!$I$9:$J$468,2,0)</f>
        <v>21.19</v>
      </c>
      <c r="F47" s="5">
        <f>+VLOOKUP(D47,'Prezzi Trade'!$K$9:$L$468,2,0)</f>
        <v>138.83000000000001</v>
      </c>
      <c r="G47" s="5">
        <f>+VLOOKUP(D47,'Prezzi Trade'!$M$9:$N$468,2,0)/VLOOKUP(D47,'Prezzi Trade'!$O$9:$P$468,2,0)</f>
        <v>678.44012372956252</v>
      </c>
      <c r="H47" s="5">
        <f>+(VLOOKUP(D47,'Prezzi FI'!$C$8:$D$468,2,0)+VLOOKUP(D47,'Prezzi FI'!$H$8:$I$467,2,0))/100</f>
        <v>1.1700679999999999</v>
      </c>
      <c r="I47" s="5">
        <f>+IF(VLOOKUP(D47,'Prezzi FI'!$H$8:$I$467,2,0)&lt;VLOOKUP(D48,'Prezzi FI'!$H$8:$I$467,2,0),4.25/2,0)/100</f>
        <v>0</v>
      </c>
      <c r="K47" s="4" t="str">
        <f t="shared" si="0"/>
        <v>201535</v>
      </c>
      <c r="L47" s="14">
        <f t="shared" si="1"/>
        <v>42242</v>
      </c>
      <c r="M47" s="39">
        <f t="shared" si="2"/>
        <v>-5.8816779369658938E-3</v>
      </c>
      <c r="N47" s="39">
        <f t="shared" si="3"/>
        <v>-2.1026397380160392E-2</v>
      </c>
      <c r="O47" s="39">
        <f t="shared" si="4"/>
        <v>6.6480739816115481E-3</v>
      </c>
      <c r="P47" s="39">
        <f t="shared" si="5"/>
        <v>6.0305274401177826E-4</v>
      </c>
      <c r="S47" s="59" t="s">
        <v>64</v>
      </c>
      <c r="T47" s="39">
        <f t="shared" si="6"/>
        <v>6.8241734646103773E-3</v>
      </c>
      <c r="U47" s="39">
        <f t="shared" si="6"/>
        <v>-4.9559277448919478E-4</v>
      </c>
      <c r="V47" s="39">
        <f t="shared" si="6"/>
        <v>-8.20176518400517E-4</v>
      </c>
      <c r="W47" s="39">
        <f t="shared" si="6"/>
        <v>5.7400380307649924E-3</v>
      </c>
      <c r="AC47" s="14"/>
    </row>
    <row r="48" spans="3:29" x14ac:dyDescent="0.75">
      <c r="C48" s="4">
        <v>2</v>
      </c>
      <c r="D48" s="58">
        <v>42241</v>
      </c>
      <c r="E48" s="5">
        <f>+VLOOKUP(D48,'Prezzi Trade'!$I$9:$J$468,2,0)</f>
        <v>21.315000000000001</v>
      </c>
      <c r="F48" s="5">
        <f>+VLOOKUP(D48,'Prezzi Trade'!$K$9:$L$468,2,0)</f>
        <v>141.78</v>
      </c>
      <c r="G48" s="5">
        <f>+VLOOKUP(D48,'Prezzi Trade'!$M$9:$N$468,2,0)/VLOOKUP(D48,'Prezzi Trade'!$O$9:$P$468,2,0)</f>
        <v>673.94476289734234</v>
      </c>
      <c r="H48" s="5">
        <f>+(VLOOKUP(D48,'Prezzi FI'!$C$8:$D$468,2,0)+VLOOKUP(D48,'Prezzi FI'!$H$8:$I$467,2,0))/100</f>
        <v>1.1693626000000001</v>
      </c>
      <c r="I48" s="5">
        <f>+IF(VLOOKUP(D48,'Prezzi FI'!$H$8:$I$467,2,0)&lt;VLOOKUP(D49,'Prezzi FI'!$H$8:$I$467,2,0),4.25/2,0)/100</f>
        <v>0</v>
      </c>
      <c r="K48" s="4" t="str">
        <f t="shared" si="0"/>
        <v>201535</v>
      </c>
      <c r="L48" s="14">
        <f t="shared" si="1"/>
        <v>42241</v>
      </c>
      <c r="M48" s="39">
        <f t="shared" si="2"/>
        <v>4.9775871494191194E-2</v>
      </c>
      <c r="N48" s="39">
        <f t="shared" si="3"/>
        <v>3.8171750176849109E-2</v>
      </c>
      <c r="O48" s="39">
        <f t="shared" si="4"/>
        <v>1.9804320212952583E-2</v>
      </c>
      <c r="P48" s="39">
        <f t="shared" si="5"/>
        <v>-2.2504027141386205E-3</v>
      </c>
      <c r="S48" s="59" t="s">
        <v>65</v>
      </c>
      <c r="T48" s="39">
        <f t="shared" si="6"/>
        <v>-1.8267731375494839E-2</v>
      </c>
      <c r="U48" s="39">
        <f t="shared" si="6"/>
        <v>-2.4036773679779592E-3</v>
      </c>
      <c r="V48" s="39">
        <f t="shared" si="6"/>
        <v>-1.4291243956115498E-2</v>
      </c>
      <c r="W48" s="39">
        <f t="shared" si="6"/>
        <v>2.0906248445379354E-3</v>
      </c>
      <c r="AC48" s="14"/>
    </row>
    <row r="49" spans="3:29" x14ac:dyDescent="0.75">
      <c r="C49" s="4">
        <v>1</v>
      </c>
      <c r="D49" s="58">
        <v>42240</v>
      </c>
      <c r="E49" s="5">
        <f>+VLOOKUP(D49,'Prezzi Trade'!$I$9:$J$468,2,0)</f>
        <v>20.28</v>
      </c>
      <c r="F49" s="5">
        <f>+VLOOKUP(D49,'Prezzi Trade'!$K$9:$L$468,2,0)</f>
        <v>136.47</v>
      </c>
      <c r="G49" s="5">
        <f>+VLOOKUP(D49,'Prezzi Trade'!$M$9:$N$468,2,0)/VLOOKUP(D49,'Prezzi Trade'!$O$9:$P$468,2,0)</f>
        <v>660.72904114305391</v>
      </c>
      <c r="H49" s="5">
        <f>+(VLOOKUP(D49,'Prezzi FI'!$C$8:$D$468,2,0)+VLOOKUP(D49,'Prezzi FI'!$H$8:$I$467,2,0))/100</f>
        <v>1.1719971</v>
      </c>
      <c r="I49" s="5">
        <f>+IF(VLOOKUP(D49,'Prezzi FI'!$H$8:$I$467,2,0)&lt;VLOOKUP(D50,'Prezzi FI'!$H$8:$I$467,2,0),4.25/2,0)/100</f>
        <v>0</v>
      </c>
      <c r="K49" s="4" t="str">
        <f t="shared" si="0"/>
        <v>201535</v>
      </c>
      <c r="L49" s="14">
        <f t="shared" si="1"/>
        <v>42240</v>
      </c>
      <c r="M49" s="39">
        <f t="shared" si="2"/>
        <v>-5.7254289147336684E-2</v>
      </c>
      <c r="N49" s="39">
        <f t="shared" si="3"/>
        <v>-6.3658820179146258E-2</v>
      </c>
      <c r="O49" s="39">
        <f t="shared" si="4"/>
        <v>-4.5492584386485506E-2</v>
      </c>
      <c r="P49" s="39">
        <f t="shared" si="5"/>
        <v>-1.2317526632734175E-3</v>
      </c>
      <c r="S49" s="59" t="s">
        <v>66</v>
      </c>
      <c r="T49" s="39">
        <f t="shared" si="6"/>
        <v>1.8267731375494787E-2</v>
      </c>
      <c r="U49" s="39">
        <f t="shared" si="6"/>
        <v>1.2433994432415439E-2</v>
      </c>
      <c r="V49" s="39">
        <f t="shared" si="6"/>
        <v>3.0470501705078291E-3</v>
      </c>
      <c r="W49" s="39">
        <f t="shared" si="6"/>
        <v>2.1587856633202692E-3</v>
      </c>
      <c r="AC49" s="14"/>
    </row>
    <row r="50" spans="3:29" x14ac:dyDescent="0.75">
      <c r="C50" s="4">
        <v>5</v>
      </c>
      <c r="D50" s="58">
        <v>42237</v>
      </c>
      <c r="E50" s="5">
        <f>+VLOOKUP(D50,'Prezzi Trade'!$I$9:$J$468,2,0)</f>
        <v>21.475000000000001</v>
      </c>
      <c r="F50" s="5">
        <f>+VLOOKUP(D50,'Prezzi Trade'!$K$9:$L$468,2,0)</f>
        <v>145.44</v>
      </c>
      <c r="G50" s="5">
        <f>+VLOOKUP(D50,'Prezzi Trade'!$M$9:$N$468,2,0)/VLOOKUP(D50,'Prezzi Trade'!$O$9:$P$468,2,0)</f>
        <v>691.4815140072011</v>
      </c>
      <c r="H50" s="5">
        <f>+(VLOOKUP(D50,'Prezzi FI'!$C$8:$D$468,2,0)+VLOOKUP(D50,'Prezzi FI'!$H$8:$I$467,2,0))/100</f>
        <v>1.1734416000000001</v>
      </c>
      <c r="I50" s="5">
        <f>+IF(VLOOKUP(D50,'Prezzi FI'!$H$8:$I$467,2,0)&lt;VLOOKUP(D51,'Prezzi FI'!$H$8:$I$467,2,0),4.25/2,0)/100</f>
        <v>0</v>
      </c>
      <c r="K50" s="4" t="str">
        <f t="shared" si="0"/>
        <v>201534</v>
      </c>
      <c r="L50" s="14">
        <f t="shared" si="1"/>
        <v>42237</v>
      </c>
      <c r="M50" s="39">
        <f t="shared" si="2"/>
        <v>-3.0044686192639058E-2</v>
      </c>
      <c r="N50" s="39">
        <f t="shared" si="3"/>
        <v>-4.0425876471898686E-2</v>
      </c>
      <c r="O50" s="39">
        <f t="shared" si="4"/>
        <v>-3.3624651400244121E-2</v>
      </c>
      <c r="P50" s="39">
        <f t="shared" si="5"/>
        <v>-1.9449447735488767E-3</v>
      </c>
      <c r="S50" s="59" t="s">
        <v>67</v>
      </c>
      <c r="T50" s="39">
        <f t="shared" si="6"/>
        <v>2.0218831885179686E-2</v>
      </c>
      <c r="U50" s="39">
        <f t="shared" si="6"/>
        <v>4.0637316262020814E-2</v>
      </c>
      <c r="V50" s="39">
        <f t="shared" si="6"/>
        <v>-5.6313521362782049E-4</v>
      </c>
      <c r="W50" s="39">
        <f t="shared" si="6"/>
        <v>6.3401998171298199E-3</v>
      </c>
      <c r="AC50" s="14"/>
    </row>
    <row r="51" spans="3:29" x14ac:dyDescent="0.75">
      <c r="C51" s="4">
        <v>4</v>
      </c>
      <c r="D51" s="58">
        <v>42236</v>
      </c>
      <c r="E51" s="5">
        <f>+VLOOKUP(D51,'Prezzi Trade'!$I$9:$J$468,2,0)</f>
        <v>22.13</v>
      </c>
      <c r="F51" s="5">
        <f>+VLOOKUP(D51,'Prezzi Trade'!$K$9:$L$468,2,0)</f>
        <v>151.44</v>
      </c>
      <c r="G51" s="5">
        <f>+VLOOKUP(D51,'Prezzi Trade'!$M$9:$N$468,2,0)/VLOOKUP(D51,'Prezzi Trade'!$O$9:$P$468,2,0)</f>
        <v>715.12765768170084</v>
      </c>
      <c r="H51" s="5">
        <f>+(VLOOKUP(D51,'Prezzi FI'!$C$8:$D$468,2,0)+VLOOKUP(D51,'Prezzi FI'!$H$8:$I$467,2,0))/100</f>
        <v>1.1757261000000001</v>
      </c>
      <c r="I51" s="5">
        <f>+IF(VLOOKUP(D51,'Prezzi FI'!$H$8:$I$467,2,0)&lt;VLOOKUP(D52,'Prezzi FI'!$H$8:$I$467,2,0),4.25/2,0)/100</f>
        <v>0</v>
      </c>
      <c r="K51" s="4" t="str">
        <f t="shared" si="0"/>
        <v>201534</v>
      </c>
      <c r="L51" s="14">
        <f t="shared" si="1"/>
        <v>42236</v>
      </c>
      <c r="M51" s="39">
        <f t="shared" si="2"/>
        <v>-2.5651010486956075E-2</v>
      </c>
      <c r="N51" s="39">
        <f t="shared" si="3"/>
        <v>-2.2267399518144389E-2</v>
      </c>
      <c r="O51" s="39">
        <f t="shared" si="4"/>
        <v>-5.7539052532859201E-3</v>
      </c>
      <c r="P51" s="39">
        <f t="shared" si="5"/>
        <v>-8.8026832676424069E-5</v>
      </c>
      <c r="S51" s="59" t="s">
        <v>68</v>
      </c>
      <c r="T51" s="39">
        <f t="shared" si="6"/>
        <v>-7.9277525491830425E-2</v>
      </c>
      <c r="U51" s="39">
        <f t="shared" si="6"/>
        <v>-5.5962199363844584E-2</v>
      </c>
      <c r="V51" s="39">
        <f t="shared" si="6"/>
        <v>-3.8584459890419032E-2</v>
      </c>
      <c r="W51" s="39">
        <f t="shared" si="6"/>
        <v>-9.6741186642730608E-3</v>
      </c>
      <c r="AC51" s="14"/>
    </row>
    <row r="52" spans="3:29" x14ac:dyDescent="0.75">
      <c r="C52" s="4">
        <v>3</v>
      </c>
      <c r="D52" s="58">
        <v>42235</v>
      </c>
      <c r="E52" s="5">
        <f>+VLOOKUP(D52,'Prezzi Trade'!$I$9:$J$468,2,0)</f>
        <v>22.704999999999998</v>
      </c>
      <c r="F52" s="5">
        <f>+VLOOKUP(D52,'Prezzi Trade'!$K$9:$L$468,2,0)</f>
        <v>154.85</v>
      </c>
      <c r="G52" s="5">
        <f>+VLOOKUP(D52,'Prezzi Trade'!$M$9:$N$468,2,0)/VLOOKUP(D52,'Prezzi Trade'!$O$9:$P$468,2,0)</f>
        <v>719.25429522353159</v>
      </c>
      <c r="H52" s="5">
        <f>+(VLOOKUP(D52,'Prezzi FI'!$C$8:$D$468,2,0)+VLOOKUP(D52,'Prezzi FI'!$H$8:$I$467,2,0))/100</f>
        <v>1.1758295999999999</v>
      </c>
      <c r="I52" s="5">
        <f>+IF(VLOOKUP(D52,'Prezzi FI'!$H$8:$I$467,2,0)&lt;VLOOKUP(D53,'Prezzi FI'!$H$8:$I$467,2,0),4.25/2,0)/100</f>
        <v>0</v>
      </c>
      <c r="K52" s="4" t="str">
        <f t="shared" si="0"/>
        <v>201534</v>
      </c>
      <c r="L52" s="14">
        <f t="shared" si="1"/>
        <v>42235</v>
      </c>
      <c r="M52" s="39">
        <f t="shared" si="2"/>
        <v>-1.8112879254262339E-2</v>
      </c>
      <c r="N52" s="39">
        <f t="shared" si="3"/>
        <v>-1.5634328833339345E-2</v>
      </c>
      <c r="O52" s="39">
        <f t="shared" si="4"/>
        <v>-1.8727145710616552E-2</v>
      </c>
      <c r="P52" s="39">
        <f t="shared" si="5"/>
        <v>-7.0096131485188052E-4</v>
      </c>
      <c r="S52" s="59" t="s">
        <v>69</v>
      </c>
      <c r="T52" s="39">
        <f t="shared" si="6"/>
        <v>1.490683505855666E-3</v>
      </c>
      <c r="U52" s="39">
        <f t="shared" si="6"/>
        <v>9.4083387726931773E-3</v>
      </c>
      <c r="V52" s="39">
        <f t="shared" si="6"/>
        <v>-5.9348230761696527E-3</v>
      </c>
      <c r="W52" s="39">
        <f t="shared" si="6"/>
        <v>1.6516515162631586E-3</v>
      </c>
      <c r="AC52" s="14"/>
    </row>
    <row r="53" spans="3:29" x14ac:dyDescent="0.75">
      <c r="C53" s="4">
        <v>2</v>
      </c>
      <c r="D53" s="58">
        <v>42234</v>
      </c>
      <c r="E53" s="5">
        <f>+VLOOKUP(D53,'Prezzi Trade'!$I$9:$J$468,2,0)</f>
        <v>23.12</v>
      </c>
      <c r="F53" s="5">
        <f>+VLOOKUP(D53,'Prezzi Trade'!$K$9:$L$468,2,0)</f>
        <v>157.29</v>
      </c>
      <c r="G53" s="5">
        <f>+VLOOKUP(D53,'Prezzi Trade'!$M$9:$N$468,2,0)/VLOOKUP(D53,'Prezzi Trade'!$O$9:$P$468,2,0)</f>
        <v>732.85078961699048</v>
      </c>
      <c r="H53" s="5">
        <f>+(VLOOKUP(D53,'Prezzi FI'!$C$8:$D$468,2,0)+VLOOKUP(D53,'Prezzi FI'!$H$8:$I$467,2,0))/100</f>
        <v>1.1766541000000001</v>
      </c>
      <c r="I53" s="5">
        <f>+IF(VLOOKUP(D53,'Prezzi FI'!$H$8:$I$467,2,0)&lt;VLOOKUP(D54,'Prezzi FI'!$H$8:$I$467,2,0),4.25/2,0)/100</f>
        <v>0</v>
      </c>
      <c r="K53" s="4" t="str">
        <f t="shared" si="0"/>
        <v>201534</v>
      </c>
      <c r="L53" s="14">
        <f t="shared" si="1"/>
        <v>42234</v>
      </c>
      <c r="M53" s="39">
        <f t="shared" si="2"/>
        <v>-4.3243243917097981E-4</v>
      </c>
      <c r="N53" s="39">
        <f t="shared" si="3"/>
        <v>3.1201273362434566E-3</v>
      </c>
      <c r="O53" s="39">
        <f t="shared" si="4"/>
        <v>-4.8421145905152329E-3</v>
      </c>
      <c r="P53" s="39">
        <f t="shared" si="5"/>
        <v>-1.3711704872119842E-3</v>
      </c>
      <c r="S53" s="59" t="s">
        <v>70</v>
      </c>
      <c r="T53" s="39">
        <f t="shared" si="6"/>
        <v>7.4869329012427531E-3</v>
      </c>
      <c r="U53" s="39">
        <f t="shared" si="6"/>
        <v>-1.0655302020381929E-3</v>
      </c>
      <c r="V53" s="39">
        <f t="shared" si="6"/>
        <v>-4.5352791822249883E-2</v>
      </c>
      <c r="W53" s="39">
        <f t="shared" si="6"/>
        <v>3.5833223429390399E-3</v>
      </c>
      <c r="AC53" s="14"/>
    </row>
    <row r="54" spans="3:29" x14ac:dyDescent="0.75">
      <c r="C54" s="4">
        <v>1</v>
      </c>
      <c r="D54" s="58">
        <v>42233</v>
      </c>
      <c r="E54" s="5">
        <f>+VLOOKUP(D54,'Prezzi Trade'!$I$9:$J$468,2,0)</f>
        <v>23.13</v>
      </c>
      <c r="F54" s="5">
        <f>+VLOOKUP(D54,'Prezzi Trade'!$K$9:$L$468,2,0)</f>
        <v>156.80000000000001</v>
      </c>
      <c r="G54" s="5">
        <f>+VLOOKUP(D54,'Prezzi Trade'!$M$9:$N$468,2,0)/VLOOKUP(D54,'Prezzi Trade'!$O$9:$P$468,2,0)</f>
        <v>736.40794223826708</v>
      </c>
      <c r="H54" s="5">
        <f>+(VLOOKUP(D54,'Prezzi FI'!$C$8:$D$468,2,0)+VLOOKUP(D54,'Prezzi FI'!$H$8:$I$467,2,0))/100</f>
        <v>1.1782686</v>
      </c>
      <c r="I54" s="5">
        <f>+IF(VLOOKUP(D54,'Prezzi FI'!$H$8:$I$467,2,0)&lt;VLOOKUP(D55,'Prezzi FI'!$H$8:$I$467,2,0),4.25/2,0)/100</f>
        <v>0</v>
      </c>
      <c r="K54" s="4" t="str">
        <f t="shared" si="0"/>
        <v>201534</v>
      </c>
      <c r="L54" s="14">
        <f t="shared" si="1"/>
        <v>42233</v>
      </c>
      <c r="M54" s="39">
        <f t="shared" si="2"/>
        <v>6.288646985156532E-3</v>
      </c>
      <c r="N54" s="39">
        <f t="shared" si="3"/>
        <v>6.6547468523634563E-3</v>
      </c>
      <c r="O54" s="39">
        <f t="shared" si="4"/>
        <v>-1.2956490140375255E-3</v>
      </c>
      <c r="P54" s="39">
        <f t="shared" si="5"/>
        <v>9.8107244666072418E-4</v>
      </c>
      <c r="S54" s="59" t="s">
        <v>71</v>
      </c>
      <c r="T54" s="39">
        <f t="shared" si="6"/>
        <v>4.902816844210596E-2</v>
      </c>
      <c r="U54" s="39">
        <f t="shared" si="6"/>
        <v>2.058674720441896E-2</v>
      </c>
      <c r="V54" s="39">
        <f t="shared" si="6"/>
        <v>2.2716715442451102E-2</v>
      </c>
      <c r="W54" s="39">
        <f t="shared" si="6"/>
        <v>7.2640856709968735E-3</v>
      </c>
      <c r="AC54" s="14"/>
    </row>
    <row r="55" spans="3:29" x14ac:dyDescent="0.75">
      <c r="C55" s="4">
        <v>5</v>
      </c>
      <c r="D55" s="58">
        <v>42230</v>
      </c>
      <c r="E55" s="5">
        <f>+VLOOKUP(D55,'Prezzi Trade'!$I$9:$J$468,2,0)</f>
        <v>22.984999999999999</v>
      </c>
      <c r="F55" s="5">
        <f>+VLOOKUP(D55,'Prezzi Trade'!$K$9:$L$468,2,0)</f>
        <v>155.76</v>
      </c>
      <c r="G55" s="5">
        <f>+VLOOKUP(D55,'Prezzi Trade'!$M$9:$N$468,2,0)/VLOOKUP(D55,'Prezzi Trade'!$O$9:$P$468,2,0)</f>
        <v>737.36268683594449</v>
      </c>
      <c r="H55" s="5">
        <f>+(VLOOKUP(D55,'Prezzi FI'!$C$8:$D$468,2,0)+VLOOKUP(D55,'Prezzi FI'!$H$8:$I$467,2,0))/100</f>
        <v>1.1771132</v>
      </c>
      <c r="I55" s="5">
        <f>+IF(VLOOKUP(D55,'Prezzi FI'!$H$8:$I$467,2,0)&lt;VLOOKUP(D56,'Prezzi FI'!$H$8:$I$467,2,0),4.25/2,0)/100</f>
        <v>0</v>
      </c>
      <c r="K55" s="4" t="str">
        <f t="shared" si="0"/>
        <v>201533</v>
      </c>
      <c r="L55" s="14">
        <f t="shared" si="1"/>
        <v>42230</v>
      </c>
      <c r="M55" s="39">
        <f t="shared" si="2"/>
        <v>-6.0724541402976473E-3</v>
      </c>
      <c r="N55" s="39">
        <f t="shared" si="3"/>
        <v>1.284851776397532E-3</v>
      </c>
      <c r="O55" s="39">
        <f t="shared" si="4"/>
        <v>4.996480940441049E-3</v>
      </c>
      <c r="P55" s="39">
        <f t="shared" si="5"/>
        <v>-1.6522109572029623E-4</v>
      </c>
      <c r="S55" s="59" t="s">
        <v>72</v>
      </c>
      <c r="T55" s="39">
        <f t="shared" si="6"/>
        <v>-9.1659670140802202E-3</v>
      </c>
      <c r="U55" s="39">
        <f t="shared" si="6"/>
        <v>2.8993911481739899E-4</v>
      </c>
      <c r="V55" s="39">
        <f t="shared" si="6"/>
        <v>-2.0909392331603494E-2</v>
      </c>
      <c r="W55" s="39">
        <f t="shared" si="6"/>
        <v>1.3794898627088584E-3</v>
      </c>
      <c r="AC55" s="14"/>
    </row>
    <row r="56" spans="3:29" x14ac:dyDescent="0.75">
      <c r="C56" s="4">
        <v>4</v>
      </c>
      <c r="D56" s="58">
        <v>42229</v>
      </c>
      <c r="E56" s="5">
        <f>+VLOOKUP(D56,'Prezzi Trade'!$I$9:$J$468,2,0)</f>
        <v>23.125</v>
      </c>
      <c r="F56" s="5">
        <f>+VLOOKUP(D56,'Prezzi Trade'!$K$9:$L$468,2,0)</f>
        <v>155.56</v>
      </c>
      <c r="G56" s="5">
        <f>+VLOOKUP(D56,'Prezzi Trade'!$M$9:$N$468,2,0)/VLOOKUP(D56,'Prezzi Trade'!$O$9:$P$468,2,0)</f>
        <v>733.6876569788302</v>
      </c>
      <c r="H56" s="5">
        <f>+(VLOOKUP(D56,'Prezzi FI'!$C$8:$D$468,2,0)+VLOOKUP(D56,'Prezzi FI'!$H$8:$I$467,2,0))/100</f>
        <v>1.1773076999999998</v>
      </c>
      <c r="I56" s="5">
        <f>+IF(VLOOKUP(D56,'Prezzi FI'!$H$8:$I$467,2,0)&lt;VLOOKUP(D57,'Prezzi FI'!$H$8:$I$467,2,0),4.25/2,0)/100</f>
        <v>0</v>
      </c>
      <c r="K56" s="4" t="str">
        <f t="shared" si="0"/>
        <v>201533</v>
      </c>
      <c r="L56" s="14">
        <f t="shared" si="1"/>
        <v>42229</v>
      </c>
      <c r="M56" s="39">
        <f t="shared" si="2"/>
        <v>1.5690014611743495E-2</v>
      </c>
      <c r="N56" s="39">
        <f t="shared" si="3"/>
        <v>1.4634723409778063E-2</v>
      </c>
      <c r="O56" s="39">
        <f t="shared" si="4"/>
        <v>-1.1102497862576451E-2</v>
      </c>
      <c r="P56" s="39">
        <f t="shared" si="5"/>
        <v>-7.8410935800400986E-4</v>
      </c>
      <c r="S56" s="59" t="s">
        <v>73</v>
      </c>
      <c r="T56" s="39">
        <f t="shared" si="6"/>
        <v>-3.2318791255167345E-2</v>
      </c>
      <c r="U56" s="39">
        <f t="shared" si="6"/>
        <v>8.3719049017923989E-3</v>
      </c>
      <c r="V56" s="39">
        <f t="shared" si="6"/>
        <v>1.3174965146088135E-3</v>
      </c>
      <c r="W56" s="39">
        <f t="shared" si="6"/>
        <v>-2.5694167005387751E-4</v>
      </c>
      <c r="AC56" s="14"/>
    </row>
    <row r="57" spans="3:29" x14ac:dyDescent="0.75">
      <c r="C57" s="4">
        <v>3</v>
      </c>
      <c r="D57" s="58">
        <v>42228</v>
      </c>
      <c r="E57" s="5">
        <f>+VLOOKUP(D57,'Prezzi Trade'!$I$9:$J$468,2,0)</f>
        <v>22.765000000000001</v>
      </c>
      <c r="F57" s="5">
        <f>+VLOOKUP(D57,'Prezzi Trade'!$K$9:$L$468,2,0)</f>
        <v>153.30000000000001</v>
      </c>
      <c r="G57" s="5">
        <f>+VLOOKUP(D57,'Prezzi Trade'!$M$9:$N$468,2,0)/VLOOKUP(D57,'Prezzi Trade'!$O$9:$P$468,2,0)</f>
        <v>741.87880960917892</v>
      </c>
      <c r="H57" s="5">
        <f>+(VLOOKUP(D57,'Prezzi FI'!$C$8:$D$468,2,0)+VLOOKUP(D57,'Prezzi FI'!$H$8:$I$467,2,0))/100</f>
        <v>1.1782311999999999</v>
      </c>
      <c r="I57" s="5">
        <f>+IF(VLOOKUP(D57,'Prezzi FI'!$H$8:$I$467,2,0)&lt;VLOOKUP(D58,'Prezzi FI'!$H$8:$I$467,2,0),4.25/2,0)/100</f>
        <v>0</v>
      </c>
      <c r="K57" s="4" t="str">
        <f t="shared" si="0"/>
        <v>201533</v>
      </c>
      <c r="L57" s="14">
        <f t="shared" si="1"/>
        <v>42228</v>
      </c>
      <c r="M57" s="39">
        <f t="shared" si="2"/>
        <v>-3.0072574438583997E-2</v>
      </c>
      <c r="N57" s="39">
        <f t="shared" si="3"/>
        <v>-2.3148136967095608E-2</v>
      </c>
      <c r="O57" s="39">
        <f t="shared" si="4"/>
        <v>-2.6225707107819947E-3</v>
      </c>
      <c r="P57" s="39">
        <f t="shared" si="5"/>
        <v>-7.0801436582740122E-4</v>
      </c>
      <c r="S57" s="59" t="s">
        <v>74</v>
      </c>
      <c r="T57" s="39">
        <f t="shared" si="6"/>
        <v>1.4235115821871779E-2</v>
      </c>
      <c r="U57" s="39">
        <f t="shared" si="6"/>
        <v>3.7161281032946136E-2</v>
      </c>
      <c r="V57" s="39">
        <f t="shared" si="6"/>
        <v>1.7048019303047838E-2</v>
      </c>
      <c r="W57" s="39">
        <f t="shared" si="6"/>
        <v>4.526203111008379E-3</v>
      </c>
      <c r="AC57" s="14"/>
    </row>
    <row r="58" spans="3:29" x14ac:dyDescent="0.75">
      <c r="C58" s="4">
        <v>2</v>
      </c>
      <c r="D58" s="58">
        <v>42227</v>
      </c>
      <c r="E58" s="5">
        <f>+VLOOKUP(D58,'Prezzi Trade'!$I$9:$J$468,2,0)</f>
        <v>23.46</v>
      </c>
      <c r="F58" s="5">
        <f>+VLOOKUP(D58,'Prezzi Trade'!$K$9:$L$468,2,0)</f>
        <v>156.88999999999999</v>
      </c>
      <c r="G58" s="5">
        <f>+VLOOKUP(D58,'Prezzi Trade'!$M$9:$N$468,2,0)/VLOOKUP(D58,'Prezzi Trade'!$O$9:$P$468,2,0)</f>
        <v>743.82699275362313</v>
      </c>
      <c r="H58" s="5">
        <f>+(VLOOKUP(D58,'Prezzi FI'!$C$8:$D$468,2,0)+VLOOKUP(D58,'Prezzi FI'!$H$8:$I$467,2,0))/100</f>
        <v>1.1790657</v>
      </c>
      <c r="I58" s="5">
        <f>+IF(VLOOKUP(D58,'Prezzi FI'!$H$8:$I$467,2,0)&lt;VLOOKUP(D59,'Prezzi FI'!$H$8:$I$467,2,0),4.25/2,0)/100</f>
        <v>0</v>
      </c>
      <c r="K58" s="4" t="str">
        <f t="shared" si="0"/>
        <v>201533</v>
      </c>
      <c r="L58" s="14">
        <f t="shared" si="1"/>
        <v>42227</v>
      </c>
      <c r="M58" s="39">
        <f t="shared" si="2"/>
        <v>-1.017820491575604E-2</v>
      </c>
      <c r="N58" s="39">
        <f t="shared" si="3"/>
        <v>-1.7564262506745799E-2</v>
      </c>
      <c r="O58" s="39">
        <f t="shared" si="4"/>
        <v>-1.8242628502016484E-2</v>
      </c>
      <c r="P58" s="39">
        <f t="shared" si="5"/>
        <v>2.229246029308084E-3</v>
      </c>
      <c r="S58" s="59" t="s">
        <v>75</v>
      </c>
      <c r="T58" s="39">
        <f t="shared" si="6"/>
        <v>4.1291468078311605E-2</v>
      </c>
      <c r="U58" s="39">
        <f t="shared" si="6"/>
        <v>3.4267899972334016E-2</v>
      </c>
      <c r="V58" s="39">
        <f t="shared" si="6"/>
        <v>7.346946238747978E-3</v>
      </c>
      <c r="W58" s="39">
        <f t="shared" si="6"/>
        <v>-5.3487175557765613E-4</v>
      </c>
      <c r="AC58" s="14"/>
    </row>
    <row r="59" spans="3:29" x14ac:dyDescent="0.75">
      <c r="C59" s="4">
        <v>1</v>
      </c>
      <c r="D59" s="58">
        <v>42226</v>
      </c>
      <c r="E59" s="5">
        <f>+VLOOKUP(D59,'Prezzi Trade'!$I$9:$J$468,2,0)</f>
        <v>23.7</v>
      </c>
      <c r="F59" s="5">
        <f>+VLOOKUP(D59,'Prezzi Trade'!$K$9:$L$468,2,0)</f>
        <v>159.66999999999999</v>
      </c>
      <c r="G59" s="5">
        <f>+VLOOKUP(D59,'Prezzi Trade'!$M$9:$N$468,2,0)/VLOOKUP(D59,'Prezzi Trade'!$O$9:$P$468,2,0)</f>
        <v>757.52087872185916</v>
      </c>
      <c r="H59" s="5">
        <f>+(VLOOKUP(D59,'Prezzi FI'!$C$8:$D$468,2,0)+VLOOKUP(D59,'Prezzi FI'!$H$8:$I$467,2,0))/100</f>
        <v>1.1764402</v>
      </c>
      <c r="I59" s="5">
        <f>+IF(VLOOKUP(D59,'Prezzi FI'!$H$8:$I$467,2,0)&lt;VLOOKUP(D60,'Prezzi FI'!$H$8:$I$467,2,0),4.25/2,0)/100</f>
        <v>0</v>
      </c>
      <c r="K59" s="4" t="str">
        <f t="shared" si="0"/>
        <v>201533</v>
      </c>
      <c r="L59" s="14">
        <f t="shared" si="1"/>
        <v>42226</v>
      </c>
      <c r="M59" s="39">
        <f t="shared" si="2"/>
        <v>1.1457795621381137E-2</v>
      </c>
      <c r="N59" s="39">
        <f t="shared" si="3"/>
        <v>9.1227157583596546E-3</v>
      </c>
      <c r="O59" s="39">
        <f t="shared" si="4"/>
        <v>1.1377260613440519E-2</v>
      </c>
      <c r="P59" s="39">
        <f t="shared" si="5"/>
        <v>-1.0582213417067834E-4</v>
      </c>
      <c r="S59" s="59" t="s">
        <v>76</v>
      </c>
      <c r="T59" s="39">
        <f t="shared" si="6"/>
        <v>-2.8148642639117181E-2</v>
      </c>
      <c r="U59" s="39">
        <f t="shared" si="6"/>
        <v>-1.5581493172778689E-2</v>
      </c>
      <c r="V59" s="39">
        <f t="shared" si="6"/>
        <v>-1.9744153568839299E-2</v>
      </c>
      <c r="W59" s="39">
        <f t="shared" si="6"/>
        <v>-7.7530164459311407E-3</v>
      </c>
      <c r="AC59" s="14"/>
    </row>
    <row r="60" spans="3:29" x14ac:dyDescent="0.75">
      <c r="C60" s="4">
        <v>5</v>
      </c>
      <c r="D60" s="58">
        <v>42223</v>
      </c>
      <c r="E60" s="5">
        <f>+VLOOKUP(D60,'Prezzi Trade'!$I$9:$J$468,2,0)</f>
        <v>23.43</v>
      </c>
      <c r="F60" s="5">
        <f>+VLOOKUP(D60,'Prezzi Trade'!$K$9:$L$468,2,0)</f>
        <v>158.22</v>
      </c>
      <c r="G60" s="5">
        <f>+VLOOKUP(D60,'Prezzi Trade'!$M$9:$N$468,2,0)/VLOOKUP(D60,'Prezzi Trade'!$O$9:$P$468,2,0)</f>
        <v>748.95120839033291</v>
      </c>
      <c r="H60" s="5">
        <f>+(VLOOKUP(D60,'Prezzi FI'!$C$8:$D$468,2,0)+VLOOKUP(D60,'Prezzi FI'!$H$8:$I$467,2,0))/100</f>
        <v>1.1765646999999999</v>
      </c>
      <c r="I60" s="5">
        <f>+IF(VLOOKUP(D60,'Prezzi FI'!$H$8:$I$467,2,0)&lt;VLOOKUP(D61,'Prezzi FI'!$H$8:$I$467,2,0),4.25/2,0)/100</f>
        <v>0</v>
      </c>
      <c r="K60" s="4" t="str">
        <f t="shared" si="0"/>
        <v>201532</v>
      </c>
      <c r="L60" s="14">
        <f t="shared" si="1"/>
        <v>42223</v>
      </c>
      <c r="M60" s="39">
        <f t="shared" si="2"/>
        <v>-3.4086100322739408E-3</v>
      </c>
      <c r="N60" s="39">
        <f t="shared" si="3"/>
        <v>-8.6215568178447735E-3</v>
      </c>
      <c r="O60" s="39">
        <f t="shared" si="4"/>
        <v>-1.0147837780970779E-3</v>
      </c>
      <c r="P60" s="39">
        <f t="shared" si="5"/>
        <v>9.9108672152764836E-4</v>
      </c>
      <c r="S60" s="59" t="s">
        <v>77</v>
      </c>
      <c r="T60" s="39">
        <f t="shared" si="6"/>
        <v>-4.8851924969871591E-2</v>
      </c>
      <c r="U60" s="39">
        <f t="shared" si="6"/>
        <v>-3.568824566096019E-2</v>
      </c>
      <c r="V60" s="39">
        <f t="shared" si="6"/>
        <v>-7.9985867727545776E-3</v>
      </c>
      <c r="W60" s="39">
        <f t="shared" si="6"/>
        <v>-4.4243987602673909E-4</v>
      </c>
      <c r="AC60" s="14"/>
    </row>
    <row r="61" spans="3:29" x14ac:dyDescent="0.75">
      <c r="C61" s="4">
        <v>4</v>
      </c>
      <c r="D61" s="58">
        <v>42222</v>
      </c>
      <c r="E61" s="5">
        <f>+VLOOKUP(D61,'Prezzi Trade'!$I$9:$J$468,2,0)</f>
        <v>23.51</v>
      </c>
      <c r="F61" s="5">
        <f>+VLOOKUP(D61,'Prezzi Trade'!$K$9:$L$468,2,0)</f>
        <v>159.59</v>
      </c>
      <c r="G61" s="5">
        <f>+VLOOKUP(D61,'Prezzi Trade'!$M$9:$N$468,2,0)/VLOOKUP(D61,'Prezzi Trade'!$O$9:$P$468,2,0)</f>
        <v>749.71161768744844</v>
      </c>
      <c r="H61" s="5">
        <f>+(VLOOKUP(D61,'Prezzi FI'!$C$8:$D$468,2,0)+VLOOKUP(D61,'Prezzi FI'!$H$8:$I$467,2,0))/100</f>
        <v>1.1753992</v>
      </c>
      <c r="I61" s="5">
        <f>+IF(VLOOKUP(D61,'Prezzi FI'!$H$8:$I$467,2,0)&lt;VLOOKUP(D62,'Prezzi FI'!$H$8:$I$467,2,0),4.25/2,0)/100</f>
        <v>0</v>
      </c>
      <c r="K61" s="4" t="str">
        <f t="shared" si="0"/>
        <v>201532</v>
      </c>
      <c r="L61" s="14">
        <f t="shared" si="1"/>
        <v>42222</v>
      </c>
      <c r="M61" s="39">
        <f t="shared" si="2"/>
        <v>-4.6679482172380781E-3</v>
      </c>
      <c r="N61" s="39">
        <f t="shared" si="3"/>
        <v>-1.3752978213296399E-2</v>
      </c>
      <c r="O61" s="39">
        <f t="shared" si="4"/>
        <v>-1.290673370190795E-2</v>
      </c>
      <c r="P61" s="39">
        <f t="shared" si="5"/>
        <v>7.6292546964037609E-4</v>
      </c>
      <c r="S61" s="59" t="s">
        <v>78</v>
      </c>
      <c r="T61" s="39">
        <f t="shared" si="6"/>
        <v>-3.0891426317654572E-2</v>
      </c>
      <c r="U61" s="39">
        <f t="shared" si="6"/>
        <v>-6.7111594182161854E-4</v>
      </c>
      <c r="V61" s="39">
        <f t="shared" si="6"/>
        <v>-6.3549610362402739E-3</v>
      </c>
      <c r="W61" s="39">
        <f t="shared" si="6"/>
        <v>1.3064311260268494E-3</v>
      </c>
      <c r="AC61" s="14"/>
    </row>
    <row r="62" spans="3:29" x14ac:dyDescent="0.75">
      <c r="C62" s="4">
        <v>3</v>
      </c>
      <c r="D62" s="58">
        <v>42221</v>
      </c>
      <c r="E62" s="5">
        <f>+VLOOKUP(D62,'Prezzi Trade'!$I$9:$J$468,2,0)</f>
        <v>23.62</v>
      </c>
      <c r="F62" s="5">
        <f>+VLOOKUP(D62,'Prezzi Trade'!$K$9:$L$468,2,0)</f>
        <v>161.80000000000001</v>
      </c>
      <c r="G62" s="5">
        <f>+VLOOKUP(D62,'Prezzi Trade'!$M$9:$N$468,2,0)/VLOOKUP(D62,'Prezzi Trade'!$O$9:$P$468,2,0)</f>
        <v>759.45066030814382</v>
      </c>
      <c r="H62" s="5">
        <f>+(VLOOKUP(D62,'Prezzi FI'!$C$8:$D$468,2,0)+VLOOKUP(D62,'Prezzi FI'!$H$8:$I$467,2,0))/100</f>
        <v>1.1745028</v>
      </c>
      <c r="I62" s="5">
        <f>+IF(VLOOKUP(D62,'Prezzi FI'!$H$8:$I$467,2,0)&lt;VLOOKUP(D63,'Prezzi FI'!$H$8:$I$467,2,0),4.25/2,0)/100</f>
        <v>0</v>
      </c>
      <c r="K62" s="4" t="str">
        <f t="shared" si="0"/>
        <v>201532</v>
      </c>
      <c r="L62" s="14">
        <f t="shared" si="1"/>
        <v>42221</v>
      </c>
      <c r="M62" s="39">
        <f t="shared" si="2"/>
        <v>1.686452606931408E-2</v>
      </c>
      <c r="N62" s="39">
        <f t="shared" si="3"/>
        <v>1.3189192061237497E-2</v>
      </c>
      <c r="O62" s="39">
        <f t="shared" si="4"/>
        <v>-4.9469223700440244E-3</v>
      </c>
      <c r="P62" s="39">
        <f t="shared" si="5"/>
        <v>-2.4953879758684385E-3</v>
      </c>
      <c r="S62" s="59" t="s">
        <v>79</v>
      </c>
      <c r="T62" s="39">
        <f t="shared" si="6"/>
        <v>-2.1533684598030005E-3</v>
      </c>
      <c r="U62" s="39">
        <f t="shared" si="6"/>
        <v>-1.1782714403979152E-2</v>
      </c>
      <c r="V62" s="39">
        <f t="shared" si="6"/>
        <v>2.410310324040205E-3</v>
      </c>
      <c r="W62" s="39">
        <f t="shared" si="6"/>
        <v>2.4210637127756613E-4</v>
      </c>
      <c r="AC62" s="14"/>
    </row>
    <row r="63" spans="3:29" x14ac:dyDescent="0.75">
      <c r="C63" s="4">
        <v>2</v>
      </c>
      <c r="D63" s="58">
        <v>42220</v>
      </c>
      <c r="E63" s="5">
        <f>+VLOOKUP(D63,'Prezzi Trade'!$I$9:$J$468,2,0)</f>
        <v>23.225000000000001</v>
      </c>
      <c r="F63" s="5">
        <f>+VLOOKUP(D63,'Prezzi Trade'!$K$9:$L$468,2,0)</f>
        <v>159.68</v>
      </c>
      <c r="G63" s="5">
        <f>+VLOOKUP(D63,'Prezzi Trade'!$M$9:$N$468,2,0)/VLOOKUP(D63,'Prezzi Trade'!$O$9:$P$468,2,0)</f>
        <v>763.21691176470586</v>
      </c>
      <c r="H63" s="5">
        <f>+(VLOOKUP(D63,'Prezzi FI'!$C$8:$D$468,2,0)+VLOOKUP(D63,'Prezzi FI'!$H$8:$I$467,2,0))/100</f>
        <v>1.1774373</v>
      </c>
      <c r="I63" s="5">
        <f>+IF(VLOOKUP(D63,'Prezzi FI'!$H$8:$I$467,2,0)&lt;VLOOKUP(D64,'Prezzi FI'!$H$8:$I$467,2,0),4.25/2,0)/100</f>
        <v>0</v>
      </c>
      <c r="K63" s="4" t="str">
        <f t="shared" si="0"/>
        <v>201532</v>
      </c>
      <c r="L63" s="14">
        <f t="shared" si="1"/>
        <v>42220</v>
      </c>
      <c r="M63" s="39">
        <f t="shared" si="2"/>
        <v>-1.0067558525427149E-2</v>
      </c>
      <c r="N63" s="39">
        <f t="shared" si="3"/>
        <v>-1.564406939625516E-3</v>
      </c>
      <c r="O63" s="39">
        <f t="shared" si="4"/>
        <v>1.0842070501057895E-2</v>
      </c>
      <c r="P63" s="39">
        <f t="shared" si="5"/>
        <v>8.0333774780926644E-4</v>
      </c>
      <c r="S63" s="59" t="s">
        <v>80</v>
      </c>
      <c r="T63" s="39">
        <f t="shared" si="6"/>
        <v>-5.9573630258118945E-3</v>
      </c>
      <c r="U63" s="39">
        <f t="shared" si="6"/>
        <v>1.3349352793708224E-2</v>
      </c>
      <c r="V63" s="39">
        <f t="shared" si="6"/>
        <v>-2.487227882900591E-3</v>
      </c>
      <c r="W63" s="39">
        <f t="shared" si="6"/>
        <v>6.6051413117009204E-3</v>
      </c>
      <c r="AC63" s="14"/>
    </row>
    <row r="64" spans="3:29" x14ac:dyDescent="0.75">
      <c r="C64" s="4">
        <v>1</v>
      </c>
      <c r="D64" s="58">
        <v>42219</v>
      </c>
      <c r="E64" s="5">
        <f>+VLOOKUP(D64,'Prezzi Trade'!$I$9:$J$468,2,0)</f>
        <v>23.46</v>
      </c>
      <c r="F64" s="5">
        <f>+VLOOKUP(D64,'Prezzi Trade'!$K$9:$L$468,2,0)</f>
        <v>159.93</v>
      </c>
      <c r="G64" s="5">
        <f>+VLOOKUP(D64,'Prezzi Trade'!$M$9:$N$468,2,0)/VLOOKUP(D64,'Prezzi Trade'!$O$9:$P$468,2,0)</f>
        <v>754.98675678144127</v>
      </c>
      <c r="H64" s="5">
        <f>+(VLOOKUP(D64,'Prezzi FI'!$C$8:$D$468,2,0)+VLOOKUP(D64,'Prezzi FI'!$H$8:$I$467,2,0))/100</f>
        <v>1.1764918</v>
      </c>
      <c r="I64" s="5">
        <f>+IF(VLOOKUP(D64,'Prezzi FI'!$H$8:$I$467,2,0)&lt;VLOOKUP(D65,'Prezzi FI'!$H$8:$I$467,2,0),4.25/2,0)/100</f>
        <v>0</v>
      </c>
      <c r="K64" s="4" t="str">
        <f t="shared" si="0"/>
        <v>201532</v>
      </c>
      <c r="L64" s="14">
        <f t="shared" si="1"/>
        <v>42219</v>
      </c>
      <c r="M64" s="39">
        <f t="shared" si="2"/>
        <v>7.9170200621987187E-3</v>
      </c>
      <c r="N64" s="39">
        <f t="shared" si="3"/>
        <v>3.256719857224216E-3</v>
      </c>
      <c r="O64" s="39">
        <f t="shared" si="4"/>
        <v>-1.7526024981206943E-2</v>
      </c>
      <c r="P64" s="39">
        <f t="shared" si="5"/>
        <v>9.8178049243578989E-5</v>
      </c>
      <c r="S64" s="59" t="s">
        <v>81</v>
      </c>
      <c r="T64" s="39">
        <f t="shared" si="6"/>
        <v>-1.4857011869460035E-2</v>
      </c>
      <c r="U64" s="39">
        <f t="shared" si="6"/>
        <v>-5.2126114006464646E-3</v>
      </c>
      <c r="V64" s="39">
        <f t="shared" si="6"/>
        <v>-2.6379231084769687E-2</v>
      </c>
      <c r="W64" s="39">
        <f t="shared" si="6"/>
        <v>-9.1849636482267873E-3</v>
      </c>
      <c r="AC64" s="14"/>
    </row>
    <row r="65" spans="3:29" x14ac:dyDescent="0.75">
      <c r="C65" s="4">
        <v>5</v>
      </c>
      <c r="D65" s="58">
        <v>42216</v>
      </c>
      <c r="E65" s="5">
        <f>+VLOOKUP(D65,'Prezzi Trade'!$I$9:$J$468,2,0)</f>
        <v>23.274999999999999</v>
      </c>
      <c r="F65" s="5">
        <f>+VLOOKUP(D65,'Prezzi Trade'!$K$9:$L$468,2,0)</f>
        <v>159.41</v>
      </c>
      <c r="G65" s="5">
        <f>+VLOOKUP(D65,'Prezzi Trade'!$M$9:$N$468,2,0)/VLOOKUP(D65,'Prezzi Trade'!$O$9:$P$468,2,0)</f>
        <v>768.33530536088097</v>
      </c>
      <c r="H65" s="5">
        <f>+(VLOOKUP(D65,'Prezzi FI'!$C$8:$D$468,2,0)+VLOOKUP(D65,'Prezzi FI'!$H$8:$I$467,2,0))/100</f>
        <v>1.1763763</v>
      </c>
      <c r="I65" s="5">
        <f>+IF(VLOOKUP(D65,'Prezzi FI'!$H$8:$I$467,2,0)&lt;VLOOKUP(D66,'Prezzi FI'!$H$8:$I$467,2,0),4.25/2,0)/100</f>
        <v>0</v>
      </c>
      <c r="K65" s="4" t="str">
        <f t="shared" si="0"/>
        <v>201531</v>
      </c>
      <c r="L65" s="14">
        <f t="shared" si="1"/>
        <v>42216</v>
      </c>
      <c r="M65" s="39">
        <f t="shared" si="2"/>
        <v>5.8171013976000751E-3</v>
      </c>
      <c r="N65" s="39">
        <f t="shared" si="3"/>
        <v>-3.3192452581885658E-3</v>
      </c>
      <c r="O65" s="39">
        <f t="shared" si="4"/>
        <v>-1.2427619181797262E-2</v>
      </c>
      <c r="P65" s="39">
        <f t="shared" si="5"/>
        <v>6.7645794248088857E-4</v>
      </c>
      <c r="S65" s="59" t="s">
        <v>82</v>
      </c>
      <c r="T65" s="39">
        <f t="shared" si="6"/>
        <v>4.3292662710632208E-2</v>
      </c>
      <c r="U65" s="39">
        <f t="shared" si="6"/>
        <v>1.3007584163350714E-2</v>
      </c>
      <c r="V65" s="39">
        <f t="shared" si="6"/>
        <v>2.3983358830853624E-3</v>
      </c>
      <c r="W65" s="39">
        <f t="shared" si="6"/>
        <v>8.3927322980743221E-3</v>
      </c>
      <c r="AC65" s="14"/>
    </row>
    <row r="66" spans="3:29" x14ac:dyDescent="0.75">
      <c r="C66" s="4">
        <v>4</v>
      </c>
      <c r="D66" s="58">
        <v>42215</v>
      </c>
      <c r="E66" s="5">
        <f>+VLOOKUP(D66,'Prezzi Trade'!$I$9:$J$468,2,0)</f>
        <v>23.14</v>
      </c>
      <c r="F66" s="5">
        <f>+VLOOKUP(D66,'Prezzi Trade'!$K$9:$L$468,2,0)</f>
        <v>159.94</v>
      </c>
      <c r="G66" s="5">
        <f>+VLOOKUP(D66,'Prezzi Trade'!$M$9:$N$468,2,0)/VLOOKUP(D66,'Prezzi Trade'!$O$9:$P$468,2,0)</f>
        <v>777.94346354404911</v>
      </c>
      <c r="H66" s="5">
        <f>+(VLOOKUP(D66,'Prezzi FI'!$C$8:$D$468,2,0)+VLOOKUP(D66,'Prezzi FI'!$H$8:$I$467,2,0))/100</f>
        <v>1.1755808000000001</v>
      </c>
      <c r="I66" s="5">
        <f>+IF(VLOOKUP(D66,'Prezzi FI'!$H$8:$I$467,2,0)&lt;VLOOKUP(D67,'Prezzi FI'!$H$8:$I$467,2,0),4.25/2,0)/100</f>
        <v>0</v>
      </c>
      <c r="K66" s="4" t="str">
        <f t="shared" si="0"/>
        <v>201531</v>
      </c>
      <c r="L66" s="14">
        <f t="shared" si="1"/>
        <v>42215</v>
      </c>
      <c r="M66" s="39">
        <f t="shared" si="2"/>
        <v>5.4165444963257935E-3</v>
      </c>
      <c r="N66" s="39">
        <f t="shared" si="3"/>
        <v>9.4227721500279703E-3</v>
      </c>
      <c r="O66" s="39">
        <f t="shared" si="4"/>
        <v>-9.584128714595421E-5</v>
      </c>
      <c r="P66" s="39">
        <f t="shared" si="5"/>
        <v>2.6971963609768762E-3</v>
      </c>
      <c r="S66" s="59" t="s">
        <v>83</v>
      </c>
      <c r="T66" s="39">
        <f t="shared" si="6"/>
        <v>2.6503099224909552E-2</v>
      </c>
      <c r="U66" s="39">
        <f t="shared" si="6"/>
        <v>1.3026539853610138E-2</v>
      </c>
      <c r="V66" s="39">
        <f t="shared" si="6"/>
        <v>8.6366096943508528E-3</v>
      </c>
      <c r="W66" s="39">
        <f t="shared" si="6"/>
        <v>1.9885877194406338E-3</v>
      </c>
      <c r="AC66" s="14"/>
    </row>
    <row r="67" spans="3:29" x14ac:dyDescent="0.75">
      <c r="C67" s="4">
        <v>3</v>
      </c>
      <c r="D67" s="58">
        <v>42214</v>
      </c>
      <c r="E67" s="5">
        <f>+VLOOKUP(D67,'Prezzi Trade'!$I$9:$J$468,2,0)</f>
        <v>23.015000000000001</v>
      </c>
      <c r="F67" s="5">
        <f>+VLOOKUP(D67,'Prezzi Trade'!$K$9:$L$468,2,0)</f>
        <v>158.44</v>
      </c>
      <c r="G67" s="5">
        <f>+VLOOKUP(D67,'Prezzi Trade'!$M$9:$N$468,2,0)/VLOOKUP(D67,'Prezzi Trade'!$O$9:$P$468,2,0)</f>
        <v>778.01802621995625</v>
      </c>
      <c r="H67" s="5">
        <f>+(VLOOKUP(D67,'Prezzi FI'!$C$8:$D$468,2,0)+VLOOKUP(D67,'Prezzi FI'!$H$8:$I$467,2,0))/100</f>
        <v>1.1724143</v>
      </c>
      <c r="I67" s="5">
        <f>+IF(VLOOKUP(D67,'Prezzi FI'!$H$8:$I$467,2,0)&lt;VLOOKUP(D68,'Prezzi FI'!$H$8:$I$467,2,0),4.25/2,0)/100</f>
        <v>0</v>
      </c>
      <c r="K67" s="4" t="str">
        <f t="shared" si="0"/>
        <v>201531</v>
      </c>
      <c r="L67" s="14">
        <f t="shared" si="1"/>
        <v>42214</v>
      </c>
      <c r="M67" s="39">
        <f t="shared" si="2"/>
        <v>-1.5195921734528057E-3</v>
      </c>
      <c r="N67" s="39">
        <f t="shared" si="3"/>
        <v>1.1872778430284345E-2</v>
      </c>
      <c r="O67" s="39">
        <f t="shared" si="4"/>
        <v>1.1135788649569493E-2</v>
      </c>
      <c r="P67" s="39">
        <f t="shared" si="5"/>
        <v>-2.8535327713687315E-4</v>
      </c>
      <c r="S67" s="59" t="s">
        <v>84</v>
      </c>
      <c r="T67" s="39">
        <f t="shared" si="6"/>
        <v>2.3877182091997008E-2</v>
      </c>
      <c r="U67" s="39">
        <f t="shared" si="6"/>
        <v>2.4930863259791672E-2</v>
      </c>
      <c r="V67" s="39">
        <f t="shared" si="6"/>
        <v>1.3561289707905681E-2</v>
      </c>
      <c r="W67" s="39">
        <f t="shared" si="6"/>
        <v>4.794223663831974E-3</v>
      </c>
      <c r="AC67" s="14"/>
    </row>
    <row r="68" spans="3:29" x14ac:dyDescent="0.75">
      <c r="C68" s="4">
        <v>2</v>
      </c>
      <c r="D68" s="58">
        <v>42213</v>
      </c>
      <c r="E68" s="5">
        <f>+VLOOKUP(D68,'Prezzi Trade'!$I$9:$J$468,2,0)</f>
        <v>23.05</v>
      </c>
      <c r="F68" s="5">
        <f>+VLOOKUP(D68,'Prezzi Trade'!$K$9:$L$468,2,0)</f>
        <v>156.57</v>
      </c>
      <c r="G68" s="5">
        <f>+VLOOKUP(D68,'Prezzi Trade'!$M$9:$N$468,2,0)/VLOOKUP(D68,'Prezzi Trade'!$O$9:$P$468,2,0)</f>
        <v>769.40224272020259</v>
      </c>
      <c r="H68" s="5">
        <f>+(VLOOKUP(D68,'Prezzi FI'!$C$8:$D$468,2,0)+VLOOKUP(D68,'Prezzi FI'!$H$8:$I$467,2,0))/100</f>
        <v>1.1727489</v>
      </c>
      <c r="I68" s="5">
        <f>+IF(VLOOKUP(D68,'Prezzi FI'!$H$8:$I$467,2,0)&lt;VLOOKUP(D69,'Prezzi FI'!$H$8:$I$467,2,0),4.25/2,0)/100</f>
        <v>0</v>
      </c>
      <c r="K68" s="4" t="str">
        <f t="shared" si="0"/>
        <v>201531</v>
      </c>
      <c r="L68" s="14">
        <f t="shared" si="1"/>
        <v>42213</v>
      </c>
      <c r="M68" s="39">
        <f t="shared" si="2"/>
        <v>2.0158438962745679E-2</v>
      </c>
      <c r="N68" s="39">
        <f t="shared" si="3"/>
        <v>1.0078077404184918E-2</v>
      </c>
      <c r="O68" s="39">
        <f t="shared" si="4"/>
        <v>9.2878368602507828E-3</v>
      </c>
      <c r="P68" s="39">
        <f t="shared" si="5"/>
        <v>9.2603172024929208E-4</v>
      </c>
      <c r="S68" s="59" t="s">
        <v>85</v>
      </c>
      <c r="T68" s="39">
        <f t="shared" si="6"/>
        <v>1.2676408266587334E-2</v>
      </c>
      <c r="U68" s="39">
        <f t="shared" si="6"/>
        <v>2.0769096521807168E-2</v>
      </c>
      <c r="V68" s="39">
        <f t="shared" si="6"/>
        <v>-1.0219948977343799E-2</v>
      </c>
      <c r="W68" s="39">
        <f t="shared" si="6"/>
        <v>7.4128056121738721E-3</v>
      </c>
      <c r="AC68" s="14"/>
    </row>
    <row r="69" spans="3:29" x14ac:dyDescent="0.75">
      <c r="C69" s="4">
        <v>1</v>
      </c>
      <c r="D69" s="58">
        <v>42212</v>
      </c>
      <c r="E69" s="5">
        <f>+VLOOKUP(D69,'Prezzi Trade'!$I$9:$J$468,2,0)</f>
        <v>22.59</v>
      </c>
      <c r="F69" s="5">
        <f>+VLOOKUP(D69,'Prezzi Trade'!$K$9:$L$468,2,0)</f>
        <v>155</v>
      </c>
      <c r="G69" s="5">
        <f>+VLOOKUP(D69,'Prezzi Trade'!$M$9:$N$468,2,0)/VLOOKUP(D69,'Prezzi Trade'!$O$9:$P$468,2,0)</f>
        <v>762.28924353079083</v>
      </c>
      <c r="H69" s="5">
        <f>+(VLOOKUP(D69,'Prezzi FI'!$C$8:$D$468,2,0)+VLOOKUP(D69,'Prezzi FI'!$H$8:$I$467,2,0))/100</f>
        <v>1.1716633999999999</v>
      </c>
      <c r="I69" s="5">
        <f>+IF(VLOOKUP(D69,'Prezzi FI'!$H$8:$I$467,2,0)&lt;VLOOKUP(D70,'Prezzi FI'!$H$8:$I$467,2,0),4.25/2,0)/100</f>
        <v>0</v>
      </c>
      <c r="K69" s="4" t="str">
        <f t="shared" si="0"/>
        <v>201531</v>
      </c>
      <c r="L69" s="14">
        <f t="shared" si="1"/>
        <v>42212</v>
      </c>
      <c r="M69" s="39">
        <f t="shared" si="2"/>
        <v>-3.051675341633775E-2</v>
      </c>
      <c r="N69" s="39">
        <f t="shared" si="3"/>
        <v>-2.3653520600220621E-2</v>
      </c>
      <c r="O69" s="39">
        <f t="shared" si="4"/>
        <v>-2.043018386616427E-2</v>
      </c>
      <c r="P69" s="39">
        <f t="shared" si="5"/>
        <v>-1.0445496426851873E-3</v>
      </c>
      <c r="S69" s="59" t="s">
        <v>86</v>
      </c>
      <c r="T69" s="39">
        <f t="shared" si="6"/>
        <v>-5.8401529884453816E-2</v>
      </c>
      <c r="U69" s="39">
        <f t="shared" si="6"/>
        <v>-1.1109461982124718E-2</v>
      </c>
      <c r="V69" s="39">
        <f t="shared" si="6"/>
        <v>1.7370587106951378E-3</v>
      </c>
      <c r="W69" s="39">
        <f t="shared" ref="W69" si="11">+SUMIF($K$5:$K$445,$S69,P$5:P$445)</f>
        <v>-3.1042677633003205E-3</v>
      </c>
      <c r="AC69" s="14"/>
    </row>
    <row r="70" spans="3:29" x14ac:dyDescent="0.75">
      <c r="C70" s="4">
        <v>5</v>
      </c>
      <c r="D70" s="58">
        <v>42209</v>
      </c>
      <c r="E70" s="5">
        <f>+VLOOKUP(D70,'Prezzi Trade'!$I$9:$J$468,2,0)</f>
        <v>23.29</v>
      </c>
      <c r="F70" s="5">
        <f>+VLOOKUP(D70,'Prezzi Trade'!$K$9:$L$468,2,0)</f>
        <v>158.71</v>
      </c>
      <c r="G70" s="5">
        <f>+VLOOKUP(D70,'Prezzi Trade'!$M$9:$N$468,2,0)/VLOOKUP(D70,'Prezzi Trade'!$O$9:$P$468,2,0)</f>
        <v>778.02312875614632</v>
      </c>
      <c r="H70" s="5">
        <f>+(VLOOKUP(D70,'Prezzi FI'!$C$8:$D$468,2,0)+VLOOKUP(D70,'Prezzi FI'!$H$8:$I$467,2,0))/100</f>
        <v>1.1728878999999999</v>
      </c>
      <c r="I70" s="5">
        <f>+IF(VLOOKUP(D70,'Prezzi FI'!$H$8:$I$467,2,0)&lt;VLOOKUP(D71,'Prezzi FI'!$H$8:$I$467,2,0),4.25/2,0)/100</f>
        <v>0</v>
      </c>
      <c r="K70" s="4" t="str">
        <f t="shared" ref="K70:K133" si="12">+YEAR( L70) &amp; WEEKNUM(L70,2)</f>
        <v>201530</v>
      </c>
      <c r="L70" s="14">
        <f t="shared" ref="L70:L133" si="13">+D70</f>
        <v>42209</v>
      </c>
      <c r="M70" s="39">
        <f t="shared" ref="M70:M133" si="14">+LN(E70/E71)</f>
        <v>-4.9255908557843528E-3</v>
      </c>
      <c r="N70" s="39">
        <f t="shared" ref="N70:N133" si="15">+LN(F70/F71)</f>
        <v>-7.2823474573333784E-3</v>
      </c>
      <c r="O70" s="39">
        <f t="shared" ref="O70:O133" si="16">+LN(G70/G71)</f>
        <v>-1.3443311228369528E-2</v>
      </c>
      <c r="P70" s="39">
        <f t="shared" ref="P70:P133" si="17">+LN((H70+I70)/H71)</f>
        <v>4.907896451758839E-4</v>
      </c>
      <c r="S70" s="59" t="s">
        <v>87</v>
      </c>
      <c r="T70" s="39">
        <f t="shared" ref="T70:W97" si="18">+SUMIF($K$5:$K$445,$S70,M$5:M$445)</f>
        <v>-3.522680280836115E-2</v>
      </c>
      <c r="U70" s="39">
        <f t="shared" si="18"/>
        <v>-2.4091914838787667E-2</v>
      </c>
      <c r="V70" s="39">
        <f t="shared" si="18"/>
        <v>-1.5343353509260093E-2</v>
      </c>
      <c r="W70" s="39">
        <f t="shared" si="18"/>
        <v>-6.190813309035299E-4</v>
      </c>
      <c r="AC70" s="14"/>
    </row>
    <row r="71" spans="3:29" x14ac:dyDescent="0.75">
      <c r="C71" s="4">
        <v>4</v>
      </c>
      <c r="D71" s="58">
        <v>42208</v>
      </c>
      <c r="E71" s="5">
        <f>+VLOOKUP(D71,'Prezzi Trade'!$I$9:$J$468,2,0)</f>
        <v>23.405000000000001</v>
      </c>
      <c r="F71" s="5">
        <f>+VLOOKUP(D71,'Prezzi Trade'!$K$9:$L$468,2,0)</f>
        <v>159.87</v>
      </c>
      <c r="G71" s="5">
        <f>+VLOOKUP(D71,'Prezzi Trade'!$M$9:$N$468,2,0)/VLOOKUP(D71,'Prezzi Trade'!$O$9:$P$468,2,0)</f>
        <v>788.55295510427095</v>
      </c>
      <c r="H71" s="5">
        <f>+(VLOOKUP(D71,'Prezzi FI'!$C$8:$D$468,2,0)+VLOOKUP(D71,'Prezzi FI'!$H$8:$I$467,2,0))/100</f>
        <v>1.1723124</v>
      </c>
      <c r="I71" s="5">
        <f>+IF(VLOOKUP(D71,'Prezzi FI'!$H$8:$I$467,2,0)&lt;VLOOKUP(D72,'Prezzi FI'!$H$8:$I$467,2,0),4.25/2,0)/100</f>
        <v>0</v>
      </c>
      <c r="K71" s="4" t="str">
        <f t="shared" si="12"/>
        <v>201530</v>
      </c>
      <c r="L71" s="14">
        <f t="shared" si="13"/>
        <v>42208</v>
      </c>
      <c r="M71" s="39">
        <f t="shared" si="14"/>
        <v>-1.9208201402544224E-3</v>
      </c>
      <c r="N71" s="39">
        <f t="shared" si="15"/>
        <v>-6.7327727680164531E-3</v>
      </c>
      <c r="O71" s="39">
        <f t="shared" si="16"/>
        <v>-1.5349253602468279E-2</v>
      </c>
      <c r="P71" s="39">
        <f t="shared" si="17"/>
        <v>8.4185350466615906E-4</v>
      </c>
      <c r="S71" s="59" t="s">
        <v>88</v>
      </c>
      <c r="T71" s="39">
        <f t="shared" si="18"/>
        <v>1.5770936192995362E-2</v>
      </c>
      <c r="U71" s="39">
        <f t="shared" si="18"/>
        <v>7.9663207948659359E-3</v>
      </c>
      <c r="V71" s="39">
        <f t="shared" si="18"/>
        <v>1.0694208500138812E-2</v>
      </c>
      <c r="W71" s="39">
        <f t="shared" si="18"/>
        <v>4.3565417119578054E-3</v>
      </c>
      <c r="AC71" s="14"/>
    </row>
    <row r="72" spans="3:29" x14ac:dyDescent="0.75">
      <c r="C72" s="4">
        <v>3</v>
      </c>
      <c r="D72" s="58">
        <v>42207</v>
      </c>
      <c r="E72" s="5">
        <f>+VLOOKUP(D72,'Prezzi Trade'!$I$9:$J$468,2,0)</f>
        <v>23.45</v>
      </c>
      <c r="F72" s="5">
        <f>+VLOOKUP(D72,'Prezzi Trade'!$K$9:$L$468,2,0)</f>
        <v>160.94999999999999</v>
      </c>
      <c r="G72" s="5">
        <f>+VLOOKUP(D72,'Prezzi Trade'!$M$9:$N$468,2,0)/VLOOKUP(D72,'Prezzi Trade'!$O$9:$P$468,2,0)</f>
        <v>800.75002286655092</v>
      </c>
      <c r="H72" s="5">
        <f>+(VLOOKUP(D72,'Prezzi FI'!$C$8:$D$468,2,0)+VLOOKUP(D72,'Prezzi FI'!$H$8:$I$467,2,0))/100</f>
        <v>1.1713259</v>
      </c>
      <c r="I72" s="5">
        <f>+IF(VLOOKUP(D72,'Prezzi FI'!$H$8:$I$467,2,0)&lt;VLOOKUP(D73,'Prezzi FI'!$H$8:$I$467,2,0),4.25/2,0)/100</f>
        <v>0</v>
      </c>
      <c r="K72" s="4" t="str">
        <f t="shared" si="12"/>
        <v>201530</v>
      </c>
      <c r="L72" s="14">
        <f t="shared" si="13"/>
        <v>42207</v>
      </c>
      <c r="M72" s="39">
        <f t="shared" si="14"/>
        <v>-6.3945435409258405E-4</v>
      </c>
      <c r="N72" s="39">
        <f t="shared" si="15"/>
        <v>-3.1636762220524071E-3</v>
      </c>
      <c r="O72" s="39">
        <f t="shared" si="16"/>
        <v>-5.4036380031835963E-3</v>
      </c>
      <c r="P72" s="39">
        <f t="shared" si="17"/>
        <v>1.2519295806659766E-3</v>
      </c>
      <c r="S72" s="59" t="s">
        <v>89</v>
      </c>
      <c r="T72" s="39">
        <f t="shared" si="18"/>
        <v>5.7971176843260456E-3</v>
      </c>
      <c r="U72" s="39">
        <f t="shared" si="18"/>
        <v>1.1559016546676707E-2</v>
      </c>
      <c r="V72" s="39">
        <f t="shared" si="18"/>
        <v>-1.1815219519621795E-3</v>
      </c>
      <c r="W72" s="39">
        <f t="shared" si="18"/>
        <v>4.5918374024594456E-3</v>
      </c>
      <c r="AC72" s="14"/>
    </row>
    <row r="73" spans="3:29" x14ac:dyDescent="0.75">
      <c r="C73" s="4">
        <v>2</v>
      </c>
      <c r="D73" s="58">
        <v>42206</v>
      </c>
      <c r="E73" s="5">
        <f>+VLOOKUP(D73,'Prezzi Trade'!$I$9:$J$468,2,0)</f>
        <v>23.465</v>
      </c>
      <c r="F73" s="5">
        <f>+VLOOKUP(D73,'Prezzi Trade'!$K$9:$L$468,2,0)</f>
        <v>161.46</v>
      </c>
      <c r="G73" s="5">
        <f>+VLOOKUP(D73,'Prezzi Trade'!$M$9:$N$468,2,0)/VLOOKUP(D73,'Prezzi Trade'!$O$9:$P$468,2,0)</f>
        <v>805.08869787856634</v>
      </c>
      <c r="H73" s="5">
        <f>+(VLOOKUP(D73,'Prezzi FI'!$C$8:$D$468,2,0)+VLOOKUP(D73,'Prezzi FI'!$H$8:$I$467,2,0))/100</f>
        <v>1.1698603999999999</v>
      </c>
      <c r="I73" s="5">
        <f>+IF(VLOOKUP(D73,'Prezzi FI'!$H$8:$I$467,2,0)&lt;VLOOKUP(D74,'Prezzi FI'!$H$8:$I$467,2,0),4.25/2,0)/100</f>
        <v>0</v>
      </c>
      <c r="K73" s="4" t="str">
        <f t="shared" si="12"/>
        <v>201530</v>
      </c>
      <c r="L73" s="14">
        <f t="shared" si="13"/>
        <v>42206</v>
      </c>
      <c r="M73" s="39">
        <f t="shared" si="14"/>
        <v>-1.2703960819591796E-2</v>
      </c>
      <c r="N73" s="39">
        <f t="shared" si="15"/>
        <v>-1.1270327147348786E-2</v>
      </c>
      <c r="O73" s="39">
        <f t="shared" si="16"/>
        <v>-1.2102465230621003E-2</v>
      </c>
      <c r="P73" s="39">
        <f t="shared" si="17"/>
        <v>-1.9252984405173958E-3</v>
      </c>
      <c r="S73" s="59" t="s">
        <v>90</v>
      </c>
      <c r="T73" s="39">
        <f t="shared" si="18"/>
        <v>-6.1080514233722148E-2</v>
      </c>
      <c r="U73" s="39">
        <f t="shared" si="18"/>
        <v>-2.7352264959424135E-2</v>
      </c>
      <c r="V73" s="39">
        <f t="shared" si="18"/>
        <v>-2.1308032601134785E-2</v>
      </c>
      <c r="W73" s="39">
        <f t="shared" si="18"/>
        <v>-3.180890261643388E-3</v>
      </c>
      <c r="AC73" s="14"/>
    </row>
    <row r="74" spans="3:29" x14ac:dyDescent="0.75">
      <c r="C74" s="4">
        <v>1</v>
      </c>
      <c r="D74" s="58">
        <v>42205</v>
      </c>
      <c r="E74" s="5">
        <f>+VLOOKUP(D74,'Prezzi Trade'!$I$9:$J$468,2,0)</f>
        <v>23.765000000000001</v>
      </c>
      <c r="F74" s="5">
        <f>+VLOOKUP(D74,'Prezzi Trade'!$K$9:$L$468,2,0)</f>
        <v>163.29</v>
      </c>
      <c r="G74" s="5">
        <f>+VLOOKUP(D74,'Prezzi Trade'!$M$9:$N$468,2,0)/VLOOKUP(D74,'Prezzi Trade'!$O$9:$P$468,2,0)</f>
        <v>814.89145496535798</v>
      </c>
      <c r="H74" s="5">
        <f>+(VLOOKUP(D74,'Prezzi FI'!$C$8:$D$468,2,0)+VLOOKUP(D74,'Prezzi FI'!$H$8:$I$467,2,0))/100</f>
        <v>1.1721149</v>
      </c>
      <c r="I74" s="5">
        <f>+IF(VLOOKUP(D74,'Prezzi FI'!$H$8:$I$467,2,0)&lt;VLOOKUP(D75,'Prezzi FI'!$H$8:$I$467,2,0),4.25/2,0)/100</f>
        <v>0</v>
      </c>
      <c r="K74" s="4" t="str">
        <f t="shared" si="12"/>
        <v>201530</v>
      </c>
      <c r="L74" s="14">
        <f t="shared" si="13"/>
        <v>42205</v>
      </c>
      <c r="M74" s="39">
        <f t="shared" si="14"/>
        <v>1.1426277511193647E-2</v>
      </c>
      <c r="N74" s="39">
        <f t="shared" si="15"/>
        <v>2.3298600361402961E-3</v>
      </c>
      <c r="O74" s="39">
        <f t="shared" si="16"/>
        <v>-5.8202235776964838E-3</v>
      </c>
      <c r="P74" s="39">
        <f t="shared" si="17"/>
        <v>2.2338443832458266E-3</v>
      </c>
      <c r="S74" s="59" t="s">
        <v>91</v>
      </c>
      <c r="T74" s="39">
        <f t="shared" si="18"/>
        <v>1.1460130008301008E-2</v>
      </c>
      <c r="U74" s="39">
        <f t="shared" si="18"/>
        <v>1.6803231795031633E-2</v>
      </c>
      <c r="V74" s="39">
        <f t="shared" si="18"/>
        <v>-8.9524005861116099E-3</v>
      </c>
      <c r="W74" s="39">
        <f t="shared" si="18"/>
        <v>1.7512791556062422E-3</v>
      </c>
      <c r="AC74" s="14"/>
    </row>
    <row r="75" spans="3:29" x14ac:dyDescent="0.75">
      <c r="C75" s="4">
        <v>5</v>
      </c>
      <c r="D75" s="58">
        <v>42202</v>
      </c>
      <c r="E75" s="5">
        <f>+VLOOKUP(D75,'Prezzi Trade'!$I$9:$J$468,2,0)</f>
        <v>23.495000000000001</v>
      </c>
      <c r="F75" s="5">
        <f>+VLOOKUP(D75,'Prezzi Trade'!$K$9:$L$468,2,0)</f>
        <v>162.91</v>
      </c>
      <c r="G75" s="5">
        <f>+VLOOKUP(D75,'Prezzi Trade'!$M$9:$N$468,2,0)/VLOOKUP(D75,'Prezzi Trade'!$O$9:$P$468,2,0)</f>
        <v>819.64813446619871</v>
      </c>
      <c r="H75" s="5">
        <f>+(VLOOKUP(D75,'Prezzi FI'!$C$8:$D$468,2,0)+VLOOKUP(D75,'Prezzi FI'!$H$8:$I$467,2,0))/100</f>
        <v>1.1694994999999999</v>
      </c>
      <c r="I75" s="5">
        <f>+IF(VLOOKUP(D75,'Prezzi FI'!$H$8:$I$467,2,0)&lt;VLOOKUP(D76,'Prezzi FI'!$H$8:$I$467,2,0),4.25/2,0)/100</f>
        <v>0</v>
      </c>
      <c r="K75" s="4" t="str">
        <f t="shared" si="12"/>
        <v>201529</v>
      </c>
      <c r="L75" s="14">
        <f t="shared" si="13"/>
        <v>42202</v>
      </c>
      <c r="M75" s="39">
        <f t="shared" si="14"/>
        <v>-1.7010422983265139E-3</v>
      </c>
      <c r="N75" s="39">
        <f t="shared" si="15"/>
        <v>3.0123282238130908E-3</v>
      </c>
      <c r="O75" s="39">
        <f t="shared" si="16"/>
        <v>-7.5109666285607885E-3</v>
      </c>
      <c r="P75" s="39">
        <f t="shared" si="17"/>
        <v>2.0589810335631762E-3</v>
      </c>
      <c r="S75" s="59" t="s">
        <v>92</v>
      </c>
      <c r="T75" s="39">
        <f t="shared" si="18"/>
        <v>-2.7511113240657047E-2</v>
      </c>
      <c r="U75" s="39">
        <f t="shared" si="18"/>
        <v>-9.592399691439291E-3</v>
      </c>
      <c r="V75" s="39">
        <f t="shared" si="18"/>
        <v>-2.5808812951251215E-3</v>
      </c>
      <c r="W75" s="39">
        <f t="shared" si="18"/>
        <v>7.5799078273149877E-3</v>
      </c>
      <c r="AC75" s="14"/>
    </row>
    <row r="76" spans="3:29" x14ac:dyDescent="0.75">
      <c r="C76" s="4">
        <v>4</v>
      </c>
      <c r="D76" s="58">
        <v>42201</v>
      </c>
      <c r="E76" s="5">
        <f>+VLOOKUP(D76,'Prezzi Trade'!$I$9:$J$468,2,0)</f>
        <v>23.535</v>
      </c>
      <c r="F76" s="5">
        <f>+VLOOKUP(D76,'Prezzi Trade'!$K$9:$L$468,2,0)</f>
        <v>162.41999999999999</v>
      </c>
      <c r="G76" s="5">
        <f>+VLOOKUP(D76,'Prezzi Trade'!$M$9:$N$468,2,0)/VLOOKUP(D76,'Prezzi Trade'!$O$9:$P$468,2,0)</f>
        <v>825.82766231377605</v>
      </c>
      <c r="H76" s="5">
        <f>+(VLOOKUP(D76,'Prezzi FI'!$C$8:$D$468,2,0)+VLOOKUP(D76,'Prezzi FI'!$H$8:$I$467,2,0))/100</f>
        <v>1.1670940000000001</v>
      </c>
      <c r="I76" s="5">
        <f>+IF(VLOOKUP(D76,'Prezzi FI'!$H$8:$I$467,2,0)&lt;VLOOKUP(D77,'Prezzi FI'!$H$8:$I$467,2,0),4.25/2,0)/100</f>
        <v>0</v>
      </c>
      <c r="K76" s="4" t="str">
        <f t="shared" si="12"/>
        <v>201529</v>
      </c>
      <c r="L76" s="14">
        <f t="shared" si="13"/>
        <v>42201</v>
      </c>
      <c r="M76" s="39">
        <f t="shared" si="14"/>
        <v>1.8006917412916837E-2</v>
      </c>
      <c r="N76" s="39">
        <f t="shared" si="15"/>
        <v>1.0086407097944601E-2</v>
      </c>
      <c r="O76" s="39">
        <f t="shared" si="16"/>
        <v>3.4444503140014407E-3</v>
      </c>
      <c r="P76" s="39">
        <f t="shared" si="17"/>
        <v>1.197278168083789E-3</v>
      </c>
      <c r="S76" s="59" t="s">
        <v>93</v>
      </c>
      <c r="T76" s="39">
        <f t="shared" si="18"/>
        <v>-8.0411422782439186E-3</v>
      </c>
      <c r="U76" s="39">
        <f t="shared" si="18"/>
        <v>9.1261267579062083E-3</v>
      </c>
      <c r="V76" s="39">
        <f t="shared" si="18"/>
        <v>1.0542259368066248E-2</v>
      </c>
      <c r="W76" s="39">
        <f t="shared" si="18"/>
        <v>-4.1374066019531407E-3</v>
      </c>
      <c r="AC76" s="14"/>
    </row>
    <row r="77" spans="3:29" x14ac:dyDescent="0.75">
      <c r="C77" s="4">
        <v>3</v>
      </c>
      <c r="D77" s="58">
        <v>42200</v>
      </c>
      <c r="E77" s="5">
        <f>+VLOOKUP(D77,'Prezzi Trade'!$I$9:$J$468,2,0)</f>
        <v>23.114999999999998</v>
      </c>
      <c r="F77" s="5">
        <f>+VLOOKUP(D77,'Prezzi Trade'!$K$9:$L$468,2,0)</f>
        <v>160.79</v>
      </c>
      <c r="G77" s="5">
        <f>+VLOOKUP(D77,'Prezzi Trade'!$M$9:$N$468,2,0)/VLOOKUP(D77,'Prezzi Trade'!$O$9:$P$468,2,0)</f>
        <v>822.98803325111896</v>
      </c>
      <c r="H77" s="5">
        <f>+(VLOOKUP(D77,'Prezzi FI'!$C$8:$D$468,2,0)+VLOOKUP(D77,'Prezzi FI'!$H$8:$I$467,2,0))/100</f>
        <v>1.1656975000000001</v>
      </c>
      <c r="I77" s="5">
        <f>+IF(VLOOKUP(D77,'Prezzi FI'!$H$8:$I$467,2,0)&lt;VLOOKUP(D78,'Prezzi FI'!$H$8:$I$467,2,0),4.25/2,0)/100</f>
        <v>0</v>
      </c>
      <c r="K77" s="4" t="str">
        <f t="shared" si="12"/>
        <v>201529</v>
      </c>
      <c r="L77" s="14">
        <f t="shared" si="13"/>
        <v>42200</v>
      </c>
      <c r="M77" s="39">
        <f t="shared" si="14"/>
        <v>1.1311845656480912E-2</v>
      </c>
      <c r="N77" s="39">
        <f t="shared" si="15"/>
        <v>7.0526115386673688E-3</v>
      </c>
      <c r="O77" s="39">
        <f t="shared" si="16"/>
        <v>7.8673782871793447E-4</v>
      </c>
      <c r="P77" s="39">
        <f t="shared" si="17"/>
        <v>1.0089179149975565E-3</v>
      </c>
      <c r="S77" s="59" t="s">
        <v>94</v>
      </c>
      <c r="T77" s="39">
        <f t="shared" si="18"/>
        <v>-4.8823887488835052E-3</v>
      </c>
      <c r="U77" s="39">
        <f t="shared" si="18"/>
        <v>3.580327610407468E-3</v>
      </c>
      <c r="V77" s="39">
        <f t="shared" si="18"/>
        <v>1.9200384178243685E-2</v>
      </c>
      <c r="W77" s="39">
        <f t="shared" si="18"/>
        <v>-4.60852632324761E-4</v>
      </c>
      <c r="AC77" s="14"/>
    </row>
    <row r="78" spans="3:29" x14ac:dyDescent="0.75">
      <c r="C78" s="4">
        <v>2</v>
      </c>
      <c r="D78" s="58">
        <v>42199</v>
      </c>
      <c r="E78" s="5">
        <f>+VLOOKUP(D78,'Prezzi Trade'!$I$9:$J$468,2,0)</f>
        <v>22.855</v>
      </c>
      <c r="F78" s="5">
        <f>+VLOOKUP(D78,'Prezzi Trade'!$K$9:$L$468,2,0)</f>
        <v>159.66</v>
      </c>
      <c r="G78" s="5">
        <f>+VLOOKUP(D78,'Prezzi Trade'!$M$9:$N$468,2,0)/VLOOKUP(D78,'Prezzi Trade'!$O$9:$P$468,2,0)</f>
        <v>822.34081206285771</v>
      </c>
      <c r="H78" s="5">
        <f>+(VLOOKUP(D78,'Prezzi FI'!$C$8:$D$468,2,0)+VLOOKUP(D78,'Prezzi FI'!$H$8:$I$467,2,0))/100</f>
        <v>1.1645220000000001</v>
      </c>
      <c r="I78" s="5">
        <f>+IF(VLOOKUP(D78,'Prezzi FI'!$H$8:$I$467,2,0)&lt;VLOOKUP(D79,'Prezzi FI'!$H$8:$I$467,2,0),4.25/2,0)/100</f>
        <v>0</v>
      </c>
      <c r="K78" s="4" t="str">
        <f t="shared" si="12"/>
        <v>201529</v>
      </c>
      <c r="L78" s="14">
        <f t="shared" si="13"/>
        <v>42199</v>
      </c>
      <c r="M78" s="39">
        <f t="shared" si="14"/>
        <v>-1.3117623218977495E-3</v>
      </c>
      <c r="N78" s="39">
        <f t="shared" si="15"/>
        <v>6.2199804716546857E-3</v>
      </c>
      <c r="O78" s="39">
        <f t="shared" si="16"/>
        <v>-4.1204657687281135E-3</v>
      </c>
      <c r="P78" s="39">
        <f t="shared" si="17"/>
        <v>4.599510883817236E-4</v>
      </c>
      <c r="S78" s="59" t="s">
        <v>95</v>
      </c>
      <c r="T78" s="39">
        <f t="shared" si="18"/>
        <v>2.9658430848320719E-2</v>
      </c>
      <c r="U78" s="39">
        <f t="shared" si="18"/>
        <v>1.1843740155507937E-2</v>
      </c>
      <c r="V78" s="39">
        <f t="shared" si="18"/>
        <v>-6.2811986562404795E-3</v>
      </c>
      <c r="W78" s="39">
        <f t="shared" si="18"/>
        <v>1.4947964829642243E-2</v>
      </c>
      <c r="AC78" s="14"/>
    </row>
    <row r="79" spans="3:29" x14ac:dyDescent="0.75">
      <c r="C79" s="4">
        <v>1</v>
      </c>
      <c r="D79" s="58">
        <v>42198</v>
      </c>
      <c r="E79" s="5">
        <f>+VLOOKUP(D79,'Prezzi Trade'!$I$9:$J$468,2,0)</f>
        <v>22.885000000000002</v>
      </c>
      <c r="F79" s="5">
        <f>+VLOOKUP(D79,'Prezzi Trade'!$K$9:$L$468,2,0)</f>
        <v>158.66999999999999</v>
      </c>
      <c r="G79" s="5">
        <f>+VLOOKUP(D79,'Prezzi Trade'!$M$9:$N$468,2,0)/VLOOKUP(D79,'Prezzi Trade'!$O$9:$P$468,2,0)</f>
        <v>825.73622977640423</v>
      </c>
      <c r="H79" s="5">
        <f>+(VLOOKUP(D79,'Prezzi FI'!$C$8:$D$468,2,0)+VLOOKUP(D79,'Prezzi FI'!$H$8:$I$467,2,0))/100</f>
        <v>1.1639865</v>
      </c>
      <c r="I79" s="5">
        <f>+IF(VLOOKUP(D79,'Prezzi FI'!$H$8:$I$467,2,0)&lt;VLOOKUP(D80,'Prezzi FI'!$H$8:$I$467,2,0),4.25/2,0)/100</f>
        <v>0</v>
      </c>
      <c r="K79" s="4" t="str">
        <f t="shared" si="12"/>
        <v>201529</v>
      </c>
      <c r="L79" s="14">
        <f t="shared" si="13"/>
        <v>42198</v>
      </c>
      <c r="M79" s="39">
        <f t="shared" si="14"/>
        <v>1.098429321768349E-2</v>
      </c>
      <c r="N79" s="39">
        <f t="shared" si="15"/>
        <v>1.9987934689529439E-2</v>
      </c>
      <c r="O79" s="39">
        <f t="shared" si="16"/>
        <v>2.1092160473693656E-2</v>
      </c>
      <c r="P79" s="39">
        <f t="shared" si="17"/>
        <v>3.2230091437157322E-3</v>
      </c>
      <c r="S79" s="59" t="s">
        <v>96</v>
      </c>
      <c r="T79" s="39">
        <f t="shared" si="18"/>
        <v>4.2867033636901336E-2</v>
      </c>
      <c r="U79" s="39">
        <f t="shared" si="18"/>
        <v>1.0310187293273251E-2</v>
      </c>
      <c r="V79" s="39">
        <f t="shared" si="18"/>
        <v>-1.188832871912968E-2</v>
      </c>
      <c r="W79" s="39">
        <f t="shared" si="18"/>
        <v>9.5011950836492495E-3</v>
      </c>
      <c r="AC79" s="14"/>
    </row>
    <row r="80" spans="3:29" x14ac:dyDescent="0.75">
      <c r="C80" s="4">
        <v>5</v>
      </c>
      <c r="D80" s="58">
        <v>42195</v>
      </c>
      <c r="E80" s="5">
        <f>+VLOOKUP(D80,'Prezzi Trade'!$I$9:$J$468,2,0)</f>
        <v>22.635000000000002</v>
      </c>
      <c r="F80" s="5">
        <f>+VLOOKUP(D80,'Prezzi Trade'!$K$9:$L$468,2,0)</f>
        <v>155.53</v>
      </c>
      <c r="G80" s="5">
        <f>+VLOOKUP(D80,'Prezzi Trade'!$M$9:$N$468,2,0)/VLOOKUP(D80,'Prezzi Trade'!$O$9:$P$468,2,0)</f>
        <v>808.50206056262311</v>
      </c>
      <c r="H80" s="5">
        <f>+(VLOOKUP(D80,'Prezzi FI'!$C$8:$D$468,2,0)+VLOOKUP(D80,'Prezzi FI'!$H$8:$I$467,2,0))/100</f>
        <v>1.1602410000000001</v>
      </c>
      <c r="I80" s="5">
        <f>+IF(VLOOKUP(D80,'Prezzi FI'!$H$8:$I$467,2,0)&lt;VLOOKUP(D81,'Prezzi FI'!$H$8:$I$467,2,0),4.25/2,0)/100</f>
        <v>0</v>
      </c>
      <c r="K80" s="4" t="str">
        <f t="shared" si="12"/>
        <v>201528</v>
      </c>
      <c r="L80" s="14">
        <f t="shared" si="13"/>
        <v>42195</v>
      </c>
      <c r="M80" s="39">
        <f t="shared" si="14"/>
        <v>2.9136978255148618E-2</v>
      </c>
      <c r="N80" s="39">
        <f t="shared" si="15"/>
        <v>2.5107039937433996E-3</v>
      </c>
      <c r="O80" s="39">
        <f t="shared" si="16"/>
        <v>-1.1994984457434466E-2</v>
      </c>
      <c r="P80" s="39">
        <f t="shared" si="17"/>
        <v>3.3631411317827991E-3</v>
      </c>
      <c r="S80" s="59" t="s">
        <v>97</v>
      </c>
      <c r="T80" s="39">
        <f t="shared" si="18"/>
        <v>1.5593454981116776E-2</v>
      </c>
      <c r="U80" s="39">
        <f t="shared" si="18"/>
        <v>1.4453439338182042E-2</v>
      </c>
      <c r="V80" s="39">
        <f t="shared" si="18"/>
        <v>9.3814779391670714E-3</v>
      </c>
      <c r="W80" s="39">
        <f t="shared" si="18"/>
        <v>-3.9813596570908117E-3</v>
      </c>
      <c r="AC80" s="14"/>
    </row>
    <row r="81" spans="3:29" x14ac:dyDescent="0.75">
      <c r="C81" s="4">
        <v>4</v>
      </c>
      <c r="D81" s="58">
        <v>42194</v>
      </c>
      <c r="E81" s="5">
        <f>+VLOOKUP(D81,'Prezzi Trade'!$I$9:$J$468,2,0)</f>
        <v>21.984999999999999</v>
      </c>
      <c r="F81" s="5">
        <f>+VLOOKUP(D81,'Prezzi Trade'!$K$9:$L$468,2,0)</f>
        <v>155.13999999999999</v>
      </c>
      <c r="G81" s="5">
        <f>+VLOOKUP(D81,'Prezzi Trade'!$M$9:$N$468,2,0)/VLOOKUP(D81,'Prezzi Trade'!$O$9:$P$468,2,0)</f>
        <v>818.25842696629218</v>
      </c>
      <c r="H81" s="5">
        <f>+(VLOOKUP(D81,'Prezzi FI'!$C$8:$D$468,2,0)+VLOOKUP(D81,'Prezzi FI'!$H$8:$I$467,2,0))/100</f>
        <v>1.1563455</v>
      </c>
      <c r="I81" s="5">
        <f>+IF(VLOOKUP(D81,'Prezzi FI'!$H$8:$I$467,2,0)&lt;VLOOKUP(D82,'Prezzi FI'!$H$8:$I$467,2,0),4.25/2,0)/100</f>
        <v>0</v>
      </c>
      <c r="K81" s="4" t="str">
        <f t="shared" si="12"/>
        <v>201528</v>
      </c>
      <c r="L81" s="14">
        <f t="shared" si="13"/>
        <v>42194</v>
      </c>
      <c r="M81" s="39">
        <f t="shared" si="14"/>
        <v>3.2827728173335596E-2</v>
      </c>
      <c r="N81" s="39">
        <f t="shared" si="15"/>
        <v>1.0822826875721983E-2</v>
      </c>
      <c r="O81" s="39">
        <f t="shared" si="16"/>
        <v>1.4915243062861763E-2</v>
      </c>
      <c r="P81" s="39">
        <f t="shared" si="17"/>
        <v>1.5114168746871561E-3</v>
      </c>
      <c r="S81" s="59" t="s">
        <v>98</v>
      </c>
      <c r="T81" s="39">
        <f t="shared" si="18"/>
        <v>-3.6091286562372975E-2</v>
      </c>
      <c r="U81" s="39">
        <f t="shared" si="18"/>
        <v>7.3058203029649146E-3</v>
      </c>
      <c r="V81" s="39">
        <f t="shared" si="18"/>
        <v>8.7763779431494493E-3</v>
      </c>
      <c r="W81" s="39">
        <f t="shared" si="18"/>
        <v>-4.1770219980609546E-3</v>
      </c>
      <c r="AC81" s="14"/>
    </row>
    <row r="82" spans="3:29" x14ac:dyDescent="0.75">
      <c r="C82" s="4">
        <v>3</v>
      </c>
      <c r="D82" s="58">
        <v>42193</v>
      </c>
      <c r="E82" s="5">
        <f>+VLOOKUP(D82,'Prezzi Trade'!$I$9:$J$468,2,0)</f>
        <v>21.274999999999999</v>
      </c>
      <c r="F82" s="5">
        <f>+VLOOKUP(D82,'Prezzi Trade'!$K$9:$L$468,2,0)</f>
        <v>153.47</v>
      </c>
      <c r="G82" s="5">
        <f>+VLOOKUP(D82,'Prezzi Trade'!$M$9:$N$468,2,0)/VLOOKUP(D82,'Prezzi Trade'!$O$9:$P$468,2,0)</f>
        <v>806.14446952595938</v>
      </c>
      <c r="H82" s="5">
        <f>+(VLOOKUP(D82,'Prezzi FI'!$C$8:$D$468,2,0)+VLOOKUP(D82,'Prezzi FI'!$H$8:$I$467,2,0))/100</f>
        <v>1.1545991</v>
      </c>
      <c r="I82" s="5">
        <f>+IF(VLOOKUP(D82,'Prezzi FI'!$H$8:$I$467,2,0)&lt;VLOOKUP(D83,'Prezzi FI'!$H$8:$I$467,2,0),4.25/2,0)/100</f>
        <v>0</v>
      </c>
      <c r="K82" s="4" t="str">
        <f t="shared" si="12"/>
        <v>201528</v>
      </c>
      <c r="L82" s="14">
        <f t="shared" si="13"/>
        <v>42193</v>
      </c>
      <c r="M82" s="39">
        <f t="shared" si="14"/>
        <v>2.3504524729189844E-4</v>
      </c>
      <c r="N82" s="39">
        <f t="shared" si="15"/>
        <v>-2.3313781324844865E-2</v>
      </c>
      <c r="O82" s="39">
        <f t="shared" si="16"/>
        <v>8.9520416253808782E-3</v>
      </c>
      <c r="P82" s="39">
        <f t="shared" si="17"/>
        <v>2.3633501221057163E-3</v>
      </c>
      <c r="S82" s="59" t="s">
        <v>99</v>
      </c>
      <c r="T82" s="39">
        <f t="shared" si="18"/>
        <v>-1.9171392112676544E-2</v>
      </c>
      <c r="U82" s="39">
        <f t="shared" si="18"/>
        <v>1.1412734588398411E-3</v>
      </c>
      <c r="V82" s="39">
        <f t="shared" si="18"/>
        <v>7.5391129351893849E-3</v>
      </c>
      <c r="W82" s="39">
        <f t="shared" si="18"/>
        <v>4.6166072589301733E-3</v>
      </c>
      <c r="AC82" s="14"/>
    </row>
    <row r="83" spans="3:29" x14ac:dyDescent="0.75">
      <c r="C83" s="4">
        <v>2</v>
      </c>
      <c r="D83" s="58">
        <v>42192</v>
      </c>
      <c r="E83" s="5">
        <f>+VLOOKUP(D83,'Prezzi Trade'!$I$9:$J$468,2,0)</f>
        <v>21.27</v>
      </c>
      <c r="F83" s="5">
        <f>+VLOOKUP(D83,'Prezzi Trade'!$K$9:$L$468,2,0)</f>
        <v>157.09</v>
      </c>
      <c r="G83" s="5">
        <f>+VLOOKUP(D83,'Prezzi Trade'!$M$9:$N$468,2,0)/VLOOKUP(D83,'Prezzi Trade'!$O$9:$P$468,2,0)</f>
        <v>798.96003633060855</v>
      </c>
      <c r="H83" s="5">
        <f>+(VLOOKUP(D83,'Prezzi FI'!$C$8:$D$468,2,0)+VLOOKUP(D83,'Prezzi FI'!$H$8:$I$467,2,0))/100</f>
        <v>1.1518736000000001</v>
      </c>
      <c r="I83" s="5">
        <f>+IF(VLOOKUP(D83,'Prezzi FI'!$H$8:$I$467,2,0)&lt;VLOOKUP(D84,'Prezzi FI'!$H$8:$I$467,2,0),4.25/2,0)/100</f>
        <v>0</v>
      </c>
      <c r="K83" s="4" t="str">
        <f t="shared" si="12"/>
        <v>201528</v>
      </c>
      <c r="L83" s="14">
        <f t="shared" si="13"/>
        <v>42192</v>
      </c>
      <c r="M83" s="39">
        <f t="shared" si="14"/>
        <v>-3.1241693928051536E-2</v>
      </c>
      <c r="N83" s="39">
        <f t="shared" si="15"/>
        <v>-6.3456015962479531E-3</v>
      </c>
      <c r="O83" s="39">
        <f t="shared" si="16"/>
        <v>-2.8648432780980105E-2</v>
      </c>
      <c r="P83" s="39">
        <f t="shared" si="17"/>
        <v>8.7330686190719646E-4</v>
      </c>
      <c r="S83" s="59" t="s">
        <v>100</v>
      </c>
      <c r="T83" s="39">
        <f t="shared" si="18"/>
        <v>1.7540260444958867E-2</v>
      </c>
      <c r="U83" s="39">
        <f t="shared" si="18"/>
        <v>1.1484949866897052E-2</v>
      </c>
      <c r="V83" s="39">
        <f t="shared" si="18"/>
        <v>-1.302161241243855E-2</v>
      </c>
      <c r="W83" s="39">
        <f t="shared" si="18"/>
        <v>3.7493608236926065E-3</v>
      </c>
      <c r="AC83" s="14"/>
    </row>
    <row r="84" spans="3:29" x14ac:dyDescent="0.75">
      <c r="C84" s="4">
        <v>1</v>
      </c>
      <c r="D84" s="58">
        <v>42191</v>
      </c>
      <c r="E84" s="5">
        <f>+VLOOKUP(D84,'Prezzi Trade'!$I$9:$J$468,2,0)</f>
        <v>21.945</v>
      </c>
      <c r="F84" s="5">
        <f>+VLOOKUP(D84,'Prezzi Trade'!$K$9:$L$468,2,0)</f>
        <v>158.09</v>
      </c>
      <c r="G84" s="5">
        <f>+VLOOKUP(D84,'Prezzi Trade'!$M$9:$N$468,2,0)/VLOOKUP(D84,'Prezzi Trade'!$O$9:$P$468,2,0)</f>
        <v>822.18000904568066</v>
      </c>
      <c r="H84" s="5">
        <f>+(VLOOKUP(D84,'Prezzi FI'!$C$8:$D$468,2,0)+VLOOKUP(D84,'Prezzi FI'!$H$8:$I$467,2,0))/100</f>
        <v>1.1508681000000001</v>
      </c>
      <c r="I84" s="5">
        <f>+IF(VLOOKUP(D84,'Prezzi FI'!$H$8:$I$467,2,0)&lt;VLOOKUP(D85,'Prezzi FI'!$H$8:$I$467,2,0),4.25/2,0)/100</f>
        <v>0</v>
      </c>
      <c r="K84" s="4" t="str">
        <f t="shared" si="12"/>
        <v>201528</v>
      </c>
      <c r="L84" s="14">
        <f t="shared" si="13"/>
        <v>42191</v>
      </c>
      <c r="M84" s="39">
        <f t="shared" si="14"/>
        <v>-4.1286684894492498E-2</v>
      </c>
      <c r="N84" s="39">
        <f t="shared" si="15"/>
        <v>-2.5270087362378583E-3</v>
      </c>
      <c r="O84" s="39">
        <f t="shared" si="16"/>
        <v>-1.0662637426658513E-2</v>
      </c>
      <c r="P84" s="39">
        <f t="shared" si="17"/>
        <v>-2.6938971335132601E-3</v>
      </c>
      <c r="S84" s="59" t="s">
        <v>101</v>
      </c>
      <c r="T84" s="39">
        <f t="shared" si="18"/>
        <v>-6.4980502492759731E-3</v>
      </c>
      <c r="U84" s="39">
        <f t="shared" si="18"/>
        <v>-9.8960918516613136E-4</v>
      </c>
      <c r="V84" s="39">
        <f t="shared" si="18"/>
        <v>2.0985417956546227E-3</v>
      </c>
      <c r="W84" s="39">
        <f t="shared" si="18"/>
        <v>-1.2847092841017987E-3</v>
      </c>
      <c r="AC84" s="14"/>
    </row>
    <row r="85" spans="3:29" x14ac:dyDescent="0.75">
      <c r="C85" s="4">
        <v>5</v>
      </c>
      <c r="D85" s="58">
        <v>42188</v>
      </c>
      <c r="E85" s="5">
        <f>+VLOOKUP(D85,'Prezzi Trade'!$I$9:$J$468,2,0)</f>
        <v>22.87</v>
      </c>
      <c r="F85" s="5">
        <f>+VLOOKUP(D85,'Prezzi Trade'!$K$9:$L$468,2,0)</f>
        <v>158.49</v>
      </c>
      <c r="G85" s="5">
        <f>+VLOOKUP(D85,'Prezzi Trade'!$M$9:$N$468,2,0)/VLOOKUP(D85,'Prezzi Trade'!$O$9:$P$468,2,0)</f>
        <v>830.99352051835854</v>
      </c>
      <c r="H85" s="5">
        <f>+(VLOOKUP(D85,'Prezzi FI'!$C$8:$D$468,2,0)+VLOOKUP(D85,'Prezzi FI'!$H$8:$I$467,2,0))/100</f>
        <v>1.1539726000000001</v>
      </c>
      <c r="I85" s="5">
        <f>+IF(VLOOKUP(D85,'Prezzi FI'!$H$8:$I$467,2,0)&lt;VLOOKUP(D86,'Prezzi FI'!$H$8:$I$467,2,0),4.25/2,0)/100</f>
        <v>0</v>
      </c>
      <c r="K85" s="4" t="str">
        <f t="shared" si="12"/>
        <v>201527</v>
      </c>
      <c r="L85" s="14">
        <f t="shared" si="13"/>
        <v>42188</v>
      </c>
      <c r="M85" s="39">
        <f t="shared" si="14"/>
        <v>-5.2333307404002737E-3</v>
      </c>
      <c r="N85" s="39">
        <f t="shared" si="15"/>
        <v>-1.5131457398157519E-3</v>
      </c>
      <c r="O85" s="39">
        <f t="shared" si="16"/>
        <v>-1.5396642284201477E-2</v>
      </c>
      <c r="P85" s="39">
        <f t="shared" si="17"/>
        <v>5.4218755669037931E-4</v>
      </c>
      <c r="S85" s="59" t="s">
        <v>102</v>
      </c>
      <c r="T85" s="39">
        <f t="shared" si="18"/>
        <v>1.7030622749169173E-2</v>
      </c>
      <c r="U85" s="39">
        <f t="shared" si="18"/>
        <v>2.0485352881865832E-2</v>
      </c>
      <c r="V85" s="39">
        <f t="shared" si="18"/>
        <v>8.7149558449735945E-3</v>
      </c>
      <c r="W85" s="39">
        <f t="shared" si="18"/>
        <v>4.8950872107694065E-3</v>
      </c>
      <c r="AC85" s="14"/>
    </row>
    <row r="86" spans="3:29" x14ac:dyDescent="0.75">
      <c r="C86" s="4">
        <v>4</v>
      </c>
      <c r="D86" s="58">
        <v>42187</v>
      </c>
      <c r="E86" s="5">
        <f>+VLOOKUP(D86,'Prezzi Trade'!$I$9:$J$468,2,0)</f>
        <v>22.99</v>
      </c>
      <c r="F86" s="5">
        <f>+VLOOKUP(D86,'Prezzi Trade'!$K$9:$L$468,2,0)</f>
        <v>158.72999999999999</v>
      </c>
      <c r="G86" s="5">
        <f>+VLOOKUP(D86,'Prezzi Trade'!$M$9:$N$468,2,0)/VLOOKUP(D86,'Prezzi Trade'!$O$9:$P$468,2,0)</f>
        <v>843.88703419651711</v>
      </c>
      <c r="H86" s="5">
        <f>+(VLOOKUP(D86,'Prezzi FI'!$C$8:$D$468,2,0)+VLOOKUP(D86,'Prezzi FI'!$H$8:$I$467,2,0))/100</f>
        <v>1.1533471</v>
      </c>
      <c r="I86" s="5">
        <f>+IF(VLOOKUP(D86,'Prezzi FI'!$H$8:$I$467,2,0)&lt;VLOOKUP(D87,'Prezzi FI'!$H$8:$I$467,2,0),4.25/2,0)/100</f>
        <v>0</v>
      </c>
      <c r="K86" s="4" t="str">
        <f t="shared" si="12"/>
        <v>201527</v>
      </c>
      <c r="L86" s="14">
        <f t="shared" si="13"/>
        <v>42187</v>
      </c>
      <c r="M86" s="39">
        <f t="shared" si="14"/>
        <v>-1.2320484388040624E-2</v>
      </c>
      <c r="N86" s="39">
        <f t="shared" si="15"/>
        <v>-3.7728775182675339E-3</v>
      </c>
      <c r="O86" s="39">
        <f t="shared" si="16"/>
        <v>-2.8009957323460511E-3</v>
      </c>
      <c r="P86" s="39">
        <f t="shared" si="17"/>
        <v>-1.7616633073266291E-3</v>
      </c>
      <c r="S86" s="59" t="s">
        <v>103</v>
      </c>
      <c r="T86" s="39">
        <f t="shared" si="18"/>
        <v>-4.328484157407686E-2</v>
      </c>
      <c r="U86" s="39">
        <f t="shared" si="18"/>
        <v>-3.8780538111866464E-2</v>
      </c>
      <c r="V86" s="39">
        <f t="shared" si="18"/>
        <v>2.5521308114598794E-3</v>
      </c>
      <c r="W86" s="39">
        <f t="shared" si="18"/>
        <v>-3.4458415116426257E-3</v>
      </c>
      <c r="AC86" s="14"/>
    </row>
    <row r="87" spans="3:29" x14ac:dyDescent="0.75">
      <c r="C87" s="4">
        <v>3</v>
      </c>
      <c r="D87" s="58">
        <v>42186</v>
      </c>
      <c r="E87" s="5">
        <f>+VLOOKUP(D87,'Prezzi Trade'!$I$9:$J$468,2,0)</f>
        <v>23.274999999999999</v>
      </c>
      <c r="F87" s="5">
        <f>+VLOOKUP(D87,'Prezzi Trade'!$K$9:$L$468,2,0)</f>
        <v>159.33000000000001</v>
      </c>
      <c r="G87" s="5">
        <f>+VLOOKUP(D87,'Prezzi Trade'!$M$9:$N$468,2,0)/VLOOKUP(D87,'Prezzi Trade'!$O$9:$P$468,2,0)</f>
        <v>846.25407166123784</v>
      </c>
      <c r="H87" s="5">
        <f>+(VLOOKUP(D87,'Prezzi FI'!$C$8:$D$468,2,0)+VLOOKUP(D87,'Prezzi FI'!$H$8:$I$467,2,0))/100</f>
        <v>1.1553806999999998</v>
      </c>
      <c r="I87" s="5">
        <f>+IF(VLOOKUP(D87,'Prezzi FI'!$H$8:$I$467,2,0)&lt;VLOOKUP(D88,'Prezzi FI'!$H$8:$I$467,2,0),4.25/2,0)/100</f>
        <v>0</v>
      </c>
      <c r="K87" s="4" t="str">
        <f t="shared" si="12"/>
        <v>201527</v>
      </c>
      <c r="L87" s="14">
        <f t="shared" si="13"/>
        <v>42186</v>
      </c>
      <c r="M87" s="39">
        <f t="shared" si="14"/>
        <v>1.7772466053112251E-2</v>
      </c>
      <c r="N87" s="39">
        <f t="shared" si="15"/>
        <v>1.4031326142911476E-2</v>
      </c>
      <c r="O87" s="39">
        <f t="shared" si="16"/>
        <v>1.6832851086451859E-2</v>
      </c>
      <c r="P87" s="39">
        <f t="shared" si="17"/>
        <v>3.1639599347348541E-4</v>
      </c>
      <c r="S87" s="59" t="s">
        <v>104</v>
      </c>
      <c r="T87" s="39">
        <f t="shared" si="18"/>
        <v>2.9730065216259902E-2</v>
      </c>
      <c r="U87" s="39">
        <f t="shared" si="18"/>
        <v>1.640116728824885E-2</v>
      </c>
      <c r="V87" s="39">
        <f t="shared" si="18"/>
        <v>2.3207110851502632E-3</v>
      </c>
      <c r="W87" s="39">
        <f t="shared" si="18"/>
        <v>1.1184900065324523E-2</v>
      </c>
      <c r="AC87" s="14"/>
    </row>
    <row r="88" spans="3:29" x14ac:dyDescent="0.75">
      <c r="C88" s="4">
        <v>2</v>
      </c>
      <c r="D88" s="58">
        <v>42185</v>
      </c>
      <c r="E88" s="5">
        <f>+VLOOKUP(D88,'Prezzi Trade'!$I$9:$J$468,2,0)</f>
        <v>22.864999999999998</v>
      </c>
      <c r="F88" s="5">
        <f>+VLOOKUP(D88,'Prezzi Trade'!$K$9:$L$468,2,0)</f>
        <v>157.11000000000001</v>
      </c>
      <c r="G88" s="5">
        <f>+VLOOKUP(D88,'Prezzi Trade'!$M$9:$N$468,2,0)/VLOOKUP(D88,'Prezzi Trade'!$O$9:$P$468,2,0)</f>
        <v>832.12842388863953</v>
      </c>
      <c r="H88" s="5">
        <f>+(VLOOKUP(D88,'Prezzi FI'!$C$8:$D$468,2,0)+VLOOKUP(D88,'Prezzi FI'!$H$8:$I$467,2,0))/100</f>
        <v>1.1550152</v>
      </c>
      <c r="I88" s="5">
        <f>+IF(VLOOKUP(D88,'Prezzi FI'!$H$8:$I$467,2,0)&lt;VLOOKUP(D89,'Prezzi FI'!$H$8:$I$467,2,0),4.25/2,0)/100</f>
        <v>0</v>
      </c>
      <c r="K88" s="4" t="str">
        <f t="shared" si="12"/>
        <v>201527</v>
      </c>
      <c r="L88" s="14">
        <f t="shared" si="13"/>
        <v>42185</v>
      </c>
      <c r="M88" s="39">
        <f t="shared" si="14"/>
        <v>-6.5580940157871921E-4</v>
      </c>
      <c r="N88" s="39">
        <f t="shared" si="15"/>
        <v>-3.8751120499203708E-3</v>
      </c>
      <c r="O88" s="39">
        <f t="shared" si="16"/>
        <v>1.1096016843618856E-2</v>
      </c>
      <c r="P88" s="39">
        <f t="shared" si="17"/>
        <v>1.737849972708781E-3</v>
      </c>
      <c r="S88" s="59" t="s">
        <v>105</v>
      </c>
      <c r="T88" s="39">
        <f t="shared" si="18"/>
        <v>2.5627357592085682E-2</v>
      </c>
      <c r="U88" s="39">
        <f t="shared" si="18"/>
        <v>7.2661536766227778E-3</v>
      </c>
      <c r="V88" s="39">
        <f t="shared" si="18"/>
        <v>1.6908480399662845E-2</v>
      </c>
      <c r="W88" s="39">
        <f t="shared" si="18"/>
        <v>8.2175884065434773E-3</v>
      </c>
      <c r="AC88" s="14"/>
    </row>
    <row r="89" spans="3:29" x14ac:dyDescent="0.75">
      <c r="C89" s="4">
        <v>1</v>
      </c>
      <c r="D89" s="58">
        <v>42184</v>
      </c>
      <c r="E89" s="5">
        <f>+VLOOKUP(D89,'Prezzi Trade'!$I$9:$J$468,2,0)</f>
        <v>22.88</v>
      </c>
      <c r="F89" s="5">
        <f>+VLOOKUP(D89,'Prezzi Trade'!$K$9:$L$468,2,0)</f>
        <v>157.72</v>
      </c>
      <c r="G89" s="5">
        <f>+VLOOKUP(D89,'Prezzi Trade'!$M$9:$N$468,2,0)/VLOOKUP(D89,'Prezzi Trade'!$O$9:$P$468,2,0)</f>
        <v>822.94615042278599</v>
      </c>
      <c r="H89" s="5">
        <f>+(VLOOKUP(D89,'Prezzi FI'!$C$8:$D$468,2,0)+VLOOKUP(D89,'Prezzi FI'!$H$8:$I$467,2,0))/100</f>
        <v>1.1530096999999999</v>
      </c>
      <c r="I89" s="5">
        <f>+IF(VLOOKUP(D89,'Prezzi FI'!$H$8:$I$467,2,0)&lt;VLOOKUP(D90,'Prezzi FI'!$H$8:$I$467,2,0),4.25/2,0)/100</f>
        <v>0</v>
      </c>
      <c r="K89" s="4" t="str">
        <f t="shared" si="12"/>
        <v>201527</v>
      </c>
      <c r="L89" s="14">
        <f t="shared" si="13"/>
        <v>42184</v>
      </c>
      <c r="M89" s="39">
        <f t="shared" si="14"/>
        <v>-5.5055874827760996E-2</v>
      </c>
      <c r="N89" s="39">
        <f t="shared" si="15"/>
        <v>-2.1638399525200271E-2</v>
      </c>
      <c r="O89" s="39">
        <f t="shared" si="16"/>
        <v>-1.0117945585752837E-2</v>
      </c>
      <c r="P89" s="39">
        <f t="shared" si="17"/>
        <v>-8.364244203275072E-3</v>
      </c>
      <c r="S89" s="59" t="s">
        <v>106</v>
      </c>
      <c r="T89" s="39">
        <f t="shared" si="18"/>
        <v>2.9484977864939955E-2</v>
      </c>
      <c r="U89" s="39">
        <f t="shared" si="18"/>
        <v>2.0343089885618101E-2</v>
      </c>
      <c r="V89" s="39">
        <f t="shared" si="18"/>
        <v>5.0475717163078002E-3</v>
      </c>
      <c r="W89" s="39">
        <f t="shared" si="18"/>
        <v>3.2472945538003202E-4</v>
      </c>
      <c r="AC89" s="14"/>
    </row>
    <row r="90" spans="3:29" x14ac:dyDescent="0.75">
      <c r="C90" s="4">
        <v>5</v>
      </c>
      <c r="D90" s="58">
        <v>42181</v>
      </c>
      <c r="E90" s="5">
        <f>+VLOOKUP(D90,'Prezzi Trade'!$I$9:$J$468,2,0)</f>
        <v>24.175000000000001</v>
      </c>
      <c r="F90" s="5">
        <f>+VLOOKUP(D90,'Prezzi Trade'!$K$9:$L$468,2,0)</f>
        <v>161.16999999999999</v>
      </c>
      <c r="G90" s="5">
        <f>+VLOOKUP(D90,'Prezzi Trade'!$M$9:$N$468,2,0)/VLOOKUP(D90,'Prezzi Trade'!$O$9:$P$468,2,0)</f>
        <v>831.31494088140448</v>
      </c>
      <c r="H90" s="5">
        <f>+(VLOOKUP(D90,'Prezzi FI'!$C$8:$D$468,2,0)+VLOOKUP(D90,'Prezzi FI'!$H$8:$I$467,2,0))/100</f>
        <v>1.1626942</v>
      </c>
      <c r="I90" s="5">
        <f>+IF(VLOOKUP(D90,'Prezzi FI'!$H$8:$I$467,2,0)&lt;VLOOKUP(D91,'Prezzi FI'!$H$8:$I$467,2,0),4.25/2,0)/100</f>
        <v>0</v>
      </c>
      <c r="K90" s="4" t="str">
        <f t="shared" si="12"/>
        <v>201526</v>
      </c>
      <c r="L90" s="14">
        <f t="shared" si="13"/>
        <v>42181</v>
      </c>
      <c r="M90" s="39">
        <f t="shared" si="14"/>
        <v>6.2240864830018852E-3</v>
      </c>
      <c r="N90" s="39">
        <f t="shared" si="15"/>
        <v>-2.4815435328048743E-4</v>
      </c>
      <c r="O90" s="39">
        <f t="shared" si="16"/>
        <v>9.42283691125014E-3</v>
      </c>
      <c r="P90" s="39">
        <f t="shared" si="17"/>
        <v>3.4021609598437432E-4</v>
      </c>
      <c r="S90" s="59" t="s">
        <v>107</v>
      </c>
      <c r="T90" s="39">
        <f t="shared" si="18"/>
        <v>-1.3884037422460237E-2</v>
      </c>
      <c r="U90" s="39">
        <f t="shared" si="18"/>
        <v>-2.5138072617701034E-2</v>
      </c>
      <c r="V90" s="39">
        <f t="shared" si="18"/>
        <v>-1.6802012145319928E-2</v>
      </c>
      <c r="W90" s="39">
        <f t="shared" si="18"/>
        <v>8.3260086677397634E-4</v>
      </c>
      <c r="AC90" s="14"/>
    </row>
    <row r="91" spans="3:29" x14ac:dyDescent="0.75">
      <c r="C91" s="4">
        <v>4</v>
      </c>
      <c r="D91" s="58">
        <v>42180</v>
      </c>
      <c r="E91" s="5">
        <f>+VLOOKUP(D91,'Prezzi Trade'!$I$9:$J$468,2,0)</f>
        <v>24.024999999999999</v>
      </c>
      <c r="F91" s="5">
        <f>+VLOOKUP(D91,'Prezzi Trade'!$K$9:$L$468,2,0)</f>
        <v>161.21</v>
      </c>
      <c r="G91" s="5">
        <f>+VLOOKUP(D91,'Prezzi Trade'!$M$9:$N$468,2,0)/VLOOKUP(D91,'Prezzi Trade'!$O$9:$P$468,2,0)</f>
        <v>823.51838629061047</v>
      </c>
      <c r="H91" s="5">
        <f>+(VLOOKUP(D91,'Prezzi FI'!$C$8:$D$468,2,0)+VLOOKUP(D91,'Prezzi FI'!$H$8:$I$467,2,0))/100</f>
        <v>1.1622987</v>
      </c>
      <c r="I91" s="5">
        <f>+IF(VLOOKUP(D91,'Prezzi FI'!$H$8:$I$467,2,0)&lt;VLOOKUP(D92,'Prezzi FI'!$H$8:$I$467,2,0),4.25/2,0)/100</f>
        <v>0</v>
      </c>
      <c r="K91" s="4" t="str">
        <f t="shared" si="12"/>
        <v>201526</v>
      </c>
      <c r="L91" s="14">
        <f t="shared" si="13"/>
        <v>42180</v>
      </c>
      <c r="M91" s="39">
        <f t="shared" si="14"/>
        <v>8.989294357584875E-3</v>
      </c>
      <c r="N91" s="39">
        <f t="shared" si="15"/>
        <v>-3.0967447019452821E-3</v>
      </c>
      <c r="O91" s="39">
        <f t="shared" si="16"/>
        <v>-6.0694695855624268E-3</v>
      </c>
      <c r="P91" s="39">
        <f t="shared" si="17"/>
        <v>1.2969791334299769E-3</v>
      </c>
      <c r="S91" s="59" t="s">
        <v>108</v>
      </c>
      <c r="T91" s="39">
        <f t="shared" si="18"/>
        <v>9.2345735223698586E-3</v>
      </c>
      <c r="U91" s="39">
        <f t="shared" si="18"/>
        <v>-3.8687952111778352E-3</v>
      </c>
      <c r="V91" s="39">
        <f t="shared" si="18"/>
        <v>7.244206843909232E-3</v>
      </c>
      <c r="W91" s="39">
        <f t="shared" si="18"/>
        <v>4.0153411712904059E-3</v>
      </c>
      <c r="AC91" s="14"/>
    </row>
    <row r="92" spans="3:29" x14ac:dyDescent="0.75">
      <c r="C92" s="4">
        <v>3</v>
      </c>
      <c r="D92" s="58">
        <v>42179</v>
      </c>
      <c r="E92" s="5">
        <f>+VLOOKUP(D92,'Prezzi Trade'!$I$9:$J$468,2,0)</f>
        <v>23.81</v>
      </c>
      <c r="F92" s="5">
        <f>+VLOOKUP(D92,'Prezzi Trade'!$K$9:$L$468,2,0)</f>
        <v>161.71</v>
      </c>
      <c r="G92" s="5">
        <f>+VLOOKUP(D92,'Prezzi Trade'!$M$9:$N$468,2,0)/VLOOKUP(D92,'Prezzi Trade'!$O$9:$P$468,2,0)</f>
        <v>828.5319053993752</v>
      </c>
      <c r="H92" s="5">
        <f>+(VLOOKUP(D92,'Prezzi FI'!$C$8:$D$468,2,0)+VLOOKUP(D92,'Prezzi FI'!$H$8:$I$467,2,0))/100</f>
        <v>1.1607921999999999</v>
      </c>
      <c r="I92" s="5">
        <f>+IF(VLOOKUP(D92,'Prezzi FI'!$H$8:$I$467,2,0)&lt;VLOOKUP(D93,'Prezzi FI'!$H$8:$I$467,2,0),4.25/2,0)/100</f>
        <v>0</v>
      </c>
      <c r="K92" s="4" t="str">
        <f t="shared" si="12"/>
        <v>201526</v>
      </c>
      <c r="L92" s="14">
        <f t="shared" si="13"/>
        <v>42179</v>
      </c>
      <c r="M92" s="39">
        <f t="shared" si="14"/>
        <v>-5.6538732958013212E-3</v>
      </c>
      <c r="N92" s="39">
        <f t="shared" si="15"/>
        <v>-1.9768956830569736E-3</v>
      </c>
      <c r="O92" s="39">
        <f t="shared" si="16"/>
        <v>-1.9407776291726516E-3</v>
      </c>
      <c r="P92" s="39">
        <f t="shared" si="17"/>
        <v>-1.501724812054375E-3</v>
      </c>
      <c r="S92" s="59" t="s">
        <v>109</v>
      </c>
      <c r="T92" s="39">
        <f t="shared" si="18"/>
        <v>2.6891594252404188E-3</v>
      </c>
      <c r="U92" s="39">
        <f t="shared" si="18"/>
        <v>4.0337572702781269E-3</v>
      </c>
      <c r="V92" s="39">
        <f t="shared" si="18"/>
        <v>-2.9884495915872859E-3</v>
      </c>
      <c r="W92" s="39">
        <f t="shared" si="18"/>
        <v>4.2404113096353134E-3</v>
      </c>
      <c r="AC92" s="14"/>
    </row>
    <row r="93" spans="3:29" x14ac:dyDescent="0.75">
      <c r="C93" s="4">
        <v>2</v>
      </c>
      <c r="D93" s="58">
        <v>42178</v>
      </c>
      <c r="E93" s="5">
        <f>+VLOOKUP(D93,'Prezzi Trade'!$I$9:$J$468,2,0)</f>
        <v>23.945</v>
      </c>
      <c r="F93" s="5">
        <f>+VLOOKUP(D93,'Prezzi Trade'!$K$9:$L$468,2,0)</f>
        <v>162.03</v>
      </c>
      <c r="G93" s="5">
        <f>+VLOOKUP(D93,'Prezzi Trade'!$M$9:$N$468,2,0)/VLOOKUP(D93,'Prezzi Trade'!$O$9:$P$468,2,0)</f>
        <v>830.14146297788511</v>
      </c>
      <c r="H93" s="5">
        <f>+(VLOOKUP(D93,'Prezzi FI'!$C$8:$D$468,2,0)+VLOOKUP(D93,'Prezzi FI'!$H$8:$I$467,2,0))/100</f>
        <v>1.1625367</v>
      </c>
      <c r="I93" s="5">
        <f>+IF(VLOOKUP(D93,'Prezzi FI'!$H$8:$I$467,2,0)&lt;VLOOKUP(D94,'Prezzi FI'!$H$8:$I$467,2,0),4.25/2,0)/100</f>
        <v>0</v>
      </c>
      <c r="K93" s="4" t="str">
        <f t="shared" si="12"/>
        <v>201526</v>
      </c>
      <c r="L93" s="14">
        <f t="shared" si="13"/>
        <v>42178</v>
      </c>
      <c r="M93" s="39">
        <f t="shared" si="14"/>
        <v>3.7656948265023947E-3</v>
      </c>
      <c r="N93" s="39">
        <f t="shared" si="15"/>
        <v>1.4797584112118376E-2</v>
      </c>
      <c r="O93" s="39">
        <f t="shared" si="16"/>
        <v>2.9336248570609579E-2</v>
      </c>
      <c r="P93" s="39">
        <f t="shared" si="17"/>
        <v>1.9333335911230979E-3</v>
      </c>
      <c r="S93" s="59" t="s">
        <v>110</v>
      </c>
      <c r="T93" s="39">
        <f t="shared" si="18"/>
        <v>-2.9332702527679706E-3</v>
      </c>
      <c r="U93" s="39">
        <f t="shared" si="18"/>
        <v>6.3718201429171784E-3</v>
      </c>
      <c r="V93" s="39">
        <f t="shared" si="18"/>
        <v>1.226539337570904E-2</v>
      </c>
      <c r="W93" s="39">
        <f t="shared" si="18"/>
        <v>4.1907388588259013E-3</v>
      </c>
      <c r="AC93" s="14"/>
    </row>
    <row r="94" spans="3:29" x14ac:dyDescent="0.75">
      <c r="C94" s="4">
        <v>1</v>
      </c>
      <c r="D94" s="58">
        <v>42177</v>
      </c>
      <c r="E94" s="5">
        <f>+VLOOKUP(D94,'Prezzi Trade'!$I$9:$J$468,2,0)</f>
        <v>23.855</v>
      </c>
      <c r="F94" s="5">
        <f>+VLOOKUP(D94,'Prezzi Trade'!$K$9:$L$468,2,0)</f>
        <v>159.65</v>
      </c>
      <c r="G94" s="5">
        <f>+VLOOKUP(D94,'Prezzi Trade'!$M$9:$N$468,2,0)/VLOOKUP(D94,'Prezzi Trade'!$O$9:$P$468,2,0)</f>
        <v>806.14197530864203</v>
      </c>
      <c r="H94" s="5">
        <f>+(VLOOKUP(D94,'Prezzi FI'!$C$8:$D$468,2,0)+VLOOKUP(D94,'Prezzi FI'!$H$8:$I$467,2,0))/100</f>
        <v>1.1602912999999999</v>
      </c>
      <c r="I94" s="5">
        <f>+IF(VLOOKUP(D94,'Prezzi FI'!$H$8:$I$467,2,0)&lt;VLOOKUP(D95,'Prezzi FI'!$H$8:$I$467,2,0),4.25/2,0)/100</f>
        <v>0</v>
      </c>
      <c r="K94" s="4" t="str">
        <f t="shared" si="12"/>
        <v>201526</v>
      </c>
      <c r="L94" s="14">
        <f t="shared" si="13"/>
        <v>42177</v>
      </c>
      <c r="M94" s="39">
        <f t="shared" si="14"/>
        <v>3.9983947121531485E-2</v>
      </c>
      <c r="N94" s="39">
        <f t="shared" si="15"/>
        <v>7.6710637738395468E-3</v>
      </c>
      <c r="O94" s="39">
        <f t="shared" si="16"/>
        <v>3.5932190208514841E-3</v>
      </c>
      <c r="P94" s="39">
        <f t="shared" si="17"/>
        <v>7.1404561026784255E-3</v>
      </c>
      <c r="S94" s="59" t="s">
        <v>111</v>
      </c>
      <c r="T94" s="39">
        <f t="shared" si="18"/>
        <v>3.8059561824345042E-2</v>
      </c>
      <c r="U94" s="39">
        <f t="shared" si="18"/>
        <v>1.9786024412258341E-2</v>
      </c>
      <c r="V94" s="39">
        <f t="shared" si="18"/>
        <v>6.7302258893590589E-3</v>
      </c>
      <c r="W94" s="39">
        <f t="shared" si="18"/>
        <v>2.2292674436707569E-3</v>
      </c>
      <c r="AC94" s="14"/>
    </row>
    <row r="95" spans="3:29" x14ac:dyDescent="0.75">
      <c r="C95" s="4">
        <v>5</v>
      </c>
      <c r="D95" s="58">
        <v>42174</v>
      </c>
      <c r="E95" s="5">
        <f>+VLOOKUP(D95,'Prezzi Trade'!$I$9:$J$468,2,0)</f>
        <v>22.92</v>
      </c>
      <c r="F95" s="5">
        <f>+VLOOKUP(D95,'Prezzi Trade'!$K$9:$L$468,2,0)</f>
        <v>158.43</v>
      </c>
      <c r="G95" s="5">
        <f>+VLOOKUP(D95,'Prezzi Trade'!$M$9:$N$468,2,0)/VLOOKUP(D95,'Prezzi Trade'!$O$9:$P$468,2,0)</f>
        <v>803.25052854122623</v>
      </c>
      <c r="H95" s="5">
        <f>+(VLOOKUP(D95,'Prezzi FI'!$C$8:$D$468,2,0)+VLOOKUP(D95,'Prezzi FI'!$H$8:$I$467,2,0))/100</f>
        <v>1.1520357999999999</v>
      </c>
      <c r="I95" s="5">
        <f>+IF(VLOOKUP(D95,'Prezzi FI'!$H$8:$I$467,2,0)&lt;VLOOKUP(D96,'Prezzi FI'!$H$8:$I$467,2,0),4.25/2,0)/100</f>
        <v>0</v>
      </c>
      <c r="K95" s="4" t="str">
        <f t="shared" si="12"/>
        <v>201525</v>
      </c>
      <c r="L95" s="14">
        <f t="shared" si="13"/>
        <v>42174</v>
      </c>
      <c r="M95" s="39">
        <f t="shared" si="14"/>
        <v>8.5442517829963649E-3</v>
      </c>
      <c r="N95" s="39">
        <f t="shared" si="15"/>
        <v>3.9844469751775221E-3</v>
      </c>
      <c r="O95" s="39">
        <f t="shared" si="16"/>
        <v>-1.5048500057785033E-2</v>
      </c>
      <c r="P95" s="39">
        <f t="shared" si="17"/>
        <v>-1.5145951670138058E-4</v>
      </c>
      <c r="S95" s="59" t="s">
        <v>112</v>
      </c>
      <c r="T95" s="39">
        <f t="shared" si="18"/>
        <v>1.3272272416630152E-2</v>
      </c>
      <c r="U95" s="39">
        <f t="shared" si="18"/>
        <v>-1.5229717809598989E-3</v>
      </c>
      <c r="V95" s="39">
        <f t="shared" si="18"/>
        <v>8.4793638478503838E-3</v>
      </c>
      <c r="W95" s="39">
        <f t="shared" si="18"/>
        <v>5.1974657098883201E-3</v>
      </c>
      <c r="AC95" s="14"/>
    </row>
    <row r="96" spans="3:29" x14ac:dyDescent="0.75">
      <c r="C96" s="4">
        <v>4</v>
      </c>
      <c r="D96" s="58">
        <v>42173</v>
      </c>
      <c r="E96" s="5">
        <f>+VLOOKUP(D96,'Prezzi Trade'!$I$9:$J$468,2,0)</f>
        <v>22.725000000000001</v>
      </c>
      <c r="F96" s="5">
        <f>+VLOOKUP(D96,'Prezzi Trade'!$K$9:$L$468,2,0)</f>
        <v>157.80000000000001</v>
      </c>
      <c r="G96" s="5">
        <f>+VLOOKUP(D96,'Prezzi Trade'!$M$9:$N$468,2,0)/VLOOKUP(D96,'Prezzi Trade'!$O$9:$P$468,2,0)</f>
        <v>815.42965310794159</v>
      </c>
      <c r="H96" s="5">
        <f>+(VLOOKUP(D96,'Prezzi FI'!$C$8:$D$468,2,0)+VLOOKUP(D96,'Prezzi FI'!$H$8:$I$467,2,0))/100</f>
        <v>1.1522102999999999</v>
      </c>
      <c r="I96" s="5">
        <f>+IF(VLOOKUP(D96,'Prezzi FI'!$H$8:$I$467,2,0)&lt;VLOOKUP(D97,'Prezzi FI'!$H$8:$I$467,2,0),4.25/2,0)/100</f>
        <v>0</v>
      </c>
      <c r="K96" s="4" t="str">
        <f t="shared" si="12"/>
        <v>201525</v>
      </c>
      <c r="L96" s="14">
        <f t="shared" si="13"/>
        <v>42173</v>
      </c>
      <c r="M96" s="39">
        <f t="shared" si="14"/>
        <v>1.1062059705858603E-2</v>
      </c>
      <c r="N96" s="39">
        <f t="shared" si="15"/>
        <v>-1.5197571314159658E-3</v>
      </c>
      <c r="O96" s="39">
        <f t="shared" si="16"/>
        <v>-2.2166187990757094E-5</v>
      </c>
      <c r="P96" s="39">
        <f t="shared" si="17"/>
        <v>1.4908561789869197E-3</v>
      </c>
      <c r="S96" s="59" t="s">
        <v>113</v>
      </c>
      <c r="T96" s="39">
        <f t="shared" si="18"/>
        <v>3.0880106885766995E-3</v>
      </c>
      <c r="U96" s="39">
        <f t="shared" si="18"/>
        <v>6.7659001227861164E-4</v>
      </c>
      <c r="V96" s="39" t="e">
        <f t="shared" si="18"/>
        <v>#N/A</v>
      </c>
      <c r="W96" s="39">
        <f t="shared" si="18"/>
        <v>7.7732060341234024E-3</v>
      </c>
      <c r="AC96" s="14"/>
    </row>
    <row r="97" spans="3:29" x14ac:dyDescent="0.75">
      <c r="C97" s="4">
        <v>3</v>
      </c>
      <c r="D97" s="58">
        <v>42172</v>
      </c>
      <c r="E97" s="5">
        <f>+VLOOKUP(D97,'Prezzi Trade'!$I$9:$J$468,2,0)</f>
        <v>22.475000000000001</v>
      </c>
      <c r="F97" s="5">
        <f>+VLOOKUP(D97,'Prezzi Trade'!$K$9:$L$468,2,0)</f>
        <v>158.04</v>
      </c>
      <c r="G97" s="5">
        <f>+VLOOKUP(D97,'Prezzi Trade'!$M$9:$N$468,2,0)/VLOOKUP(D97,'Prezzi Trade'!$O$9:$P$468,2,0)</f>
        <v>815.44772827525367</v>
      </c>
      <c r="H97" s="5">
        <f>+(VLOOKUP(D97,'Prezzi FI'!$C$8:$D$468,2,0)+VLOOKUP(D97,'Prezzi FI'!$H$8:$I$467,2,0))/100</f>
        <v>1.1504938</v>
      </c>
      <c r="I97" s="5">
        <f>+IF(VLOOKUP(D97,'Prezzi FI'!$H$8:$I$467,2,0)&lt;VLOOKUP(D98,'Prezzi FI'!$H$8:$I$467,2,0),4.25/2,0)/100</f>
        <v>0</v>
      </c>
      <c r="K97" s="4" t="str">
        <f t="shared" si="12"/>
        <v>201525</v>
      </c>
      <c r="L97" s="14">
        <f t="shared" si="13"/>
        <v>42172</v>
      </c>
      <c r="M97" s="39">
        <f t="shared" si="14"/>
        <v>-7.3146729772981551E-3</v>
      </c>
      <c r="N97" s="39">
        <f t="shared" si="15"/>
        <v>-1.8980734611407705E-4</v>
      </c>
      <c r="O97" s="39">
        <f t="shared" si="16"/>
        <v>-1.3485057518319405E-3</v>
      </c>
      <c r="P97" s="39">
        <f t="shared" si="17"/>
        <v>2.3717932586275162E-3</v>
      </c>
      <c r="S97" s="59" t="s">
        <v>114</v>
      </c>
      <c r="T97" s="39">
        <f t="shared" si="18"/>
        <v>0</v>
      </c>
      <c r="U97" s="39">
        <f t="shared" si="18"/>
        <v>0</v>
      </c>
      <c r="V97" s="39">
        <f t="shared" si="18"/>
        <v>0</v>
      </c>
      <c r="W97" s="39">
        <f t="shared" si="18"/>
        <v>0</v>
      </c>
      <c r="AC97" s="14"/>
    </row>
    <row r="98" spans="3:29" x14ac:dyDescent="0.75">
      <c r="C98" s="4">
        <v>2</v>
      </c>
      <c r="D98" s="58">
        <v>42171</v>
      </c>
      <c r="E98" s="5">
        <f>+VLOOKUP(D98,'Prezzi Trade'!$I$9:$J$468,2,0)</f>
        <v>22.64</v>
      </c>
      <c r="F98" s="5">
        <f>+VLOOKUP(D98,'Prezzi Trade'!$K$9:$L$468,2,0)</f>
        <v>158.07</v>
      </c>
      <c r="G98" s="5">
        <f>+VLOOKUP(D98,'Prezzi Trade'!$M$9:$N$468,2,0)/VLOOKUP(D98,'Prezzi Trade'!$O$9:$P$468,2,0)</f>
        <v>816.54810599324196</v>
      </c>
      <c r="H98" s="5">
        <f>+(VLOOKUP(D98,'Prezzi FI'!$C$8:$D$468,2,0)+VLOOKUP(D98,'Prezzi FI'!$H$8:$I$467,2,0))/100</f>
        <v>1.1477683000000001</v>
      </c>
      <c r="I98" s="5">
        <f>+IF(VLOOKUP(D98,'Prezzi FI'!$H$8:$I$467,2,0)&lt;VLOOKUP(D99,'Prezzi FI'!$H$8:$I$467,2,0),4.25/2,0)/100</f>
        <v>0</v>
      </c>
      <c r="K98" s="4" t="str">
        <f t="shared" si="12"/>
        <v>201525</v>
      </c>
      <c r="L98" s="14">
        <f t="shared" si="13"/>
        <v>42171</v>
      </c>
      <c r="M98" s="39">
        <f t="shared" si="14"/>
        <v>2.4322842284146256E-3</v>
      </c>
      <c r="N98" s="39">
        <f t="shared" si="15"/>
        <v>4.4382522765309346E-3</v>
      </c>
      <c r="O98" s="39">
        <f t="shared" si="16"/>
        <v>1.9515460339966796E-3</v>
      </c>
      <c r="P98" s="39">
        <f t="shared" si="17"/>
        <v>-1.2588856543780638E-4</v>
      </c>
      <c r="AC98" s="14"/>
    </row>
    <row r="99" spans="3:29" x14ac:dyDescent="0.75">
      <c r="C99" s="4">
        <v>1</v>
      </c>
      <c r="D99" s="58">
        <v>42170</v>
      </c>
      <c r="E99" s="5">
        <f>+VLOOKUP(D99,'Prezzi Trade'!$I$9:$J$468,2,0)</f>
        <v>22.585000000000001</v>
      </c>
      <c r="F99" s="5">
        <f>+VLOOKUP(D99,'Prezzi Trade'!$K$9:$L$468,2,0)</f>
        <v>157.37</v>
      </c>
      <c r="G99" s="5">
        <f>+VLOOKUP(D99,'Prezzi Trade'!$M$9:$N$468,2,0)/VLOOKUP(D99,'Prezzi Trade'!$O$9:$P$468,2,0)</f>
        <v>814.95612868917829</v>
      </c>
      <c r="H99" s="5">
        <f>+(VLOOKUP(D99,'Prezzi FI'!$C$8:$D$468,2,0)+VLOOKUP(D99,'Prezzi FI'!$H$8:$I$467,2,0))/100</f>
        <v>1.1479128000000001</v>
      </c>
      <c r="I99" s="5">
        <f>+IF(VLOOKUP(D99,'Prezzi FI'!$H$8:$I$467,2,0)&lt;VLOOKUP(D100,'Prezzi FI'!$H$8:$I$467,2,0),4.25/2,0)/100</f>
        <v>0</v>
      </c>
      <c r="K99" s="4" t="str">
        <f t="shared" si="12"/>
        <v>201525</v>
      </c>
      <c r="L99" s="14">
        <f t="shared" si="13"/>
        <v>42170</v>
      </c>
      <c r="M99" s="39">
        <f t="shared" si="14"/>
        <v>-2.4708811425675461E-2</v>
      </c>
      <c r="N99" s="39">
        <f t="shared" si="15"/>
        <v>-7.2179621970281044E-3</v>
      </c>
      <c r="O99" s="39">
        <f t="shared" si="16"/>
        <v>-1.1635755954665492E-2</v>
      </c>
      <c r="P99" s="39">
        <f t="shared" si="17"/>
        <v>-5.0784971845890016E-3</v>
      </c>
      <c r="AC99" s="14"/>
    </row>
    <row r="100" spans="3:29" x14ac:dyDescent="0.75">
      <c r="C100" s="4">
        <v>5</v>
      </c>
      <c r="D100" s="58">
        <v>42167</v>
      </c>
      <c r="E100" s="5">
        <f>+VLOOKUP(D100,'Prezzi Trade'!$I$9:$J$468,2,0)</f>
        <v>23.15</v>
      </c>
      <c r="F100" s="5">
        <f>+VLOOKUP(D100,'Prezzi Trade'!$K$9:$L$468,2,0)</f>
        <v>158.51</v>
      </c>
      <c r="G100" s="5">
        <f>+VLOOKUP(D100,'Prezzi Trade'!$M$9:$N$468,2,0)/VLOOKUP(D100,'Prezzi Trade'!$O$9:$P$468,2,0)</f>
        <v>824.49414270500529</v>
      </c>
      <c r="H100" s="5">
        <f>+(VLOOKUP(D100,'Prezzi FI'!$C$8:$D$468,2,0)+VLOOKUP(D100,'Prezzi FI'!$H$8:$I$467,2,0))/100</f>
        <v>1.1537573000000001</v>
      </c>
      <c r="I100" s="5">
        <f>+IF(VLOOKUP(D100,'Prezzi FI'!$H$8:$I$467,2,0)&lt;VLOOKUP(D101,'Prezzi FI'!$H$8:$I$467,2,0),4.25/2,0)/100</f>
        <v>0</v>
      </c>
      <c r="K100" s="4" t="str">
        <f t="shared" si="12"/>
        <v>201524</v>
      </c>
      <c r="L100" s="14">
        <f t="shared" si="13"/>
        <v>42167</v>
      </c>
      <c r="M100" s="39">
        <f t="shared" si="14"/>
        <v>-1.3515168714137967E-2</v>
      </c>
      <c r="N100" s="39">
        <f t="shared" si="15"/>
        <v>-7.5419878584169157E-3</v>
      </c>
      <c r="O100" s="39">
        <f t="shared" si="16"/>
        <v>-5.0103530799870443E-3</v>
      </c>
      <c r="P100" s="39">
        <f t="shared" si="17"/>
        <v>-5.8803642138569347E-3</v>
      </c>
      <c r="AC100" s="14"/>
    </row>
    <row r="101" spans="3:29" x14ac:dyDescent="0.75">
      <c r="C101" s="4">
        <v>4</v>
      </c>
      <c r="D101" s="58">
        <v>42166</v>
      </c>
      <c r="E101" s="5">
        <f>+VLOOKUP(D101,'Prezzi Trade'!$I$9:$J$468,2,0)</f>
        <v>23.465</v>
      </c>
      <c r="F101" s="5">
        <f>+VLOOKUP(D101,'Prezzi Trade'!$K$9:$L$468,2,0)</f>
        <v>159.71</v>
      </c>
      <c r="G101" s="5">
        <f>+VLOOKUP(D101,'Prezzi Trade'!$M$9:$N$468,2,0)/VLOOKUP(D101,'Prezzi Trade'!$O$9:$P$468,2,0)</f>
        <v>828.63551567913305</v>
      </c>
      <c r="H101" s="5">
        <f>+(VLOOKUP(D101,'Prezzi FI'!$C$8:$D$468,2,0)+VLOOKUP(D101,'Prezzi FI'!$H$8:$I$467,2,0))/100</f>
        <v>1.1605618</v>
      </c>
      <c r="I101" s="5">
        <f>+IF(VLOOKUP(D101,'Prezzi FI'!$H$8:$I$467,2,0)&lt;VLOOKUP(D102,'Prezzi FI'!$H$8:$I$467,2,0),4.25/2,0)/100</f>
        <v>0</v>
      </c>
      <c r="K101" s="4" t="str">
        <f t="shared" si="12"/>
        <v>201524</v>
      </c>
      <c r="L101" s="14">
        <f t="shared" si="13"/>
        <v>42166</v>
      </c>
      <c r="M101" s="39">
        <f t="shared" si="14"/>
        <v>5.3413223879710597E-3</v>
      </c>
      <c r="N101" s="39">
        <f t="shared" si="15"/>
        <v>6.6591526390133741E-3</v>
      </c>
      <c r="O101" s="39">
        <f t="shared" si="16"/>
        <v>-7.3086188704857315E-3</v>
      </c>
      <c r="P101" s="39">
        <f t="shared" si="17"/>
        <v>3.6569796935219429E-3</v>
      </c>
      <c r="AC101" s="14"/>
    </row>
    <row r="102" spans="3:29" x14ac:dyDescent="0.75">
      <c r="C102" s="4">
        <v>3</v>
      </c>
      <c r="D102" s="58">
        <v>42165</v>
      </c>
      <c r="E102" s="5">
        <f>+VLOOKUP(D102,'Prezzi Trade'!$I$9:$J$468,2,0)</f>
        <v>23.34</v>
      </c>
      <c r="F102" s="5">
        <f>+VLOOKUP(D102,'Prezzi Trade'!$K$9:$L$468,2,0)</f>
        <v>158.65</v>
      </c>
      <c r="G102" s="5">
        <f>+VLOOKUP(D102,'Prezzi Trade'!$M$9:$N$468,2,0)/VLOOKUP(D102,'Prezzi Trade'!$O$9:$P$468,2,0)</f>
        <v>834.7138820204874</v>
      </c>
      <c r="H102" s="5">
        <f>+(VLOOKUP(D102,'Prezzi FI'!$C$8:$D$468,2,0)+VLOOKUP(D102,'Prezzi FI'!$H$8:$I$467,2,0))/100</f>
        <v>1.1563253999999998</v>
      </c>
      <c r="I102" s="5">
        <f>+IF(VLOOKUP(D102,'Prezzi FI'!$H$8:$I$467,2,0)&lt;VLOOKUP(D103,'Prezzi FI'!$H$8:$I$467,2,0),4.25/2,0)/100</f>
        <v>0</v>
      </c>
      <c r="K102" s="4" t="str">
        <f t="shared" si="12"/>
        <v>201524</v>
      </c>
      <c r="L102" s="14">
        <f t="shared" si="13"/>
        <v>42165</v>
      </c>
      <c r="M102" s="39">
        <f t="shared" si="14"/>
        <v>2.1874180221447652E-2</v>
      </c>
      <c r="N102" s="39">
        <f t="shared" si="15"/>
        <v>1.1283081161055664E-2</v>
      </c>
      <c r="O102" s="39">
        <f t="shared" si="16"/>
        <v>1.3203265028338147E-3</v>
      </c>
      <c r="P102" s="39">
        <f t="shared" si="17"/>
        <v>-1.4816159865836543E-3</v>
      </c>
      <c r="AC102" s="14"/>
    </row>
    <row r="103" spans="3:29" x14ac:dyDescent="0.75">
      <c r="C103" s="4">
        <v>2</v>
      </c>
      <c r="D103" s="58">
        <v>42164</v>
      </c>
      <c r="E103" s="5">
        <f>+VLOOKUP(D103,'Prezzi Trade'!$I$9:$J$468,2,0)</f>
        <v>22.835000000000001</v>
      </c>
      <c r="F103" s="5">
        <f>+VLOOKUP(D103,'Prezzi Trade'!$K$9:$L$468,2,0)</f>
        <v>156.87</v>
      </c>
      <c r="G103" s="5">
        <f>+VLOOKUP(D103,'Prezzi Trade'!$M$9:$N$468,2,0)/VLOOKUP(D103,'Prezzi Trade'!$O$9:$P$468,2,0)</f>
        <v>833.61251440219803</v>
      </c>
      <c r="H103" s="5">
        <f>+(VLOOKUP(D103,'Prezzi FI'!$C$8:$D$468,2,0)+VLOOKUP(D103,'Prezzi FI'!$H$8:$I$467,2,0))/100</f>
        <v>1.1580398999999999</v>
      </c>
      <c r="I103" s="5">
        <f>+IF(VLOOKUP(D103,'Prezzi FI'!$H$8:$I$467,2,0)&lt;VLOOKUP(D104,'Prezzi FI'!$H$8:$I$467,2,0),4.25/2,0)/100</f>
        <v>0</v>
      </c>
      <c r="K103" s="4" t="str">
        <f t="shared" si="12"/>
        <v>201524</v>
      </c>
      <c r="L103" s="14">
        <f t="shared" si="13"/>
        <v>42164</v>
      </c>
      <c r="M103" s="39">
        <f t="shared" si="14"/>
        <v>-2.1872274686430965E-3</v>
      </c>
      <c r="N103" s="39">
        <f t="shared" si="15"/>
        <v>-5.5940645531735427E-3</v>
      </c>
      <c r="O103" s="39">
        <f t="shared" si="16"/>
        <v>1.4141642120728878E-2</v>
      </c>
      <c r="P103" s="39">
        <f t="shared" si="17"/>
        <v>-7.4624153901185677E-4</v>
      </c>
      <c r="AC103" s="14"/>
    </row>
    <row r="104" spans="3:29" x14ac:dyDescent="0.75">
      <c r="C104" s="4">
        <v>1</v>
      </c>
      <c r="D104" s="58">
        <v>42163</v>
      </c>
      <c r="E104" s="5">
        <f>+VLOOKUP(D104,'Prezzi Trade'!$I$9:$J$468,2,0)</f>
        <v>22.885000000000002</v>
      </c>
      <c r="F104" s="5">
        <f>+VLOOKUP(D104,'Prezzi Trade'!$K$9:$L$468,2,0)</f>
        <v>157.75</v>
      </c>
      <c r="G104" s="5">
        <f>+VLOOKUP(D104,'Prezzi Trade'!$M$9:$N$468,2,0)/VLOOKUP(D104,'Prezzi Trade'!$O$9:$P$468,2,0)</f>
        <v>821.90682844743606</v>
      </c>
      <c r="H104" s="5">
        <f>+(VLOOKUP(D104,'Prezzi FI'!$C$8:$D$468,2,0)+VLOOKUP(D104,'Prezzi FI'!$H$8:$I$467,2,0))/100</f>
        <v>1.1589043999999999</v>
      </c>
      <c r="I104" s="5">
        <f>+IF(VLOOKUP(D104,'Prezzi FI'!$H$8:$I$467,2,0)&lt;VLOOKUP(D105,'Prezzi FI'!$H$8:$I$467,2,0),4.25/2,0)/100</f>
        <v>0</v>
      </c>
      <c r="K104" s="4" t="str">
        <f t="shared" si="12"/>
        <v>201524</v>
      </c>
      <c r="L104" s="14">
        <f t="shared" si="13"/>
        <v>42163</v>
      </c>
      <c r="M104" s="39">
        <f t="shared" si="14"/>
        <v>-8.2681062833103655E-3</v>
      </c>
      <c r="N104" s="39">
        <f t="shared" si="15"/>
        <v>-1.1972417739468558E-2</v>
      </c>
      <c r="O104" s="39">
        <f t="shared" si="16"/>
        <v>-9.2585082908308337E-3</v>
      </c>
      <c r="P104" s="39">
        <f t="shared" si="17"/>
        <v>-3.489756564721599E-4</v>
      </c>
      <c r="AC104" s="14"/>
    </row>
    <row r="105" spans="3:29" x14ac:dyDescent="0.75">
      <c r="C105" s="4">
        <v>5</v>
      </c>
      <c r="D105" s="58">
        <v>42160</v>
      </c>
      <c r="E105" s="5">
        <f>+VLOOKUP(D105,'Prezzi Trade'!$I$9:$J$468,2,0)</f>
        <v>23.074999999999999</v>
      </c>
      <c r="F105" s="5">
        <f>+VLOOKUP(D105,'Prezzi Trade'!$K$9:$L$468,2,0)</f>
        <v>159.65</v>
      </c>
      <c r="G105" s="5">
        <f>+VLOOKUP(D105,'Prezzi Trade'!$M$9:$N$468,2,0)/VLOOKUP(D105,'Prezzi Trade'!$O$9:$P$468,2,0)</f>
        <v>829.55179551795527</v>
      </c>
      <c r="H105" s="5">
        <f>+(VLOOKUP(D105,'Prezzi FI'!$C$8:$D$468,2,0)+VLOOKUP(D105,'Prezzi FI'!$H$8:$I$467,2,0))/100</f>
        <v>1.1593088999999999</v>
      </c>
      <c r="I105" s="5">
        <f>+IF(VLOOKUP(D105,'Prezzi FI'!$H$8:$I$467,2,0)&lt;VLOOKUP(D106,'Prezzi FI'!$H$8:$I$467,2,0),4.25/2,0)/100</f>
        <v>0</v>
      </c>
      <c r="K105" s="4" t="str">
        <f t="shared" si="12"/>
        <v>201523</v>
      </c>
      <c r="L105" s="14">
        <f t="shared" si="13"/>
        <v>42160</v>
      </c>
      <c r="M105" s="39">
        <f t="shared" si="14"/>
        <v>-2.249693164264864E-2</v>
      </c>
      <c r="N105" s="39">
        <f t="shared" si="15"/>
        <v>3.7024296318018983E-3</v>
      </c>
      <c r="O105" s="39">
        <f t="shared" si="16"/>
        <v>1.0045653713582021E-2</v>
      </c>
      <c r="P105" s="39">
        <f t="shared" si="17"/>
        <v>-3.6287635785708875E-3</v>
      </c>
      <c r="AC105" s="14"/>
    </row>
    <row r="106" spans="3:29" x14ac:dyDescent="0.75">
      <c r="C106" s="4">
        <v>4</v>
      </c>
      <c r="D106" s="58">
        <v>42159</v>
      </c>
      <c r="E106" s="5">
        <f>+VLOOKUP(D106,'Prezzi Trade'!$I$9:$J$468,2,0)</f>
        <v>23.6</v>
      </c>
      <c r="F106" s="5">
        <f>+VLOOKUP(D106,'Prezzi Trade'!$K$9:$L$468,2,0)</f>
        <v>159.06</v>
      </c>
      <c r="G106" s="5">
        <f>+VLOOKUP(D106,'Prezzi Trade'!$M$9:$N$468,2,0)/VLOOKUP(D106,'Prezzi Trade'!$O$9:$P$468,2,0)</f>
        <v>821.2601228085789</v>
      </c>
      <c r="H106" s="5">
        <f>+(VLOOKUP(D106,'Prezzi FI'!$C$8:$D$468,2,0)+VLOOKUP(D106,'Prezzi FI'!$H$8:$I$467,2,0))/100</f>
        <v>1.1635233999999999</v>
      </c>
      <c r="I106" s="5">
        <f>+IF(VLOOKUP(D106,'Prezzi FI'!$H$8:$I$467,2,0)&lt;VLOOKUP(D107,'Prezzi FI'!$H$8:$I$467,2,0),4.25/2,0)/100</f>
        <v>0</v>
      </c>
      <c r="K106" s="4" t="str">
        <f t="shared" si="12"/>
        <v>201523</v>
      </c>
      <c r="L106" s="14">
        <f t="shared" si="13"/>
        <v>42159</v>
      </c>
      <c r="M106" s="39">
        <f t="shared" si="14"/>
        <v>-1.1585174335229537E-2</v>
      </c>
      <c r="N106" s="39">
        <f t="shared" si="15"/>
        <v>-9.2616431744415653E-3</v>
      </c>
      <c r="O106" s="39">
        <f t="shared" si="16"/>
        <v>-1.2046678805643002E-2</v>
      </c>
      <c r="P106" s="39">
        <f t="shared" si="17"/>
        <v>2.5477593265100276E-4</v>
      </c>
      <c r="AC106" s="14"/>
    </row>
    <row r="107" spans="3:29" x14ac:dyDescent="0.75">
      <c r="C107" s="4">
        <v>3</v>
      </c>
      <c r="D107" s="58">
        <v>42158</v>
      </c>
      <c r="E107" s="5">
        <f>+VLOOKUP(D107,'Prezzi Trade'!$I$9:$J$468,2,0)</f>
        <v>23.875</v>
      </c>
      <c r="F107" s="5">
        <f>+VLOOKUP(D107,'Prezzi Trade'!$K$9:$L$468,2,0)</f>
        <v>160.54</v>
      </c>
      <c r="G107" s="5">
        <f>+VLOOKUP(D107,'Prezzi Trade'!$M$9:$N$468,2,0)/VLOOKUP(D107,'Prezzi Trade'!$O$9:$P$468,2,0)</f>
        <v>831.21341138903676</v>
      </c>
      <c r="H107" s="5">
        <f>+(VLOOKUP(D107,'Prezzi FI'!$C$8:$D$468,2,0)+VLOOKUP(D107,'Prezzi FI'!$H$8:$I$467,2,0))/100</f>
        <v>1.163227</v>
      </c>
      <c r="I107" s="5">
        <f>+IF(VLOOKUP(D107,'Prezzi FI'!$H$8:$I$467,2,0)&lt;VLOOKUP(D108,'Prezzi FI'!$H$8:$I$467,2,0),4.25/2,0)/100</f>
        <v>0</v>
      </c>
      <c r="K107" s="4" t="str">
        <f t="shared" si="12"/>
        <v>201523</v>
      </c>
      <c r="L107" s="14">
        <f t="shared" si="13"/>
        <v>42158</v>
      </c>
      <c r="M107" s="39">
        <f t="shared" si="14"/>
        <v>1.467044169644873E-3</v>
      </c>
      <c r="N107" s="39">
        <f t="shared" si="15"/>
        <v>-4.8468373017366284E-3</v>
      </c>
      <c r="O107" s="39">
        <f t="shared" si="16"/>
        <v>-1.0666890746540255E-2</v>
      </c>
      <c r="P107" s="39">
        <f t="shared" si="17"/>
        <v>-9.4047456426624111E-4</v>
      </c>
      <c r="AC107" s="14"/>
    </row>
    <row r="108" spans="3:29" x14ac:dyDescent="0.75">
      <c r="C108" s="4">
        <v>2</v>
      </c>
      <c r="D108" s="58">
        <v>42157</v>
      </c>
      <c r="E108" s="5">
        <f>+VLOOKUP(D108,'Prezzi Trade'!$I$9:$J$468,2,0)</f>
        <v>23.84</v>
      </c>
      <c r="F108" s="5">
        <f>+VLOOKUP(D108,'Prezzi Trade'!$K$9:$L$468,2,0)</f>
        <v>161.32</v>
      </c>
      <c r="G108" s="5">
        <f>+VLOOKUP(D108,'Prezzi Trade'!$M$9:$N$468,2,0)/VLOOKUP(D108,'Prezzi Trade'!$O$9:$P$468,2,0)</f>
        <v>840.12733142037303</v>
      </c>
      <c r="H108" s="5">
        <f>+(VLOOKUP(D108,'Prezzi FI'!$C$8:$D$468,2,0)+VLOOKUP(D108,'Prezzi FI'!$H$8:$I$467,2,0))/100</f>
        <v>1.1643215</v>
      </c>
      <c r="I108" s="5">
        <f>+IF(VLOOKUP(D108,'Prezzi FI'!$H$8:$I$467,2,0)&lt;VLOOKUP(D109,'Prezzi FI'!$H$8:$I$467,2,0),4.25/2,0)/100</f>
        <v>0</v>
      </c>
      <c r="K108" s="4" t="str">
        <f t="shared" si="12"/>
        <v>201523</v>
      </c>
      <c r="L108" s="14">
        <f t="shared" si="13"/>
        <v>42157</v>
      </c>
      <c r="M108" s="39">
        <f t="shared" si="14"/>
        <v>5.2570828676039962E-3</v>
      </c>
      <c r="N108" s="39">
        <f t="shared" si="15"/>
        <v>-1.6903196021623695E-2</v>
      </c>
      <c r="O108" s="39">
        <f t="shared" si="16"/>
        <v>-1.1515956731697374E-2</v>
      </c>
      <c r="P108" s="39">
        <f t="shared" si="17"/>
        <v>-3.6730715523824969E-3</v>
      </c>
      <c r="AC108" s="14"/>
    </row>
    <row r="109" spans="3:29" x14ac:dyDescent="0.75">
      <c r="C109" s="4">
        <v>1</v>
      </c>
      <c r="D109" s="58">
        <v>42156</v>
      </c>
      <c r="E109" s="5">
        <f>+VLOOKUP(D109,'Prezzi Trade'!$I$9:$J$468,2,0)</f>
        <v>23.715</v>
      </c>
      <c r="F109" s="5">
        <f>+VLOOKUP(D109,'Prezzi Trade'!$K$9:$L$468,2,0)</f>
        <v>164.07</v>
      </c>
      <c r="G109" s="5">
        <f>+VLOOKUP(D109,'Prezzi Trade'!$M$9:$N$468,2,0)/VLOOKUP(D109,'Prezzi Trade'!$O$9:$P$468,2,0)</f>
        <v>849.85812356979409</v>
      </c>
      <c r="H109" s="5">
        <f>+(VLOOKUP(D109,'Prezzi FI'!$C$8:$D$468,2,0)+VLOOKUP(D109,'Prezzi FI'!$H$8:$I$467,2,0))/100</f>
        <v>1.168606</v>
      </c>
      <c r="I109" s="5">
        <f>+IF(VLOOKUP(D109,'Prezzi FI'!$H$8:$I$467,2,0)&lt;VLOOKUP(D110,'Prezzi FI'!$H$8:$I$467,2,0),4.25/2,0)/100</f>
        <v>0</v>
      </c>
      <c r="K109" s="4" t="str">
        <f t="shared" si="12"/>
        <v>201523</v>
      </c>
      <c r="L109" s="14">
        <f t="shared" si="13"/>
        <v>42156</v>
      </c>
      <c r="M109" s="39">
        <f t="shared" si="14"/>
        <v>-2.3165220425574954E-3</v>
      </c>
      <c r="N109" s="39">
        <f t="shared" si="15"/>
        <v>5.3167234967844545E-3</v>
      </c>
      <c r="O109" s="39">
        <f t="shared" si="16"/>
        <v>4.9430390281446461E-3</v>
      </c>
      <c r="P109" s="39">
        <f t="shared" si="17"/>
        <v>-6.7963885522321027E-4</v>
      </c>
      <c r="AC109" s="14"/>
    </row>
    <row r="110" spans="3:29" x14ac:dyDescent="0.75">
      <c r="C110" s="4">
        <v>5</v>
      </c>
      <c r="D110" s="58">
        <v>42153</v>
      </c>
      <c r="E110" s="5">
        <f>+VLOOKUP(D110,'Prezzi Trade'!$I$9:$J$468,2,0)</f>
        <v>23.77</v>
      </c>
      <c r="F110" s="5">
        <f>+VLOOKUP(D110,'Prezzi Trade'!$K$9:$L$468,2,0)</f>
        <v>163.19999999999999</v>
      </c>
      <c r="G110" s="5">
        <f>+VLOOKUP(D110,'Prezzi Trade'!$M$9:$N$468,2,0)/VLOOKUP(D110,'Prezzi Trade'!$O$9:$P$468,2,0)</f>
        <v>845.66760717211253</v>
      </c>
      <c r="H110" s="5">
        <f>+(VLOOKUP(D110,'Prezzi FI'!$C$8:$D$468,2,0)+VLOOKUP(D110,'Prezzi FI'!$H$8:$I$467,2,0))/100</f>
        <v>1.1694005000000001</v>
      </c>
      <c r="I110" s="5">
        <f>+IF(VLOOKUP(D110,'Prezzi FI'!$H$8:$I$467,2,0)&lt;VLOOKUP(D111,'Prezzi FI'!$H$8:$I$467,2,0),4.25/2,0)/100</f>
        <v>0</v>
      </c>
      <c r="K110" s="4" t="str">
        <f t="shared" si="12"/>
        <v>201522</v>
      </c>
      <c r="L110" s="14">
        <f t="shared" si="13"/>
        <v>42153</v>
      </c>
      <c r="M110" s="39">
        <f t="shared" si="14"/>
        <v>-1.1294828294904264E-2</v>
      </c>
      <c r="N110" s="39">
        <f t="shared" si="15"/>
        <v>-1.3511251733753725E-2</v>
      </c>
      <c r="O110" s="39">
        <f t="shared" si="16"/>
        <v>4.7350938186988007E-3</v>
      </c>
      <c r="P110" s="39">
        <f t="shared" si="17"/>
        <v>8.1669111440514538E-5</v>
      </c>
      <c r="AC110" s="14"/>
    </row>
    <row r="111" spans="3:29" x14ac:dyDescent="0.75">
      <c r="C111" s="4">
        <v>4</v>
      </c>
      <c r="D111" s="58">
        <v>42152</v>
      </c>
      <c r="E111" s="5">
        <f>+VLOOKUP(D111,'Prezzi Trade'!$I$9:$J$468,2,0)</f>
        <v>24.04</v>
      </c>
      <c r="F111" s="5">
        <f>+VLOOKUP(D111,'Prezzi Trade'!$K$9:$L$468,2,0)</f>
        <v>165.42</v>
      </c>
      <c r="G111" s="5">
        <f>+VLOOKUP(D111,'Prezzi Trade'!$M$9:$N$468,2,0)/VLOOKUP(D111,'Prezzi Trade'!$O$9:$P$468,2,0)</f>
        <v>841.67275717156951</v>
      </c>
      <c r="H111" s="5">
        <f>+(VLOOKUP(D111,'Prezzi FI'!$C$8:$D$468,2,0)+VLOOKUP(D111,'Prezzi FI'!$H$8:$I$467,2,0))/100</f>
        <v>1.169305</v>
      </c>
      <c r="I111" s="5">
        <f>+IF(VLOOKUP(D111,'Prezzi FI'!$H$8:$I$467,2,0)&lt;VLOOKUP(D112,'Prezzi FI'!$H$8:$I$467,2,0),4.25/2,0)/100</f>
        <v>0</v>
      </c>
      <c r="K111" s="4" t="str">
        <f t="shared" si="12"/>
        <v>201522</v>
      </c>
      <c r="L111" s="14">
        <f t="shared" si="13"/>
        <v>42152</v>
      </c>
      <c r="M111" s="39">
        <f t="shared" si="14"/>
        <v>-2.9075825260728556E-3</v>
      </c>
      <c r="N111" s="39">
        <f t="shared" si="15"/>
        <v>-2.8372238404233354E-3</v>
      </c>
      <c r="O111" s="39">
        <f t="shared" si="16"/>
        <v>-7.1221913210575381E-3</v>
      </c>
      <c r="P111" s="39">
        <f t="shared" si="17"/>
        <v>-1.882679376939235E-3</v>
      </c>
      <c r="AC111" s="14"/>
    </row>
    <row r="112" spans="3:29" x14ac:dyDescent="0.75">
      <c r="C112" s="4">
        <v>3</v>
      </c>
      <c r="D112" s="58">
        <v>42151</v>
      </c>
      <c r="E112" s="5">
        <f>+VLOOKUP(D112,'Prezzi Trade'!$I$9:$J$468,2,0)</f>
        <v>24.11</v>
      </c>
      <c r="F112" s="5">
        <f>+VLOOKUP(D112,'Prezzi Trade'!$K$9:$L$468,2,0)</f>
        <v>165.89</v>
      </c>
      <c r="G112" s="5">
        <f>+VLOOKUP(D112,'Prezzi Trade'!$M$9:$N$468,2,0)/VLOOKUP(D112,'Prezzi Trade'!$O$9:$P$468,2,0)</f>
        <v>847.68870952948726</v>
      </c>
      <c r="H112" s="5">
        <f>+(VLOOKUP(D112,'Prezzi FI'!$C$8:$D$468,2,0)+VLOOKUP(D112,'Prezzi FI'!$H$8:$I$467,2,0))/100</f>
        <v>1.1715085000000001</v>
      </c>
      <c r="I112" s="5">
        <f>+IF(VLOOKUP(D112,'Prezzi FI'!$H$8:$I$467,2,0)&lt;VLOOKUP(D113,'Prezzi FI'!$H$8:$I$467,2,0),4.25/2,0)/100</f>
        <v>0</v>
      </c>
      <c r="K112" s="4" t="str">
        <f t="shared" si="12"/>
        <v>201522</v>
      </c>
      <c r="L112" s="14">
        <f t="shared" si="13"/>
        <v>42151</v>
      </c>
      <c r="M112" s="39">
        <f t="shared" si="14"/>
        <v>2.0109600994263153E-2</v>
      </c>
      <c r="N112" s="39">
        <f t="shared" si="15"/>
        <v>5.0764598049816223E-3</v>
      </c>
      <c r="O112" s="39">
        <f t="shared" si="16"/>
        <v>-9.0918191214752163E-3</v>
      </c>
      <c r="P112" s="39">
        <f t="shared" si="17"/>
        <v>1.619309731846718E-3</v>
      </c>
      <c r="AC112" s="14"/>
    </row>
    <row r="113" spans="3:29" x14ac:dyDescent="0.75">
      <c r="C113" s="4">
        <v>2</v>
      </c>
      <c r="D113" s="58">
        <v>42150</v>
      </c>
      <c r="E113" s="5">
        <f>+VLOOKUP(D113,'Prezzi Trade'!$I$9:$J$468,2,0)</f>
        <v>23.63</v>
      </c>
      <c r="F113" s="5">
        <f>+VLOOKUP(D113,'Prezzi Trade'!$K$9:$L$468,2,0)</f>
        <v>165.05</v>
      </c>
      <c r="G113" s="5">
        <f>+VLOOKUP(D113,'Prezzi Trade'!$M$9:$N$468,2,0)/VLOOKUP(D113,'Prezzi Trade'!$O$9:$P$468,2,0)</f>
        <v>855.43088384070643</v>
      </c>
      <c r="H113" s="5">
        <f>+(VLOOKUP(D113,'Prezzi FI'!$C$8:$D$468,2,0)+VLOOKUP(D113,'Prezzi FI'!$H$8:$I$467,2,0))/100</f>
        <v>1.169613</v>
      </c>
      <c r="I113" s="5">
        <f>+IF(VLOOKUP(D113,'Prezzi FI'!$H$8:$I$467,2,0)&lt;VLOOKUP(D114,'Prezzi FI'!$H$8:$I$467,2,0),4.25/2,0)/100</f>
        <v>0</v>
      </c>
      <c r="K113" s="4" t="str">
        <f t="shared" si="12"/>
        <v>201522</v>
      </c>
      <c r="L113" s="14">
        <f t="shared" si="13"/>
        <v>42150</v>
      </c>
      <c r="M113" s="39">
        <f t="shared" si="14"/>
        <v>-1.8449160596164194E-2</v>
      </c>
      <c r="N113" s="39">
        <f t="shared" si="15"/>
        <v>1.394488963964732E-3</v>
      </c>
      <c r="O113" s="39">
        <f t="shared" si="16"/>
        <v>-3.3193538084628441E-3</v>
      </c>
      <c r="P113" s="39">
        <f t="shared" si="17"/>
        <v>-2.8167059394229145E-3</v>
      </c>
      <c r="AC113" s="14"/>
    </row>
    <row r="114" spans="3:29" x14ac:dyDescent="0.75">
      <c r="C114" s="4">
        <v>5</v>
      </c>
      <c r="D114" s="58">
        <v>42146</v>
      </c>
      <c r="E114" s="5">
        <f>+VLOOKUP(D114,'Prezzi Trade'!$I$9:$J$468,2,0)</f>
        <v>24.07</v>
      </c>
      <c r="F114" s="5">
        <f>+VLOOKUP(D114,'Prezzi Trade'!$K$9:$L$468,2,0)</f>
        <v>164.82</v>
      </c>
      <c r="G114" s="5">
        <f>+VLOOKUP(D114,'Prezzi Trade'!$M$9:$N$468,2,0)/VLOOKUP(D114,'Prezzi Trade'!$O$9:$P$468,2,0)</f>
        <v>858.27507943713124</v>
      </c>
      <c r="H114" s="5">
        <f>+(VLOOKUP(D114,'Prezzi FI'!$C$8:$D$468,2,0)+VLOOKUP(D114,'Prezzi FI'!$H$8:$I$467,2,0))/100</f>
        <v>1.1729121</v>
      </c>
      <c r="I114" s="5">
        <f>+IF(VLOOKUP(D114,'Prezzi FI'!$H$8:$I$467,2,0)&lt;VLOOKUP(D115,'Prezzi FI'!$H$8:$I$467,2,0),4.25/2,0)/100</f>
        <v>0</v>
      </c>
      <c r="K114" s="4" t="str">
        <f t="shared" si="12"/>
        <v>201521</v>
      </c>
      <c r="L114" s="14">
        <f t="shared" si="13"/>
        <v>42146</v>
      </c>
      <c r="M114" s="39">
        <f t="shared" si="14"/>
        <v>1.871296938624409E-3</v>
      </c>
      <c r="N114" s="39">
        <f t="shared" si="15"/>
        <v>3.9514930288107909E-3</v>
      </c>
      <c r="O114" s="39">
        <f t="shared" si="16"/>
        <v>-3.9396671405794266E-3</v>
      </c>
      <c r="P114" s="39">
        <f t="shared" si="17"/>
        <v>1.0368468810116279E-3</v>
      </c>
      <c r="AC114" s="14"/>
    </row>
    <row r="115" spans="3:29" x14ac:dyDescent="0.75">
      <c r="C115" s="4">
        <v>4</v>
      </c>
      <c r="D115" s="58">
        <v>42145</v>
      </c>
      <c r="E115" s="5">
        <f>+VLOOKUP(D115,'Prezzi Trade'!$I$9:$J$468,2,0)</f>
        <v>24.024999999999999</v>
      </c>
      <c r="F115" s="5">
        <f>+VLOOKUP(D115,'Prezzi Trade'!$K$9:$L$468,2,0)</f>
        <v>164.17</v>
      </c>
      <c r="G115" s="5">
        <f>+VLOOKUP(D115,'Prezzi Trade'!$M$9:$N$468,2,0)/VLOOKUP(D115,'Prezzi Trade'!$O$9:$P$468,2,0)</f>
        <v>861.66306695464368</v>
      </c>
      <c r="H115" s="5">
        <f>+(VLOOKUP(D115,'Prezzi FI'!$C$8:$D$468,2,0)+VLOOKUP(D115,'Prezzi FI'!$H$8:$I$467,2,0))/100</f>
        <v>1.1716966</v>
      </c>
      <c r="I115" s="5">
        <f>+IF(VLOOKUP(D115,'Prezzi FI'!$H$8:$I$467,2,0)&lt;VLOOKUP(D116,'Prezzi FI'!$H$8:$I$467,2,0),4.25/2,0)/100</f>
        <v>0</v>
      </c>
      <c r="K115" s="4" t="str">
        <f t="shared" si="12"/>
        <v>201521</v>
      </c>
      <c r="L115" s="14">
        <f t="shared" si="13"/>
        <v>42145</v>
      </c>
      <c r="M115" s="39">
        <f t="shared" si="14"/>
        <v>-1.2479202950609193E-3</v>
      </c>
      <c r="N115" s="39">
        <f t="shared" si="15"/>
        <v>9.1410469816157792E-4</v>
      </c>
      <c r="O115" s="39">
        <f t="shared" si="16"/>
        <v>1.0514238051352161E-2</v>
      </c>
      <c r="P115" s="39">
        <f t="shared" si="17"/>
        <v>-1.4783852111115701E-3</v>
      </c>
      <c r="AC115" s="14"/>
    </row>
    <row r="116" spans="3:29" x14ac:dyDescent="0.75">
      <c r="C116" s="4">
        <v>3</v>
      </c>
      <c r="D116" s="58">
        <v>42144</v>
      </c>
      <c r="E116" s="5">
        <f>+VLOOKUP(D116,'Prezzi Trade'!$I$9:$J$468,2,0)</f>
        <v>24.055</v>
      </c>
      <c r="F116" s="5">
        <f>+VLOOKUP(D116,'Prezzi Trade'!$K$9:$L$468,2,0)</f>
        <v>164.02</v>
      </c>
      <c r="G116" s="5">
        <f>+VLOOKUP(D116,'Prezzi Trade'!$M$9:$N$468,2,0)/VLOOKUP(D116,'Prezzi Trade'!$O$9:$P$468,2,0)</f>
        <v>852.65079794427913</v>
      </c>
      <c r="H116" s="5">
        <f>+(VLOOKUP(D116,'Prezzi FI'!$C$8:$D$468,2,0)+VLOOKUP(D116,'Prezzi FI'!$H$8:$I$467,2,0))/100</f>
        <v>1.1734301</v>
      </c>
      <c r="I116" s="5">
        <f>+IF(VLOOKUP(D116,'Prezzi FI'!$H$8:$I$467,2,0)&lt;VLOOKUP(D117,'Prezzi FI'!$H$8:$I$467,2,0),4.25/2,0)/100</f>
        <v>0</v>
      </c>
      <c r="K116" s="4" t="str">
        <f t="shared" si="12"/>
        <v>201521</v>
      </c>
      <c r="L116" s="14">
        <f t="shared" si="13"/>
        <v>42144</v>
      </c>
      <c r="M116" s="39">
        <f t="shared" si="14"/>
        <v>3.9571019041684677E-3</v>
      </c>
      <c r="N116" s="39">
        <f t="shared" si="15"/>
        <v>4.6443495850553322E-3</v>
      </c>
      <c r="O116" s="39">
        <f t="shared" si="16"/>
        <v>2.4332223358833911E-3</v>
      </c>
      <c r="P116" s="39">
        <f t="shared" si="17"/>
        <v>-1.0940553434585589E-3</v>
      </c>
      <c r="AC116" s="14"/>
    </row>
    <row r="117" spans="3:29" x14ac:dyDescent="0.75">
      <c r="C117" s="4">
        <v>2</v>
      </c>
      <c r="D117" s="58">
        <v>42143</v>
      </c>
      <c r="E117" s="5">
        <f>+VLOOKUP(D117,'Prezzi Trade'!$I$9:$J$468,2,0)</f>
        <v>23.96</v>
      </c>
      <c r="F117" s="5">
        <f>+VLOOKUP(D117,'Prezzi Trade'!$K$9:$L$468,2,0)</f>
        <v>163.26</v>
      </c>
      <c r="G117" s="5">
        <f>+VLOOKUP(D117,'Prezzi Trade'!$M$9:$N$468,2,0)/VLOOKUP(D117,'Prezzi Trade'!$O$9:$P$468,2,0)</f>
        <v>850.57863102179954</v>
      </c>
      <c r="H117" s="5">
        <f>+(VLOOKUP(D117,'Prezzi FI'!$C$8:$D$468,2,0)+VLOOKUP(D117,'Prezzi FI'!$H$8:$I$467,2,0))/100</f>
        <v>1.1747146000000002</v>
      </c>
      <c r="I117" s="5">
        <f>+IF(VLOOKUP(D117,'Prezzi FI'!$H$8:$I$467,2,0)&lt;VLOOKUP(D118,'Prezzi FI'!$H$8:$I$467,2,0),4.25/2,0)/100</f>
        <v>0</v>
      </c>
      <c r="K117" s="4" t="str">
        <f t="shared" si="12"/>
        <v>201521</v>
      </c>
      <c r="L117" s="14">
        <f t="shared" si="13"/>
        <v>42143</v>
      </c>
      <c r="M117" s="39">
        <f t="shared" si="14"/>
        <v>2.002385376829028E-2</v>
      </c>
      <c r="N117" s="39">
        <f t="shared" si="15"/>
        <v>1.8484129017725726E-2</v>
      </c>
      <c r="O117" s="39">
        <f t="shared" si="16"/>
        <v>-3.5996402948312981E-3</v>
      </c>
      <c r="P117" s="39">
        <f t="shared" si="17"/>
        <v>2.7324777210893983E-3</v>
      </c>
      <c r="AC117" s="14"/>
    </row>
    <row r="118" spans="3:29" x14ac:dyDescent="0.75">
      <c r="C118" s="4">
        <v>1</v>
      </c>
      <c r="D118" s="58">
        <v>42142</v>
      </c>
      <c r="E118" s="5">
        <f>+VLOOKUP(D118,'Prezzi Trade'!$I$9:$J$468,2,0)</f>
        <v>23.484999999999999</v>
      </c>
      <c r="F118" s="5">
        <f>+VLOOKUP(D118,'Prezzi Trade'!$K$9:$L$468,2,0)</f>
        <v>160.27000000000001</v>
      </c>
      <c r="G118" s="5">
        <f>+VLOOKUP(D118,'Prezzi Trade'!$M$9:$N$468,2,0)/VLOOKUP(D118,'Prezzi Trade'!$O$9:$P$468,2,0)</f>
        <v>853.64592540215665</v>
      </c>
      <c r="H118" s="5">
        <f>+(VLOOKUP(D118,'Prezzi FI'!$C$8:$D$468,2,0)+VLOOKUP(D118,'Prezzi FI'!$H$8:$I$467,2,0))/100</f>
        <v>1.1715091000000002</v>
      </c>
      <c r="I118" s="5">
        <f>+IF(VLOOKUP(D118,'Prezzi FI'!$H$8:$I$467,2,0)&lt;VLOOKUP(D119,'Prezzi FI'!$H$8:$I$467,2,0),4.25/2,0)/100</f>
        <v>0</v>
      </c>
      <c r="K118" s="4" t="str">
        <f t="shared" si="12"/>
        <v>201521</v>
      </c>
      <c r="L118" s="14">
        <f t="shared" si="13"/>
        <v>42142</v>
      </c>
      <c r="M118" s="39">
        <f t="shared" si="14"/>
        <v>3.6258971153026636E-3</v>
      </c>
      <c r="N118" s="39">
        <f t="shared" si="15"/>
        <v>8.7106927086215737E-3</v>
      </c>
      <c r="O118" s="39">
        <f t="shared" si="16"/>
        <v>9.5491358136297107E-3</v>
      </c>
      <c r="P118" s="39">
        <f t="shared" si="17"/>
        <v>-1.9822269565323188E-3</v>
      </c>
      <c r="AC118" s="14"/>
    </row>
    <row r="119" spans="3:29" x14ac:dyDescent="0.75">
      <c r="C119" s="4">
        <v>5</v>
      </c>
      <c r="D119" s="58">
        <v>42139</v>
      </c>
      <c r="E119" s="5">
        <f>+VLOOKUP(D119,'Prezzi Trade'!$I$9:$J$468,2,0)</f>
        <v>23.4</v>
      </c>
      <c r="F119" s="5">
        <f>+VLOOKUP(D119,'Prezzi Trade'!$K$9:$L$468,2,0)</f>
        <v>158.88</v>
      </c>
      <c r="G119" s="5">
        <f>+VLOOKUP(D119,'Prezzi Trade'!$M$9:$N$468,2,0)/VLOOKUP(D119,'Prezzi Trade'!$O$9:$P$468,2,0)</f>
        <v>845.53314121037465</v>
      </c>
      <c r="H119" s="5">
        <f>+(VLOOKUP(D119,'Prezzi FI'!$C$8:$D$468,2,0)+VLOOKUP(D119,'Prezzi FI'!$H$8:$I$467,2,0))/100</f>
        <v>1.1738336</v>
      </c>
      <c r="I119" s="5">
        <f>+IF(VLOOKUP(D119,'Prezzi FI'!$H$8:$I$467,2,0)&lt;VLOOKUP(D120,'Prezzi FI'!$H$8:$I$467,2,0),4.25/2,0)/100</f>
        <v>0</v>
      </c>
      <c r="K119" s="4" t="str">
        <f t="shared" si="12"/>
        <v>201520</v>
      </c>
      <c r="L119" s="14">
        <f t="shared" si="13"/>
        <v>42139</v>
      </c>
      <c r="M119" s="39">
        <f t="shared" si="14"/>
        <v>-2.7739268827253194E-3</v>
      </c>
      <c r="N119" s="39">
        <f t="shared" si="15"/>
        <v>-4.7720798836706725E-3</v>
      </c>
      <c r="O119" s="39">
        <f t="shared" si="16"/>
        <v>-6.3409287719339734E-3</v>
      </c>
      <c r="P119" s="39">
        <f t="shared" si="17"/>
        <v>1.7098803319366776E-3</v>
      </c>
      <c r="AC119" s="14"/>
    </row>
    <row r="120" spans="3:29" x14ac:dyDescent="0.75">
      <c r="C120" s="4">
        <v>4</v>
      </c>
      <c r="D120" s="58">
        <v>42138</v>
      </c>
      <c r="E120" s="5">
        <f>+VLOOKUP(D120,'Prezzi Trade'!$I$9:$J$468,2,0)</f>
        <v>23.465</v>
      </c>
      <c r="F120" s="5">
        <f>+VLOOKUP(D120,'Prezzi Trade'!$K$9:$L$468,2,0)</f>
        <v>159.63999999999999</v>
      </c>
      <c r="G120" s="5">
        <f>+VLOOKUP(D120,'Prezzi Trade'!$M$9:$N$468,2,0)/VLOOKUP(D120,'Prezzi Trade'!$O$9:$P$468,2,0)</f>
        <v>850.91164095371664</v>
      </c>
      <c r="H120" s="5">
        <f>+(VLOOKUP(D120,'Prezzi FI'!$C$8:$D$468,2,0)+VLOOKUP(D120,'Prezzi FI'!$H$8:$I$467,2,0))/100</f>
        <v>1.1718282</v>
      </c>
      <c r="I120" s="5">
        <f>+IF(VLOOKUP(D120,'Prezzi FI'!$H$8:$I$467,2,0)&lt;VLOOKUP(D121,'Prezzi FI'!$H$8:$I$467,2,0),4.25/2,0)/100</f>
        <v>0</v>
      </c>
      <c r="K120" s="4" t="str">
        <f t="shared" si="12"/>
        <v>201520</v>
      </c>
      <c r="L120" s="14">
        <f t="shared" si="13"/>
        <v>42138</v>
      </c>
      <c r="M120" s="39">
        <f t="shared" si="14"/>
        <v>1.3299209313665659E-2</v>
      </c>
      <c r="N120" s="39">
        <f t="shared" si="15"/>
        <v>6.5990246700235091E-3</v>
      </c>
      <c r="O120" s="39">
        <f t="shared" si="16"/>
        <v>-4.4248745327105203E-3</v>
      </c>
      <c r="P120" s="39">
        <f t="shared" si="17"/>
        <v>9.6178075407827278E-4</v>
      </c>
      <c r="AC120" s="14"/>
    </row>
    <row r="121" spans="3:29" x14ac:dyDescent="0.75">
      <c r="C121" s="4">
        <v>3</v>
      </c>
      <c r="D121" s="58">
        <v>42137</v>
      </c>
      <c r="E121" s="5">
        <f>+VLOOKUP(D121,'Prezzi Trade'!$I$9:$J$468,2,0)</f>
        <v>23.155000000000001</v>
      </c>
      <c r="F121" s="5">
        <f>+VLOOKUP(D121,'Prezzi Trade'!$K$9:$L$468,2,0)</f>
        <v>158.59</v>
      </c>
      <c r="G121" s="5">
        <f>+VLOOKUP(D121,'Prezzi Trade'!$M$9:$N$468,2,0)/VLOOKUP(D121,'Prezzi Trade'!$O$9:$P$468,2,0)</f>
        <v>854.68516072214891</v>
      </c>
      <c r="H121" s="5">
        <f>+(VLOOKUP(D121,'Prezzi FI'!$C$8:$D$468,2,0)+VLOOKUP(D121,'Prezzi FI'!$H$8:$I$467,2,0))/100</f>
        <v>1.1707017</v>
      </c>
      <c r="I121" s="5">
        <f>+IF(VLOOKUP(D121,'Prezzi FI'!$H$8:$I$467,2,0)&lt;VLOOKUP(D122,'Prezzi FI'!$H$8:$I$467,2,0),4.25/2,0)/100</f>
        <v>0</v>
      </c>
      <c r="K121" s="4" t="str">
        <f t="shared" si="12"/>
        <v>201520</v>
      </c>
      <c r="L121" s="14">
        <f t="shared" si="13"/>
        <v>42137</v>
      </c>
      <c r="M121" s="39">
        <f t="shared" si="14"/>
        <v>4.5449704900577675E-3</v>
      </c>
      <c r="N121" s="39">
        <f t="shared" si="15"/>
        <v>-7.1000266845110734E-3</v>
      </c>
      <c r="O121" s="39">
        <f t="shared" si="16"/>
        <v>-1.3022181074246851E-2</v>
      </c>
      <c r="P121" s="39">
        <f t="shared" si="17"/>
        <v>-3.8010668531539389E-5</v>
      </c>
      <c r="AC121" s="14"/>
    </row>
    <row r="122" spans="3:29" x14ac:dyDescent="0.75">
      <c r="C122" s="4">
        <v>2</v>
      </c>
      <c r="D122" s="58">
        <v>42136</v>
      </c>
      <c r="E122" s="5">
        <f>+VLOOKUP(D122,'Prezzi Trade'!$I$9:$J$468,2,0)</f>
        <v>23.05</v>
      </c>
      <c r="F122" s="5">
        <f>+VLOOKUP(D122,'Prezzi Trade'!$K$9:$L$468,2,0)</f>
        <v>159.72</v>
      </c>
      <c r="G122" s="5">
        <f>+VLOOKUP(D122,'Prezzi Trade'!$M$9:$N$468,2,0)/VLOOKUP(D122,'Prezzi Trade'!$O$9:$P$468,2,0)</f>
        <v>865.8878087933648</v>
      </c>
      <c r="H122" s="5">
        <f>+(VLOOKUP(D122,'Prezzi FI'!$C$8:$D$468,2,0)+VLOOKUP(D122,'Prezzi FI'!$H$8:$I$467,2,0))/100</f>
        <v>1.1707462</v>
      </c>
      <c r="I122" s="5">
        <f>+IF(VLOOKUP(D122,'Prezzi FI'!$H$8:$I$467,2,0)&lt;VLOOKUP(D123,'Prezzi FI'!$H$8:$I$467,2,0),4.25/2,0)/100</f>
        <v>0</v>
      </c>
      <c r="K122" s="4" t="str">
        <f t="shared" si="12"/>
        <v>201520</v>
      </c>
      <c r="L122" s="14">
        <f t="shared" si="13"/>
        <v>42136</v>
      </c>
      <c r="M122" s="39">
        <f t="shared" si="14"/>
        <v>-1.121668360500813E-2</v>
      </c>
      <c r="N122" s="39">
        <f t="shared" si="15"/>
        <v>-1.2505995936666381E-2</v>
      </c>
      <c r="O122" s="39">
        <f t="shared" si="16"/>
        <v>7.8440764231275956E-3</v>
      </c>
      <c r="P122" s="39">
        <f t="shared" si="17"/>
        <v>-1.582779218182648E-3</v>
      </c>
      <c r="AC122" s="14"/>
    </row>
    <row r="123" spans="3:29" x14ac:dyDescent="0.75">
      <c r="C123" s="4">
        <v>1</v>
      </c>
      <c r="D123" s="58">
        <v>42135</v>
      </c>
      <c r="E123" s="5">
        <f>+VLOOKUP(D123,'Prezzi Trade'!$I$9:$J$468,2,0)</f>
        <v>23.31</v>
      </c>
      <c r="F123" s="5">
        <f>+VLOOKUP(D123,'Prezzi Trade'!$K$9:$L$468,2,0)</f>
        <v>161.72999999999999</v>
      </c>
      <c r="G123" s="5">
        <f>+VLOOKUP(D123,'Prezzi Trade'!$M$9:$N$468,2,0)/VLOOKUP(D123,'Prezzi Trade'!$O$9:$P$468,2,0)</f>
        <v>859.12228796844181</v>
      </c>
      <c r="H123" s="5">
        <f>+(VLOOKUP(D123,'Prezzi FI'!$C$8:$D$468,2,0)+VLOOKUP(D123,'Prezzi FI'!$H$8:$I$467,2,0))/100</f>
        <v>1.1726007000000001</v>
      </c>
      <c r="I123" s="5">
        <f>+IF(VLOOKUP(D123,'Prezzi FI'!$H$8:$I$467,2,0)&lt;VLOOKUP(D124,'Prezzi FI'!$H$8:$I$467,2,0),4.25/2,0)/100</f>
        <v>0</v>
      </c>
      <c r="K123" s="4" t="str">
        <f t="shared" si="12"/>
        <v>201520</v>
      </c>
      <c r="L123" s="14">
        <f t="shared" si="13"/>
        <v>42135</v>
      </c>
      <c r="M123" s="39">
        <f t="shared" si="14"/>
        <v>8.5836915141608344E-4</v>
      </c>
      <c r="N123" s="39">
        <f t="shared" si="15"/>
        <v>3.3444847228471289E-3</v>
      </c>
      <c r="O123" s="39">
        <f t="shared" si="16"/>
        <v>-1.4849627540943838E-3</v>
      </c>
      <c r="P123" s="39">
        <f t="shared" si="17"/>
        <v>-6.6027961168572957E-4</v>
      </c>
      <c r="AC123" s="14"/>
    </row>
    <row r="124" spans="3:29" x14ac:dyDescent="0.75">
      <c r="C124" s="4">
        <v>5</v>
      </c>
      <c r="D124" s="58">
        <v>42132</v>
      </c>
      <c r="E124" s="5">
        <f>+VLOOKUP(D124,'Prezzi Trade'!$I$9:$J$468,2,0)</f>
        <v>23.29</v>
      </c>
      <c r="F124" s="5">
        <f>+VLOOKUP(D124,'Prezzi Trade'!$K$9:$L$468,2,0)</f>
        <v>161.19</v>
      </c>
      <c r="G124" s="5">
        <f>+VLOOKUP(D124,'Prezzi Trade'!$M$9:$N$468,2,0)/VLOOKUP(D124,'Prezzi Trade'!$O$9:$P$468,2,0)</f>
        <v>860.39900026778537</v>
      </c>
      <c r="H124" s="5">
        <f>+(VLOOKUP(D124,'Prezzi FI'!$C$8:$D$468,2,0)+VLOOKUP(D124,'Prezzi FI'!$H$8:$I$467,2,0))/100</f>
        <v>1.1733752</v>
      </c>
      <c r="I124" s="5">
        <f>+IF(VLOOKUP(D124,'Prezzi FI'!$H$8:$I$467,2,0)&lt;VLOOKUP(D125,'Prezzi FI'!$H$8:$I$467,2,0),4.25/2,0)/100</f>
        <v>0</v>
      </c>
      <c r="K124" s="4" t="str">
        <f t="shared" si="12"/>
        <v>201519</v>
      </c>
      <c r="L124" s="14">
        <f t="shared" si="13"/>
        <v>42132</v>
      </c>
      <c r="M124" s="39">
        <f t="shared" si="14"/>
        <v>2.1482870230844886E-2</v>
      </c>
      <c r="N124" s="39">
        <f t="shared" si="15"/>
        <v>2.2904399133661463E-2</v>
      </c>
      <c r="O124" s="39">
        <f t="shared" si="16"/>
        <v>6.0845426280415546E-3</v>
      </c>
      <c r="P124" s="39">
        <f t="shared" si="17"/>
        <v>1.9411602269884859E-3</v>
      </c>
      <c r="AC124" s="14"/>
    </row>
    <row r="125" spans="3:29" x14ac:dyDescent="0.75">
      <c r="C125" s="4">
        <v>4</v>
      </c>
      <c r="D125" s="58">
        <v>42131</v>
      </c>
      <c r="E125" s="5">
        <f>+VLOOKUP(D125,'Prezzi Trade'!$I$9:$J$468,2,0)</f>
        <v>22.795000000000002</v>
      </c>
      <c r="F125" s="5">
        <f>+VLOOKUP(D125,'Prezzi Trade'!$K$9:$L$468,2,0)</f>
        <v>157.54</v>
      </c>
      <c r="G125" s="5">
        <f>+VLOOKUP(D125,'Prezzi Trade'!$M$9:$N$468,2,0)/VLOOKUP(D125,'Prezzi Trade'!$O$9:$P$468,2,0)</f>
        <v>855.17976031957392</v>
      </c>
      <c r="H125" s="5">
        <f>+(VLOOKUP(D125,'Prezzi FI'!$C$8:$D$468,2,0)+VLOOKUP(D125,'Prezzi FI'!$H$8:$I$467,2,0))/100</f>
        <v>1.1710997000000001</v>
      </c>
      <c r="I125" s="5">
        <f>+IF(VLOOKUP(D125,'Prezzi FI'!$H$8:$I$467,2,0)&lt;VLOOKUP(D126,'Prezzi FI'!$H$8:$I$467,2,0),4.25/2,0)/100</f>
        <v>0</v>
      </c>
      <c r="K125" s="4" t="str">
        <f t="shared" si="12"/>
        <v>201519</v>
      </c>
      <c r="L125" s="14">
        <f t="shared" si="13"/>
        <v>42131</v>
      </c>
      <c r="M125" s="39">
        <f t="shared" si="14"/>
        <v>6.3813617363618035E-3</v>
      </c>
      <c r="N125" s="39">
        <f t="shared" si="15"/>
        <v>2.7331973156721357E-3</v>
      </c>
      <c r="O125" s="39">
        <f t="shared" si="16"/>
        <v>-4.4460501922119981E-3</v>
      </c>
      <c r="P125" s="39">
        <f t="shared" si="17"/>
        <v>4.4470705119790035E-3</v>
      </c>
      <c r="AC125" s="14"/>
    </row>
    <row r="126" spans="3:29" x14ac:dyDescent="0.75">
      <c r="C126" s="4">
        <v>3</v>
      </c>
      <c r="D126" s="58">
        <v>42130</v>
      </c>
      <c r="E126" s="5">
        <f>+VLOOKUP(D126,'Prezzi Trade'!$I$9:$J$468,2,0)</f>
        <v>22.65</v>
      </c>
      <c r="F126" s="5">
        <f>+VLOOKUP(D126,'Prezzi Trade'!$K$9:$L$468,2,0)</f>
        <v>157.11000000000001</v>
      </c>
      <c r="G126" s="5">
        <f>+VLOOKUP(D126,'Prezzi Trade'!$M$9:$N$468,2,0)/VLOOKUP(D126,'Prezzi Trade'!$O$9:$P$468,2,0)</f>
        <v>858.99039732182189</v>
      </c>
      <c r="H126" s="5">
        <f>+(VLOOKUP(D126,'Prezzi FI'!$C$8:$D$468,2,0)+VLOOKUP(D126,'Prezzi FI'!$H$8:$I$467,2,0))/100</f>
        <v>1.1659033000000001</v>
      </c>
      <c r="I126" s="5">
        <f>+IF(VLOOKUP(D126,'Prezzi FI'!$H$8:$I$467,2,0)&lt;VLOOKUP(D127,'Prezzi FI'!$H$8:$I$467,2,0),4.25/2,0)/100</f>
        <v>0</v>
      </c>
      <c r="K126" s="4" t="str">
        <f t="shared" si="12"/>
        <v>201519</v>
      </c>
      <c r="L126" s="14">
        <f t="shared" si="13"/>
        <v>42130</v>
      </c>
      <c r="M126" s="39">
        <f t="shared" si="14"/>
        <v>-1.5551731678388947E-2</v>
      </c>
      <c r="N126" s="39">
        <f t="shared" si="15"/>
        <v>-2.0599802419376478E-2</v>
      </c>
      <c r="O126" s="39">
        <f t="shared" si="16"/>
        <v>4.5554205955340845E-4</v>
      </c>
      <c r="P126" s="39">
        <f t="shared" si="17"/>
        <v>-9.3340096756778339E-3</v>
      </c>
      <c r="AC126" s="14"/>
    </row>
    <row r="127" spans="3:29" x14ac:dyDescent="0.75">
      <c r="C127" s="4">
        <v>4</v>
      </c>
      <c r="D127" s="58">
        <v>42124</v>
      </c>
      <c r="E127" s="5">
        <f>+VLOOKUP(D127,'Prezzi Trade'!$I$9:$J$468,2,0)</f>
        <v>23.004999999999999</v>
      </c>
      <c r="F127" s="5">
        <f>+VLOOKUP(D127,'Prezzi Trade'!$K$9:$L$468,2,0)</f>
        <v>160.38</v>
      </c>
      <c r="G127" s="5">
        <f>+VLOOKUP(D127,'Prezzi Trade'!$M$9:$N$468,2,0)/VLOOKUP(D127,'Prezzi Trade'!$O$9:$P$468,2,0)</f>
        <v>858.59918018178564</v>
      </c>
      <c r="H127" s="5">
        <f>+(VLOOKUP(D127,'Prezzi FI'!$C$8:$D$468,2,0)+VLOOKUP(D127,'Prezzi FI'!$H$8:$I$467,2,0))/100</f>
        <v>1.1768368</v>
      </c>
      <c r="I127" s="5">
        <f>+IF(VLOOKUP(D127,'Prezzi FI'!$H$8:$I$467,2,0)&lt;VLOOKUP(D128,'Prezzi FI'!$H$8:$I$467,2,0),4.25/2,0)/100</f>
        <v>0</v>
      </c>
      <c r="K127" s="4" t="str">
        <f t="shared" si="12"/>
        <v>201518</v>
      </c>
      <c r="L127" s="14">
        <f t="shared" si="13"/>
        <v>42124</v>
      </c>
      <c r="M127" s="39">
        <f t="shared" si="14"/>
        <v>3.2654867376188373E-3</v>
      </c>
      <c r="N127" s="39">
        <f t="shared" si="15"/>
        <v>-7.268692891624697E-3</v>
      </c>
      <c r="O127" s="39">
        <f t="shared" si="16"/>
        <v>-1.646905420426961E-3</v>
      </c>
      <c r="P127" s="39">
        <f t="shared" si="17"/>
        <v>-2.8419613530748729E-4</v>
      </c>
      <c r="AC127" s="14"/>
    </row>
    <row r="128" spans="3:29" x14ac:dyDescent="0.75">
      <c r="C128" s="4">
        <v>3</v>
      </c>
      <c r="D128" s="58">
        <v>42123</v>
      </c>
      <c r="E128" s="5">
        <f>+VLOOKUP(D128,'Prezzi Trade'!$I$9:$J$468,2,0)</f>
        <v>22.93</v>
      </c>
      <c r="F128" s="5">
        <f>+VLOOKUP(D128,'Prezzi Trade'!$K$9:$L$468,2,0)</f>
        <v>161.55000000000001</v>
      </c>
      <c r="G128" s="5">
        <f>+VLOOKUP(D128,'Prezzi Trade'!$M$9:$N$468,2,0)/VLOOKUP(D128,'Prezzi Trade'!$O$9:$P$468,2,0)</f>
        <v>860.0143768532663</v>
      </c>
      <c r="H128" s="5">
        <f>+(VLOOKUP(D128,'Prezzi FI'!$C$8:$D$468,2,0)+VLOOKUP(D128,'Prezzi FI'!$H$8:$I$467,2,0))/100</f>
        <v>1.1771712999999999</v>
      </c>
      <c r="I128" s="5">
        <f>+IF(VLOOKUP(D128,'Prezzi FI'!$H$8:$I$467,2,0)&lt;VLOOKUP(D129,'Prezzi FI'!$H$8:$I$467,2,0),4.25/2,0)/100</f>
        <v>0</v>
      </c>
      <c r="K128" s="4" t="str">
        <f t="shared" si="12"/>
        <v>201518</v>
      </c>
      <c r="L128" s="14">
        <f t="shared" si="13"/>
        <v>42123</v>
      </c>
      <c r="M128" s="39">
        <f t="shared" si="14"/>
        <v>-2.5617588601630232E-2</v>
      </c>
      <c r="N128" s="39">
        <f t="shared" si="15"/>
        <v>-2.0463892642369464E-2</v>
      </c>
      <c r="O128" s="39">
        <f t="shared" si="16"/>
        <v>-6.7328091396584057E-3</v>
      </c>
      <c r="P128" s="39">
        <f t="shared" si="17"/>
        <v>-3.0094718370981296E-3</v>
      </c>
      <c r="AC128" s="14"/>
    </row>
    <row r="129" spans="3:29" x14ac:dyDescent="0.75">
      <c r="C129" s="4">
        <v>2</v>
      </c>
      <c r="D129" s="58">
        <v>42122</v>
      </c>
      <c r="E129" s="5">
        <f>+VLOOKUP(D129,'Prezzi Trade'!$I$9:$J$468,2,0)</f>
        <v>23.524999999999999</v>
      </c>
      <c r="F129" s="5">
        <f>+VLOOKUP(D129,'Prezzi Trade'!$K$9:$L$468,2,0)</f>
        <v>164.89</v>
      </c>
      <c r="G129" s="5">
        <f>+VLOOKUP(D129,'Prezzi Trade'!$M$9:$N$468,2,0)/VLOOKUP(D129,'Prezzi Trade'!$O$9:$P$468,2,0)</f>
        <v>865.82422586520931</v>
      </c>
      <c r="H129" s="5">
        <f>+(VLOOKUP(D129,'Prezzi FI'!$C$8:$D$468,2,0)+VLOOKUP(D129,'Prezzi FI'!$H$8:$I$467,2,0))/100</f>
        <v>1.1807193</v>
      </c>
      <c r="I129" s="5">
        <f>+IF(VLOOKUP(D129,'Prezzi FI'!$H$8:$I$467,2,0)&lt;VLOOKUP(D130,'Prezzi FI'!$H$8:$I$467,2,0),4.25/2,0)/100</f>
        <v>0</v>
      </c>
      <c r="K129" s="4" t="str">
        <f t="shared" si="12"/>
        <v>201518</v>
      </c>
      <c r="L129" s="14">
        <f t="shared" si="13"/>
        <v>42122</v>
      </c>
      <c r="M129" s="39">
        <f t="shared" si="14"/>
        <v>-1.0360595900659238E-2</v>
      </c>
      <c r="N129" s="39">
        <f t="shared" si="15"/>
        <v>-1.2295977954419978E-2</v>
      </c>
      <c r="O129" s="39">
        <f t="shared" si="16"/>
        <v>-8.5820976820849913E-3</v>
      </c>
      <c r="P129" s="39">
        <f t="shared" si="17"/>
        <v>1.9091880452367028E-4</v>
      </c>
      <c r="AC129" s="14"/>
    </row>
    <row r="130" spans="3:29" x14ac:dyDescent="0.75">
      <c r="C130" s="4">
        <v>1</v>
      </c>
      <c r="D130" s="58">
        <v>42121</v>
      </c>
      <c r="E130" s="5">
        <f>+VLOOKUP(D130,'Prezzi Trade'!$I$9:$J$468,2,0)</f>
        <v>23.77</v>
      </c>
      <c r="F130" s="5">
        <f>+VLOOKUP(D130,'Prezzi Trade'!$K$9:$L$468,2,0)</f>
        <v>166.93</v>
      </c>
      <c r="G130" s="5">
        <f>+VLOOKUP(D130,'Prezzi Trade'!$M$9:$N$468,2,0)/VLOOKUP(D130,'Prezzi Trade'!$O$9:$P$468,2,0)</f>
        <v>873.28679037295603</v>
      </c>
      <c r="H130" s="5">
        <f>+(VLOOKUP(D130,'Prezzi FI'!$C$8:$D$468,2,0)+VLOOKUP(D130,'Prezzi FI'!$H$8:$I$467,2,0))/100</f>
        <v>1.1804938999999999</v>
      </c>
      <c r="I130" s="5">
        <f>+IF(VLOOKUP(D130,'Prezzi FI'!$H$8:$I$467,2,0)&lt;VLOOKUP(D131,'Prezzi FI'!$H$8:$I$467,2,0),4.25/2,0)/100</f>
        <v>0</v>
      </c>
      <c r="K130" s="4" t="str">
        <f t="shared" si="12"/>
        <v>201518</v>
      </c>
      <c r="L130" s="14">
        <f t="shared" si="13"/>
        <v>42121</v>
      </c>
      <c r="M130" s="39">
        <f t="shared" si="14"/>
        <v>1.6329490194252855E-2</v>
      </c>
      <c r="N130" s="39">
        <f t="shared" si="15"/>
        <v>3.1800344801885213E-3</v>
      </c>
      <c r="O130" s="39">
        <f t="shared" si="16"/>
        <v>8.1913450549280073E-4</v>
      </c>
      <c r="P130" s="39">
        <f t="shared" si="17"/>
        <v>1.8275996983500692E-3</v>
      </c>
      <c r="AC130" s="14"/>
    </row>
    <row r="131" spans="3:29" x14ac:dyDescent="0.75">
      <c r="C131" s="4">
        <v>5</v>
      </c>
      <c r="D131" s="58">
        <v>42118</v>
      </c>
      <c r="E131" s="5">
        <f>+VLOOKUP(D131,'Prezzi Trade'!$I$9:$J$468,2,0)</f>
        <v>23.385000000000002</v>
      </c>
      <c r="F131" s="5">
        <f>+VLOOKUP(D131,'Prezzi Trade'!$K$9:$L$468,2,0)</f>
        <v>166.4</v>
      </c>
      <c r="G131" s="5">
        <f>+VLOOKUP(D131,'Prezzi Trade'!$M$9:$N$468,2,0)/VLOOKUP(D131,'Prezzi Trade'!$O$9:$P$468,2,0)</f>
        <v>872.57174392935985</v>
      </c>
      <c r="H131" s="5">
        <f>+(VLOOKUP(D131,'Prezzi FI'!$C$8:$D$468,2,0)+VLOOKUP(D131,'Prezzi FI'!$H$8:$I$467,2,0))/100</f>
        <v>1.1783383999999999</v>
      </c>
      <c r="I131" s="5">
        <f>+IF(VLOOKUP(D131,'Prezzi FI'!$H$8:$I$467,2,0)&lt;VLOOKUP(D132,'Prezzi FI'!$H$8:$I$467,2,0),4.25/2,0)/100</f>
        <v>0</v>
      </c>
      <c r="K131" s="4" t="str">
        <f t="shared" si="12"/>
        <v>201517</v>
      </c>
      <c r="L131" s="14">
        <f t="shared" si="13"/>
        <v>42118</v>
      </c>
      <c r="M131" s="39">
        <f t="shared" si="14"/>
        <v>8.3736399104093594E-3</v>
      </c>
      <c r="N131" s="39">
        <f t="shared" si="15"/>
        <v>-1.2018508517550393E-4</v>
      </c>
      <c r="O131" s="39">
        <f t="shared" si="16"/>
        <v>-2.2350945904910905E-3</v>
      </c>
      <c r="P131" s="39">
        <f t="shared" si="17"/>
        <v>-1.047113275886985E-3</v>
      </c>
      <c r="AC131" s="14"/>
    </row>
    <row r="132" spans="3:29" x14ac:dyDescent="0.75">
      <c r="C132" s="4">
        <v>4</v>
      </c>
      <c r="D132" s="58">
        <v>42117</v>
      </c>
      <c r="E132" s="5">
        <f>+VLOOKUP(D132,'Prezzi Trade'!$I$9:$J$468,2,0)</f>
        <v>23.19</v>
      </c>
      <c r="F132" s="5">
        <f>+VLOOKUP(D132,'Prezzi Trade'!$K$9:$L$468,2,0)</f>
        <v>166.42</v>
      </c>
      <c r="G132" s="5">
        <f>+VLOOKUP(D132,'Prezzi Trade'!$M$9:$N$468,2,0)/VLOOKUP(D132,'Prezzi Trade'!$O$9:$P$468,2,0)</f>
        <v>874.5242054693274</v>
      </c>
      <c r="H132" s="5">
        <f>+(VLOOKUP(D132,'Prezzi FI'!$C$8:$D$468,2,0)+VLOOKUP(D132,'Prezzi FI'!$H$8:$I$467,2,0))/100</f>
        <v>1.1795728999999999</v>
      </c>
      <c r="I132" s="5">
        <f>+IF(VLOOKUP(D132,'Prezzi FI'!$H$8:$I$467,2,0)&lt;VLOOKUP(D133,'Prezzi FI'!$H$8:$I$467,2,0),4.25/2,0)/100</f>
        <v>0</v>
      </c>
      <c r="K132" s="4" t="str">
        <f t="shared" si="12"/>
        <v>201517</v>
      </c>
      <c r="L132" s="14">
        <f t="shared" si="13"/>
        <v>42117</v>
      </c>
      <c r="M132" s="39">
        <f t="shared" si="14"/>
        <v>-3.8734715957967751E-3</v>
      </c>
      <c r="N132" s="39">
        <f t="shared" si="15"/>
        <v>-3.6587235295724441E-3</v>
      </c>
      <c r="O132" s="39">
        <f t="shared" si="16"/>
        <v>2.5911993916936569E-3</v>
      </c>
      <c r="P132" s="39">
        <f t="shared" si="17"/>
        <v>-9.6216638915140129E-5</v>
      </c>
      <c r="AC132" s="14"/>
    </row>
    <row r="133" spans="3:29" x14ac:dyDescent="0.75">
      <c r="C133" s="4">
        <v>3</v>
      </c>
      <c r="D133" s="58">
        <v>42116</v>
      </c>
      <c r="E133" s="5">
        <f>+VLOOKUP(D133,'Prezzi Trade'!$I$9:$J$468,2,0)</f>
        <v>23.28</v>
      </c>
      <c r="F133" s="5">
        <f>+VLOOKUP(D133,'Prezzi Trade'!$K$9:$L$468,2,0)</f>
        <v>167.03</v>
      </c>
      <c r="G133" s="5">
        <f>+VLOOKUP(D133,'Prezzi Trade'!$M$9:$N$468,2,0)/VLOOKUP(D133,'Prezzi Trade'!$O$9:$P$468,2,0)</f>
        <v>872.26107226107229</v>
      </c>
      <c r="H133" s="5">
        <f>+(VLOOKUP(D133,'Prezzi FI'!$C$8:$D$468,2,0)+VLOOKUP(D133,'Prezzi FI'!$H$8:$I$467,2,0))/100</f>
        <v>1.1796864</v>
      </c>
      <c r="I133" s="5">
        <f>+IF(VLOOKUP(D133,'Prezzi FI'!$H$8:$I$467,2,0)&lt;VLOOKUP(D134,'Prezzi FI'!$H$8:$I$467,2,0),4.25/2,0)/100</f>
        <v>0</v>
      </c>
      <c r="K133" s="4" t="str">
        <f t="shared" si="12"/>
        <v>201517</v>
      </c>
      <c r="L133" s="14">
        <f t="shared" si="13"/>
        <v>42116</v>
      </c>
      <c r="M133" s="39">
        <f t="shared" si="14"/>
        <v>3.8734715957968401E-3</v>
      </c>
      <c r="N133" s="39">
        <f t="shared" si="15"/>
        <v>2.3376400491398322E-3</v>
      </c>
      <c r="O133" s="39">
        <f t="shared" si="16"/>
        <v>1.4353513508473053E-3</v>
      </c>
      <c r="P133" s="39">
        <f t="shared" si="17"/>
        <v>2.9504703123220438E-3</v>
      </c>
      <c r="AC133" s="14"/>
    </row>
    <row r="134" spans="3:29" x14ac:dyDescent="0.75">
      <c r="C134" s="4">
        <v>2</v>
      </c>
      <c r="D134" s="58">
        <v>42115</v>
      </c>
      <c r="E134" s="5">
        <f>+VLOOKUP(D134,'Prezzi Trade'!$I$9:$J$468,2,0)</f>
        <v>23.19</v>
      </c>
      <c r="F134" s="5">
        <f>+VLOOKUP(D134,'Prezzi Trade'!$K$9:$L$468,2,0)</f>
        <v>166.64</v>
      </c>
      <c r="G134" s="5">
        <f>+VLOOKUP(D134,'Prezzi Trade'!$M$9:$N$468,2,0)/VLOOKUP(D134,'Prezzi Trade'!$O$9:$P$468,2,0)</f>
        <v>871.00996925370362</v>
      </c>
      <c r="H134" s="5">
        <f>+(VLOOKUP(D134,'Prezzi FI'!$C$8:$D$468,2,0)+VLOOKUP(D134,'Prezzi FI'!$H$8:$I$467,2,0))/100</f>
        <v>1.1762109000000001</v>
      </c>
      <c r="I134" s="5">
        <f>+IF(VLOOKUP(D134,'Prezzi FI'!$H$8:$I$467,2,0)&lt;VLOOKUP(D135,'Prezzi FI'!$H$8:$I$467,2,0),4.25/2,0)/100</f>
        <v>0</v>
      </c>
      <c r="K134" s="4" t="str">
        <f t="shared" ref="K134:K197" si="19">+YEAR( L134) &amp; WEEKNUM(L134,2)</f>
        <v>201517</v>
      </c>
      <c r="L134" s="14">
        <f t="shared" ref="L134:L197" si="20">+D134</f>
        <v>42115</v>
      </c>
      <c r="M134" s="39">
        <f t="shared" ref="M134:M197" si="21">+LN(E134/E135)</f>
        <v>-4.5175940013197653E-3</v>
      </c>
      <c r="N134" s="39">
        <f t="shared" ref="N134:N197" si="22">+LN(F134/F135)</f>
        <v>1.5013665253006548E-3</v>
      </c>
      <c r="O134" s="39">
        <f t="shared" ref="O134:O197" si="23">+LN(G134/G135)</f>
        <v>-3.4734177402311927E-3</v>
      </c>
      <c r="P134" s="39">
        <f t="shared" ref="P134:P197" si="24">+LN((H134+I134)/H135)</f>
        <v>7.0207631633749574E-4</v>
      </c>
      <c r="AC134" s="14"/>
    </row>
    <row r="135" spans="3:29" x14ac:dyDescent="0.75">
      <c r="C135" s="4">
        <v>1</v>
      </c>
      <c r="D135" s="58">
        <v>42114</v>
      </c>
      <c r="E135" s="5">
        <f>+VLOOKUP(D135,'Prezzi Trade'!$I$9:$J$468,2,0)</f>
        <v>23.295000000000002</v>
      </c>
      <c r="F135" s="5">
        <f>+VLOOKUP(D135,'Prezzi Trade'!$K$9:$L$468,2,0)</f>
        <v>166.39</v>
      </c>
      <c r="G135" s="5">
        <f>+VLOOKUP(D135,'Prezzi Trade'!$M$9:$N$468,2,0)/VLOOKUP(D135,'Prezzi Trade'!$O$9:$P$468,2,0)</f>
        <v>874.04061102831588</v>
      </c>
      <c r="H135" s="5">
        <f>+(VLOOKUP(D135,'Prezzi FI'!$C$8:$D$468,2,0)+VLOOKUP(D135,'Prezzi FI'!$H$8:$I$467,2,0))/100</f>
        <v>1.1753853999999999</v>
      </c>
      <c r="I135" s="5">
        <f>+IF(VLOOKUP(D135,'Prezzi FI'!$H$8:$I$467,2,0)&lt;VLOOKUP(D136,'Prezzi FI'!$H$8:$I$467,2,0),4.25/2,0)/100</f>
        <v>0</v>
      </c>
      <c r="K135" s="4" t="str">
        <f t="shared" si="19"/>
        <v>201517</v>
      </c>
      <c r="L135" s="14">
        <f t="shared" si="20"/>
        <v>42114</v>
      </c>
      <c r="M135" s="39">
        <f t="shared" si="21"/>
        <v>1.339691601056887E-2</v>
      </c>
      <c r="N135" s="39">
        <f t="shared" si="22"/>
        <v>9.9659569143130747E-3</v>
      </c>
      <c r="O135" s="39">
        <f t="shared" si="23"/>
        <v>-1.8979416397140276E-3</v>
      </c>
      <c r="P135" s="39">
        <f t="shared" si="24"/>
        <v>-6.0770103218478141E-4</v>
      </c>
      <c r="AC135" s="14"/>
    </row>
    <row r="136" spans="3:29" x14ac:dyDescent="0.75">
      <c r="C136" s="4">
        <v>5</v>
      </c>
      <c r="D136" s="58">
        <v>42111</v>
      </c>
      <c r="E136" s="5">
        <f>+VLOOKUP(D136,'Prezzi Trade'!$I$9:$J$468,2,0)</f>
        <v>22.984999999999999</v>
      </c>
      <c r="F136" s="5">
        <f>+VLOOKUP(D136,'Prezzi Trade'!$K$9:$L$468,2,0)</f>
        <v>164.74</v>
      </c>
      <c r="G136" s="5">
        <f>+VLOOKUP(D136,'Prezzi Trade'!$M$9:$N$468,2,0)/VLOOKUP(D136,'Prezzi Trade'!$O$9:$P$468,2,0)</f>
        <v>875.70106432207319</v>
      </c>
      <c r="H136" s="5">
        <f>+(VLOOKUP(D136,'Prezzi FI'!$C$8:$D$468,2,0)+VLOOKUP(D136,'Prezzi FI'!$H$8:$I$467,2,0))/100</f>
        <v>1.1760998999999999</v>
      </c>
      <c r="I136" s="5">
        <f>+IF(VLOOKUP(D136,'Prezzi FI'!$H$8:$I$467,2,0)&lt;VLOOKUP(D137,'Prezzi FI'!$H$8:$I$467,2,0),4.25/2,0)/100</f>
        <v>0</v>
      </c>
      <c r="K136" s="4" t="str">
        <f t="shared" si="19"/>
        <v>201516</v>
      </c>
      <c r="L136" s="14">
        <f t="shared" si="20"/>
        <v>42111</v>
      </c>
      <c r="M136" s="39">
        <f t="shared" si="21"/>
        <v>-2.5132887689848515E-2</v>
      </c>
      <c r="N136" s="39">
        <f t="shared" si="22"/>
        <v>-1.4343643735207691E-2</v>
      </c>
      <c r="O136" s="39">
        <f t="shared" si="23"/>
        <v>1.8529623360294095E-3</v>
      </c>
      <c r="P136" s="39">
        <f t="shared" si="24"/>
        <v>-2.3648575317540116E-3</v>
      </c>
      <c r="AC136" s="14"/>
    </row>
    <row r="137" spans="3:29" x14ac:dyDescent="0.75">
      <c r="C137" s="4">
        <v>4</v>
      </c>
      <c r="D137" s="58">
        <v>42110</v>
      </c>
      <c r="E137" s="5">
        <f>+VLOOKUP(D137,'Prezzi Trade'!$I$9:$J$468,2,0)</f>
        <v>23.57</v>
      </c>
      <c r="F137" s="5">
        <f>+VLOOKUP(D137,'Prezzi Trade'!$K$9:$L$468,2,0)</f>
        <v>167.12</v>
      </c>
      <c r="G137" s="5">
        <f>+VLOOKUP(D137,'Prezzi Trade'!$M$9:$N$468,2,0)/VLOOKUP(D137,'Prezzi Trade'!$O$9:$P$468,2,0)</f>
        <v>874.07992565055758</v>
      </c>
      <c r="H137" s="5">
        <f>+(VLOOKUP(D137,'Prezzi FI'!$C$8:$D$468,2,0)+VLOOKUP(D137,'Prezzi FI'!$H$8:$I$467,2,0))/100</f>
        <v>1.1788845000000001</v>
      </c>
      <c r="I137" s="5">
        <f>+IF(VLOOKUP(D137,'Prezzi FI'!$H$8:$I$467,2,0)&lt;VLOOKUP(D138,'Prezzi FI'!$H$8:$I$467,2,0),4.25/2,0)/100</f>
        <v>0</v>
      </c>
      <c r="K137" s="4" t="str">
        <f t="shared" si="19"/>
        <v>201516</v>
      </c>
      <c r="L137" s="14">
        <f t="shared" si="20"/>
        <v>42110</v>
      </c>
      <c r="M137" s="39">
        <f t="shared" si="21"/>
        <v>-1.7036903821462172E-2</v>
      </c>
      <c r="N137" s="39">
        <f t="shared" si="22"/>
        <v>-1.0061704864986988E-2</v>
      </c>
      <c r="O137" s="39">
        <f t="shared" si="23"/>
        <v>4.2677222590172528E-3</v>
      </c>
      <c r="P137" s="39">
        <f t="shared" si="24"/>
        <v>-3.0351273271840137E-3</v>
      </c>
      <c r="AC137" s="14"/>
    </row>
    <row r="138" spans="3:29" x14ac:dyDescent="0.75">
      <c r="C138" s="4">
        <v>3</v>
      </c>
      <c r="D138" s="58">
        <v>42109</v>
      </c>
      <c r="E138" s="5">
        <f>+VLOOKUP(D138,'Prezzi Trade'!$I$9:$J$468,2,0)</f>
        <v>23.975000000000001</v>
      </c>
      <c r="F138" s="5">
        <f>+VLOOKUP(D138,'Prezzi Trade'!$K$9:$L$468,2,0)</f>
        <v>168.81</v>
      </c>
      <c r="G138" s="5">
        <f>+VLOOKUP(D138,'Prezzi Trade'!$M$9:$N$468,2,0)/VLOOKUP(D138,'Prezzi Trade'!$O$9:$P$468,2,0)</f>
        <v>870.35754399101461</v>
      </c>
      <c r="H138" s="5">
        <f>+(VLOOKUP(D138,'Prezzi FI'!$C$8:$D$468,2,0)+VLOOKUP(D138,'Prezzi FI'!$H$8:$I$467,2,0))/100</f>
        <v>1.1824679999999999</v>
      </c>
      <c r="I138" s="5">
        <f>+IF(VLOOKUP(D138,'Prezzi FI'!$H$8:$I$467,2,0)&lt;VLOOKUP(D139,'Prezzi FI'!$H$8:$I$467,2,0),4.25/2,0)/100</f>
        <v>0</v>
      </c>
      <c r="K138" s="4" t="str">
        <f t="shared" si="19"/>
        <v>201516</v>
      </c>
      <c r="L138" s="14">
        <f t="shared" si="20"/>
        <v>42109</v>
      </c>
      <c r="M138" s="39">
        <f t="shared" si="21"/>
        <v>1.0693046639977385E-2</v>
      </c>
      <c r="N138" s="39">
        <f t="shared" si="22"/>
        <v>9.1645487893798564E-3</v>
      </c>
      <c r="O138" s="39">
        <f t="shared" si="23"/>
        <v>8.2529415881897987E-3</v>
      </c>
      <c r="P138" s="39">
        <f t="shared" si="24"/>
        <v>1.3586760268858888E-3</v>
      </c>
      <c r="AC138" s="14"/>
    </row>
    <row r="139" spans="3:29" x14ac:dyDescent="0.75">
      <c r="C139" s="4">
        <v>2</v>
      </c>
      <c r="D139" s="58">
        <v>42108</v>
      </c>
      <c r="E139" s="5">
        <f>+VLOOKUP(D139,'Prezzi Trade'!$I$9:$J$468,2,0)</f>
        <v>23.72</v>
      </c>
      <c r="F139" s="5">
        <f>+VLOOKUP(D139,'Prezzi Trade'!$K$9:$L$468,2,0)</f>
        <v>167.27</v>
      </c>
      <c r="G139" s="5">
        <f>+VLOOKUP(D139,'Prezzi Trade'!$M$9:$N$468,2,0)/VLOOKUP(D139,'Prezzi Trade'!$O$9:$P$468,2,0)</f>
        <v>863.20409312805111</v>
      </c>
      <c r="H139" s="5">
        <f>+(VLOOKUP(D139,'Prezzi FI'!$C$8:$D$468,2,0)+VLOOKUP(D139,'Prezzi FI'!$H$8:$I$467,2,0))/100</f>
        <v>1.1808625000000001</v>
      </c>
      <c r="I139" s="5">
        <f>+IF(VLOOKUP(D139,'Prezzi FI'!$H$8:$I$467,2,0)&lt;VLOOKUP(D140,'Prezzi FI'!$H$8:$I$467,2,0),4.25/2,0)/100</f>
        <v>0</v>
      </c>
      <c r="K139" s="4" t="str">
        <f t="shared" si="19"/>
        <v>201516</v>
      </c>
      <c r="L139" s="14">
        <f t="shared" si="20"/>
        <v>42108</v>
      </c>
      <c r="M139" s="39">
        <f t="shared" si="21"/>
        <v>-9.6497497273995737E-3</v>
      </c>
      <c r="N139" s="39">
        <f t="shared" si="22"/>
        <v>-9.2237852316565099E-3</v>
      </c>
      <c r="O139" s="39">
        <f t="shared" si="23"/>
        <v>-6.6098476619756291E-3</v>
      </c>
      <c r="P139" s="39">
        <f t="shared" si="24"/>
        <v>-1.1294680831083934E-3</v>
      </c>
      <c r="AC139" s="14"/>
    </row>
    <row r="140" spans="3:29" x14ac:dyDescent="0.75">
      <c r="C140" s="4">
        <v>1</v>
      </c>
      <c r="D140" s="58">
        <v>42107</v>
      </c>
      <c r="E140" s="5">
        <f>+VLOOKUP(D140,'Prezzi Trade'!$I$9:$J$468,2,0)</f>
        <v>23.95</v>
      </c>
      <c r="F140" s="5">
        <f>+VLOOKUP(D140,'Prezzi Trade'!$K$9:$L$468,2,0)</f>
        <v>168.82</v>
      </c>
      <c r="G140" s="5">
        <f>+VLOOKUP(D140,'Prezzi Trade'!$M$9:$N$468,2,0)/VLOOKUP(D140,'Prezzi Trade'!$O$9:$P$468,2,0)</f>
        <v>868.92863903085367</v>
      </c>
      <c r="H140" s="5">
        <f>+(VLOOKUP(D140,'Prezzi FI'!$C$8:$D$468,2,0)+VLOOKUP(D140,'Prezzi FI'!$H$8:$I$467,2,0))/100</f>
        <v>1.1821969999999999</v>
      </c>
      <c r="I140" s="5">
        <f>+IF(VLOOKUP(D140,'Prezzi FI'!$H$8:$I$467,2,0)&lt;VLOOKUP(D141,'Prezzi FI'!$H$8:$I$467,2,0),4.25/2,0)/100</f>
        <v>0</v>
      </c>
      <c r="K140" s="4" t="str">
        <f t="shared" si="19"/>
        <v>201516</v>
      </c>
      <c r="L140" s="14">
        <f t="shared" si="20"/>
        <v>42107</v>
      </c>
      <c r="M140" s="39">
        <f t="shared" si="21"/>
        <v>5.2328743166585121E-3</v>
      </c>
      <c r="N140" s="39">
        <f t="shared" si="22"/>
        <v>2.9067201245834054E-3</v>
      </c>
      <c r="O140" s="39">
        <f t="shared" si="23"/>
        <v>3.2924503442503645E-3</v>
      </c>
      <c r="P140" s="39">
        <f t="shared" si="24"/>
        <v>-1.4323219860082224E-3</v>
      </c>
      <c r="AC140" s="14"/>
    </row>
    <row r="141" spans="3:29" x14ac:dyDescent="0.75">
      <c r="C141" s="4">
        <v>5</v>
      </c>
      <c r="D141" s="58">
        <v>42104</v>
      </c>
      <c r="E141" s="5">
        <f>+VLOOKUP(D141,'Prezzi Trade'!$I$9:$J$468,2,0)</f>
        <v>23.824999999999999</v>
      </c>
      <c r="F141" s="5">
        <f>+VLOOKUP(D141,'Prezzi Trade'!$K$9:$L$468,2,0)</f>
        <v>168.33</v>
      </c>
      <c r="G141" s="5">
        <f>+VLOOKUP(D141,'Prezzi Trade'!$M$9:$N$468,2,0)/VLOOKUP(D141,'Prezzi Trade'!$O$9:$P$468,2,0)</f>
        <v>866.07243916242214</v>
      </c>
      <c r="H141" s="5">
        <f>+(VLOOKUP(D141,'Prezzi FI'!$C$8:$D$468,2,0)+VLOOKUP(D141,'Prezzi FI'!$H$8:$I$467,2,0))/100</f>
        <v>1.1838915000000001</v>
      </c>
      <c r="I141" s="5">
        <f>+IF(VLOOKUP(D141,'Prezzi FI'!$H$8:$I$467,2,0)&lt;VLOOKUP(D142,'Prezzi FI'!$H$8:$I$467,2,0),4.25/2,0)/100</f>
        <v>0</v>
      </c>
      <c r="K141" s="4" t="str">
        <f t="shared" si="19"/>
        <v>201515</v>
      </c>
      <c r="L141" s="14">
        <f t="shared" si="20"/>
        <v>42104</v>
      </c>
      <c r="M141" s="39">
        <f t="shared" si="21"/>
        <v>2.7319550458214871E-3</v>
      </c>
      <c r="N141" s="39">
        <f t="shared" si="22"/>
        <v>1.4541141234591555E-2</v>
      </c>
      <c r="O141" s="39">
        <f t="shared" si="23"/>
        <v>1.2893421656204843E-2</v>
      </c>
      <c r="P141" s="39">
        <f t="shared" si="24"/>
        <v>2.8342761750444536E-4</v>
      </c>
      <c r="AC141" s="14"/>
    </row>
    <row r="142" spans="3:29" x14ac:dyDescent="0.75">
      <c r="C142" s="4">
        <v>4</v>
      </c>
      <c r="D142" s="58">
        <v>42103</v>
      </c>
      <c r="E142" s="5">
        <f>+VLOOKUP(D142,'Prezzi Trade'!$I$9:$J$468,2,0)</f>
        <v>23.76</v>
      </c>
      <c r="F142" s="5">
        <f>+VLOOKUP(D142,'Prezzi Trade'!$K$9:$L$468,2,0)</f>
        <v>165.9</v>
      </c>
      <c r="G142" s="5">
        <f>+VLOOKUP(D142,'Prezzi Trade'!$M$9:$N$468,2,0)/VLOOKUP(D142,'Prezzi Trade'!$O$9:$P$468,2,0)</f>
        <v>854.97748170388434</v>
      </c>
      <c r="H142" s="5">
        <f>+(VLOOKUP(D142,'Prezzi FI'!$C$8:$D$468,2,0)+VLOOKUP(D142,'Prezzi FI'!$H$8:$I$467,2,0))/100</f>
        <v>1.1835560000000001</v>
      </c>
      <c r="I142" s="5">
        <f>+IF(VLOOKUP(D142,'Prezzi FI'!$H$8:$I$467,2,0)&lt;VLOOKUP(D143,'Prezzi FI'!$H$8:$I$467,2,0),4.25/2,0)/100</f>
        <v>0</v>
      </c>
      <c r="K142" s="4" t="str">
        <f t="shared" si="19"/>
        <v>201515</v>
      </c>
      <c r="L142" s="14">
        <f t="shared" si="20"/>
        <v>42103</v>
      </c>
      <c r="M142" s="39">
        <f t="shared" si="21"/>
        <v>9.5148196413387086E-3</v>
      </c>
      <c r="N142" s="39">
        <f t="shared" si="22"/>
        <v>9.630309732659121E-3</v>
      </c>
      <c r="O142" s="39">
        <f t="shared" si="23"/>
        <v>4.7206741841494928E-3</v>
      </c>
      <c r="P142" s="39">
        <f t="shared" si="24"/>
        <v>-1.0164186763120513E-3</v>
      </c>
      <c r="AC142" s="14"/>
    </row>
    <row r="143" spans="3:29" x14ac:dyDescent="0.75">
      <c r="C143" s="4">
        <v>3</v>
      </c>
      <c r="D143" s="58">
        <v>42102</v>
      </c>
      <c r="E143" s="5">
        <f>+VLOOKUP(D143,'Prezzi Trade'!$I$9:$J$468,2,0)</f>
        <v>23.535</v>
      </c>
      <c r="F143" s="5">
        <f>+VLOOKUP(D143,'Prezzi Trade'!$K$9:$L$468,2,0)</f>
        <v>164.31</v>
      </c>
      <c r="G143" s="5">
        <f>+VLOOKUP(D143,'Prezzi Trade'!$M$9:$N$468,2,0)/VLOOKUP(D143,'Prezzi Trade'!$O$9:$P$468,2,0)</f>
        <v>850.95092309119582</v>
      </c>
      <c r="H143" s="5">
        <f>+(VLOOKUP(D143,'Prezzi FI'!$C$8:$D$468,2,0)+VLOOKUP(D143,'Prezzi FI'!$H$8:$I$467,2,0))/100</f>
        <v>1.1847596</v>
      </c>
      <c r="I143" s="5">
        <f>+IF(VLOOKUP(D143,'Prezzi FI'!$H$8:$I$467,2,0)&lt;VLOOKUP(D144,'Prezzi FI'!$H$8:$I$467,2,0),4.25/2,0)/100</f>
        <v>0</v>
      </c>
      <c r="K143" s="4" t="str">
        <f t="shared" si="19"/>
        <v>201515</v>
      </c>
      <c r="L143" s="14">
        <f t="shared" si="20"/>
        <v>42102</v>
      </c>
      <c r="M143" s="39">
        <f t="shared" si="21"/>
        <v>-5.9309642190363901E-3</v>
      </c>
      <c r="N143" s="39">
        <f t="shared" si="22"/>
        <v>2.9866233762837753E-3</v>
      </c>
      <c r="O143" s="39">
        <f t="shared" si="23"/>
        <v>-8.2815467228250471E-3</v>
      </c>
      <c r="P143" s="39">
        <f t="shared" si="24"/>
        <v>-1.8103300010955206E-4</v>
      </c>
      <c r="AC143" s="14"/>
    </row>
    <row r="144" spans="3:29" x14ac:dyDescent="0.75">
      <c r="C144" s="4">
        <v>2</v>
      </c>
      <c r="D144" s="58">
        <v>42101</v>
      </c>
      <c r="E144" s="5">
        <f>+VLOOKUP(D144,'Prezzi Trade'!$I$9:$J$468,2,0)</f>
        <v>23.675000000000001</v>
      </c>
      <c r="F144" s="5">
        <f>+VLOOKUP(D144,'Prezzi Trade'!$K$9:$L$468,2,0)</f>
        <v>163.82</v>
      </c>
      <c r="G144" s="5">
        <f>+VLOOKUP(D144,'Prezzi Trade'!$M$9:$N$468,2,0)/VLOOKUP(D144,'Prezzi Trade'!$O$9:$P$468,2,0)</f>
        <v>858.02737445667253</v>
      </c>
      <c r="H144" s="5">
        <f>+(VLOOKUP(D144,'Prezzi FI'!$C$8:$D$468,2,0)+VLOOKUP(D144,'Prezzi FI'!$H$8:$I$467,2,0))/100</f>
        <v>1.1849741</v>
      </c>
      <c r="I144" s="5">
        <f>+IF(VLOOKUP(D144,'Prezzi FI'!$H$8:$I$467,2,0)&lt;VLOOKUP(D145,'Prezzi FI'!$H$8:$I$467,2,0),4.25/2,0)/100</f>
        <v>0</v>
      </c>
      <c r="K144" s="4" t="str">
        <f t="shared" si="19"/>
        <v>201515</v>
      </c>
      <c r="L144" s="14">
        <f t="shared" si="20"/>
        <v>42101</v>
      </c>
      <c r="M144" s="39">
        <f t="shared" si="21"/>
        <v>1.6825016208904808E-2</v>
      </c>
      <c r="N144" s="39">
        <f t="shared" si="22"/>
        <v>1.4820552302267675E-2</v>
      </c>
      <c r="O144" s="39">
        <f t="shared" si="23"/>
        <v>2.5108110219321116E-2</v>
      </c>
      <c r="P144" s="39">
        <f t="shared" si="24"/>
        <v>2.5480248183596091E-3</v>
      </c>
      <c r="AC144" s="14"/>
    </row>
    <row r="145" spans="3:29" x14ac:dyDescent="0.75">
      <c r="C145" s="4">
        <v>4</v>
      </c>
      <c r="D145" s="58">
        <v>42096</v>
      </c>
      <c r="E145" s="5">
        <f>+VLOOKUP(D145,'Prezzi Trade'!$I$9:$J$468,2,0)</f>
        <v>23.28</v>
      </c>
      <c r="F145" s="5">
        <f>+VLOOKUP(D145,'Prezzi Trade'!$K$9:$L$468,2,0)</f>
        <v>161.41</v>
      </c>
      <c r="G145" s="5">
        <f>+VLOOKUP(D145,'Prezzi Trade'!$M$9:$N$468,2,0)/VLOOKUP(D145,'Prezzi Trade'!$O$9:$P$468,2,0)</f>
        <v>836.75213675213672</v>
      </c>
      <c r="H145" s="5">
        <f>+(VLOOKUP(D145,'Prezzi FI'!$C$8:$D$468,2,0)+VLOOKUP(D145,'Prezzi FI'!$H$8:$I$467,2,0))/100</f>
        <v>1.1819586000000002</v>
      </c>
      <c r="I145" s="5">
        <f>+IF(VLOOKUP(D145,'Prezzi FI'!$H$8:$I$467,2,0)&lt;VLOOKUP(D146,'Prezzi FI'!$H$8:$I$467,2,0),4.25/2,0)/100</f>
        <v>0</v>
      </c>
      <c r="K145" s="4" t="str">
        <f t="shared" si="19"/>
        <v>201514</v>
      </c>
      <c r="L145" s="14">
        <f t="shared" si="20"/>
        <v>42096</v>
      </c>
      <c r="M145" s="39">
        <f t="shared" si="21"/>
        <v>-6.4412240552302088E-4</v>
      </c>
      <c r="N145" s="39">
        <f t="shared" si="22"/>
        <v>-2.0423958824878877E-3</v>
      </c>
      <c r="O145" s="39">
        <f t="shared" si="23"/>
        <v>-1.4455991006527946E-2</v>
      </c>
      <c r="P145" s="39">
        <f t="shared" si="24"/>
        <v>-3.5908515639776592E-4</v>
      </c>
      <c r="AC145" s="14"/>
    </row>
    <row r="146" spans="3:29" x14ac:dyDescent="0.75">
      <c r="C146" s="4">
        <v>3</v>
      </c>
      <c r="D146" s="58">
        <v>42095</v>
      </c>
      <c r="E146" s="5">
        <f>+VLOOKUP(D146,'Prezzi Trade'!$I$9:$J$468,2,0)</f>
        <v>23.295000000000002</v>
      </c>
      <c r="F146" s="5">
        <f>+VLOOKUP(D146,'Prezzi Trade'!$K$9:$L$468,2,0)</f>
        <v>161.74</v>
      </c>
      <c r="G146" s="5">
        <f>+VLOOKUP(D146,'Prezzi Trade'!$M$9:$N$468,2,0)/VLOOKUP(D146,'Prezzi Trade'!$O$9:$P$468,2,0)</f>
        <v>848.93607136220032</v>
      </c>
      <c r="H146" s="5">
        <f>+(VLOOKUP(D146,'Prezzi FI'!$C$8:$D$468,2,0)+VLOOKUP(D146,'Prezzi FI'!$H$8:$I$467,2,0))/100</f>
        <v>1.1823831</v>
      </c>
      <c r="I146" s="5">
        <f>+IF(VLOOKUP(D146,'Prezzi FI'!$H$8:$I$467,2,0)&lt;VLOOKUP(D147,'Prezzi FI'!$H$8:$I$467,2,0),4.25/2,0)/100</f>
        <v>0</v>
      </c>
      <c r="K146" s="4" t="str">
        <f t="shared" si="19"/>
        <v>201514</v>
      </c>
      <c r="L146" s="14">
        <f t="shared" si="20"/>
        <v>42095</v>
      </c>
      <c r="M146" s="39">
        <f t="shared" si="21"/>
        <v>7.5407014645834918E-3</v>
      </c>
      <c r="N146" s="39">
        <f t="shared" si="22"/>
        <v>-8.6186202047580946E-3</v>
      </c>
      <c r="O146" s="39">
        <f t="shared" si="23"/>
        <v>1.0307164414307443E-3</v>
      </c>
      <c r="P146" s="39">
        <f t="shared" si="24"/>
        <v>7.5079994937626534E-4</v>
      </c>
      <c r="AC146" s="14"/>
    </row>
    <row r="147" spans="3:29" x14ac:dyDescent="0.75">
      <c r="C147" s="4">
        <v>2</v>
      </c>
      <c r="D147" s="58">
        <v>42094</v>
      </c>
      <c r="E147" s="5">
        <f>+VLOOKUP(D147,'Prezzi Trade'!$I$9:$J$468,2,0)</f>
        <v>23.12</v>
      </c>
      <c r="F147" s="5">
        <f>+VLOOKUP(D147,'Prezzi Trade'!$K$9:$L$468,2,0)</f>
        <v>163.13999999999999</v>
      </c>
      <c r="G147" s="5">
        <f>+VLOOKUP(D147,'Prezzi Trade'!$M$9:$N$468,2,0)/VLOOKUP(D147,'Prezzi Trade'!$O$9:$P$468,2,0)</f>
        <v>848.06150978564779</v>
      </c>
      <c r="H147" s="5">
        <f>+(VLOOKUP(D147,'Prezzi FI'!$C$8:$D$468,2,0)+VLOOKUP(D147,'Prezzi FI'!$H$8:$I$467,2,0))/100</f>
        <v>1.1814956999999999</v>
      </c>
      <c r="I147" s="5">
        <f>+IF(VLOOKUP(D147,'Prezzi FI'!$H$8:$I$467,2,0)&lt;VLOOKUP(D148,'Prezzi FI'!$H$8:$I$467,2,0),4.25/2,0)/100</f>
        <v>0</v>
      </c>
      <c r="K147" s="4" t="str">
        <f t="shared" si="19"/>
        <v>201514</v>
      </c>
      <c r="L147" s="14">
        <f t="shared" si="20"/>
        <v>42094</v>
      </c>
      <c r="M147" s="39">
        <f t="shared" si="21"/>
        <v>-4.1005776677082786E-3</v>
      </c>
      <c r="N147" s="39">
        <f t="shared" si="22"/>
        <v>2.3320047389450748E-3</v>
      </c>
      <c r="O147" s="39">
        <f t="shared" si="23"/>
        <v>8.7800503916959077E-3</v>
      </c>
      <c r="P147" s="39">
        <f t="shared" si="24"/>
        <v>2.8101335287899678E-3</v>
      </c>
      <c r="AC147" s="14"/>
    </row>
    <row r="148" spans="3:29" x14ac:dyDescent="0.75">
      <c r="C148" s="4">
        <v>1</v>
      </c>
      <c r="D148" s="58">
        <v>42093</v>
      </c>
      <c r="E148" s="5">
        <f>+VLOOKUP(D148,'Prezzi Trade'!$I$9:$J$468,2,0)</f>
        <v>23.215</v>
      </c>
      <c r="F148" s="5">
        <f>+VLOOKUP(D148,'Prezzi Trade'!$K$9:$L$468,2,0)</f>
        <v>162.76</v>
      </c>
      <c r="G148" s="5">
        <f>+VLOOKUP(D148,'Prezzi Trade'!$M$9:$N$468,2,0)/VLOOKUP(D148,'Prezzi Trade'!$O$9:$P$468,2,0)</f>
        <v>840.6480797636633</v>
      </c>
      <c r="H148" s="5">
        <f>+(VLOOKUP(D148,'Prezzi FI'!$C$8:$D$468,2,0)+VLOOKUP(D148,'Prezzi FI'!$H$8:$I$467,2,0))/100</f>
        <v>1.1781801999999999</v>
      </c>
      <c r="I148" s="5">
        <f>+IF(VLOOKUP(D148,'Prezzi FI'!$H$8:$I$467,2,0)&lt;VLOOKUP(D149,'Prezzi FI'!$H$8:$I$467,2,0),4.25/2,0)/100</f>
        <v>0</v>
      </c>
      <c r="K148" s="4" t="str">
        <f t="shared" si="19"/>
        <v>201514</v>
      </c>
      <c r="L148" s="14">
        <f t="shared" si="20"/>
        <v>42093</v>
      </c>
      <c r="M148" s="39">
        <f t="shared" si="21"/>
        <v>1.1698573625088225E-2</v>
      </c>
      <c r="N148" s="39">
        <f t="shared" si="22"/>
        <v>1.6290737799103769E-2</v>
      </c>
      <c r="O148" s="39">
        <f t="shared" si="23"/>
        <v>-3.4048060000468569E-3</v>
      </c>
      <c r="P148" s="39">
        <f t="shared" si="24"/>
        <v>3.6970618627155707E-4</v>
      </c>
      <c r="AC148" s="14"/>
    </row>
    <row r="149" spans="3:29" x14ac:dyDescent="0.75">
      <c r="C149" s="4">
        <v>5</v>
      </c>
      <c r="D149" s="58">
        <v>42090</v>
      </c>
      <c r="E149" s="5">
        <f>+VLOOKUP(D149,'Prezzi Trade'!$I$9:$J$468,2,0)</f>
        <v>22.945</v>
      </c>
      <c r="F149" s="5">
        <f>+VLOOKUP(D149,'Prezzi Trade'!$K$9:$L$468,2,0)</f>
        <v>160.13</v>
      </c>
      <c r="G149" s="5">
        <f>+VLOOKUP(D149,'Prezzi Trade'!$M$9:$N$468,2,0)/VLOOKUP(D149,'Prezzi Trade'!$O$9:$P$468,2,0)</f>
        <v>843.51520161660699</v>
      </c>
      <c r="H149" s="5">
        <f>+(VLOOKUP(D149,'Prezzi FI'!$C$8:$D$468,2,0)+VLOOKUP(D149,'Prezzi FI'!$H$8:$I$467,2,0))/100</f>
        <v>1.1777446999999999</v>
      </c>
      <c r="I149" s="5">
        <f>+IF(VLOOKUP(D149,'Prezzi FI'!$H$8:$I$467,2,0)&lt;VLOOKUP(D150,'Prezzi FI'!$H$8:$I$467,2,0),4.25/2,0)/100</f>
        <v>0</v>
      </c>
      <c r="K149" s="4" t="str">
        <f t="shared" si="19"/>
        <v>201513</v>
      </c>
      <c r="L149" s="14">
        <f t="shared" si="20"/>
        <v>42090</v>
      </c>
      <c r="M149" s="39">
        <f t="shared" si="21"/>
        <v>2.3999138823213931E-3</v>
      </c>
      <c r="N149" s="39">
        <f t="shared" si="22"/>
        <v>-1.1234553671968649E-3</v>
      </c>
      <c r="O149" s="39">
        <f t="shared" si="23"/>
        <v>-1.1321759432432068E-2</v>
      </c>
      <c r="P149" s="39">
        <f t="shared" si="24"/>
        <v>9.8073601047032153E-5</v>
      </c>
      <c r="AC149" s="14"/>
    </row>
    <row r="150" spans="3:29" x14ac:dyDescent="0.75">
      <c r="C150" s="4">
        <v>4</v>
      </c>
      <c r="D150" s="58">
        <v>42089</v>
      </c>
      <c r="E150" s="5">
        <f>+VLOOKUP(D150,'Prezzi Trade'!$I$9:$J$468,2,0)</f>
        <v>22.89</v>
      </c>
      <c r="F150" s="5">
        <f>+VLOOKUP(D150,'Prezzi Trade'!$K$9:$L$468,2,0)</f>
        <v>160.31</v>
      </c>
      <c r="G150" s="5">
        <f>+VLOOKUP(D150,'Prezzi Trade'!$M$9:$N$468,2,0)/VLOOKUP(D150,'Prezzi Trade'!$O$9:$P$468,2,0)</f>
        <v>853.11954424331532</v>
      </c>
      <c r="H150" s="5">
        <f>+(VLOOKUP(D150,'Prezzi FI'!$C$8:$D$468,2,0)+VLOOKUP(D150,'Prezzi FI'!$H$8:$I$467,2,0))/100</f>
        <v>1.1776291999999999</v>
      </c>
      <c r="I150" s="5">
        <f>+IF(VLOOKUP(D150,'Prezzi FI'!$H$8:$I$467,2,0)&lt;VLOOKUP(D151,'Prezzi FI'!$H$8:$I$467,2,0),4.25/2,0)/100</f>
        <v>0</v>
      </c>
      <c r="K150" s="4" t="str">
        <f t="shared" si="19"/>
        <v>201513</v>
      </c>
      <c r="L150" s="14">
        <f t="shared" si="20"/>
        <v>42089</v>
      </c>
      <c r="M150" s="39">
        <f t="shared" si="21"/>
        <v>-8.6994894019286426E-3</v>
      </c>
      <c r="N150" s="39">
        <f t="shared" si="22"/>
        <v>-1.3091046971338348E-3</v>
      </c>
      <c r="O150" s="39">
        <f t="shared" si="23"/>
        <v>1.9680628405193582E-2</v>
      </c>
      <c r="P150" s="39">
        <f t="shared" si="24"/>
        <v>5.5195794557343388E-6</v>
      </c>
      <c r="AC150" s="14"/>
    </row>
    <row r="151" spans="3:29" x14ac:dyDescent="0.75">
      <c r="C151" s="4">
        <v>3</v>
      </c>
      <c r="D151" s="58">
        <v>42088</v>
      </c>
      <c r="E151" s="5">
        <f>+VLOOKUP(D151,'Prezzi Trade'!$I$9:$J$468,2,0)</f>
        <v>23.09</v>
      </c>
      <c r="F151" s="5">
        <f>+VLOOKUP(D151,'Prezzi Trade'!$K$9:$L$468,2,0)</f>
        <v>160.52000000000001</v>
      </c>
      <c r="G151" s="5">
        <f>+VLOOKUP(D151,'Prezzi Trade'!$M$9:$N$468,2,0)/VLOOKUP(D151,'Prezzi Trade'!$O$9:$P$468,2,0)</f>
        <v>836.4937551280882</v>
      </c>
      <c r="H151" s="5">
        <f>+(VLOOKUP(D151,'Prezzi FI'!$C$8:$D$468,2,0)+VLOOKUP(D151,'Prezzi FI'!$H$8:$I$467,2,0))/100</f>
        <v>1.1776226999999999</v>
      </c>
      <c r="I151" s="5">
        <f>+IF(VLOOKUP(D151,'Prezzi FI'!$H$8:$I$467,2,0)&lt;VLOOKUP(D152,'Prezzi FI'!$H$8:$I$467,2,0),4.25/2,0)/100</f>
        <v>0</v>
      </c>
      <c r="K151" s="4" t="str">
        <f t="shared" si="19"/>
        <v>201513</v>
      </c>
      <c r="L151" s="14">
        <f t="shared" si="20"/>
        <v>42088</v>
      </c>
      <c r="M151" s="39">
        <f t="shared" si="21"/>
        <v>-6.9055086669612877E-3</v>
      </c>
      <c r="N151" s="39">
        <f t="shared" si="22"/>
        <v>-1.7231689689935867E-2</v>
      </c>
      <c r="O151" s="39">
        <f t="shared" si="23"/>
        <v>-3.4349679259256779E-3</v>
      </c>
      <c r="P151" s="39">
        <f t="shared" si="24"/>
        <v>3.0145933067366024E-5</v>
      </c>
      <c r="AC151" s="14"/>
    </row>
    <row r="152" spans="3:29" x14ac:dyDescent="0.75">
      <c r="C152" s="4">
        <v>2</v>
      </c>
      <c r="D152" s="58">
        <v>42087</v>
      </c>
      <c r="E152" s="5">
        <f>+VLOOKUP(D152,'Prezzi Trade'!$I$9:$J$468,2,0)</f>
        <v>23.25</v>
      </c>
      <c r="F152" s="5">
        <f>+VLOOKUP(D152,'Prezzi Trade'!$K$9:$L$468,2,0)</f>
        <v>163.31</v>
      </c>
      <c r="G152" s="5">
        <f>+VLOOKUP(D152,'Prezzi Trade'!$M$9:$N$468,2,0)/VLOOKUP(D152,'Prezzi Trade'!$O$9:$P$468,2,0)</f>
        <v>839.37202489930417</v>
      </c>
      <c r="H152" s="5">
        <f>+(VLOOKUP(D152,'Prezzi FI'!$C$8:$D$468,2,0)+VLOOKUP(D152,'Prezzi FI'!$H$8:$I$467,2,0))/100</f>
        <v>1.1775872000000001</v>
      </c>
      <c r="I152" s="5">
        <f>+IF(VLOOKUP(D152,'Prezzi FI'!$H$8:$I$467,2,0)&lt;VLOOKUP(D153,'Prezzi FI'!$H$8:$I$467,2,0),4.25/2,0)/100</f>
        <v>0</v>
      </c>
      <c r="K152" s="4" t="str">
        <f t="shared" si="19"/>
        <v>201513</v>
      </c>
      <c r="L152" s="14">
        <f t="shared" si="20"/>
        <v>42087</v>
      </c>
      <c r="M152" s="39">
        <f t="shared" si="21"/>
        <v>9.0732962056749751E-3</v>
      </c>
      <c r="N152" s="39">
        <f t="shared" si="22"/>
        <v>-2.4490295842726791E-4</v>
      </c>
      <c r="O152" s="39">
        <f t="shared" si="23"/>
        <v>8.3611032907507424E-6</v>
      </c>
      <c r="P152" s="39">
        <f t="shared" si="24"/>
        <v>-6.8294332455085417E-4</v>
      </c>
      <c r="AC152" s="14"/>
    </row>
    <row r="153" spans="3:29" x14ac:dyDescent="0.75">
      <c r="C153" s="4">
        <v>1</v>
      </c>
      <c r="D153" s="58">
        <v>42086</v>
      </c>
      <c r="E153" s="5">
        <f>+VLOOKUP(D153,'Prezzi Trade'!$I$9:$J$468,2,0)</f>
        <v>23.04</v>
      </c>
      <c r="F153" s="5">
        <f>+VLOOKUP(D153,'Prezzi Trade'!$K$9:$L$468,2,0)</f>
        <v>163.35</v>
      </c>
      <c r="G153" s="5">
        <f>+VLOOKUP(D153,'Prezzi Trade'!$M$9:$N$468,2,0)/VLOOKUP(D153,'Prezzi Trade'!$O$9:$P$468,2,0)</f>
        <v>839.36500685244391</v>
      </c>
      <c r="H153" s="5">
        <f>+(VLOOKUP(D153,'Prezzi FI'!$C$8:$D$468,2,0)+VLOOKUP(D153,'Prezzi FI'!$H$8:$I$467,2,0))/100</f>
        <v>1.1783916999999999</v>
      </c>
      <c r="I153" s="5">
        <f>+IF(VLOOKUP(D153,'Prezzi FI'!$H$8:$I$467,2,0)&lt;VLOOKUP(D154,'Prezzi FI'!$H$8:$I$467,2,0),4.25/2,0)/100</f>
        <v>0</v>
      </c>
      <c r="K153" s="4" t="str">
        <f t="shared" si="19"/>
        <v>201513</v>
      </c>
      <c r="L153" s="14">
        <f t="shared" si="20"/>
        <v>42086</v>
      </c>
      <c r="M153" s="39">
        <f t="shared" si="21"/>
        <v>-3.2499216124982255E-3</v>
      </c>
      <c r="N153" s="39">
        <f t="shared" si="22"/>
        <v>-7.0762205842498658E-3</v>
      </c>
      <c r="O153" s="39">
        <f t="shared" si="23"/>
        <v>-5.8320070883746159E-3</v>
      </c>
      <c r="P153" s="39">
        <f t="shared" si="24"/>
        <v>-2.6903884856113252E-3</v>
      </c>
      <c r="AC153" s="14"/>
    </row>
    <row r="154" spans="3:29" x14ac:dyDescent="0.75">
      <c r="C154" s="4">
        <v>5</v>
      </c>
      <c r="D154" s="58">
        <v>42083</v>
      </c>
      <c r="E154" s="5">
        <f>+VLOOKUP(D154,'Prezzi Trade'!$I$9:$J$468,2,0)</f>
        <v>23.114999999999998</v>
      </c>
      <c r="F154" s="5">
        <f>+VLOOKUP(D154,'Prezzi Trade'!$K$9:$L$468,2,0)</f>
        <v>164.51</v>
      </c>
      <c r="G154" s="5">
        <f>+VLOOKUP(D154,'Prezzi Trade'!$M$9:$N$468,2,0)/VLOOKUP(D154,'Prezzi Trade'!$O$9:$P$468,2,0)</f>
        <v>844.27449168207022</v>
      </c>
      <c r="H154" s="5">
        <f>+(VLOOKUP(D154,'Prezzi FI'!$C$8:$D$468,2,0)+VLOOKUP(D154,'Prezzi FI'!$H$8:$I$467,2,0))/100</f>
        <v>1.1815663000000001</v>
      </c>
      <c r="I154" s="5">
        <f>+IF(VLOOKUP(D154,'Prezzi FI'!$H$8:$I$467,2,0)&lt;VLOOKUP(D155,'Prezzi FI'!$H$8:$I$467,2,0),4.25/2,0)/100</f>
        <v>0</v>
      </c>
      <c r="K154" s="4" t="str">
        <f t="shared" si="19"/>
        <v>201512</v>
      </c>
      <c r="L154" s="14">
        <f t="shared" si="20"/>
        <v>42083</v>
      </c>
      <c r="M154" s="39">
        <f t="shared" si="21"/>
        <v>1.4598799421152631E-2</v>
      </c>
      <c r="N154" s="39">
        <f t="shared" si="22"/>
        <v>-1.4578147512876879E-3</v>
      </c>
      <c r="O154" s="39">
        <f t="shared" si="23"/>
        <v>3.5869756514621512E-3</v>
      </c>
      <c r="P154" s="39">
        <f t="shared" si="24"/>
        <v>1.478368640118338E-3</v>
      </c>
      <c r="AC154" s="14"/>
    </row>
    <row r="155" spans="3:29" x14ac:dyDescent="0.75">
      <c r="C155" s="4">
        <v>4</v>
      </c>
      <c r="D155" s="58">
        <v>42082</v>
      </c>
      <c r="E155" s="5">
        <f>+VLOOKUP(D155,'Prezzi Trade'!$I$9:$J$468,2,0)</f>
        <v>22.78</v>
      </c>
      <c r="F155" s="5">
        <f>+VLOOKUP(D155,'Prezzi Trade'!$K$9:$L$468,2,0)</f>
        <v>164.75</v>
      </c>
      <c r="G155" s="5">
        <f>+VLOOKUP(D155,'Prezzi Trade'!$M$9:$N$468,2,0)/VLOOKUP(D155,'Prezzi Trade'!$O$9:$P$468,2,0)</f>
        <v>841.25152453325825</v>
      </c>
      <c r="H155" s="5">
        <f>+(VLOOKUP(D155,'Prezzi FI'!$C$8:$D$468,2,0)+VLOOKUP(D155,'Prezzi FI'!$H$8:$I$467,2,0))/100</f>
        <v>1.1798207999999999</v>
      </c>
      <c r="I155" s="5">
        <f>+IF(VLOOKUP(D155,'Prezzi FI'!$H$8:$I$467,2,0)&lt;VLOOKUP(D156,'Prezzi FI'!$H$8:$I$467,2,0),4.25/2,0)/100</f>
        <v>0</v>
      </c>
      <c r="K155" s="4" t="str">
        <f t="shared" si="19"/>
        <v>201512</v>
      </c>
      <c r="L155" s="14">
        <f t="shared" si="20"/>
        <v>42082</v>
      </c>
      <c r="M155" s="39">
        <f t="shared" si="21"/>
        <v>1.1701204265501202E-2</v>
      </c>
      <c r="N155" s="39">
        <f t="shared" si="22"/>
        <v>6.6991724354270015E-3</v>
      </c>
      <c r="O155" s="39">
        <f t="shared" si="23"/>
        <v>2.8970565051702698E-2</v>
      </c>
      <c r="P155" s="39">
        <f t="shared" si="24"/>
        <v>3.6142749086320821E-3</v>
      </c>
      <c r="AC155" s="14"/>
    </row>
    <row r="156" spans="3:29" x14ac:dyDescent="0.75">
      <c r="C156" s="4">
        <v>3</v>
      </c>
      <c r="D156" s="58">
        <v>42081</v>
      </c>
      <c r="E156" s="5">
        <f>+VLOOKUP(D156,'Prezzi Trade'!$I$9:$J$468,2,0)</f>
        <v>22.515000000000001</v>
      </c>
      <c r="F156" s="5">
        <f>+VLOOKUP(D156,'Prezzi Trade'!$K$9:$L$468,2,0)</f>
        <v>163.65</v>
      </c>
      <c r="G156" s="5">
        <f>+VLOOKUP(D156,'Prezzi Trade'!$M$9:$N$468,2,0)/VLOOKUP(D156,'Prezzi Trade'!$O$9:$P$468,2,0)</f>
        <v>817.22963644730783</v>
      </c>
      <c r="H156" s="5">
        <f>+(VLOOKUP(D156,'Prezzi FI'!$C$8:$D$468,2,0)+VLOOKUP(D156,'Prezzi FI'!$H$8:$I$467,2,0))/100</f>
        <v>1.1755643</v>
      </c>
      <c r="I156" s="5">
        <f>+IF(VLOOKUP(D156,'Prezzi FI'!$H$8:$I$467,2,0)&lt;VLOOKUP(D157,'Prezzi FI'!$H$8:$I$467,2,0),4.25/2,0)/100</f>
        <v>0</v>
      </c>
      <c r="K156" s="4" t="str">
        <f t="shared" si="19"/>
        <v>201512</v>
      </c>
      <c r="L156" s="14">
        <f t="shared" si="20"/>
        <v>42081</v>
      </c>
      <c r="M156" s="39">
        <f t="shared" si="21"/>
        <v>-8.6236023639321546E-3</v>
      </c>
      <c r="N156" s="39">
        <f t="shared" si="22"/>
        <v>-6.1087356817170007E-4</v>
      </c>
      <c r="O156" s="39">
        <f t="shared" si="23"/>
        <v>-2.4896832476813711E-2</v>
      </c>
      <c r="P156" s="39">
        <f t="shared" si="24"/>
        <v>-4.5783632870172583E-3</v>
      </c>
      <c r="AC156" s="14"/>
    </row>
    <row r="157" spans="3:29" x14ac:dyDescent="0.75">
      <c r="C157" s="4">
        <v>2</v>
      </c>
      <c r="D157" s="58">
        <v>42080</v>
      </c>
      <c r="E157" s="5">
        <f>+VLOOKUP(D157,'Prezzi Trade'!$I$9:$J$468,2,0)</f>
        <v>22.71</v>
      </c>
      <c r="F157" s="5">
        <f>+VLOOKUP(D157,'Prezzi Trade'!$K$9:$L$468,2,0)</f>
        <v>163.75</v>
      </c>
      <c r="G157" s="5">
        <f>+VLOOKUP(D157,'Prezzi Trade'!$M$9:$N$468,2,0)/VLOOKUP(D157,'Prezzi Trade'!$O$9:$P$468,2,0)</f>
        <v>837.83146173445311</v>
      </c>
      <c r="H157" s="5">
        <f>+(VLOOKUP(D157,'Prezzi FI'!$C$8:$D$468,2,0)+VLOOKUP(D157,'Prezzi FI'!$H$8:$I$467,2,0))/100</f>
        <v>1.1809588</v>
      </c>
      <c r="I157" s="5">
        <f>+IF(VLOOKUP(D157,'Prezzi FI'!$H$8:$I$467,2,0)&lt;VLOOKUP(D158,'Prezzi FI'!$H$8:$I$467,2,0),4.25/2,0)/100</f>
        <v>0</v>
      </c>
      <c r="K157" s="4" t="str">
        <f t="shared" si="19"/>
        <v>201512</v>
      </c>
      <c r="L157" s="14">
        <f t="shared" si="20"/>
        <v>42080</v>
      </c>
      <c r="M157" s="39">
        <f t="shared" si="21"/>
        <v>-6.8020009925512537E-3</v>
      </c>
      <c r="N157" s="39">
        <f t="shared" si="22"/>
        <v>-4.9951370919301278E-3</v>
      </c>
      <c r="O157" s="39">
        <f t="shared" si="23"/>
        <v>-8.5174266728496525E-3</v>
      </c>
      <c r="P157" s="39">
        <f t="shared" si="24"/>
        <v>-3.2838786395737824E-3</v>
      </c>
      <c r="AC157" s="14"/>
    </row>
    <row r="158" spans="3:29" x14ac:dyDescent="0.75">
      <c r="C158" s="4">
        <v>1</v>
      </c>
      <c r="D158" s="58">
        <v>42079</v>
      </c>
      <c r="E158" s="5">
        <f>+VLOOKUP(D158,'Prezzi Trade'!$I$9:$J$468,2,0)</f>
        <v>22.864999999999998</v>
      </c>
      <c r="F158" s="5">
        <f>+VLOOKUP(D158,'Prezzi Trade'!$K$9:$L$468,2,0)</f>
        <v>164.57</v>
      </c>
      <c r="G158" s="5">
        <f>+VLOOKUP(D158,'Prezzi Trade'!$M$9:$N$468,2,0)/VLOOKUP(D158,'Prezzi Trade'!$O$9:$P$468,2,0)</f>
        <v>844.99810713609702</v>
      </c>
      <c r="H158" s="5">
        <f>+(VLOOKUP(D158,'Prezzi FI'!$C$8:$D$468,2,0)+VLOOKUP(D158,'Prezzi FI'!$H$8:$I$467,2,0))/100</f>
        <v>1.1848433</v>
      </c>
      <c r="I158" s="5">
        <f>+IF(VLOOKUP(D158,'Prezzi FI'!$H$8:$I$467,2,0)&lt;VLOOKUP(D159,'Prezzi FI'!$H$8:$I$467,2,0),4.25/2,0)/100</f>
        <v>0</v>
      </c>
      <c r="K158" s="4" t="str">
        <f t="shared" si="19"/>
        <v>201512</v>
      </c>
      <c r="L158" s="14">
        <f t="shared" si="20"/>
        <v>42079</v>
      </c>
      <c r="M158" s="39">
        <f t="shared" si="21"/>
        <v>6.8020009925513344E-3</v>
      </c>
      <c r="N158" s="39">
        <f t="shared" si="22"/>
        <v>7.6245451559165322E-3</v>
      </c>
      <c r="O158" s="39">
        <f t="shared" si="23"/>
        <v>-1.5747883201805243E-2</v>
      </c>
      <c r="P158" s="39">
        <f t="shared" si="24"/>
        <v>8.9045274770169913E-5</v>
      </c>
      <c r="AC158" s="14"/>
    </row>
    <row r="159" spans="3:29" x14ac:dyDescent="0.75">
      <c r="C159" s="4">
        <v>5</v>
      </c>
      <c r="D159" s="58">
        <v>42076</v>
      </c>
      <c r="E159" s="5">
        <f>+VLOOKUP(D159,'Prezzi Trade'!$I$9:$J$468,2,0)</f>
        <v>22.71</v>
      </c>
      <c r="F159" s="5">
        <f>+VLOOKUP(D159,'Prezzi Trade'!$K$9:$L$468,2,0)</f>
        <v>163.32</v>
      </c>
      <c r="G159" s="5">
        <f>+VLOOKUP(D159,'Prezzi Trade'!$M$9:$N$468,2,0)/VLOOKUP(D159,'Prezzi Trade'!$O$9:$P$468,2,0)</f>
        <v>858.4103688173069</v>
      </c>
      <c r="H159" s="5">
        <f>+(VLOOKUP(D159,'Prezzi FI'!$C$8:$D$468,2,0)+VLOOKUP(D159,'Prezzi FI'!$H$8:$I$467,2,0))/100</f>
        <v>1.1847378</v>
      </c>
      <c r="I159" s="5">
        <f>+IF(VLOOKUP(D159,'Prezzi FI'!$H$8:$I$467,2,0)&lt;VLOOKUP(D160,'Prezzi FI'!$H$8:$I$467,2,0),4.25/2,0)/100</f>
        <v>0</v>
      </c>
      <c r="K159" s="4" t="str">
        <f t="shared" si="19"/>
        <v>201511</v>
      </c>
      <c r="L159" s="14">
        <f t="shared" si="20"/>
        <v>42076</v>
      </c>
      <c r="M159" s="39">
        <f t="shared" si="21"/>
        <v>-2.85808702855484E-3</v>
      </c>
      <c r="N159" s="39">
        <f t="shared" si="22"/>
        <v>1.5932352166103214E-3</v>
      </c>
      <c r="O159" s="39">
        <f t="shared" si="23"/>
        <v>-1.6314224147851396E-3</v>
      </c>
      <c r="P159" s="39">
        <f t="shared" si="24"/>
        <v>-9.4870500034254976E-4</v>
      </c>
      <c r="AC159" s="14"/>
    </row>
    <row r="160" spans="3:29" x14ac:dyDescent="0.75">
      <c r="C160" s="4">
        <v>4</v>
      </c>
      <c r="D160" s="58">
        <v>42075</v>
      </c>
      <c r="E160" s="5">
        <f>+VLOOKUP(D160,'Prezzi Trade'!$I$9:$J$468,2,0)</f>
        <v>22.774999999999999</v>
      </c>
      <c r="F160" s="5">
        <f>+VLOOKUP(D160,'Prezzi Trade'!$K$9:$L$468,2,0)</f>
        <v>163.06</v>
      </c>
      <c r="G160" s="5">
        <f>+VLOOKUP(D160,'Prezzi Trade'!$M$9:$N$468,2,0)/VLOOKUP(D160,'Prezzi Trade'!$O$9:$P$468,2,0)</f>
        <v>859.81194170192771</v>
      </c>
      <c r="H160" s="5">
        <f>+(VLOOKUP(D160,'Prezzi FI'!$C$8:$D$468,2,0)+VLOOKUP(D160,'Prezzi FI'!$H$8:$I$467,2,0))/100</f>
        <v>1.1858622999999999</v>
      </c>
      <c r="I160" s="5">
        <f>+IF(VLOOKUP(D160,'Prezzi FI'!$H$8:$I$467,2,0)&lt;VLOOKUP(D161,'Prezzi FI'!$H$8:$I$467,2,0),4.25/2,0)/100</f>
        <v>0</v>
      </c>
      <c r="K160" s="4" t="str">
        <f t="shared" si="19"/>
        <v>201511</v>
      </c>
      <c r="L160" s="14">
        <f t="shared" si="20"/>
        <v>42075</v>
      </c>
      <c r="M160" s="39">
        <f t="shared" si="21"/>
        <v>-8.777705193828521E-4</v>
      </c>
      <c r="N160" s="39">
        <f t="shared" si="22"/>
        <v>4.2405496357417602E-3</v>
      </c>
      <c r="O160" s="39">
        <f t="shared" si="23"/>
        <v>-7.1690255564669167E-3</v>
      </c>
      <c r="P160" s="39">
        <f t="shared" si="24"/>
        <v>-1.805997976328874E-3</v>
      </c>
      <c r="AC160" s="14"/>
    </row>
    <row r="161" spans="3:29" x14ac:dyDescent="0.75">
      <c r="C161" s="4">
        <v>3</v>
      </c>
      <c r="D161" s="58">
        <v>42074</v>
      </c>
      <c r="E161" s="5">
        <f>+VLOOKUP(D161,'Prezzi Trade'!$I$9:$J$468,2,0)</f>
        <v>22.795000000000002</v>
      </c>
      <c r="F161" s="5">
        <f>+VLOOKUP(D161,'Prezzi Trade'!$K$9:$L$468,2,0)</f>
        <v>162.37</v>
      </c>
      <c r="G161" s="5">
        <f>+VLOOKUP(D161,'Prezzi Trade'!$M$9:$N$468,2,0)/VLOOKUP(D161,'Prezzi Trade'!$O$9:$P$468,2,0)</f>
        <v>865.99810336652445</v>
      </c>
      <c r="H161" s="5">
        <f>+(VLOOKUP(D161,'Prezzi FI'!$C$8:$D$468,2,0)+VLOOKUP(D161,'Prezzi FI'!$H$8:$I$467,2,0))/100</f>
        <v>1.1880059000000001</v>
      </c>
      <c r="I161" s="5">
        <f>+IF(VLOOKUP(D161,'Prezzi FI'!$H$8:$I$467,2,0)&lt;VLOOKUP(D162,'Prezzi FI'!$H$8:$I$467,2,0),4.25/2,0)/100</f>
        <v>0</v>
      </c>
      <c r="K161" s="4" t="str">
        <f t="shared" si="19"/>
        <v>201511</v>
      </c>
      <c r="L161" s="14">
        <f t="shared" si="20"/>
        <v>42074</v>
      </c>
      <c r="M161" s="39">
        <f t="shared" si="21"/>
        <v>2.1954535199331753E-2</v>
      </c>
      <c r="N161" s="39">
        <f t="shared" si="22"/>
        <v>1.226933224973647E-2</v>
      </c>
      <c r="O161" s="39">
        <f t="shared" si="23"/>
        <v>1.435531760732389E-2</v>
      </c>
      <c r="P161" s="39">
        <f t="shared" si="24"/>
        <v>2.4824435058078483E-3</v>
      </c>
      <c r="AC161" s="14"/>
    </row>
    <row r="162" spans="3:29" x14ac:dyDescent="0.75">
      <c r="C162" s="4">
        <v>2</v>
      </c>
      <c r="D162" s="58">
        <v>42073</v>
      </c>
      <c r="E162" s="5">
        <f>+VLOOKUP(D162,'Prezzi Trade'!$I$9:$J$468,2,0)</f>
        <v>22.3</v>
      </c>
      <c r="F162" s="5">
        <f>+VLOOKUP(D162,'Prezzi Trade'!$K$9:$L$468,2,0)</f>
        <v>160.38999999999999</v>
      </c>
      <c r="G162" s="5">
        <f>+VLOOKUP(D162,'Prezzi Trade'!$M$9:$N$468,2,0)/VLOOKUP(D162,'Prezzi Trade'!$O$9:$P$468,2,0)</f>
        <v>853.65523043844053</v>
      </c>
      <c r="H162" s="5">
        <f>+(VLOOKUP(D162,'Prezzi FI'!$C$8:$D$468,2,0)+VLOOKUP(D162,'Prezzi FI'!$H$8:$I$467,2,0))/100</f>
        <v>1.1850604</v>
      </c>
      <c r="I162" s="5">
        <f>+IF(VLOOKUP(D162,'Prezzi FI'!$H$8:$I$467,2,0)&lt;VLOOKUP(D163,'Prezzi FI'!$H$8:$I$467,2,0),4.25/2,0)/100</f>
        <v>0</v>
      </c>
      <c r="K162" s="4" t="str">
        <f t="shared" si="19"/>
        <v>201511</v>
      </c>
      <c r="L162" s="14">
        <f t="shared" si="20"/>
        <v>42073</v>
      </c>
      <c r="M162" s="39">
        <f t="shared" si="21"/>
        <v>-1.048297767653854E-2</v>
      </c>
      <c r="N162" s="39">
        <f t="shared" si="22"/>
        <v>-2.5530073955795109E-3</v>
      </c>
      <c r="O162" s="39">
        <f t="shared" si="23"/>
        <v>-5.1680010179196096E-3</v>
      </c>
      <c r="P162" s="39">
        <f t="shared" si="24"/>
        <v>1.7951898560118688E-3</v>
      </c>
      <c r="AC162" s="14"/>
    </row>
    <row r="163" spans="3:29" x14ac:dyDescent="0.75">
      <c r="C163" s="4">
        <v>1</v>
      </c>
      <c r="D163" s="58">
        <v>42072</v>
      </c>
      <c r="E163" s="5">
        <f>+VLOOKUP(D163,'Prezzi Trade'!$I$9:$J$468,2,0)</f>
        <v>22.535</v>
      </c>
      <c r="F163" s="5">
        <f>+VLOOKUP(D163,'Prezzi Trade'!$K$9:$L$468,2,0)</f>
        <v>160.80000000000001</v>
      </c>
      <c r="G163" s="5">
        <f>+VLOOKUP(D163,'Prezzi Trade'!$M$9:$N$468,2,0)/VLOOKUP(D163,'Prezzi Trade'!$O$9:$P$468,2,0)</f>
        <v>858.07834101382491</v>
      </c>
      <c r="H163" s="5">
        <f>+(VLOOKUP(D163,'Prezzi FI'!$C$8:$D$468,2,0)+VLOOKUP(D163,'Prezzi FI'!$H$8:$I$467,2,0))/100</f>
        <v>1.1829349</v>
      </c>
      <c r="I163" s="5">
        <f>+IF(VLOOKUP(D163,'Prezzi FI'!$H$8:$I$467,2,0)&lt;VLOOKUP(D164,'Prezzi FI'!$H$8:$I$467,2,0),4.25/2,0)/100</f>
        <v>0</v>
      </c>
      <c r="K163" s="4" t="str">
        <f t="shared" si="19"/>
        <v>201511</v>
      </c>
      <c r="L163" s="14">
        <f t="shared" si="20"/>
        <v>42072</v>
      </c>
      <c r="M163" s="39">
        <f t="shared" si="21"/>
        <v>5.1162384985976618E-3</v>
      </c>
      <c r="N163" s="39">
        <f t="shared" si="22"/>
        <v>-2.2983517897606021E-3</v>
      </c>
      <c r="O163" s="39">
        <f t="shared" si="23"/>
        <v>-8.9775033507686068E-4</v>
      </c>
      <c r="P163" s="39">
        <f t="shared" si="24"/>
        <v>1.3991604975321454E-4</v>
      </c>
      <c r="AC163" s="14"/>
    </row>
    <row r="164" spans="3:29" x14ac:dyDescent="0.75">
      <c r="C164" s="4">
        <v>5</v>
      </c>
      <c r="D164" s="58">
        <v>42069</v>
      </c>
      <c r="E164" s="5">
        <f>+VLOOKUP(D164,'Prezzi Trade'!$I$9:$J$468,2,0)</f>
        <v>22.42</v>
      </c>
      <c r="F164" s="5">
        <f>+VLOOKUP(D164,'Prezzi Trade'!$K$9:$L$468,2,0)</f>
        <v>161.16999999999999</v>
      </c>
      <c r="G164" s="5">
        <f>+VLOOKUP(D164,'Prezzi Trade'!$M$9:$N$468,2,0)/VLOOKUP(D164,'Prezzi Trade'!$O$9:$P$468,2,0)</f>
        <v>858.84902702204181</v>
      </c>
      <c r="H164" s="5">
        <f>+(VLOOKUP(D164,'Prezzi FI'!$C$8:$D$468,2,0)+VLOOKUP(D164,'Prezzi FI'!$H$8:$I$467,2,0))/100</f>
        <v>1.1827694</v>
      </c>
      <c r="I164" s="5">
        <f>+IF(VLOOKUP(D164,'Prezzi FI'!$H$8:$I$467,2,0)&lt;VLOOKUP(D165,'Prezzi FI'!$H$8:$I$467,2,0),4.25/2,0)/100</f>
        <v>0</v>
      </c>
      <c r="K164" s="4" t="str">
        <f t="shared" si="19"/>
        <v>201510</v>
      </c>
      <c r="L164" s="14">
        <f t="shared" si="20"/>
        <v>42069</v>
      </c>
      <c r="M164" s="39">
        <f t="shared" si="21"/>
        <v>2.2326421419757375E-3</v>
      </c>
      <c r="N164" s="39">
        <f t="shared" si="22"/>
        <v>6.2239573544221596E-3</v>
      </c>
      <c r="O164" s="39">
        <f t="shared" si="23"/>
        <v>7.0923848663477351E-3</v>
      </c>
      <c r="P164" s="39">
        <f t="shared" si="24"/>
        <v>1.4853310138453991E-3</v>
      </c>
      <c r="AC164" s="14"/>
    </row>
    <row r="165" spans="3:29" x14ac:dyDescent="0.75">
      <c r="C165" s="4">
        <v>4</v>
      </c>
      <c r="D165" s="58">
        <v>42068</v>
      </c>
      <c r="E165" s="5">
        <f>+VLOOKUP(D165,'Prezzi Trade'!$I$9:$J$468,2,0)</f>
        <v>22.37</v>
      </c>
      <c r="F165" s="5">
        <f>+VLOOKUP(D165,'Prezzi Trade'!$K$9:$L$468,2,0)</f>
        <v>160.16999999999999</v>
      </c>
      <c r="G165" s="5">
        <f>+VLOOKUP(D165,'Prezzi Trade'!$M$9:$N$468,2,0)/VLOOKUP(D165,'Prezzi Trade'!$O$9:$P$468,2,0)</f>
        <v>852.77928908233594</v>
      </c>
      <c r="H165" s="5">
        <f>+(VLOOKUP(D165,'Prezzi FI'!$C$8:$D$468,2,0)+VLOOKUP(D165,'Prezzi FI'!$H$8:$I$467,2,0))/100</f>
        <v>1.1810138999999999</v>
      </c>
      <c r="I165" s="5">
        <f>+IF(VLOOKUP(D165,'Prezzi FI'!$H$8:$I$467,2,0)&lt;VLOOKUP(D166,'Prezzi FI'!$H$8:$I$467,2,0),4.25/2,0)/100</f>
        <v>0</v>
      </c>
      <c r="K165" s="4" t="str">
        <f t="shared" si="19"/>
        <v>201510</v>
      </c>
      <c r="L165" s="14">
        <f t="shared" si="20"/>
        <v>42068</v>
      </c>
      <c r="M165" s="39">
        <f t="shared" si="21"/>
        <v>1.1012584608045E-2</v>
      </c>
      <c r="N165" s="39">
        <f t="shared" si="22"/>
        <v>6.3885974521026749E-3</v>
      </c>
      <c r="O165" s="39">
        <f t="shared" si="23"/>
        <v>1.0320248704535925E-2</v>
      </c>
      <c r="P165" s="39">
        <f t="shared" si="24"/>
        <v>3.0753908236860411E-3</v>
      </c>
      <c r="AC165" s="14"/>
    </row>
    <row r="166" spans="3:29" x14ac:dyDescent="0.75">
      <c r="C166" s="4">
        <v>3</v>
      </c>
      <c r="D166" s="58">
        <v>42067</v>
      </c>
      <c r="E166" s="5">
        <f>+VLOOKUP(D166,'Prezzi Trade'!$I$9:$J$468,2,0)</f>
        <v>22.125</v>
      </c>
      <c r="F166" s="5">
        <f>+VLOOKUP(D166,'Prezzi Trade'!$K$9:$L$468,2,0)</f>
        <v>159.15</v>
      </c>
      <c r="G166" s="5">
        <f>+VLOOKUP(D166,'Prezzi Trade'!$M$9:$N$468,2,0)/VLOOKUP(D166,'Prezzi Trade'!$O$9:$P$468,2,0)</f>
        <v>844.0236526135235</v>
      </c>
      <c r="H166" s="5">
        <f>+(VLOOKUP(D166,'Prezzi FI'!$C$8:$D$468,2,0)+VLOOKUP(D166,'Prezzi FI'!$H$8:$I$467,2,0))/100</f>
        <v>1.1773874</v>
      </c>
      <c r="I166" s="5">
        <f>+IF(VLOOKUP(D166,'Prezzi FI'!$H$8:$I$467,2,0)&lt;VLOOKUP(D167,'Prezzi FI'!$H$8:$I$467,2,0),4.25/2,0)/100</f>
        <v>0</v>
      </c>
      <c r="K166" s="4" t="str">
        <f t="shared" si="19"/>
        <v>201510</v>
      </c>
      <c r="L166" s="14">
        <f t="shared" si="20"/>
        <v>42067</v>
      </c>
      <c r="M166" s="39">
        <f t="shared" si="21"/>
        <v>7.7132868803125709E-3</v>
      </c>
      <c r="N166" s="39">
        <f t="shared" si="22"/>
        <v>9.4063380963397593E-3</v>
      </c>
      <c r="O166" s="39">
        <f t="shared" si="23"/>
        <v>1.4186841266604433E-3</v>
      </c>
      <c r="P166" s="39">
        <f t="shared" si="24"/>
        <v>-1.5677552689714132E-4</v>
      </c>
      <c r="AC166" s="14"/>
    </row>
    <row r="167" spans="3:29" x14ac:dyDescent="0.75">
      <c r="C167" s="4">
        <v>2</v>
      </c>
      <c r="D167" s="58">
        <v>42066</v>
      </c>
      <c r="E167" s="5">
        <f>+VLOOKUP(D167,'Prezzi Trade'!$I$9:$J$468,2,0)</f>
        <v>21.954999999999998</v>
      </c>
      <c r="F167" s="5">
        <f>+VLOOKUP(D167,'Prezzi Trade'!$K$9:$L$468,2,0)</f>
        <v>157.66</v>
      </c>
      <c r="G167" s="5">
        <f>+VLOOKUP(D167,'Prezzi Trade'!$M$9:$N$468,2,0)/VLOOKUP(D167,'Prezzi Trade'!$O$9:$P$468,2,0)</f>
        <v>842.82709862180059</v>
      </c>
      <c r="H167" s="5">
        <f>+(VLOOKUP(D167,'Prezzi FI'!$C$8:$D$468,2,0)+VLOOKUP(D167,'Prezzi FI'!$H$8:$I$467,2,0))/100</f>
        <v>1.1775720000000001</v>
      </c>
      <c r="I167" s="5">
        <f>+IF(VLOOKUP(D167,'Prezzi FI'!$H$8:$I$467,2,0)&lt;VLOOKUP(D168,'Prezzi FI'!$H$8:$I$467,2,0),4.25/2,0)/100</f>
        <v>0</v>
      </c>
      <c r="K167" s="4" t="str">
        <f t="shared" si="19"/>
        <v>201510</v>
      </c>
      <c r="L167" s="14">
        <f t="shared" si="20"/>
        <v>42066</v>
      </c>
      <c r="M167" s="39">
        <f t="shared" si="21"/>
        <v>-1.4245577255595582E-2</v>
      </c>
      <c r="N167" s="39">
        <f t="shared" si="22"/>
        <v>-8.085956880271146E-3</v>
      </c>
      <c r="O167" s="39">
        <f t="shared" si="23"/>
        <v>-6.0519438739535386E-3</v>
      </c>
      <c r="P167" s="39">
        <f t="shared" si="24"/>
        <v>-1.8025104693979018E-3</v>
      </c>
      <c r="AC167" s="14"/>
    </row>
    <row r="168" spans="3:29" x14ac:dyDescent="0.75">
      <c r="C168" s="4">
        <v>1</v>
      </c>
      <c r="D168" s="58">
        <v>42065</v>
      </c>
      <c r="E168" s="5">
        <f>+VLOOKUP(D168,'Prezzi Trade'!$I$9:$J$468,2,0)</f>
        <v>22.27</v>
      </c>
      <c r="F168" s="5">
        <f>+VLOOKUP(D168,'Prezzi Trade'!$K$9:$L$468,2,0)</f>
        <v>158.94</v>
      </c>
      <c r="G168" s="5">
        <f>+VLOOKUP(D168,'Prezzi Trade'!$M$9:$N$468,2,0)/VLOOKUP(D168,'Prezzi Trade'!$O$9:$P$468,2,0)</f>
        <v>847.94330680497183</v>
      </c>
      <c r="H168" s="5">
        <f>+(VLOOKUP(D168,'Prezzi FI'!$C$8:$D$468,2,0)+VLOOKUP(D168,'Prezzi FI'!$H$8:$I$467,2,0))/100</f>
        <v>1.1796964999999999</v>
      </c>
      <c r="I168" s="5">
        <f>+IF(VLOOKUP(D168,'Prezzi FI'!$H$8:$I$467,2,0)&lt;VLOOKUP(D169,'Prezzi FI'!$H$8:$I$467,2,0),4.25/2,0)/100</f>
        <v>0</v>
      </c>
      <c r="K168" s="4" t="str">
        <f t="shared" si="19"/>
        <v>201510</v>
      </c>
      <c r="L168" s="14">
        <f t="shared" si="20"/>
        <v>42065</v>
      </c>
      <c r="M168" s="39">
        <f t="shared" si="21"/>
        <v>-1.7945271751648047E-3</v>
      </c>
      <c r="N168" s="39">
        <f t="shared" si="22"/>
        <v>2.1414633112858544E-3</v>
      </c>
      <c r="O168" s="39">
        <f t="shared" si="23"/>
        <v>-4.8145112183802825E-4</v>
      </c>
      <c r="P168" s="39">
        <f t="shared" si="24"/>
        <v>-3.4282602974340101E-4</v>
      </c>
      <c r="AC168" s="14"/>
    </row>
    <row r="169" spans="3:29" x14ac:dyDescent="0.75">
      <c r="C169" s="4">
        <v>5</v>
      </c>
      <c r="D169" s="58">
        <v>42062</v>
      </c>
      <c r="E169" s="5">
        <f>+VLOOKUP(D169,'Prezzi Trade'!$I$9:$J$468,2,0)</f>
        <v>22.31</v>
      </c>
      <c r="F169" s="5">
        <f>+VLOOKUP(D169,'Prezzi Trade'!$K$9:$L$468,2,0)</f>
        <v>158.6</v>
      </c>
      <c r="G169" s="5">
        <f>+VLOOKUP(D169,'Prezzi Trade'!$M$9:$N$468,2,0)/VLOOKUP(D169,'Prezzi Trade'!$O$9:$P$468,2,0)</f>
        <v>848.35164835164835</v>
      </c>
      <c r="H169" s="5">
        <f>+(VLOOKUP(D169,'Prezzi FI'!$C$8:$D$468,2,0)+VLOOKUP(D169,'Prezzi FI'!$H$8:$I$467,2,0))/100</f>
        <v>1.1801009999999998</v>
      </c>
      <c r="I169" s="5">
        <f>+IF(VLOOKUP(D169,'Prezzi FI'!$H$8:$I$467,2,0)&lt;VLOOKUP(D170,'Prezzi FI'!$H$8:$I$467,2,0),4.25/2,0)/100</f>
        <v>0</v>
      </c>
      <c r="K169" s="4" t="str">
        <f t="shared" si="19"/>
        <v>20159</v>
      </c>
      <c r="L169" s="14">
        <f t="shared" si="20"/>
        <v>42062</v>
      </c>
      <c r="M169" s="39">
        <f t="shared" si="21"/>
        <v>7.8749422603366544E-3</v>
      </c>
      <c r="N169" s="39">
        <f t="shared" si="22"/>
        <v>-1.8913721961630328E-4</v>
      </c>
      <c r="O169" s="39">
        <f t="shared" si="23"/>
        <v>4.9548045962537037E-3</v>
      </c>
      <c r="P169" s="39">
        <f t="shared" si="24"/>
        <v>9.2025983168439885E-4</v>
      </c>
      <c r="AC169" s="14"/>
    </row>
    <row r="170" spans="3:29" x14ac:dyDescent="0.75">
      <c r="C170" s="4">
        <v>4</v>
      </c>
      <c r="D170" s="58">
        <v>42061</v>
      </c>
      <c r="E170" s="5">
        <f>+VLOOKUP(D170,'Prezzi Trade'!$I$9:$J$468,2,0)</f>
        <v>22.135000000000002</v>
      </c>
      <c r="F170" s="5">
        <f>+VLOOKUP(D170,'Prezzi Trade'!$K$9:$L$468,2,0)</f>
        <v>158.63</v>
      </c>
      <c r="G170" s="5">
        <f>+VLOOKUP(D170,'Prezzi Trade'!$M$9:$N$468,2,0)/VLOOKUP(D170,'Prezzi Trade'!$O$9:$P$468,2,0)</f>
        <v>844.15862808145778</v>
      </c>
      <c r="H170" s="5">
        <f>+(VLOOKUP(D170,'Prezzi FI'!$C$8:$D$468,2,0)+VLOOKUP(D170,'Prezzi FI'!$H$8:$I$467,2,0))/100</f>
        <v>1.1790155</v>
      </c>
      <c r="I170" s="5">
        <f>+IF(VLOOKUP(D170,'Prezzi FI'!$H$8:$I$467,2,0)&lt;VLOOKUP(D171,'Prezzi FI'!$H$8:$I$467,2,0),4.25/2,0)/100</f>
        <v>2.1250000000000002E-2</v>
      </c>
      <c r="K170" s="4" t="str">
        <f t="shared" si="19"/>
        <v>20159</v>
      </c>
      <c r="L170" s="14">
        <f t="shared" si="20"/>
        <v>42061</v>
      </c>
      <c r="M170" s="39">
        <f t="shared" si="21"/>
        <v>1.1587088630323948E-2</v>
      </c>
      <c r="N170" s="39">
        <f t="shared" si="22"/>
        <v>1.1986064795645306E-2</v>
      </c>
      <c r="O170" s="39">
        <f t="shared" si="23"/>
        <v>2.1770800386658816E-2</v>
      </c>
      <c r="P170" s="39">
        <f t="shared" si="24"/>
        <v>3.7481043262332517E-3</v>
      </c>
      <c r="AC170" s="14"/>
    </row>
    <row r="171" spans="3:29" x14ac:dyDescent="0.75">
      <c r="C171" s="4">
        <v>3</v>
      </c>
      <c r="D171" s="58">
        <v>42060</v>
      </c>
      <c r="E171" s="5">
        <f>+VLOOKUP(D171,'Prezzi Trade'!$I$9:$J$468,2,0)</f>
        <v>21.88</v>
      </c>
      <c r="F171" s="5">
        <f>+VLOOKUP(D171,'Prezzi Trade'!$K$9:$L$468,2,0)</f>
        <v>156.74</v>
      </c>
      <c r="G171" s="5">
        <f>+VLOOKUP(D171,'Prezzi Trade'!$M$9:$N$468,2,0)/VLOOKUP(D171,'Prezzi Trade'!$O$9:$P$468,2,0)</f>
        <v>825.97922718070583</v>
      </c>
      <c r="H171" s="5">
        <f>+(VLOOKUP(D171,'Prezzi FI'!$C$8:$D$468,2,0)+VLOOKUP(D171,'Prezzi FI'!$H$8:$I$467,2,0))/100</f>
        <v>1.1957751999999999</v>
      </c>
      <c r="I171" s="5">
        <f>+IF(VLOOKUP(D171,'Prezzi FI'!$H$8:$I$467,2,0)&lt;VLOOKUP(D172,'Prezzi FI'!$H$8:$I$467,2,0),4.25/2,0)/100</f>
        <v>0</v>
      </c>
      <c r="K171" s="4" t="str">
        <f t="shared" si="19"/>
        <v>20159</v>
      </c>
      <c r="L171" s="14">
        <f t="shared" si="20"/>
        <v>42060</v>
      </c>
      <c r="M171" s="39">
        <f t="shared" si="21"/>
        <v>-9.3256674947093977E-3</v>
      </c>
      <c r="N171" s="39">
        <f t="shared" si="22"/>
        <v>-1.7848041453909301E-3</v>
      </c>
      <c r="O171" s="39">
        <f t="shared" si="23"/>
        <v>-7.9782658087312937E-3</v>
      </c>
      <c r="P171" s="39">
        <f t="shared" si="24"/>
        <v>-6.0711909880891546E-5</v>
      </c>
      <c r="AC171" s="14"/>
    </row>
    <row r="172" spans="3:29" x14ac:dyDescent="0.75">
      <c r="C172" s="4">
        <v>2</v>
      </c>
      <c r="D172" s="58">
        <v>42059</v>
      </c>
      <c r="E172" s="5">
        <f>+VLOOKUP(D172,'Prezzi Trade'!$I$9:$J$468,2,0)</f>
        <v>22.085000000000001</v>
      </c>
      <c r="F172" s="5">
        <f>+VLOOKUP(D172,'Prezzi Trade'!$K$9:$L$468,2,0)</f>
        <v>157.02000000000001</v>
      </c>
      <c r="G172" s="5">
        <f>+VLOOKUP(D172,'Prezzi Trade'!$M$9:$N$468,2,0)/VLOOKUP(D172,'Prezzi Trade'!$O$9:$P$468,2,0)</f>
        <v>832.59546697239625</v>
      </c>
      <c r="H172" s="5">
        <f>+(VLOOKUP(D172,'Prezzi FI'!$C$8:$D$468,2,0)+VLOOKUP(D172,'Prezzi FI'!$H$8:$I$467,2,0))/100</f>
        <v>1.1958478000000001</v>
      </c>
      <c r="I172" s="5">
        <f>+IF(VLOOKUP(D172,'Prezzi FI'!$H$8:$I$467,2,0)&lt;VLOOKUP(D173,'Prezzi FI'!$H$8:$I$467,2,0),4.25/2,0)/100</f>
        <v>0</v>
      </c>
      <c r="K172" s="4" t="str">
        <f t="shared" si="19"/>
        <v>20159</v>
      </c>
      <c r="L172" s="14">
        <f t="shared" si="20"/>
        <v>42059</v>
      </c>
      <c r="M172" s="39">
        <f t="shared" si="21"/>
        <v>7.27110679024307E-3</v>
      </c>
      <c r="N172" s="39">
        <f t="shared" si="22"/>
        <v>4.7879053448995207E-3</v>
      </c>
      <c r="O172" s="39">
        <f t="shared" si="23"/>
        <v>7.2566724839787187E-3</v>
      </c>
      <c r="P172" s="39">
        <f t="shared" si="24"/>
        <v>1.2278327101580384E-3</v>
      </c>
      <c r="AC172" s="14"/>
    </row>
    <row r="173" spans="3:29" x14ac:dyDescent="0.75">
      <c r="C173" s="4">
        <v>1</v>
      </c>
      <c r="D173" s="58">
        <v>42058</v>
      </c>
      <c r="E173" s="5">
        <f>+VLOOKUP(D173,'Prezzi Trade'!$I$9:$J$468,2,0)</f>
        <v>21.925000000000001</v>
      </c>
      <c r="F173" s="5">
        <f>+VLOOKUP(D173,'Prezzi Trade'!$K$9:$L$468,2,0)</f>
        <v>156.27000000000001</v>
      </c>
      <c r="G173" s="5">
        <f>+VLOOKUP(D173,'Prezzi Trade'!$M$9:$N$468,2,0)/VLOOKUP(D173,'Prezzi Trade'!$O$9:$P$468,2,0)</f>
        <v>826.57546337157987</v>
      </c>
      <c r="H173" s="5">
        <f>+(VLOOKUP(D173,'Prezzi FI'!$C$8:$D$468,2,0)+VLOOKUP(D173,'Prezzi FI'!$H$8:$I$467,2,0))/100</f>
        <v>1.1943804</v>
      </c>
      <c r="I173" s="5">
        <f>+IF(VLOOKUP(D173,'Prezzi FI'!$H$8:$I$467,2,0)&lt;VLOOKUP(D174,'Prezzi FI'!$H$8:$I$467,2,0),4.25/2,0)/100</f>
        <v>0</v>
      </c>
      <c r="K173" s="4" t="str">
        <f t="shared" si="19"/>
        <v>20159</v>
      </c>
      <c r="L173" s="14">
        <f t="shared" si="20"/>
        <v>42058</v>
      </c>
      <c r="M173" s="39">
        <f t="shared" si="21"/>
        <v>6.6354207534322727E-3</v>
      </c>
      <c r="N173" s="39">
        <f t="shared" si="22"/>
        <v>6.4841494476756316E-3</v>
      </c>
      <c r="O173" s="39">
        <f t="shared" si="23"/>
        <v>-1.7130202415805485E-3</v>
      </c>
      <c r="P173" s="39">
        <f t="shared" si="24"/>
        <v>2.7729756693841991E-3</v>
      </c>
      <c r="AC173" s="14"/>
    </row>
    <row r="174" spans="3:29" x14ac:dyDescent="0.75">
      <c r="C174" s="4">
        <v>5</v>
      </c>
      <c r="D174" s="58">
        <v>42055</v>
      </c>
      <c r="E174" s="5">
        <f>+VLOOKUP(D174,'Prezzi Trade'!$I$9:$J$468,2,0)</f>
        <v>21.78</v>
      </c>
      <c r="F174" s="5">
        <f>+VLOOKUP(D174,'Prezzi Trade'!$K$9:$L$468,2,0)</f>
        <v>155.26</v>
      </c>
      <c r="G174" s="5">
        <f>+VLOOKUP(D174,'Prezzi Trade'!$M$9:$N$468,2,0)/VLOOKUP(D174,'Prezzi Trade'!$O$9:$P$468,2,0)</f>
        <v>827.99261733169283</v>
      </c>
      <c r="H174" s="5">
        <f>+(VLOOKUP(D174,'Prezzi FI'!$C$8:$D$468,2,0)+VLOOKUP(D174,'Prezzi FI'!$H$8:$I$467,2,0))/100</f>
        <v>1.191073</v>
      </c>
      <c r="I174" s="5">
        <f>+IF(VLOOKUP(D174,'Prezzi FI'!$H$8:$I$467,2,0)&lt;VLOOKUP(D175,'Prezzi FI'!$H$8:$I$467,2,0),4.25/2,0)/100</f>
        <v>0</v>
      </c>
      <c r="K174" s="4" t="str">
        <f t="shared" si="19"/>
        <v>20158</v>
      </c>
      <c r="L174" s="14">
        <f t="shared" si="20"/>
        <v>42055</v>
      </c>
      <c r="M174" s="39">
        <f t="shared" si="21"/>
        <v>1.8382358117512039E-3</v>
      </c>
      <c r="N174" s="39">
        <f t="shared" si="22"/>
        <v>1.1600181748057563E-3</v>
      </c>
      <c r="O174" s="39">
        <f t="shared" si="23"/>
        <v>2.8843803976742619E-4</v>
      </c>
      <c r="P174" s="39">
        <f t="shared" si="24"/>
        <v>1.6111061053074272E-3</v>
      </c>
      <c r="AC174" s="14"/>
    </row>
    <row r="175" spans="3:29" x14ac:dyDescent="0.75">
      <c r="C175" s="4">
        <v>4</v>
      </c>
      <c r="D175" s="58">
        <v>42054</v>
      </c>
      <c r="E175" s="5">
        <f>+VLOOKUP(D175,'Prezzi Trade'!$I$9:$J$468,2,0)</f>
        <v>21.74</v>
      </c>
      <c r="F175" s="5">
        <f>+VLOOKUP(D175,'Prezzi Trade'!$K$9:$L$468,2,0)</f>
        <v>155.08000000000001</v>
      </c>
      <c r="G175" s="5">
        <f>+VLOOKUP(D175,'Prezzi Trade'!$M$9:$N$468,2,0)/VLOOKUP(D175,'Prezzi Trade'!$O$9:$P$468,2,0)</f>
        <v>827.75382720394157</v>
      </c>
      <c r="H175" s="5">
        <f>+(VLOOKUP(D175,'Prezzi FI'!$C$8:$D$468,2,0)+VLOOKUP(D175,'Prezzi FI'!$H$8:$I$467,2,0))/100</f>
        <v>1.1891556000000001</v>
      </c>
      <c r="I175" s="5">
        <f>+IF(VLOOKUP(D175,'Prezzi FI'!$H$8:$I$467,2,0)&lt;VLOOKUP(D176,'Prezzi FI'!$H$8:$I$467,2,0),4.25/2,0)/100</f>
        <v>0</v>
      </c>
      <c r="K175" s="4" t="str">
        <f t="shared" si="19"/>
        <v>20158</v>
      </c>
      <c r="L175" s="14">
        <f t="shared" si="20"/>
        <v>42054</v>
      </c>
      <c r="M175" s="39">
        <f t="shared" si="21"/>
        <v>6.6920752803988921E-3</v>
      </c>
      <c r="N175" s="39">
        <f t="shared" si="22"/>
        <v>3.0999766494068763E-3</v>
      </c>
      <c r="O175" s="39">
        <f t="shared" si="23"/>
        <v>-8.1561151843975183E-3</v>
      </c>
      <c r="P175" s="39">
        <f t="shared" si="24"/>
        <v>1.9041700600751403E-3</v>
      </c>
      <c r="AC175" s="14"/>
    </row>
    <row r="176" spans="3:29" x14ac:dyDescent="0.75">
      <c r="C176" s="4">
        <v>3</v>
      </c>
      <c r="D176" s="58">
        <v>42053</v>
      </c>
      <c r="E176" s="5">
        <f>+VLOOKUP(D176,'Prezzi Trade'!$I$9:$J$468,2,0)</f>
        <v>21.594999999999999</v>
      </c>
      <c r="F176" s="5">
        <f>+VLOOKUP(D176,'Prezzi Trade'!$K$9:$L$468,2,0)</f>
        <v>154.6</v>
      </c>
      <c r="G176" s="5">
        <f>+VLOOKUP(D176,'Prezzi Trade'!$M$9:$N$468,2,0)/VLOOKUP(D176,'Prezzi Trade'!$O$9:$P$468,2,0)</f>
        <v>834.53268977621769</v>
      </c>
      <c r="H176" s="5">
        <f>+(VLOOKUP(D176,'Prezzi FI'!$C$8:$D$468,2,0)+VLOOKUP(D176,'Prezzi FI'!$H$8:$I$467,2,0))/100</f>
        <v>1.1868934</v>
      </c>
      <c r="I176" s="5">
        <f>+IF(VLOOKUP(D176,'Prezzi FI'!$H$8:$I$467,2,0)&lt;VLOOKUP(D177,'Prezzi FI'!$H$8:$I$467,2,0),4.25/2,0)/100</f>
        <v>0</v>
      </c>
      <c r="K176" s="4" t="str">
        <f t="shared" si="19"/>
        <v>20158</v>
      </c>
      <c r="L176" s="14">
        <f t="shared" si="20"/>
        <v>42053</v>
      </c>
      <c r="M176" s="39">
        <f t="shared" si="21"/>
        <v>1.6811042647429896E-2</v>
      </c>
      <c r="N176" s="39">
        <f t="shared" si="22"/>
        <v>4.3431825313383719E-3</v>
      </c>
      <c r="O176" s="39">
        <f t="shared" si="23"/>
        <v>6.735282890282304E-3</v>
      </c>
      <c r="P176" s="39">
        <f t="shared" si="24"/>
        <v>-2.190590285649363E-6</v>
      </c>
      <c r="AC176" s="14"/>
    </row>
    <row r="177" spans="3:29" x14ac:dyDescent="0.75">
      <c r="C177" s="4">
        <v>2</v>
      </c>
      <c r="D177" s="58">
        <v>42052</v>
      </c>
      <c r="E177" s="5">
        <f>+VLOOKUP(D177,'Prezzi Trade'!$I$9:$J$468,2,0)</f>
        <v>21.234999999999999</v>
      </c>
      <c r="F177" s="5">
        <f>+VLOOKUP(D177,'Prezzi Trade'!$K$9:$L$468,2,0)</f>
        <v>153.93</v>
      </c>
      <c r="G177" s="5">
        <f>+VLOOKUP(D177,'Prezzi Trade'!$M$9:$N$468,2,0)/VLOOKUP(D177,'Prezzi Trade'!$O$9:$P$468,2,0)</f>
        <v>828.9307624890447</v>
      </c>
      <c r="H177" s="5">
        <f>+(VLOOKUP(D177,'Prezzi FI'!$C$8:$D$468,2,0)+VLOOKUP(D177,'Prezzi FI'!$H$8:$I$467,2,0))/100</f>
        <v>1.186896</v>
      </c>
      <c r="I177" s="5">
        <f>+IF(VLOOKUP(D177,'Prezzi FI'!$H$8:$I$467,2,0)&lt;VLOOKUP(D178,'Prezzi FI'!$H$8:$I$467,2,0),4.25/2,0)/100</f>
        <v>0</v>
      </c>
      <c r="K177" s="4" t="str">
        <f t="shared" si="19"/>
        <v>20158</v>
      </c>
      <c r="L177" s="14">
        <f t="shared" si="20"/>
        <v>42052</v>
      </c>
      <c r="M177" s="39">
        <f t="shared" si="21"/>
        <v>5.6670753793275899E-3</v>
      </c>
      <c r="N177" s="39">
        <f t="shared" si="22"/>
        <v>4.5485559119443232E-4</v>
      </c>
      <c r="O177" s="39">
        <f t="shared" si="23"/>
        <v>-1.7703949249550193E-2</v>
      </c>
      <c r="P177" s="39">
        <f t="shared" si="24"/>
        <v>-5.2741225190764225E-5</v>
      </c>
      <c r="AC177" s="14"/>
    </row>
    <row r="178" spans="3:29" x14ac:dyDescent="0.75">
      <c r="C178" s="4">
        <v>1</v>
      </c>
      <c r="D178" s="58">
        <v>42051</v>
      </c>
      <c r="E178" s="5">
        <f>+VLOOKUP(D178,'Prezzi Trade'!$I$9:$J$468,2,0)</f>
        <v>21.114999999999998</v>
      </c>
      <c r="F178" s="5">
        <f>+VLOOKUP(D178,'Prezzi Trade'!$K$9:$L$468,2,0)</f>
        <v>153.86000000000001</v>
      </c>
      <c r="G178" s="5">
        <f>+VLOOKUP(D178,'Prezzi Trade'!$M$9:$N$468,2,0)/VLOOKUP(D178,'Prezzi Trade'!$O$9:$P$468,2,0)</f>
        <v>843.73678646934457</v>
      </c>
      <c r="H178" s="5">
        <f>+(VLOOKUP(D178,'Prezzi FI'!$C$8:$D$468,2,0)+VLOOKUP(D178,'Prezzi FI'!$H$8:$I$467,2,0))/100</f>
        <v>1.1869585999999999</v>
      </c>
      <c r="I178" s="5">
        <f>+IF(VLOOKUP(D178,'Prezzi FI'!$H$8:$I$467,2,0)&lt;VLOOKUP(D179,'Prezzi FI'!$H$8:$I$467,2,0),4.25/2,0)/100</f>
        <v>0</v>
      </c>
      <c r="K178" s="4" t="str">
        <f t="shared" si="19"/>
        <v>20158</v>
      </c>
      <c r="L178" s="14">
        <f t="shared" si="20"/>
        <v>42051</v>
      </c>
      <c r="M178" s="39">
        <f t="shared" si="21"/>
        <v>-1.419782538545084E-3</v>
      </c>
      <c r="N178" s="39">
        <f t="shared" si="22"/>
        <v>1.5610774602527965E-3</v>
      </c>
      <c r="O178" s="39">
        <f t="shared" si="23"/>
        <v>3.4790720141176889E-3</v>
      </c>
      <c r="P178" s="39">
        <f t="shared" si="24"/>
        <v>4.8360059015195093E-5</v>
      </c>
      <c r="AC178" s="14"/>
    </row>
    <row r="179" spans="3:29" x14ac:dyDescent="0.75">
      <c r="C179" s="4">
        <v>5</v>
      </c>
      <c r="D179" s="58">
        <v>42048</v>
      </c>
      <c r="E179" s="5">
        <f>+VLOOKUP(D179,'Prezzi Trade'!$I$9:$J$468,2,0)</f>
        <v>21.145</v>
      </c>
      <c r="F179" s="5">
        <f>+VLOOKUP(D179,'Prezzi Trade'!$K$9:$L$468,2,0)</f>
        <v>153.62</v>
      </c>
      <c r="G179" s="5">
        <f>+VLOOKUP(D179,'Prezzi Trade'!$M$9:$N$468,2,0)/VLOOKUP(D179,'Prezzi Trade'!$O$9:$P$468,2,0)</f>
        <v>840.80646578230687</v>
      </c>
      <c r="H179" s="5">
        <f>+(VLOOKUP(D179,'Prezzi FI'!$C$8:$D$468,2,0)+VLOOKUP(D179,'Prezzi FI'!$H$8:$I$467,2,0))/100</f>
        <v>1.1869012000000001</v>
      </c>
      <c r="I179" s="5">
        <f>+IF(VLOOKUP(D179,'Prezzi FI'!$H$8:$I$467,2,0)&lt;VLOOKUP(D180,'Prezzi FI'!$H$8:$I$467,2,0),4.25/2,0)/100</f>
        <v>0</v>
      </c>
      <c r="K179" s="4" t="str">
        <f t="shared" si="19"/>
        <v>20157</v>
      </c>
      <c r="L179" s="14">
        <f t="shared" si="20"/>
        <v>42048</v>
      </c>
      <c r="M179" s="39">
        <f t="shared" si="21"/>
        <v>7.3573370919104127E-3</v>
      </c>
      <c r="N179" s="39">
        <f t="shared" si="22"/>
        <v>6.6619017201792361E-3</v>
      </c>
      <c r="O179" s="39">
        <f t="shared" si="23"/>
        <v>1.9222661006209774E-2</v>
      </c>
      <c r="P179" s="39">
        <f t="shared" si="24"/>
        <v>1.6674083949187728E-3</v>
      </c>
      <c r="AC179" s="14"/>
    </row>
    <row r="180" spans="3:29" x14ac:dyDescent="0.75">
      <c r="C180" s="4">
        <v>4</v>
      </c>
      <c r="D180" s="58">
        <v>42047</v>
      </c>
      <c r="E180" s="5">
        <f>+VLOOKUP(D180,'Prezzi Trade'!$I$9:$J$468,2,0)</f>
        <v>20.99</v>
      </c>
      <c r="F180" s="5">
        <f>+VLOOKUP(D180,'Prezzi Trade'!$K$9:$L$468,2,0)</f>
        <v>152.6</v>
      </c>
      <c r="G180" s="5">
        <f>+VLOOKUP(D180,'Prezzi Trade'!$M$9:$N$468,2,0)/VLOOKUP(D180,'Prezzi Trade'!$O$9:$P$468,2,0)</f>
        <v>824.79828100333259</v>
      </c>
      <c r="H180" s="5">
        <f>+(VLOOKUP(D180,'Prezzi FI'!$C$8:$D$468,2,0)+VLOOKUP(D180,'Prezzi FI'!$H$8:$I$467,2,0))/100</f>
        <v>1.1849238</v>
      </c>
      <c r="I180" s="5">
        <f>+IF(VLOOKUP(D180,'Prezzi FI'!$H$8:$I$467,2,0)&lt;VLOOKUP(D181,'Prezzi FI'!$H$8:$I$467,2,0),4.25/2,0)/100</f>
        <v>0</v>
      </c>
      <c r="K180" s="4" t="str">
        <f t="shared" si="19"/>
        <v>20157</v>
      </c>
      <c r="L180" s="14">
        <f t="shared" si="20"/>
        <v>42047</v>
      </c>
      <c r="M180" s="39">
        <f t="shared" si="21"/>
        <v>2.1671929332129514E-2</v>
      </c>
      <c r="N180" s="39">
        <f t="shared" si="22"/>
        <v>1.0490428446970745E-3</v>
      </c>
      <c r="O180" s="39">
        <f t="shared" si="23"/>
        <v>4.0731436630977698E-3</v>
      </c>
      <c r="P180" s="39">
        <f t="shared" si="24"/>
        <v>1.0489718265114967E-3</v>
      </c>
      <c r="AC180" s="14"/>
    </row>
    <row r="181" spans="3:29" x14ac:dyDescent="0.75">
      <c r="C181" s="4">
        <v>3</v>
      </c>
      <c r="D181" s="58">
        <v>42046</v>
      </c>
      <c r="E181" s="5">
        <f>+VLOOKUP(D181,'Prezzi Trade'!$I$9:$J$468,2,0)</f>
        <v>20.54</v>
      </c>
      <c r="F181" s="5">
        <f>+VLOOKUP(D181,'Prezzi Trade'!$K$9:$L$468,2,0)</f>
        <v>152.44</v>
      </c>
      <c r="G181" s="5">
        <f>+VLOOKUP(D181,'Prezzi Trade'!$M$9:$N$468,2,0)/VLOOKUP(D181,'Prezzi Trade'!$O$9:$P$468,2,0)</f>
        <v>821.44559173947573</v>
      </c>
      <c r="H181" s="5">
        <f>+(VLOOKUP(D181,'Prezzi FI'!$C$8:$D$468,2,0)+VLOOKUP(D181,'Prezzi FI'!$H$8:$I$467,2,0))/100</f>
        <v>1.1836815000000001</v>
      </c>
      <c r="I181" s="5">
        <f>+IF(VLOOKUP(D181,'Prezzi FI'!$H$8:$I$467,2,0)&lt;VLOOKUP(D182,'Prezzi FI'!$H$8:$I$467,2,0),4.25/2,0)/100</f>
        <v>0</v>
      </c>
      <c r="K181" s="4" t="str">
        <f t="shared" si="19"/>
        <v>20157</v>
      </c>
      <c r="L181" s="14">
        <f t="shared" si="20"/>
        <v>42046</v>
      </c>
      <c r="M181" s="39">
        <f t="shared" si="21"/>
        <v>-8.4838710289529568E-3</v>
      </c>
      <c r="N181" s="39">
        <f t="shared" si="22"/>
        <v>2.8247678497314772E-3</v>
      </c>
      <c r="O181" s="39">
        <f t="shared" si="23"/>
        <v>-1.0677143354189208E-2</v>
      </c>
      <c r="P181" s="39">
        <f t="shared" si="24"/>
        <v>8.8525813581442729E-4</v>
      </c>
      <c r="AC181" s="14"/>
    </row>
    <row r="182" spans="3:29" x14ac:dyDescent="0.75">
      <c r="C182" s="4">
        <v>2</v>
      </c>
      <c r="D182" s="58">
        <v>42045</v>
      </c>
      <c r="E182" s="5">
        <f>+VLOOKUP(D182,'Prezzi Trade'!$I$9:$J$468,2,0)</f>
        <v>20.715</v>
      </c>
      <c r="F182" s="5">
        <f>+VLOOKUP(D182,'Prezzi Trade'!$K$9:$L$468,2,0)</f>
        <v>152.01</v>
      </c>
      <c r="G182" s="5">
        <f>+VLOOKUP(D182,'Prezzi Trade'!$M$9:$N$468,2,0)/VLOOKUP(D182,'Prezzi Trade'!$O$9:$P$468,2,0)</f>
        <v>830.26327414082516</v>
      </c>
      <c r="H182" s="5">
        <f>+(VLOOKUP(D182,'Prezzi FI'!$C$8:$D$468,2,0)+VLOOKUP(D182,'Prezzi FI'!$H$8:$I$467,2,0))/100</f>
        <v>1.1826341</v>
      </c>
      <c r="I182" s="5">
        <f>+IF(VLOOKUP(D182,'Prezzi FI'!$H$8:$I$467,2,0)&lt;VLOOKUP(D183,'Prezzi FI'!$H$8:$I$467,2,0),4.25/2,0)/100</f>
        <v>0</v>
      </c>
      <c r="K182" s="4" t="str">
        <f t="shared" si="19"/>
        <v>20157</v>
      </c>
      <c r="L182" s="14">
        <f t="shared" si="20"/>
        <v>42045</v>
      </c>
      <c r="M182" s="39">
        <f t="shared" si="21"/>
        <v>1.9006420095490806E-2</v>
      </c>
      <c r="N182" s="39">
        <f t="shared" si="22"/>
        <v>2.8327697720449754E-3</v>
      </c>
      <c r="O182" s="39">
        <f t="shared" si="23"/>
        <v>-1.2292824105160282E-2</v>
      </c>
      <c r="P182" s="39">
        <f t="shared" si="24"/>
        <v>-3.5727408205248653E-4</v>
      </c>
      <c r="AC182" s="14"/>
    </row>
    <row r="183" spans="3:29" x14ac:dyDescent="0.75">
      <c r="C183" s="4">
        <v>1</v>
      </c>
      <c r="D183" s="58">
        <v>42044</v>
      </c>
      <c r="E183" s="5">
        <f>+VLOOKUP(D183,'Prezzi Trade'!$I$9:$J$468,2,0)</f>
        <v>20.324999999999999</v>
      </c>
      <c r="F183" s="5">
        <f>+VLOOKUP(D183,'Prezzi Trade'!$K$9:$L$468,2,0)</f>
        <v>151.58000000000001</v>
      </c>
      <c r="G183" s="5">
        <f>+VLOOKUP(D183,'Prezzi Trade'!$M$9:$N$468,2,0)/VLOOKUP(D183,'Prezzi Trade'!$O$9:$P$468,2,0)</f>
        <v>840.53254437869816</v>
      </c>
      <c r="H183" s="5">
        <f>+(VLOOKUP(D183,'Prezzi FI'!$C$8:$D$468,2,0)+VLOOKUP(D183,'Prezzi FI'!$H$8:$I$467,2,0))/100</f>
        <v>1.1830566999999999</v>
      </c>
      <c r="I183" s="5">
        <f>+IF(VLOOKUP(D183,'Prezzi FI'!$H$8:$I$467,2,0)&lt;VLOOKUP(D184,'Prezzi FI'!$H$8:$I$467,2,0),4.25/2,0)/100</f>
        <v>0</v>
      </c>
      <c r="K183" s="4" t="str">
        <f t="shared" si="19"/>
        <v>20157</v>
      </c>
      <c r="L183" s="14">
        <f t="shared" si="20"/>
        <v>42044</v>
      </c>
      <c r="M183" s="39">
        <f t="shared" si="21"/>
        <v>-1.8765019973618544E-2</v>
      </c>
      <c r="N183" s="39">
        <f t="shared" si="22"/>
        <v>-6.8376334776039634E-3</v>
      </c>
      <c r="O183" s="39">
        <f t="shared" si="23"/>
        <v>9.9234275519834037E-3</v>
      </c>
      <c r="P183" s="39">
        <f t="shared" si="24"/>
        <v>-3.6555186869003161E-3</v>
      </c>
      <c r="AC183" s="14"/>
    </row>
    <row r="184" spans="3:29" x14ac:dyDescent="0.75">
      <c r="C184" s="4">
        <v>5</v>
      </c>
      <c r="D184" s="58">
        <v>42041</v>
      </c>
      <c r="E184" s="5">
        <f>+VLOOKUP(D184,'Prezzi Trade'!$I$9:$J$468,2,0)</f>
        <v>20.71</v>
      </c>
      <c r="F184" s="5">
        <f>+VLOOKUP(D184,'Prezzi Trade'!$K$9:$L$468,2,0)</f>
        <v>152.62</v>
      </c>
      <c r="G184" s="5">
        <f>+VLOOKUP(D184,'Prezzi Trade'!$M$9:$N$468,2,0)/VLOOKUP(D184,'Prezzi Trade'!$O$9:$P$468,2,0)</f>
        <v>832.2328294881994</v>
      </c>
      <c r="H184" s="5">
        <f>+(VLOOKUP(D184,'Prezzi FI'!$C$8:$D$468,2,0)+VLOOKUP(D184,'Prezzi FI'!$H$8:$I$467,2,0))/100</f>
        <v>1.1873893</v>
      </c>
      <c r="I184" s="5">
        <f>+IF(VLOOKUP(D184,'Prezzi FI'!$H$8:$I$467,2,0)&lt;VLOOKUP(D185,'Prezzi FI'!$H$8:$I$467,2,0),4.25/2,0)/100</f>
        <v>0</v>
      </c>
      <c r="K184" s="4" t="str">
        <f t="shared" si="19"/>
        <v>20156</v>
      </c>
      <c r="L184" s="14">
        <f t="shared" si="20"/>
        <v>42041</v>
      </c>
      <c r="M184" s="39">
        <f t="shared" si="21"/>
        <v>-4.5766670274117547E-3</v>
      </c>
      <c r="N184" s="39">
        <f t="shared" si="22"/>
        <v>9.4799919974565654E-3</v>
      </c>
      <c r="O184" s="39">
        <f t="shared" si="23"/>
        <v>1.5073628781934479E-2</v>
      </c>
      <c r="P184" s="39">
        <f t="shared" si="24"/>
        <v>-7.1778821275481964E-4</v>
      </c>
      <c r="AC184" s="14"/>
    </row>
    <row r="185" spans="3:29" x14ac:dyDescent="0.75">
      <c r="C185" s="4">
        <v>4</v>
      </c>
      <c r="D185" s="58">
        <v>42040</v>
      </c>
      <c r="E185" s="5">
        <f>+VLOOKUP(D185,'Prezzi Trade'!$I$9:$J$468,2,0)</f>
        <v>20.805</v>
      </c>
      <c r="F185" s="5">
        <f>+VLOOKUP(D185,'Prezzi Trade'!$K$9:$L$468,2,0)</f>
        <v>151.18</v>
      </c>
      <c r="G185" s="5">
        <f>+VLOOKUP(D185,'Prezzi Trade'!$M$9:$N$468,2,0)/VLOOKUP(D185,'Prezzi Trade'!$O$9:$P$468,2,0)</f>
        <v>819.78213507625276</v>
      </c>
      <c r="H185" s="5">
        <f>+(VLOOKUP(D185,'Prezzi FI'!$C$8:$D$468,2,0)+VLOOKUP(D185,'Prezzi FI'!$H$8:$I$467,2,0))/100</f>
        <v>1.1882419</v>
      </c>
      <c r="I185" s="5">
        <f>+IF(VLOOKUP(D185,'Prezzi FI'!$H$8:$I$467,2,0)&lt;VLOOKUP(D186,'Prezzi FI'!$H$8:$I$467,2,0),4.25/2,0)/100</f>
        <v>0</v>
      </c>
      <c r="K185" s="4" t="str">
        <f t="shared" si="19"/>
        <v>20156</v>
      </c>
      <c r="L185" s="14">
        <f t="shared" si="20"/>
        <v>42040</v>
      </c>
      <c r="M185" s="39">
        <f t="shared" si="21"/>
        <v>-6.229057036201976E-3</v>
      </c>
      <c r="N185" s="39">
        <f t="shared" si="22"/>
        <v>3.1137194324456995E-3</v>
      </c>
      <c r="O185" s="39">
        <f t="shared" si="23"/>
        <v>-7.060417920832519E-3</v>
      </c>
      <c r="P185" s="39">
        <f t="shared" si="24"/>
        <v>2.206864890584019E-4</v>
      </c>
      <c r="AC185" s="14"/>
    </row>
    <row r="186" spans="3:29" x14ac:dyDescent="0.75">
      <c r="C186" s="4">
        <v>3</v>
      </c>
      <c r="D186" s="58">
        <v>42039</v>
      </c>
      <c r="E186" s="5">
        <f>+VLOOKUP(D186,'Prezzi Trade'!$I$9:$J$468,2,0)</f>
        <v>20.934999999999999</v>
      </c>
      <c r="F186" s="5">
        <f>+VLOOKUP(D186,'Prezzi Trade'!$K$9:$L$468,2,0)</f>
        <v>150.71</v>
      </c>
      <c r="G186" s="5">
        <f>+VLOOKUP(D186,'Prezzi Trade'!$M$9:$N$468,2,0)/VLOOKUP(D186,'Prezzi Trade'!$O$9:$P$468,2,0)</f>
        <v>825.59062059238352</v>
      </c>
      <c r="H186" s="5">
        <f>+(VLOOKUP(D186,'Prezzi FI'!$C$8:$D$468,2,0)+VLOOKUP(D186,'Prezzi FI'!$H$8:$I$467,2,0))/100</f>
        <v>1.1879796999999999</v>
      </c>
      <c r="I186" s="5">
        <f>+IF(VLOOKUP(D186,'Prezzi FI'!$H$8:$I$467,2,0)&lt;VLOOKUP(D187,'Prezzi FI'!$H$8:$I$467,2,0),4.25/2,0)/100</f>
        <v>0</v>
      </c>
      <c r="K186" s="4" t="str">
        <f t="shared" si="19"/>
        <v>20156</v>
      </c>
      <c r="L186" s="14">
        <f t="shared" si="20"/>
        <v>42039</v>
      </c>
      <c r="M186" s="39">
        <f t="shared" si="21"/>
        <v>-1.1934599817349004E-3</v>
      </c>
      <c r="N186" s="39">
        <f t="shared" si="22"/>
        <v>1.3695641134437542E-2</v>
      </c>
      <c r="O186" s="39">
        <f t="shared" si="23"/>
        <v>7.7544881551033732E-3</v>
      </c>
      <c r="P186" s="39">
        <f t="shared" si="24"/>
        <v>1.6237358413606993E-3</v>
      </c>
      <c r="AC186" s="14"/>
    </row>
    <row r="187" spans="3:29" x14ac:dyDescent="0.75">
      <c r="C187" s="4">
        <v>2</v>
      </c>
      <c r="D187" s="58">
        <v>42038</v>
      </c>
      <c r="E187" s="5">
        <f>+VLOOKUP(D187,'Prezzi Trade'!$I$9:$J$468,2,0)</f>
        <v>20.96</v>
      </c>
      <c r="F187" s="5">
        <f>+VLOOKUP(D187,'Prezzi Trade'!$K$9:$L$468,2,0)</f>
        <v>148.66</v>
      </c>
      <c r="G187" s="5">
        <f>+VLOOKUP(D187,'Prezzi Trade'!$M$9:$N$468,2,0)/VLOOKUP(D187,'Prezzi Trade'!$O$9:$P$468,2,0)</f>
        <v>819.2133461102884</v>
      </c>
      <c r="H187" s="5">
        <f>+(VLOOKUP(D187,'Prezzi FI'!$C$8:$D$468,2,0)+VLOOKUP(D187,'Prezzi FI'!$H$8:$I$467,2,0))/100</f>
        <v>1.1860523000000001</v>
      </c>
      <c r="I187" s="5">
        <f>+IF(VLOOKUP(D187,'Prezzi FI'!$H$8:$I$467,2,0)&lt;VLOOKUP(D188,'Prezzi FI'!$H$8:$I$467,2,0),4.25/2,0)/100</f>
        <v>0</v>
      </c>
      <c r="K187" s="4" t="str">
        <f t="shared" si="19"/>
        <v>20156</v>
      </c>
      <c r="L187" s="14">
        <f t="shared" si="20"/>
        <v>42038</v>
      </c>
      <c r="M187" s="39">
        <f t="shared" si="21"/>
        <v>2.2678897202033053E-2</v>
      </c>
      <c r="N187" s="39">
        <f t="shared" si="22"/>
        <v>-2.0831240943541595E-3</v>
      </c>
      <c r="O187" s="39">
        <f t="shared" si="23"/>
        <v>1.1364733816995281E-2</v>
      </c>
      <c r="P187" s="39">
        <f t="shared" si="24"/>
        <v>1.2548632442064014E-3</v>
      </c>
      <c r="AC187" s="14"/>
    </row>
    <row r="188" spans="3:29" x14ac:dyDescent="0.75">
      <c r="C188" s="4">
        <v>1</v>
      </c>
      <c r="D188" s="58">
        <v>42037</v>
      </c>
      <c r="E188" s="5">
        <f>+VLOOKUP(D188,'Prezzi Trade'!$I$9:$J$468,2,0)</f>
        <v>20.49</v>
      </c>
      <c r="F188" s="5">
        <f>+VLOOKUP(D188,'Prezzi Trade'!$K$9:$L$468,2,0)</f>
        <v>148.97</v>
      </c>
      <c r="G188" s="5">
        <f>+VLOOKUP(D188,'Prezzi Trade'!$M$9:$N$468,2,0)/VLOOKUP(D188,'Prezzi Trade'!$O$9:$P$468,2,0)</f>
        <v>809.95590828924173</v>
      </c>
      <c r="H188" s="5">
        <f>+(VLOOKUP(D188,'Prezzi FI'!$C$8:$D$468,2,0)+VLOOKUP(D188,'Prezzi FI'!$H$8:$I$467,2,0))/100</f>
        <v>1.1845649</v>
      </c>
      <c r="I188" s="5">
        <f>+IF(VLOOKUP(D188,'Prezzi FI'!$H$8:$I$467,2,0)&lt;VLOOKUP(D189,'Prezzi FI'!$H$8:$I$467,2,0),4.25/2,0)/100</f>
        <v>0</v>
      </c>
      <c r="K188" s="4" t="str">
        <f t="shared" si="19"/>
        <v>20156</v>
      </c>
      <c r="L188" s="14">
        <f t="shared" si="20"/>
        <v>42037</v>
      </c>
      <c r="M188" s="39">
        <f t="shared" si="21"/>
        <v>-2.4399170549264815E-4</v>
      </c>
      <c r="N188" s="39">
        <f t="shared" si="22"/>
        <v>4.7000370153828491E-4</v>
      </c>
      <c r="O188" s="39">
        <f t="shared" si="23"/>
        <v>2.0061969405713361E-2</v>
      </c>
      <c r="P188" s="39">
        <f t="shared" si="24"/>
        <v>1.3288462139262545E-4</v>
      </c>
      <c r="AC188" s="14"/>
    </row>
    <row r="189" spans="3:29" x14ac:dyDescent="0.75">
      <c r="C189" s="4">
        <v>5</v>
      </c>
      <c r="D189" s="58">
        <v>42034</v>
      </c>
      <c r="E189" s="5">
        <f>+VLOOKUP(D189,'Prezzi Trade'!$I$9:$J$468,2,0)</f>
        <v>20.495000000000001</v>
      </c>
      <c r="F189" s="5">
        <f>+VLOOKUP(D189,'Prezzi Trade'!$K$9:$L$468,2,0)</f>
        <v>148.9</v>
      </c>
      <c r="G189" s="5">
        <f>+VLOOKUP(D189,'Prezzi Trade'!$M$9:$N$468,2,0)/VLOOKUP(D189,'Prezzi Trade'!$O$9:$P$468,2,0)</f>
        <v>793.8685096579834</v>
      </c>
      <c r="H189" s="5">
        <f>+(VLOOKUP(D189,'Prezzi FI'!$C$8:$D$468,2,0)+VLOOKUP(D189,'Prezzi FI'!$H$8:$I$467,2,0))/100</f>
        <v>1.1844074999999998</v>
      </c>
      <c r="I189" s="5">
        <f>+IF(VLOOKUP(D189,'Prezzi FI'!$H$8:$I$467,2,0)&lt;VLOOKUP(D190,'Prezzi FI'!$H$8:$I$467,2,0),4.25/2,0)/100</f>
        <v>0</v>
      </c>
      <c r="K189" s="4" t="str">
        <f t="shared" si="19"/>
        <v>20155</v>
      </c>
      <c r="L189" s="14">
        <f t="shared" si="20"/>
        <v>42034</v>
      </c>
      <c r="M189" s="39">
        <f t="shared" si="21"/>
        <v>-4.8673739317430685E-3</v>
      </c>
      <c r="N189" s="39">
        <f t="shared" si="22"/>
        <v>2.0168074063046E-3</v>
      </c>
      <c r="O189" s="39">
        <f t="shared" si="23"/>
        <v>8.347602583829862E-3</v>
      </c>
      <c r="P189" s="39">
        <f t="shared" si="24"/>
        <v>-7.7021514634461935E-4</v>
      </c>
      <c r="AC189" s="14"/>
    </row>
    <row r="190" spans="3:29" x14ac:dyDescent="0.75">
      <c r="C190" s="4">
        <v>4</v>
      </c>
      <c r="D190" s="58">
        <v>42033</v>
      </c>
      <c r="E190" s="5">
        <f>+VLOOKUP(D190,'Prezzi Trade'!$I$9:$J$468,2,0)</f>
        <v>20.594999999999999</v>
      </c>
      <c r="F190" s="5">
        <f>+VLOOKUP(D190,'Prezzi Trade'!$K$9:$L$468,2,0)</f>
        <v>148.6</v>
      </c>
      <c r="G190" s="5">
        <f>+VLOOKUP(D190,'Prezzi Trade'!$M$9:$N$468,2,0)/VLOOKUP(D190,'Prezzi Trade'!$O$9:$P$468,2,0)</f>
        <v>787.26919339164249</v>
      </c>
      <c r="H190" s="5">
        <f>+(VLOOKUP(D190,'Prezzi FI'!$C$8:$D$468,2,0)+VLOOKUP(D190,'Prezzi FI'!$H$8:$I$467,2,0))/100</f>
        <v>1.1853201</v>
      </c>
      <c r="I190" s="5">
        <f>+IF(VLOOKUP(D190,'Prezzi FI'!$H$8:$I$467,2,0)&lt;VLOOKUP(D191,'Prezzi FI'!$H$8:$I$467,2,0),4.25/2,0)/100</f>
        <v>0</v>
      </c>
      <c r="K190" s="4" t="str">
        <f t="shared" si="19"/>
        <v>20155</v>
      </c>
      <c r="L190" s="14">
        <f t="shared" si="20"/>
        <v>42033</v>
      </c>
      <c r="M190" s="39">
        <f t="shared" si="21"/>
        <v>4.8673739317431092E-3</v>
      </c>
      <c r="N190" s="39">
        <f t="shared" si="22"/>
        <v>-9.1104595840525437E-3</v>
      </c>
      <c r="O190" s="39">
        <f t="shared" si="23"/>
        <v>-1.9121313954110743E-2</v>
      </c>
      <c r="P190" s="39">
        <f t="shared" si="24"/>
        <v>1.5638380281196456E-3</v>
      </c>
      <c r="AC190" s="14"/>
    </row>
    <row r="191" spans="3:29" x14ac:dyDescent="0.75">
      <c r="C191" s="4">
        <v>3</v>
      </c>
      <c r="D191" s="58">
        <v>42032</v>
      </c>
      <c r="E191" s="5">
        <f>+VLOOKUP(D191,'Prezzi Trade'!$I$9:$J$468,2,0)</f>
        <v>20.495000000000001</v>
      </c>
      <c r="F191" s="5">
        <f>+VLOOKUP(D191,'Prezzi Trade'!$K$9:$L$468,2,0)</f>
        <v>149.96</v>
      </c>
      <c r="G191" s="5">
        <f>+VLOOKUP(D191,'Prezzi Trade'!$M$9:$N$468,2,0)/VLOOKUP(D191,'Prezzi Trade'!$O$9:$P$468,2,0)</f>
        <v>802.4676590466064</v>
      </c>
      <c r="H191" s="5">
        <f>+(VLOOKUP(D191,'Prezzi FI'!$C$8:$D$468,2,0)+VLOOKUP(D191,'Prezzi FI'!$H$8:$I$467,2,0))/100</f>
        <v>1.1834678999999999</v>
      </c>
      <c r="I191" s="5">
        <f>+IF(VLOOKUP(D191,'Prezzi FI'!$H$8:$I$467,2,0)&lt;VLOOKUP(D192,'Prezzi FI'!$H$8:$I$467,2,0),4.25/2,0)/100</f>
        <v>0</v>
      </c>
      <c r="K191" s="4" t="str">
        <f t="shared" si="19"/>
        <v>20155</v>
      </c>
      <c r="L191" s="14">
        <f t="shared" si="20"/>
        <v>42032</v>
      </c>
      <c r="M191" s="39">
        <f t="shared" si="21"/>
        <v>-5.8380122025623784E-3</v>
      </c>
      <c r="N191" s="39">
        <f t="shared" si="22"/>
        <v>1.7353004421287008E-3</v>
      </c>
      <c r="O191" s="39">
        <f t="shared" si="23"/>
        <v>1.0133907192455532E-2</v>
      </c>
      <c r="P191" s="39">
        <f t="shared" si="24"/>
        <v>-2.2810241189696896E-3</v>
      </c>
      <c r="AC191" s="14"/>
    </row>
    <row r="192" spans="3:29" x14ac:dyDescent="0.75">
      <c r="C192" s="4">
        <v>2</v>
      </c>
      <c r="D192" s="58">
        <v>42031</v>
      </c>
      <c r="E192" s="5">
        <f>+VLOOKUP(D192,'Prezzi Trade'!$I$9:$J$468,2,0)</f>
        <v>20.614999999999998</v>
      </c>
      <c r="F192" s="5">
        <f>+VLOOKUP(D192,'Prezzi Trade'!$K$9:$L$468,2,0)</f>
        <v>149.69999999999999</v>
      </c>
      <c r="G192" s="5">
        <f>+VLOOKUP(D192,'Prezzi Trade'!$M$9:$N$468,2,0)/VLOOKUP(D192,'Prezzi Trade'!$O$9:$P$468,2,0)</f>
        <v>794.37659256655843</v>
      </c>
      <c r="H192" s="5">
        <f>+(VLOOKUP(D192,'Prezzi FI'!$C$8:$D$468,2,0)+VLOOKUP(D192,'Prezzi FI'!$H$8:$I$467,2,0))/100</f>
        <v>1.1861705</v>
      </c>
      <c r="I192" s="5">
        <f>+IF(VLOOKUP(D192,'Prezzi FI'!$H$8:$I$467,2,0)&lt;VLOOKUP(D193,'Prezzi FI'!$H$8:$I$467,2,0),4.25/2,0)/100</f>
        <v>0</v>
      </c>
      <c r="K192" s="4" t="str">
        <f t="shared" si="19"/>
        <v>20155</v>
      </c>
      <c r="L192" s="14">
        <f t="shared" si="20"/>
        <v>42031</v>
      </c>
      <c r="M192" s="39">
        <f t="shared" si="21"/>
        <v>-4.3562508386672475E-3</v>
      </c>
      <c r="N192" s="39">
        <f t="shared" si="22"/>
        <v>-1.1556215475484743E-2</v>
      </c>
      <c r="O192" s="39">
        <f t="shared" si="23"/>
        <v>-1.5279701913957014E-2</v>
      </c>
      <c r="P192" s="39">
        <f t="shared" si="24"/>
        <v>-2.3935845272448387E-3</v>
      </c>
      <c r="AC192" s="14"/>
    </row>
    <row r="193" spans="3:29" x14ac:dyDescent="0.75">
      <c r="C193" s="4">
        <v>1</v>
      </c>
      <c r="D193" s="58">
        <v>42030</v>
      </c>
      <c r="E193" s="5">
        <f>+VLOOKUP(D193,'Prezzi Trade'!$I$9:$J$468,2,0)</f>
        <v>20.704999999999998</v>
      </c>
      <c r="F193" s="5">
        <f>+VLOOKUP(D193,'Prezzi Trade'!$K$9:$L$468,2,0)</f>
        <v>151.44</v>
      </c>
      <c r="G193" s="5">
        <f>+VLOOKUP(D193,'Prezzi Trade'!$M$9:$N$468,2,0)/VLOOKUP(D193,'Prezzi Trade'!$O$9:$P$468,2,0)</f>
        <v>806.60763548989951</v>
      </c>
      <c r="H193" s="5">
        <f>+(VLOOKUP(D193,'Prezzi FI'!$C$8:$D$468,2,0)+VLOOKUP(D193,'Prezzi FI'!$H$8:$I$467,2,0))/100</f>
        <v>1.1890130999999999</v>
      </c>
      <c r="I193" s="5">
        <f>+IF(VLOOKUP(D193,'Prezzi FI'!$H$8:$I$467,2,0)&lt;VLOOKUP(D194,'Prezzi FI'!$H$8:$I$467,2,0),4.25/2,0)/100</f>
        <v>0</v>
      </c>
      <c r="K193" s="4" t="str">
        <f t="shared" si="19"/>
        <v>20155</v>
      </c>
      <c r="L193" s="14">
        <f t="shared" si="20"/>
        <v>42030</v>
      </c>
      <c r="M193" s="39">
        <f t="shared" si="21"/>
        <v>1.2147865616168641E-2</v>
      </c>
      <c r="N193" s="39">
        <f t="shared" si="22"/>
        <v>-1.3205678460930816E-4</v>
      </c>
      <c r="O193" s="39">
        <f t="shared" si="23"/>
        <v>-2.237429718480839E-3</v>
      </c>
      <c r="P193" s="39">
        <f t="shared" si="24"/>
        <v>3.9317640095454275E-4</v>
      </c>
      <c r="AC193" s="14"/>
    </row>
    <row r="194" spans="3:29" x14ac:dyDescent="0.75">
      <c r="C194" s="4">
        <v>5</v>
      </c>
      <c r="D194" s="58">
        <v>42027</v>
      </c>
      <c r="E194" s="5">
        <f>+VLOOKUP(D194,'Prezzi Trade'!$I$9:$J$468,2,0)</f>
        <v>20.454999999999998</v>
      </c>
      <c r="F194" s="5">
        <f>+VLOOKUP(D194,'Prezzi Trade'!$K$9:$L$468,2,0)</f>
        <v>151.46</v>
      </c>
      <c r="G194" s="5">
        <f>+VLOOKUP(D194,'Prezzi Trade'!$M$9:$N$468,2,0)/VLOOKUP(D194,'Prezzi Trade'!$O$9:$P$468,2,0)</f>
        <v>808.41438386722587</v>
      </c>
      <c r="H194" s="5">
        <f>+(VLOOKUP(D194,'Prezzi FI'!$C$8:$D$468,2,0)+VLOOKUP(D194,'Prezzi FI'!$H$8:$I$467,2,0))/100</f>
        <v>1.1885457000000001</v>
      </c>
      <c r="I194" s="5">
        <f>+IF(VLOOKUP(D194,'Prezzi FI'!$H$8:$I$467,2,0)&lt;VLOOKUP(D195,'Prezzi FI'!$H$8:$I$467,2,0),4.25/2,0)/100</f>
        <v>0</v>
      </c>
      <c r="K194" s="4" t="str">
        <f t="shared" si="19"/>
        <v>20154</v>
      </c>
      <c r="L194" s="14">
        <f t="shared" si="20"/>
        <v>42027</v>
      </c>
      <c r="M194" s="39">
        <f t="shared" si="21"/>
        <v>3.1827667949980041E-3</v>
      </c>
      <c r="N194" s="39">
        <f t="shared" si="22"/>
        <v>1.684516678790032E-2</v>
      </c>
      <c r="O194" s="39">
        <f t="shared" si="23"/>
        <v>2.7170616227721531E-3</v>
      </c>
      <c r="P194" s="39">
        <f t="shared" si="24"/>
        <v>3.2599768707507036E-4</v>
      </c>
      <c r="AC194" s="14"/>
    </row>
    <row r="195" spans="3:29" x14ac:dyDescent="0.75">
      <c r="C195" s="4">
        <v>4</v>
      </c>
      <c r="D195" s="58">
        <v>42026</v>
      </c>
      <c r="E195" s="5">
        <f>+VLOOKUP(D195,'Prezzi Trade'!$I$9:$J$468,2,0)</f>
        <v>20.39</v>
      </c>
      <c r="F195" s="5">
        <f>+VLOOKUP(D195,'Prezzi Trade'!$K$9:$L$468,2,0)</f>
        <v>148.93</v>
      </c>
      <c r="G195" s="5">
        <f>+VLOOKUP(D195,'Prezzi Trade'!$M$9:$N$468,2,0)/VLOOKUP(D195,'Prezzi Trade'!$O$9:$P$468,2,0)</f>
        <v>806.22085349758026</v>
      </c>
      <c r="H195" s="5">
        <f>+(VLOOKUP(D195,'Prezzi FI'!$C$8:$D$468,2,0)+VLOOKUP(D195,'Prezzi FI'!$H$8:$I$467,2,0))/100</f>
        <v>1.1881583</v>
      </c>
      <c r="I195" s="5">
        <f>+IF(VLOOKUP(D195,'Prezzi FI'!$H$8:$I$467,2,0)&lt;VLOOKUP(D196,'Prezzi FI'!$H$8:$I$467,2,0),4.25/2,0)/100</f>
        <v>0</v>
      </c>
      <c r="K195" s="4" t="str">
        <f t="shared" si="19"/>
        <v>20154</v>
      </c>
      <c r="L195" s="14">
        <f t="shared" si="20"/>
        <v>42026</v>
      </c>
      <c r="M195" s="39">
        <f t="shared" si="21"/>
        <v>2.1314313703045887E-2</v>
      </c>
      <c r="N195" s="39">
        <f t="shared" si="22"/>
        <v>1.8842905340521202E-2</v>
      </c>
      <c r="O195" s="39">
        <f t="shared" si="23"/>
        <v>2.1832943756737676E-2</v>
      </c>
      <c r="P195" s="39">
        <f t="shared" si="24"/>
        <v>4.0752590973459459E-3</v>
      </c>
      <c r="AC195" s="14"/>
    </row>
    <row r="196" spans="3:29" x14ac:dyDescent="0.75">
      <c r="C196" s="4">
        <v>3</v>
      </c>
      <c r="D196" s="58">
        <v>42025</v>
      </c>
      <c r="E196" s="5">
        <f>+VLOOKUP(D196,'Prezzi Trade'!$I$9:$J$468,2,0)</f>
        <v>19.96</v>
      </c>
      <c r="F196" s="5">
        <f>+VLOOKUP(D196,'Prezzi Trade'!$K$9:$L$468,2,0)</f>
        <v>146.15</v>
      </c>
      <c r="G196" s="5">
        <f>+VLOOKUP(D196,'Prezzi Trade'!$M$9:$N$468,2,0)/VLOOKUP(D196,'Prezzi Trade'!$O$9:$P$468,2,0)</f>
        <v>788.80944176430046</v>
      </c>
      <c r="H196" s="5">
        <f>+(VLOOKUP(D196,'Prezzi FI'!$C$8:$D$468,2,0)+VLOOKUP(D196,'Prezzi FI'!$H$8:$I$467,2,0))/100</f>
        <v>1.1833260999999999</v>
      </c>
      <c r="I196" s="5">
        <f>+IF(VLOOKUP(D196,'Prezzi FI'!$H$8:$I$467,2,0)&lt;VLOOKUP(D197,'Prezzi FI'!$H$8:$I$467,2,0),4.25/2,0)/100</f>
        <v>0</v>
      </c>
      <c r="K196" s="4" t="str">
        <f t="shared" si="19"/>
        <v>20154</v>
      </c>
      <c r="L196" s="14">
        <f t="shared" si="20"/>
        <v>42025</v>
      </c>
      <c r="M196" s="39">
        <f t="shared" si="21"/>
        <v>1.6416582853344956E-2</v>
      </c>
      <c r="N196" s="39">
        <f t="shared" si="22"/>
        <v>8.313627876119542E-3</v>
      </c>
      <c r="O196" s="39">
        <f t="shared" si="23"/>
        <v>-1.3607882807440324E-4</v>
      </c>
      <c r="P196" s="39">
        <f t="shared" si="24"/>
        <v>-8.9757437959986797E-4</v>
      </c>
      <c r="AC196" s="14"/>
    </row>
    <row r="197" spans="3:29" x14ac:dyDescent="0.75">
      <c r="C197" s="4">
        <v>2</v>
      </c>
      <c r="D197" s="58">
        <v>42024</v>
      </c>
      <c r="E197" s="5">
        <f>+VLOOKUP(D197,'Prezzi Trade'!$I$9:$J$468,2,0)</f>
        <v>19.635000000000002</v>
      </c>
      <c r="F197" s="5">
        <f>+VLOOKUP(D197,'Prezzi Trade'!$K$9:$L$468,2,0)</f>
        <v>144.94</v>
      </c>
      <c r="G197" s="5">
        <f>+VLOOKUP(D197,'Prezzi Trade'!$M$9:$N$468,2,0)/VLOOKUP(D197,'Prezzi Trade'!$O$9:$P$468,2,0)</f>
        <v>788.91678933240973</v>
      </c>
      <c r="H197" s="5">
        <f>+(VLOOKUP(D197,'Prezzi FI'!$C$8:$D$468,2,0)+VLOOKUP(D197,'Prezzi FI'!$H$8:$I$467,2,0))/100</f>
        <v>1.1843887000000002</v>
      </c>
      <c r="I197" s="5">
        <f>+IF(VLOOKUP(D197,'Prezzi FI'!$H$8:$I$467,2,0)&lt;VLOOKUP(D198,'Prezzi FI'!$H$8:$I$467,2,0),4.25/2,0)/100</f>
        <v>0</v>
      </c>
      <c r="K197" s="4" t="str">
        <f t="shared" si="19"/>
        <v>20154</v>
      </c>
      <c r="L197" s="14">
        <f t="shared" si="20"/>
        <v>42024</v>
      </c>
      <c r="M197" s="39">
        <f t="shared" si="21"/>
        <v>1.0238123725786587E-2</v>
      </c>
      <c r="N197" s="39">
        <f t="shared" si="22"/>
        <v>2.7635778263004219E-3</v>
      </c>
      <c r="O197" s="39">
        <f t="shared" si="23"/>
        <v>2.4104844798044844E-3</v>
      </c>
      <c r="P197" s="39">
        <f t="shared" si="24"/>
        <v>-3.6518502353739704E-4</v>
      </c>
      <c r="AC197" s="14"/>
    </row>
    <row r="198" spans="3:29" x14ac:dyDescent="0.75">
      <c r="C198" s="4">
        <v>1</v>
      </c>
      <c r="D198" s="58">
        <v>42023</v>
      </c>
      <c r="E198" s="5">
        <f>+VLOOKUP(D198,'Prezzi Trade'!$I$9:$J$468,2,0)</f>
        <v>19.434999999999999</v>
      </c>
      <c r="F198" s="5">
        <f>+VLOOKUP(D198,'Prezzi Trade'!$K$9:$L$468,2,0)</f>
        <v>144.54</v>
      </c>
      <c r="G198" s="5">
        <f>+VLOOKUP(D198,'Prezzi Trade'!$M$9:$N$468,2,0)/VLOOKUP(D198,'Prezzi Trade'!$O$9:$P$468,2,0)</f>
        <v>787.017407790417</v>
      </c>
      <c r="H198" s="5">
        <f>+(VLOOKUP(D198,'Prezzi FI'!$C$8:$D$468,2,0)+VLOOKUP(D198,'Prezzi FI'!$H$8:$I$467,2,0))/100</f>
        <v>1.1848213000000001</v>
      </c>
      <c r="I198" s="5">
        <f>+IF(VLOOKUP(D198,'Prezzi FI'!$H$8:$I$467,2,0)&lt;VLOOKUP(D199,'Prezzi FI'!$H$8:$I$467,2,0),4.25/2,0)/100</f>
        <v>0</v>
      </c>
      <c r="K198" s="4" t="str">
        <f t="shared" ref="K198:K261" si="25">+YEAR( L198) &amp; WEEKNUM(L198,2)</f>
        <v>20154</v>
      </c>
      <c r="L198" s="14">
        <f t="shared" ref="L198:L261" si="26">+D198</f>
        <v>42023</v>
      </c>
      <c r="M198" s="39">
        <f t="shared" ref="M198:M261" si="27">+LN(E198/E199)</f>
        <v>1.4250791761471995E-2</v>
      </c>
      <c r="N198" s="39">
        <f t="shared" ref="N198:N261" si="28">+LN(F198/F199)</f>
        <v>-9.6812122906227258E-4</v>
      </c>
      <c r="O198" s="39">
        <f t="shared" ref="O198:O261" si="29">+LN(G198/G199)</f>
        <v>-6.7514876283698956E-3</v>
      </c>
      <c r="P198" s="39">
        <f t="shared" ref="P198:P261" si="30">+LN((H198+I198)/H199)</f>
        <v>2.3415554619235851E-4</v>
      </c>
      <c r="AC198" s="14"/>
    </row>
    <row r="199" spans="3:29" x14ac:dyDescent="0.75">
      <c r="C199" s="4">
        <v>5</v>
      </c>
      <c r="D199" s="58">
        <v>42020</v>
      </c>
      <c r="E199" s="5">
        <f>+VLOOKUP(D199,'Prezzi Trade'!$I$9:$J$468,2,0)</f>
        <v>19.16</v>
      </c>
      <c r="F199" s="5">
        <f>+VLOOKUP(D199,'Prezzi Trade'!$K$9:$L$468,2,0)</f>
        <v>144.68</v>
      </c>
      <c r="G199" s="5">
        <f>+VLOOKUP(D199,'Prezzi Trade'!$M$9:$N$468,2,0)/VLOOKUP(D199,'Prezzi Trade'!$O$9:$P$468,2,0)</f>
        <v>792.34892366214228</v>
      </c>
      <c r="H199" s="5">
        <f>+(VLOOKUP(D199,'Prezzi FI'!$C$8:$D$468,2,0)+VLOOKUP(D199,'Prezzi FI'!$H$8:$I$467,2,0))/100</f>
        <v>1.1845439</v>
      </c>
      <c r="I199" s="5">
        <f>+IF(VLOOKUP(D199,'Prezzi FI'!$H$8:$I$467,2,0)&lt;VLOOKUP(D200,'Prezzi FI'!$H$8:$I$467,2,0),4.25/2,0)/100</f>
        <v>0</v>
      </c>
      <c r="K199" s="4" t="str">
        <f t="shared" si="25"/>
        <v>20153</v>
      </c>
      <c r="L199" s="14">
        <f t="shared" si="26"/>
        <v>42020</v>
      </c>
      <c r="M199" s="39">
        <f t="shared" si="27"/>
        <v>1.7373429873653513E-2</v>
      </c>
      <c r="N199" s="39">
        <f t="shared" si="28"/>
        <v>7.7016859442946423E-3</v>
      </c>
      <c r="O199" s="39">
        <f t="shared" si="29"/>
        <v>2.1678419180790078E-2</v>
      </c>
      <c r="P199" s="39">
        <f t="shared" si="30"/>
        <v>3.3718685074795307E-3</v>
      </c>
      <c r="AC199" s="14"/>
    </row>
    <row r="200" spans="3:29" x14ac:dyDescent="0.75">
      <c r="C200" s="4">
        <v>4</v>
      </c>
      <c r="D200" s="58">
        <v>42019</v>
      </c>
      <c r="E200" s="5">
        <f>+VLOOKUP(D200,'Prezzi Trade'!$I$9:$J$468,2,0)</f>
        <v>18.829999999999998</v>
      </c>
      <c r="F200" s="5">
        <f>+VLOOKUP(D200,'Prezzi Trade'!$K$9:$L$468,2,0)</f>
        <v>143.57</v>
      </c>
      <c r="G200" s="5">
        <f>+VLOOKUP(D200,'Prezzi Trade'!$M$9:$N$468,2,0)/VLOOKUP(D200,'Prezzi Trade'!$O$9:$P$468,2,0)</f>
        <v>775.35689714482282</v>
      </c>
      <c r="H200" s="5">
        <f>+(VLOOKUP(D200,'Prezzi FI'!$C$8:$D$468,2,0)+VLOOKUP(D200,'Prezzi FI'!$H$8:$I$467,2,0))/100</f>
        <v>1.1805565</v>
      </c>
      <c r="I200" s="5">
        <f>+IF(VLOOKUP(D200,'Prezzi FI'!$H$8:$I$467,2,0)&lt;VLOOKUP(D201,'Prezzi FI'!$H$8:$I$467,2,0),4.25/2,0)/100</f>
        <v>0</v>
      </c>
      <c r="K200" s="4" t="str">
        <f t="shared" si="25"/>
        <v>20153</v>
      </c>
      <c r="L200" s="14">
        <f t="shared" si="26"/>
        <v>42019</v>
      </c>
      <c r="M200" s="39">
        <f t="shared" si="27"/>
        <v>2.500466339743037E-2</v>
      </c>
      <c r="N200" s="39">
        <f t="shared" si="28"/>
        <v>2.239845715574279E-2</v>
      </c>
      <c r="O200" s="39">
        <f t="shared" si="29"/>
        <v>1.3750910613360872E-2</v>
      </c>
      <c r="P200" s="39">
        <f t="shared" si="30"/>
        <v>4.3395732818361733E-4</v>
      </c>
      <c r="AC200" s="14"/>
    </row>
    <row r="201" spans="3:29" x14ac:dyDescent="0.75">
      <c r="C201" s="4">
        <v>3</v>
      </c>
      <c r="D201" s="58">
        <v>42018</v>
      </c>
      <c r="E201" s="5">
        <f>+VLOOKUP(D201,'Prezzi Trade'!$I$9:$J$468,2,0)</f>
        <v>18.364999999999998</v>
      </c>
      <c r="F201" s="5">
        <f>+VLOOKUP(D201,'Prezzi Trade'!$K$9:$L$468,2,0)</f>
        <v>140.38999999999999</v>
      </c>
      <c r="G201" s="5">
        <f>+VLOOKUP(D201,'Prezzi Trade'!$M$9:$N$468,2,0)/VLOOKUP(D201,'Prezzi Trade'!$O$9:$P$468,2,0)</f>
        <v>764.76800407159215</v>
      </c>
      <c r="H201" s="5">
        <f>+(VLOOKUP(D201,'Prezzi FI'!$C$8:$D$468,2,0)+VLOOKUP(D201,'Prezzi FI'!$H$8:$I$467,2,0))/100</f>
        <v>1.1800443</v>
      </c>
      <c r="I201" s="5">
        <f>+IF(VLOOKUP(D201,'Prezzi FI'!$H$8:$I$467,2,0)&lt;VLOOKUP(D202,'Prezzi FI'!$H$8:$I$467,2,0),4.25/2,0)/100</f>
        <v>0</v>
      </c>
      <c r="K201" s="4" t="str">
        <f t="shared" si="25"/>
        <v>20153</v>
      </c>
      <c r="L201" s="14">
        <f t="shared" si="26"/>
        <v>42018</v>
      </c>
      <c r="M201" s="39">
        <f t="shared" si="27"/>
        <v>-1.6471278282000762E-2</v>
      </c>
      <c r="N201" s="39">
        <f t="shared" si="28"/>
        <v>-2.0516070850266521E-2</v>
      </c>
      <c r="O201" s="39">
        <f t="shared" si="29"/>
        <v>-1.1524232902646725E-2</v>
      </c>
      <c r="P201" s="39">
        <f t="shared" si="30"/>
        <v>1.745015521490088E-3</v>
      </c>
      <c r="AC201" s="14"/>
    </row>
    <row r="202" spans="3:29" x14ac:dyDescent="0.75">
      <c r="C202" s="4">
        <v>2</v>
      </c>
      <c r="D202" s="58">
        <v>42017</v>
      </c>
      <c r="E202" s="5">
        <f>+VLOOKUP(D202,'Prezzi Trade'!$I$9:$J$468,2,0)</f>
        <v>18.670000000000002</v>
      </c>
      <c r="F202" s="5">
        <f>+VLOOKUP(D202,'Prezzi Trade'!$K$9:$L$468,2,0)</f>
        <v>143.30000000000001</v>
      </c>
      <c r="G202" s="5">
        <f>+VLOOKUP(D202,'Prezzi Trade'!$M$9:$N$468,2,0)/VLOOKUP(D202,'Prezzi Trade'!$O$9:$P$468,2,0)</f>
        <v>773.63234794427456</v>
      </c>
      <c r="H202" s="5">
        <f>+(VLOOKUP(D202,'Prezzi FI'!$C$8:$D$468,2,0)+VLOOKUP(D202,'Prezzi FI'!$H$8:$I$467,2,0))/100</f>
        <v>1.1779868999999998</v>
      </c>
      <c r="I202" s="5">
        <f>+IF(VLOOKUP(D202,'Prezzi FI'!$H$8:$I$467,2,0)&lt;VLOOKUP(D203,'Prezzi FI'!$H$8:$I$467,2,0),4.25/2,0)/100</f>
        <v>0</v>
      </c>
      <c r="K202" s="4" t="str">
        <f t="shared" si="25"/>
        <v>20153</v>
      </c>
      <c r="L202" s="14">
        <f t="shared" si="26"/>
        <v>42017</v>
      </c>
      <c r="M202" s="39">
        <f t="shared" si="27"/>
        <v>2.0563495150857095E-2</v>
      </c>
      <c r="N202" s="39">
        <f t="shared" si="28"/>
        <v>1.1863534599158801E-2</v>
      </c>
      <c r="O202" s="39">
        <f t="shared" si="29"/>
        <v>-1.0519555335352893E-2</v>
      </c>
      <c r="P202" s="39">
        <f t="shared" si="30"/>
        <v>4.8813279157115279E-5</v>
      </c>
      <c r="AC202" s="14"/>
    </row>
    <row r="203" spans="3:29" x14ac:dyDescent="0.75">
      <c r="C203" s="4">
        <v>1</v>
      </c>
      <c r="D203" s="58">
        <v>42016</v>
      </c>
      <c r="E203" s="5">
        <f>+VLOOKUP(D203,'Prezzi Trade'!$I$9:$J$468,2,0)</f>
        <v>18.29</v>
      </c>
      <c r="F203" s="5">
        <f>+VLOOKUP(D203,'Prezzi Trade'!$K$9:$L$468,2,0)</f>
        <v>141.61000000000001</v>
      </c>
      <c r="G203" s="5">
        <f>+VLOOKUP(D203,'Prezzi Trade'!$M$9:$N$468,2,0)/VLOOKUP(D203,'Prezzi Trade'!$O$9:$P$468,2,0)</f>
        <v>781.81357221330177</v>
      </c>
      <c r="H203" s="5">
        <f>+(VLOOKUP(D203,'Prezzi FI'!$C$8:$D$468,2,0)+VLOOKUP(D203,'Prezzi FI'!$H$8:$I$467,2,0))/100</f>
        <v>1.1779294</v>
      </c>
      <c r="I203" s="5">
        <f>+IF(VLOOKUP(D203,'Prezzi FI'!$H$8:$I$467,2,0)&lt;VLOOKUP(D204,'Prezzi FI'!$H$8:$I$467,2,0),4.25/2,0)/100</f>
        <v>0</v>
      </c>
      <c r="K203" s="4" t="str">
        <f t="shared" si="25"/>
        <v>20153</v>
      </c>
      <c r="L203" s="14">
        <f t="shared" si="26"/>
        <v>42016</v>
      </c>
      <c r="M203" s="39">
        <f t="shared" si="27"/>
        <v>5.207631338651088E-3</v>
      </c>
      <c r="N203" s="39">
        <f t="shared" si="28"/>
        <v>-1.6933610198928682E-3</v>
      </c>
      <c r="O203" s="39">
        <f t="shared" si="29"/>
        <v>-8.1409309550846531E-3</v>
      </c>
      <c r="P203" s="39">
        <f t="shared" si="30"/>
        <v>3.8679739906453963E-3</v>
      </c>
      <c r="AC203" s="14"/>
    </row>
    <row r="204" spans="3:29" x14ac:dyDescent="0.75">
      <c r="C204" s="4">
        <v>5</v>
      </c>
      <c r="D204" s="58">
        <v>42013</v>
      </c>
      <c r="E204" s="5">
        <f>+VLOOKUP(D204,'Prezzi Trade'!$I$9:$J$468,2,0)</f>
        <v>18.195</v>
      </c>
      <c r="F204" s="5">
        <f>+VLOOKUP(D204,'Prezzi Trade'!$K$9:$L$468,2,0)</f>
        <v>141.85</v>
      </c>
      <c r="G204" s="5">
        <f>+VLOOKUP(D204,'Prezzi Trade'!$M$9:$N$468,2,0)/VLOOKUP(D204,'Prezzi Trade'!$O$9:$P$468,2,0)</f>
        <v>788.20424022299187</v>
      </c>
      <c r="H204" s="5">
        <f>+(VLOOKUP(D204,'Prezzi FI'!$C$8:$D$468,2,0)+VLOOKUP(D204,'Prezzi FI'!$H$8:$I$467,2,0))/100</f>
        <v>1.1733819999999999</v>
      </c>
      <c r="I204" s="5">
        <f>+IF(VLOOKUP(D204,'Prezzi FI'!$H$8:$I$467,2,0)&lt;VLOOKUP(D205,'Prezzi FI'!$H$8:$I$467,2,0),4.25/2,0)/100</f>
        <v>0</v>
      </c>
      <c r="K204" s="4" t="str">
        <f t="shared" si="25"/>
        <v>20152</v>
      </c>
      <c r="L204" s="14">
        <f t="shared" si="26"/>
        <v>42013</v>
      </c>
      <c r="M204" s="39">
        <f t="shared" si="27"/>
        <v>-2.9513445746152833E-2</v>
      </c>
      <c r="N204" s="39">
        <f t="shared" si="28"/>
        <v>-1.0379502680264026E-2</v>
      </c>
      <c r="O204" s="39">
        <f t="shared" si="29"/>
        <v>-8.6979348961909713E-3</v>
      </c>
      <c r="P204" s="39">
        <f t="shared" si="30"/>
        <v>-2.0454920802245595E-3</v>
      </c>
      <c r="AC204" s="14"/>
    </row>
    <row r="205" spans="3:29" x14ac:dyDescent="0.75">
      <c r="C205" s="4">
        <v>4</v>
      </c>
      <c r="D205" s="58">
        <v>42012</v>
      </c>
      <c r="E205" s="5">
        <f>+VLOOKUP(D205,'Prezzi Trade'!$I$9:$J$468,2,0)</f>
        <v>18.739999999999998</v>
      </c>
      <c r="F205" s="5">
        <f>+VLOOKUP(D205,'Prezzi Trade'!$K$9:$L$468,2,0)</f>
        <v>143.33000000000001</v>
      </c>
      <c r="G205" s="5">
        <f>+VLOOKUP(D205,'Prezzi Trade'!$M$9:$N$468,2,0)/VLOOKUP(D205,'Prezzi Trade'!$O$9:$P$468,2,0)</f>
        <v>795.08989145183182</v>
      </c>
      <c r="H205" s="5">
        <f>+(VLOOKUP(D205,'Prezzi FI'!$C$8:$D$468,2,0)+VLOOKUP(D205,'Prezzi FI'!$H$8:$I$467,2,0))/100</f>
        <v>1.1757845999999998</v>
      </c>
      <c r="I205" s="5">
        <f>+IF(VLOOKUP(D205,'Prezzi FI'!$H$8:$I$467,2,0)&lt;VLOOKUP(D206,'Prezzi FI'!$H$8:$I$467,2,0),4.25/2,0)/100</f>
        <v>0</v>
      </c>
      <c r="K205" s="4" t="str">
        <f t="shared" si="25"/>
        <v>20152</v>
      </c>
      <c r="L205" s="14">
        <f t="shared" si="26"/>
        <v>42012</v>
      </c>
      <c r="M205" s="39">
        <f t="shared" si="27"/>
        <v>3.3092252043516318E-2</v>
      </c>
      <c r="N205" s="39">
        <f t="shared" si="28"/>
        <v>2.1152872172079916E-2</v>
      </c>
      <c r="O205" s="39">
        <f t="shared" si="29"/>
        <v>4.4917323109784565E-3</v>
      </c>
      <c r="P205" s="39">
        <f t="shared" si="30"/>
        <v>1.7724724972983891E-3</v>
      </c>
      <c r="AC205" s="14"/>
    </row>
    <row r="206" spans="3:29" x14ac:dyDescent="0.75">
      <c r="C206" s="4">
        <v>3</v>
      </c>
      <c r="D206" s="58">
        <v>42011</v>
      </c>
      <c r="E206" s="5">
        <f>+VLOOKUP(D206,'Prezzi Trade'!$I$9:$J$468,2,0)</f>
        <v>18.13</v>
      </c>
      <c r="F206" s="5">
        <f>+VLOOKUP(D206,'Prezzi Trade'!$K$9:$L$468,2,0)</f>
        <v>140.33000000000001</v>
      </c>
      <c r="G206" s="5">
        <f>+VLOOKUP(D206,'Prezzi Trade'!$M$9:$N$468,2,0)/VLOOKUP(D206,'Prezzi Trade'!$O$9:$P$468,2,0)</f>
        <v>791.52656923206894</v>
      </c>
      <c r="H206" s="5">
        <f>+(VLOOKUP(D206,'Prezzi FI'!$C$8:$D$468,2,0)+VLOOKUP(D206,'Prezzi FI'!$H$8:$I$467,2,0))/100</f>
        <v>1.1737024</v>
      </c>
      <c r="I206" s="5">
        <f>+IF(VLOOKUP(D206,'Prezzi FI'!$H$8:$I$467,2,0)&lt;VLOOKUP(D207,'Prezzi FI'!$H$8:$I$467,2,0),4.25/2,0)/100</f>
        <v>0</v>
      </c>
      <c r="K206" s="4" t="str">
        <f t="shared" si="25"/>
        <v>20152</v>
      </c>
      <c r="L206" s="14">
        <f t="shared" si="26"/>
        <v>42011</v>
      </c>
      <c r="M206" s="39">
        <f t="shared" si="27"/>
        <v>2.4851593626982848E-3</v>
      </c>
      <c r="N206" s="39">
        <f t="shared" si="28"/>
        <v>1.3054266576037241E-2</v>
      </c>
      <c r="O206" s="39">
        <f t="shared" si="29"/>
        <v>-3.5890182005951835E-3</v>
      </c>
      <c r="P206" s="39">
        <f t="shared" si="30"/>
        <v>-4.4143621277238313E-3</v>
      </c>
      <c r="AC206" s="14"/>
    </row>
    <row r="207" spans="3:29" x14ac:dyDescent="0.75">
      <c r="C207" s="4">
        <v>2</v>
      </c>
      <c r="D207" s="58">
        <v>42010</v>
      </c>
      <c r="E207" s="5">
        <f>+VLOOKUP(D207,'Prezzi Trade'!$I$9:$J$468,2,0)</f>
        <v>18.085000000000001</v>
      </c>
      <c r="F207" s="5">
        <f>+VLOOKUP(D207,'Prezzi Trade'!$K$9:$L$468,2,0)</f>
        <v>138.51</v>
      </c>
      <c r="G207" s="5">
        <f>+VLOOKUP(D207,'Prezzi Trade'!$M$9:$N$468,2,0)/VLOOKUP(D207,'Prezzi Trade'!$O$9:$P$468,2,0)</f>
        <v>794.37247644683714</v>
      </c>
      <c r="H207" s="5">
        <f>+(VLOOKUP(D207,'Prezzi FI'!$C$8:$D$468,2,0)+VLOOKUP(D207,'Prezzi FI'!$H$8:$I$467,2,0))/100</f>
        <v>1.178895</v>
      </c>
      <c r="I207" s="5">
        <f>+IF(VLOOKUP(D207,'Prezzi FI'!$H$8:$I$467,2,0)&lt;VLOOKUP(D208,'Prezzi FI'!$H$8:$I$467,2,0),4.25/2,0)/100</f>
        <v>0</v>
      </c>
      <c r="K207" s="4" t="str">
        <f t="shared" si="25"/>
        <v>20152</v>
      </c>
      <c r="L207" s="14">
        <f t="shared" si="26"/>
        <v>42010</v>
      </c>
      <c r="M207" s="39">
        <f t="shared" si="27"/>
        <v>-5.239223345271448E-3</v>
      </c>
      <c r="N207" s="39">
        <f t="shared" si="28"/>
        <v>-8.4831565524522961E-3</v>
      </c>
      <c r="O207" s="39">
        <f t="shared" si="29"/>
        <v>3.5964890933241211E-4</v>
      </c>
      <c r="P207" s="39">
        <f t="shared" si="30"/>
        <v>-2.1036560908558218E-3</v>
      </c>
      <c r="AC207" s="14"/>
    </row>
    <row r="208" spans="3:29" x14ac:dyDescent="0.75">
      <c r="C208" s="4">
        <v>1</v>
      </c>
      <c r="D208" s="58">
        <v>42009</v>
      </c>
      <c r="E208" s="5">
        <f>+VLOOKUP(D208,'Prezzi Trade'!$I$9:$J$468,2,0)</f>
        <v>18.18</v>
      </c>
      <c r="F208" s="5">
        <f>+VLOOKUP(D208,'Prezzi Trade'!$K$9:$L$468,2,0)</f>
        <v>139.69</v>
      </c>
      <c r="G208" s="5">
        <f>+VLOOKUP(D208,'Prezzi Trade'!$M$9:$N$468,2,0)/VLOOKUP(D208,'Prezzi Trade'!$O$9:$P$468,2,0)</f>
        <v>794.08683262090346</v>
      </c>
      <c r="H208" s="5">
        <f>+(VLOOKUP(D208,'Prezzi FI'!$C$8:$D$468,2,0)+VLOOKUP(D208,'Prezzi FI'!$H$8:$I$467,2,0))/100</f>
        <v>1.1813776</v>
      </c>
      <c r="I208" s="5">
        <f>+IF(VLOOKUP(D208,'Prezzi FI'!$H$8:$I$467,2,0)&lt;VLOOKUP(D209,'Prezzi FI'!$H$8:$I$467,2,0),4.25/2,0)/100</f>
        <v>0</v>
      </c>
      <c r="K208" s="4" t="str">
        <f t="shared" si="25"/>
        <v>20152</v>
      </c>
      <c r="L208" s="14">
        <f t="shared" si="26"/>
        <v>42009</v>
      </c>
      <c r="M208" s="39">
        <f t="shared" si="27"/>
        <v>-5.015127839904332E-2</v>
      </c>
      <c r="N208" s="39">
        <f t="shared" si="28"/>
        <v>-1.0822462341701155E-2</v>
      </c>
      <c r="O208" s="39">
        <f t="shared" si="29"/>
        <v>-1.0206688619083977E-2</v>
      </c>
      <c r="P208" s="39">
        <f t="shared" si="30"/>
        <v>-2.6396983083330299E-3</v>
      </c>
      <c r="AC208" s="14"/>
    </row>
    <row r="209" spans="3:29" x14ac:dyDescent="0.75">
      <c r="C209" s="4">
        <v>5</v>
      </c>
      <c r="D209" s="58">
        <v>42006</v>
      </c>
      <c r="E209" s="5">
        <f>+VLOOKUP(D209,'Prezzi Trade'!$I$9:$J$468,2,0)</f>
        <v>19.114999999999998</v>
      </c>
      <c r="F209" s="5">
        <f>+VLOOKUP(D209,'Prezzi Trade'!$K$9:$L$468,2,0)</f>
        <v>141.21</v>
      </c>
      <c r="G209" s="5">
        <f>+VLOOKUP(D209,'Prezzi Trade'!$M$9:$N$468,2,0)/VLOOKUP(D209,'Prezzi Trade'!$O$9:$P$468,2,0)</f>
        <v>802.23333333333335</v>
      </c>
      <c r="H209" s="5">
        <f>+(VLOOKUP(D209,'Prezzi FI'!$C$8:$D$468,2,0)+VLOOKUP(D209,'Prezzi FI'!$H$8:$I$467,2,0))/100</f>
        <v>1.1845002</v>
      </c>
      <c r="I209" s="5">
        <f>+IF(VLOOKUP(D209,'Prezzi FI'!$H$8:$I$467,2,0)&lt;VLOOKUP(D210,'Prezzi FI'!$H$8:$I$467,2,0),4.25/2,0)/100</f>
        <v>0</v>
      </c>
      <c r="K209" s="4" t="str">
        <f t="shared" si="25"/>
        <v>20151</v>
      </c>
      <c r="L209" s="14">
        <f t="shared" si="26"/>
        <v>42006</v>
      </c>
      <c r="M209" s="39">
        <f t="shared" si="27"/>
        <v>6.8241734646103773E-3</v>
      </c>
      <c r="N209" s="39">
        <f t="shared" si="28"/>
        <v>-4.9559277448919478E-4</v>
      </c>
      <c r="O209" s="39">
        <f t="shared" si="29"/>
        <v>-8.20176518400517E-4</v>
      </c>
      <c r="P209" s="39">
        <f t="shared" si="30"/>
        <v>5.7400380307649924E-3</v>
      </c>
      <c r="AC209" s="14"/>
    </row>
    <row r="210" spans="3:29" x14ac:dyDescent="0.75">
      <c r="C210" s="4">
        <v>2</v>
      </c>
      <c r="D210" s="58">
        <v>42003</v>
      </c>
      <c r="E210" s="5">
        <f>+VLOOKUP(D210,'Prezzi Trade'!$I$9:$J$468,2,0)</f>
        <v>18.984999999999999</v>
      </c>
      <c r="F210" s="5">
        <f>+VLOOKUP(D210,'Prezzi Trade'!$K$9:$L$468,2,0)</f>
        <v>141.28</v>
      </c>
      <c r="G210" s="5">
        <f>+VLOOKUP(D210,'Prezzi Trade'!$M$9:$N$468,2,0)/VLOOKUP(D210,'Prezzi Trade'!$O$9:$P$468,2,0)</f>
        <v>802.89157617637375</v>
      </c>
      <c r="H210" s="5">
        <f>+(VLOOKUP(D210,'Prezzi FI'!$C$8:$D$468,2,0)+VLOOKUP(D210,'Prezzi FI'!$H$8:$I$467,2,0))/100</f>
        <v>1.1777206</v>
      </c>
      <c r="I210" s="5">
        <f>+IF(VLOOKUP(D210,'Prezzi FI'!$H$8:$I$467,2,0)&lt;VLOOKUP(D211,'Prezzi FI'!$H$8:$I$467,2,0),4.25/2,0)/100</f>
        <v>0</v>
      </c>
      <c r="K210" s="4" t="str">
        <f t="shared" si="25"/>
        <v>201453</v>
      </c>
      <c r="L210" s="14">
        <f t="shared" si="26"/>
        <v>42003</v>
      </c>
      <c r="M210" s="39">
        <f t="shared" si="27"/>
        <v>-7.3471860288339286E-3</v>
      </c>
      <c r="N210" s="39">
        <f t="shared" si="28"/>
        <v>-5.7169227943340197E-3</v>
      </c>
      <c r="O210" s="39">
        <f t="shared" si="29"/>
        <v>-6.0919895039944563E-3</v>
      </c>
      <c r="P210" s="39">
        <f t="shared" si="30"/>
        <v>3.8749687771704564E-3</v>
      </c>
      <c r="AC210" s="14"/>
    </row>
    <row r="211" spans="3:29" x14ac:dyDescent="0.75">
      <c r="C211" s="4">
        <v>1</v>
      </c>
      <c r="D211" s="58">
        <v>42002</v>
      </c>
      <c r="E211" s="5">
        <f>+VLOOKUP(D211,'Prezzi Trade'!$I$9:$J$468,2,0)</f>
        <v>19.125</v>
      </c>
      <c r="F211" s="5">
        <f>+VLOOKUP(D211,'Prezzi Trade'!$K$9:$L$468,2,0)</f>
        <v>142.09</v>
      </c>
      <c r="G211" s="5">
        <f>+VLOOKUP(D211,'Prezzi Trade'!$M$9:$N$468,2,0)/VLOOKUP(D211,'Prezzi Trade'!$O$9:$P$468,2,0)</f>
        <v>807.79771212245896</v>
      </c>
      <c r="H211" s="5">
        <f>+(VLOOKUP(D211,'Prezzi FI'!$C$8:$D$468,2,0)+VLOOKUP(D211,'Prezzi FI'!$H$8:$I$467,2,0))/100</f>
        <v>1.1731658</v>
      </c>
      <c r="I211" s="5">
        <f>+IF(VLOOKUP(D211,'Prezzi FI'!$H$8:$I$467,2,0)&lt;VLOOKUP(D212,'Prezzi FI'!$H$8:$I$467,2,0),4.25/2,0)/100</f>
        <v>0</v>
      </c>
      <c r="K211" s="4" t="str">
        <f t="shared" si="25"/>
        <v>201453</v>
      </c>
      <c r="L211" s="14">
        <f t="shared" si="26"/>
        <v>42002</v>
      </c>
      <c r="M211" s="39">
        <f t="shared" si="27"/>
        <v>-1.0920545346660912E-2</v>
      </c>
      <c r="N211" s="39">
        <f t="shared" si="28"/>
        <v>3.3132454263560605E-3</v>
      </c>
      <c r="O211" s="39">
        <f t="shared" si="29"/>
        <v>-8.1992544521210416E-3</v>
      </c>
      <c r="P211" s="39">
        <f t="shared" si="30"/>
        <v>-1.7843439326325212E-3</v>
      </c>
      <c r="AC211" s="14"/>
    </row>
    <row r="212" spans="3:29" x14ac:dyDescent="0.75">
      <c r="C212" s="4">
        <v>2</v>
      </c>
      <c r="D212" s="58">
        <v>41996</v>
      </c>
      <c r="E212" s="5">
        <f>+VLOOKUP(D212,'Prezzi Trade'!$I$9:$J$468,2,0)</f>
        <v>19.335000000000001</v>
      </c>
      <c r="F212" s="5">
        <f>+VLOOKUP(D212,'Prezzi Trade'!$K$9:$L$468,2,0)</f>
        <v>141.62</v>
      </c>
      <c r="G212" s="5">
        <f>+VLOOKUP(D212,'Prezzi Trade'!$M$9:$N$468,2,0)/VLOOKUP(D212,'Prezzi Trade'!$O$9:$P$468,2,0)</f>
        <v>814.44827869525921</v>
      </c>
      <c r="H212" s="5">
        <f>+(VLOOKUP(D212,'Prezzi FI'!$C$8:$D$468,2,0)+VLOOKUP(D212,'Prezzi FI'!$H$8:$I$467,2,0))/100</f>
        <v>1.1752609999999999</v>
      </c>
      <c r="I212" s="5">
        <f>+IF(VLOOKUP(D212,'Prezzi FI'!$H$8:$I$467,2,0)&lt;VLOOKUP(D213,'Prezzi FI'!$H$8:$I$467,2,0),4.25/2,0)/100</f>
        <v>0</v>
      </c>
      <c r="K212" s="4" t="str">
        <f t="shared" si="25"/>
        <v>201452</v>
      </c>
      <c r="L212" s="14">
        <f t="shared" si="26"/>
        <v>41996</v>
      </c>
      <c r="M212" s="39">
        <f t="shared" si="27"/>
        <v>1.4587390733436928E-2</v>
      </c>
      <c r="N212" s="39">
        <f t="shared" si="28"/>
        <v>1.100511657267271E-2</v>
      </c>
      <c r="O212" s="39">
        <f t="shared" si="29"/>
        <v>5.8088718947948243E-3</v>
      </c>
      <c r="P212" s="39">
        <f t="shared" si="30"/>
        <v>8.912630007188217E-4</v>
      </c>
      <c r="AC212" s="14"/>
    </row>
    <row r="213" spans="3:29" x14ac:dyDescent="0.75">
      <c r="C213" s="4">
        <v>1</v>
      </c>
      <c r="D213" s="58">
        <v>41995</v>
      </c>
      <c r="E213" s="5">
        <f>+VLOOKUP(D213,'Prezzi Trade'!$I$9:$J$468,2,0)</f>
        <v>19.055</v>
      </c>
      <c r="F213" s="5">
        <f>+VLOOKUP(D213,'Prezzi Trade'!$K$9:$L$468,2,0)</f>
        <v>140.07</v>
      </c>
      <c r="G213" s="5">
        <f>+VLOOKUP(D213,'Prezzi Trade'!$M$9:$N$468,2,0)/VLOOKUP(D213,'Prezzi Trade'!$O$9:$P$468,2,0)</f>
        <v>809.73096737263882</v>
      </c>
      <c r="H213" s="5">
        <f>+(VLOOKUP(D213,'Prezzi FI'!$C$8:$D$468,2,0)+VLOOKUP(D213,'Prezzi FI'!$H$8:$I$467,2,0))/100</f>
        <v>1.1742140000000001</v>
      </c>
      <c r="I213" s="5">
        <f>+IF(VLOOKUP(D213,'Prezzi FI'!$H$8:$I$467,2,0)&lt;VLOOKUP(D214,'Prezzi FI'!$H$8:$I$467,2,0),4.25/2,0)/100</f>
        <v>0</v>
      </c>
      <c r="K213" s="4" t="str">
        <f t="shared" si="25"/>
        <v>201452</v>
      </c>
      <c r="L213" s="14">
        <f t="shared" si="26"/>
        <v>41995</v>
      </c>
      <c r="M213" s="39">
        <f t="shared" si="27"/>
        <v>3.6803406420578581E-3</v>
      </c>
      <c r="N213" s="39">
        <f t="shared" si="28"/>
        <v>1.4288778597427282E-3</v>
      </c>
      <c r="O213" s="39">
        <f t="shared" si="29"/>
        <v>-2.7618217242869952E-3</v>
      </c>
      <c r="P213" s="39">
        <f t="shared" si="30"/>
        <v>1.2675226626014478E-3</v>
      </c>
      <c r="AC213" s="14"/>
    </row>
    <row r="214" spans="3:29" x14ac:dyDescent="0.75">
      <c r="C214" s="4">
        <v>5</v>
      </c>
      <c r="D214" s="58">
        <v>41992</v>
      </c>
      <c r="E214" s="5">
        <f>+VLOOKUP(D214,'Prezzi Trade'!$I$9:$J$468,2,0)</f>
        <v>18.984999999999999</v>
      </c>
      <c r="F214" s="5">
        <f>+VLOOKUP(D214,'Prezzi Trade'!$K$9:$L$468,2,0)</f>
        <v>139.87</v>
      </c>
      <c r="G214" s="5">
        <f>+VLOOKUP(D214,'Prezzi Trade'!$M$9:$N$468,2,0)/VLOOKUP(D214,'Prezzi Trade'!$O$9:$P$468,2,0)</f>
        <v>811.97039097006393</v>
      </c>
      <c r="H214" s="5">
        <f>+(VLOOKUP(D214,'Prezzi FI'!$C$8:$D$468,2,0)+VLOOKUP(D214,'Prezzi FI'!$H$8:$I$467,2,0))/100</f>
        <v>1.1727266000000001</v>
      </c>
      <c r="I214" s="5">
        <f>+IF(VLOOKUP(D214,'Prezzi FI'!$H$8:$I$467,2,0)&lt;VLOOKUP(D215,'Prezzi FI'!$H$8:$I$467,2,0),4.25/2,0)/100</f>
        <v>0</v>
      </c>
      <c r="K214" s="4" t="str">
        <f t="shared" si="25"/>
        <v>201451</v>
      </c>
      <c r="L214" s="14">
        <f t="shared" si="26"/>
        <v>41992</v>
      </c>
      <c r="M214" s="39">
        <f t="shared" si="27"/>
        <v>-2.6301961506951057E-3</v>
      </c>
      <c r="N214" s="39">
        <f t="shared" si="28"/>
        <v>1.2518149079344223E-2</v>
      </c>
      <c r="O214" s="39">
        <f t="shared" si="29"/>
        <v>8.1085549584408775E-3</v>
      </c>
      <c r="P214" s="39">
        <f t="shared" si="30"/>
        <v>1.841338690199085E-3</v>
      </c>
      <c r="AC214" s="14"/>
    </row>
    <row r="215" spans="3:29" x14ac:dyDescent="0.75">
      <c r="C215" s="4">
        <v>4</v>
      </c>
      <c r="D215" s="58">
        <v>41991</v>
      </c>
      <c r="E215" s="5">
        <f>+VLOOKUP(D215,'Prezzi Trade'!$I$9:$J$468,2,0)</f>
        <v>19.035</v>
      </c>
      <c r="F215" s="5">
        <f>+VLOOKUP(D215,'Prezzi Trade'!$K$9:$L$468,2,0)</f>
        <v>138.13</v>
      </c>
      <c r="G215" s="5">
        <f>+VLOOKUP(D215,'Prezzi Trade'!$M$9:$N$468,2,0)/VLOOKUP(D215,'Prezzi Trade'!$O$9:$P$468,2,0)</f>
        <v>805.41310541310554</v>
      </c>
      <c r="H215" s="5">
        <f>+(VLOOKUP(D215,'Prezzi FI'!$C$8:$D$468,2,0)+VLOOKUP(D215,'Prezzi FI'!$H$8:$I$467,2,0))/100</f>
        <v>1.1705692000000001</v>
      </c>
      <c r="I215" s="5">
        <f>+IF(VLOOKUP(D215,'Prezzi FI'!$H$8:$I$467,2,0)&lt;VLOOKUP(D216,'Prezzi FI'!$H$8:$I$467,2,0),4.25/2,0)/100</f>
        <v>0</v>
      </c>
      <c r="K215" s="4" t="str">
        <f t="shared" si="25"/>
        <v>201451</v>
      </c>
      <c r="L215" s="14">
        <f t="shared" si="26"/>
        <v>41991</v>
      </c>
      <c r="M215" s="39">
        <f t="shared" si="27"/>
        <v>2.6618553231765128E-2</v>
      </c>
      <c r="N215" s="39">
        <f t="shared" si="28"/>
        <v>3.2671583716837309E-2</v>
      </c>
      <c r="O215" s="39">
        <f t="shared" si="29"/>
        <v>5.1445152186731288E-3</v>
      </c>
      <c r="P215" s="39">
        <f t="shared" si="30"/>
        <v>1.6605707946179208E-3</v>
      </c>
      <c r="AC215" s="14"/>
    </row>
    <row r="216" spans="3:29" x14ac:dyDescent="0.75">
      <c r="C216" s="4">
        <v>3</v>
      </c>
      <c r="D216" s="58">
        <v>41990</v>
      </c>
      <c r="E216" s="5">
        <f>+VLOOKUP(D216,'Prezzi Trade'!$I$9:$J$468,2,0)</f>
        <v>18.535</v>
      </c>
      <c r="F216" s="5">
        <f>+VLOOKUP(D216,'Prezzi Trade'!$K$9:$L$468,2,0)</f>
        <v>133.69</v>
      </c>
      <c r="G216" s="5">
        <f>+VLOOKUP(D216,'Prezzi Trade'!$M$9:$N$468,2,0)/VLOOKUP(D216,'Prezzi Trade'!$O$9:$P$468,2,0)</f>
        <v>801.28028522810143</v>
      </c>
      <c r="H216" s="5">
        <f>+(VLOOKUP(D216,'Prezzi FI'!$C$8:$D$468,2,0)+VLOOKUP(D216,'Prezzi FI'!$H$8:$I$467,2,0))/100</f>
        <v>1.1686270000000001</v>
      </c>
      <c r="I216" s="5">
        <f>+IF(VLOOKUP(D216,'Prezzi FI'!$H$8:$I$467,2,0)&lt;VLOOKUP(D217,'Prezzi FI'!$H$8:$I$467,2,0),4.25/2,0)/100</f>
        <v>0</v>
      </c>
      <c r="K216" s="4" t="str">
        <f t="shared" si="25"/>
        <v>201451</v>
      </c>
      <c r="L216" s="14">
        <f t="shared" si="26"/>
        <v>41990</v>
      </c>
      <c r="M216" s="39">
        <f t="shared" si="27"/>
        <v>-5.1123480108014084E-3</v>
      </c>
      <c r="N216" s="39">
        <f t="shared" si="28"/>
        <v>-2.9129497387417966E-3</v>
      </c>
      <c r="O216" s="39">
        <f t="shared" si="29"/>
        <v>8.210613664809522E-3</v>
      </c>
      <c r="P216" s="39">
        <f t="shared" si="30"/>
        <v>3.211821403420103E-3</v>
      </c>
      <c r="AC216" s="14"/>
    </row>
    <row r="217" spans="3:29" x14ac:dyDescent="0.75">
      <c r="C217" s="4">
        <v>2</v>
      </c>
      <c r="D217" s="58">
        <v>41989</v>
      </c>
      <c r="E217" s="5">
        <f>+VLOOKUP(D217,'Prezzi Trade'!$I$9:$J$468,2,0)</f>
        <v>18.63</v>
      </c>
      <c r="F217" s="5">
        <f>+VLOOKUP(D217,'Prezzi Trade'!$K$9:$L$468,2,0)</f>
        <v>134.08000000000001</v>
      </c>
      <c r="G217" s="5">
        <f>+VLOOKUP(D217,'Prezzi Trade'!$M$9:$N$468,2,0)/VLOOKUP(D217,'Prezzi Trade'!$O$9:$P$468,2,0)</f>
        <v>794.72821742605925</v>
      </c>
      <c r="H217" s="5">
        <f>+(VLOOKUP(D217,'Prezzi FI'!$C$8:$D$468,2,0)+VLOOKUP(D217,'Prezzi FI'!$H$8:$I$467,2,0))/100</f>
        <v>1.1648795999999999</v>
      </c>
      <c r="I217" s="5">
        <f>+IF(VLOOKUP(D217,'Prezzi FI'!$H$8:$I$467,2,0)&lt;VLOOKUP(D218,'Prezzi FI'!$H$8:$I$467,2,0),4.25/2,0)/100</f>
        <v>0</v>
      </c>
      <c r="K217" s="4" t="str">
        <f t="shared" si="25"/>
        <v>201451</v>
      </c>
      <c r="L217" s="14">
        <f t="shared" si="26"/>
        <v>41989</v>
      </c>
      <c r="M217" s="39">
        <f t="shared" si="27"/>
        <v>3.0243416568668597E-2</v>
      </c>
      <c r="N217" s="39">
        <f t="shared" si="28"/>
        <v>1.1174976607145686E-2</v>
      </c>
      <c r="O217" s="39">
        <f t="shared" si="29"/>
        <v>-1.5597257762832101E-2</v>
      </c>
      <c r="P217" s="39">
        <f t="shared" si="30"/>
        <v>-2.0861070536231578E-3</v>
      </c>
      <c r="AC217" s="14"/>
    </row>
    <row r="218" spans="3:29" x14ac:dyDescent="0.75">
      <c r="C218" s="4">
        <v>1</v>
      </c>
      <c r="D218" s="58">
        <v>41988</v>
      </c>
      <c r="E218" s="5">
        <f>+VLOOKUP(D218,'Prezzi Trade'!$I$9:$J$468,2,0)</f>
        <v>18.074999999999999</v>
      </c>
      <c r="F218" s="5">
        <f>+VLOOKUP(D218,'Prezzi Trade'!$K$9:$L$468,2,0)</f>
        <v>132.59</v>
      </c>
      <c r="G218" s="5">
        <f>+VLOOKUP(D218,'Prezzi Trade'!$M$9:$N$468,2,0)/VLOOKUP(D218,'Prezzi Trade'!$O$9:$P$468,2,0)</f>
        <v>807.22097137343201</v>
      </c>
      <c r="H218" s="5">
        <f>+(VLOOKUP(D218,'Prezzi FI'!$C$8:$D$468,2,0)+VLOOKUP(D218,'Prezzi FI'!$H$8:$I$467,2,0))/100</f>
        <v>1.1673122</v>
      </c>
      <c r="I218" s="5">
        <f>+IF(VLOOKUP(D218,'Prezzi FI'!$H$8:$I$467,2,0)&lt;VLOOKUP(D219,'Prezzi FI'!$H$8:$I$467,2,0),4.25/2,0)/100</f>
        <v>0</v>
      </c>
      <c r="K218" s="4" t="str">
        <f t="shared" si="25"/>
        <v>201451</v>
      </c>
      <c r="L218" s="14">
        <f t="shared" si="26"/>
        <v>41988</v>
      </c>
      <c r="M218" s="39">
        <f t="shared" si="27"/>
        <v>-2.8900593753757524E-2</v>
      </c>
      <c r="N218" s="39">
        <f t="shared" si="28"/>
        <v>-1.2814443402564605E-2</v>
      </c>
      <c r="O218" s="39">
        <f t="shared" si="29"/>
        <v>-6.4295612927192476E-3</v>
      </c>
      <c r="P218" s="39">
        <f t="shared" si="30"/>
        <v>1.7125759825158684E-3</v>
      </c>
      <c r="AC218" s="14"/>
    </row>
    <row r="219" spans="3:29" x14ac:dyDescent="0.75">
      <c r="C219" s="4">
        <v>5</v>
      </c>
      <c r="D219" s="58">
        <v>41985</v>
      </c>
      <c r="E219" s="5">
        <f>+VLOOKUP(D219,'Prezzi Trade'!$I$9:$J$468,2,0)</f>
        <v>18.605</v>
      </c>
      <c r="F219" s="5">
        <f>+VLOOKUP(D219,'Prezzi Trade'!$K$9:$L$468,2,0)</f>
        <v>134.30000000000001</v>
      </c>
      <c r="G219" s="5">
        <f>+VLOOKUP(D219,'Prezzi Trade'!$M$9:$N$468,2,0)/VLOOKUP(D219,'Prezzi Trade'!$O$9:$P$468,2,0)</f>
        <v>812.42776886035313</v>
      </c>
      <c r="H219" s="5">
        <f>+(VLOOKUP(D219,'Prezzi FI'!$C$8:$D$468,2,0)+VLOOKUP(D219,'Prezzi FI'!$H$8:$I$467,2,0))/100</f>
        <v>1.1653148</v>
      </c>
      <c r="I219" s="5">
        <f>+IF(VLOOKUP(D219,'Prezzi FI'!$H$8:$I$467,2,0)&lt;VLOOKUP(D220,'Prezzi FI'!$H$8:$I$467,2,0),4.25/2,0)/100</f>
        <v>0</v>
      </c>
      <c r="K219" s="4" t="str">
        <f t="shared" si="25"/>
        <v>201450</v>
      </c>
      <c r="L219" s="14">
        <f t="shared" si="26"/>
        <v>41985</v>
      </c>
      <c r="M219" s="39">
        <f t="shared" si="27"/>
        <v>-2.861122313067201E-2</v>
      </c>
      <c r="N219" s="39">
        <f t="shared" si="28"/>
        <v>-2.601748869048226E-2</v>
      </c>
      <c r="O219" s="39">
        <f t="shared" si="29"/>
        <v>-9.3431729094776723E-3</v>
      </c>
      <c r="P219" s="39">
        <f t="shared" si="30"/>
        <v>-2.4705262647762428E-3</v>
      </c>
      <c r="AC219" s="14"/>
    </row>
    <row r="220" spans="3:29" x14ac:dyDescent="0.75">
      <c r="C220" s="4">
        <v>4</v>
      </c>
      <c r="D220" s="58">
        <v>41984</v>
      </c>
      <c r="E220" s="5">
        <f>+VLOOKUP(D220,'Prezzi Trade'!$I$9:$J$468,2,0)</f>
        <v>19.145</v>
      </c>
      <c r="F220" s="5">
        <f>+VLOOKUP(D220,'Prezzi Trade'!$K$9:$L$468,2,0)</f>
        <v>137.84</v>
      </c>
      <c r="G220" s="5">
        <f>+VLOOKUP(D220,'Prezzi Trade'!$M$9:$N$468,2,0)/VLOOKUP(D220,'Prezzi Trade'!$O$9:$P$468,2,0)</f>
        <v>820.05399306954644</v>
      </c>
      <c r="H220" s="5">
        <f>+(VLOOKUP(D220,'Prezzi FI'!$C$8:$D$468,2,0)+VLOOKUP(D220,'Prezzi FI'!$H$8:$I$467,2,0))/100</f>
        <v>1.1681973000000001</v>
      </c>
      <c r="I220" s="5">
        <f>+IF(VLOOKUP(D220,'Prezzi FI'!$H$8:$I$467,2,0)&lt;VLOOKUP(D221,'Prezzi FI'!$H$8:$I$467,2,0),4.25/2,0)/100</f>
        <v>0</v>
      </c>
      <c r="K220" s="4" t="str">
        <f t="shared" si="25"/>
        <v>201450</v>
      </c>
      <c r="L220" s="14">
        <f t="shared" si="26"/>
        <v>41984</v>
      </c>
      <c r="M220" s="39">
        <f t="shared" si="27"/>
        <v>-2.3477250903507995E-3</v>
      </c>
      <c r="N220" s="39">
        <f t="shared" si="28"/>
        <v>5.0183748360619696E-3</v>
      </c>
      <c r="O220" s="39">
        <f t="shared" si="29"/>
        <v>2.5320081093674141E-3</v>
      </c>
      <c r="P220" s="39">
        <f t="shared" si="30"/>
        <v>-1.5805037019677745E-3</v>
      </c>
      <c r="AC220" s="14"/>
    </row>
    <row r="221" spans="3:29" x14ac:dyDescent="0.75">
      <c r="C221" s="4">
        <v>3</v>
      </c>
      <c r="D221" s="58">
        <v>41983</v>
      </c>
      <c r="E221" s="5">
        <f>+VLOOKUP(D221,'Prezzi Trade'!$I$9:$J$468,2,0)</f>
        <v>19.190000000000001</v>
      </c>
      <c r="F221" s="5">
        <f>+VLOOKUP(D221,'Prezzi Trade'!$K$9:$L$468,2,0)</f>
        <v>137.15</v>
      </c>
      <c r="G221" s="5">
        <f>+VLOOKUP(D221,'Prezzi Trade'!$M$9:$N$468,2,0)/VLOOKUP(D221,'Prezzi Trade'!$O$9:$P$468,2,0)</f>
        <v>817.98023620149434</v>
      </c>
      <c r="H221" s="5">
        <f>+(VLOOKUP(D221,'Prezzi FI'!$C$8:$D$468,2,0)+VLOOKUP(D221,'Prezzi FI'!$H$8:$I$467,2,0))/100</f>
        <v>1.1700451000000001</v>
      </c>
      <c r="I221" s="5">
        <f>+IF(VLOOKUP(D221,'Prezzi FI'!$H$8:$I$467,2,0)&lt;VLOOKUP(D222,'Prezzi FI'!$H$8:$I$467,2,0),4.25/2,0)/100</f>
        <v>0</v>
      </c>
      <c r="K221" s="4" t="str">
        <f t="shared" si="25"/>
        <v>201450</v>
      </c>
      <c r="L221" s="14">
        <f t="shared" si="26"/>
        <v>41983</v>
      </c>
      <c r="M221" s="39">
        <f t="shared" si="27"/>
        <v>-1.4228671042810422E-2</v>
      </c>
      <c r="N221" s="39">
        <f t="shared" si="28"/>
        <v>-9.5062578662670951E-3</v>
      </c>
      <c r="O221" s="39">
        <f t="shared" si="29"/>
        <v>-1.9849003861895791E-2</v>
      </c>
      <c r="P221" s="39">
        <f t="shared" si="30"/>
        <v>-8.7360170345966107E-4</v>
      </c>
      <c r="AC221" s="14"/>
    </row>
    <row r="222" spans="3:29" x14ac:dyDescent="0.75">
      <c r="C222" s="4">
        <v>2</v>
      </c>
      <c r="D222" s="58">
        <v>41982</v>
      </c>
      <c r="E222" s="5">
        <f>+VLOOKUP(D222,'Prezzi Trade'!$I$9:$J$468,2,0)</f>
        <v>19.465</v>
      </c>
      <c r="F222" s="5">
        <f>+VLOOKUP(D222,'Prezzi Trade'!$K$9:$L$468,2,0)</f>
        <v>138.46</v>
      </c>
      <c r="G222" s="5">
        <f>+VLOOKUP(D222,'Prezzi Trade'!$M$9:$N$468,2,0)/VLOOKUP(D222,'Prezzi Trade'!$O$9:$P$468,2,0)</f>
        <v>834.37853563924352</v>
      </c>
      <c r="H222" s="5">
        <f>+(VLOOKUP(D222,'Prezzi FI'!$C$8:$D$468,2,0)+VLOOKUP(D222,'Prezzi FI'!$H$8:$I$467,2,0))/100</f>
        <v>1.1710677</v>
      </c>
      <c r="I222" s="5">
        <f>+IF(VLOOKUP(D222,'Prezzi FI'!$H$8:$I$467,2,0)&lt;VLOOKUP(D223,'Prezzi FI'!$H$8:$I$467,2,0),4.25/2,0)/100</f>
        <v>0</v>
      </c>
      <c r="K222" s="4" t="str">
        <f t="shared" si="25"/>
        <v>201450</v>
      </c>
      <c r="L222" s="14">
        <f t="shared" si="26"/>
        <v>41982</v>
      </c>
      <c r="M222" s="39">
        <f t="shared" si="27"/>
        <v>-2.7614167533223027E-2</v>
      </c>
      <c r="N222" s="39">
        <f t="shared" si="28"/>
        <v>-2.2283453096163801E-2</v>
      </c>
      <c r="O222" s="39">
        <f t="shared" si="29"/>
        <v>-2.0991500585031114E-3</v>
      </c>
      <c r="P222" s="39">
        <f t="shared" si="30"/>
        <v>-3.8545076440118192E-3</v>
      </c>
      <c r="AC222" s="14"/>
    </row>
    <row r="223" spans="3:29" x14ac:dyDescent="0.75">
      <c r="C223" s="4">
        <v>1</v>
      </c>
      <c r="D223" s="58">
        <v>41981</v>
      </c>
      <c r="E223" s="5">
        <f>+VLOOKUP(D223,'Prezzi Trade'!$I$9:$J$468,2,0)</f>
        <v>20.010000000000002</v>
      </c>
      <c r="F223" s="5">
        <f>+VLOOKUP(D223,'Prezzi Trade'!$K$9:$L$468,2,0)</f>
        <v>141.58000000000001</v>
      </c>
      <c r="G223" s="5">
        <f>+VLOOKUP(D223,'Prezzi Trade'!$M$9:$N$468,2,0)/VLOOKUP(D223,'Prezzi Trade'!$O$9:$P$468,2,0)</f>
        <v>836.13186099382915</v>
      </c>
      <c r="H223" s="5">
        <f>+(VLOOKUP(D223,'Prezzi FI'!$C$8:$D$468,2,0)+VLOOKUP(D223,'Prezzi FI'!$H$8:$I$467,2,0))/100</f>
        <v>1.1755903000000001</v>
      </c>
      <c r="I223" s="5">
        <f>+IF(VLOOKUP(D223,'Prezzi FI'!$H$8:$I$467,2,0)&lt;VLOOKUP(D224,'Prezzi FI'!$H$8:$I$467,2,0),4.25/2,0)/100</f>
        <v>0</v>
      </c>
      <c r="K223" s="4" t="str">
        <f t="shared" si="25"/>
        <v>201450</v>
      </c>
      <c r="L223" s="14">
        <f t="shared" si="26"/>
        <v>41981</v>
      </c>
      <c r="M223" s="39">
        <f t="shared" si="27"/>
        <v>-6.4757386947741575E-3</v>
      </c>
      <c r="N223" s="39">
        <f t="shared" si="28"/>
        <v>-3.1733745469933934E-3</v>
      </c>
      <c r="O223" s="39">
        <f t="shared" si="29"/>
        <v>-9.8251411699098734E-3</v>
      </c>
      <c r="P223" s="39">
        <f t="shared" si="30"/>
        <v>-8.9497935005756265E-4</v>
      </c>
      <c r="AC223" s="14"/>
    </row>
    <row r="224" spans="3:29" x14ac:dyDescent="0.75">
      <c r="C224" s="4">
        <v>5</v>
      </c>
      <c r="D224" s="58">
        <v>41978</v>
      </c>
      <c r="E224" s="5">
        <f>+VLOOKUP(D224,'Prezzi Trade'!$I$9:$J$468,2,0)</f>
        <v>20.14</v>
      </c>
      <c r="F224" s="5">
        <f>+VLOOKUP(D224,'Prezzi Trade'!$K$9:$L$468,2,0)</f>
        <v>142.03</v>
      </c>
      <c r="G224" s="5">
        <f>+VLOOKUP(D224,'Prezzi Trade'!$M$9:$N$468,2,0)/VLOOKUP(D224,'Prezzi Trade'!$O$9:$P$468,2,0)</f>
        <v>844.38746438746443</v>
      </c>
      <c r="H224" s="5">
        <f>+(VLOOKUP(D224,'Prezzi FI'!$C$8:$D$468,2,0)+VLOOKUP(D224,'Prezzi FI'!$H$8:$I$467,2,0))/100</f>
        <v>1.1766429</v>
      </c>
      <c r="I224" s="5">
        <f>+IF(VLOOKUP(D224,'Prezzi FI'!$H$8:$I$467,2,0)&lt;VLOOKUP(D225,'Prezzi FI'!$H$8:$I$467,2,0),4.25/2,0)/100</f>
        <v>0</v>
      </c>
      <c r="K224" s="4" t="str">
        <f t="shared" si="25"/>
        <v>201449</v>
      </c>
      <c r="L224" s="14">
        <f t="shared" si="26"/>
        <v>41978</v>
      </c>
      <c r="M224" s="39">
        <f t="shared" si="27"/>
        <v>3.2037044331796508E-2</v>
      </c>
      <c r="N224" s="39">
        <f t="shared" si="28"/>
        <v>1.5897006409999498E-2</v>
      </c>
      <c r="O224" s="39">
        <f t="shared" si="29"/>
        <v>5.0393462755984816E-3</v>
      </c>
      <c r="P224" s="39">
        <f t="shared" si="30"/>
        <v>2.3121226428310482E-3</v>
      </c>
      <c r="AC224" s="14"/>
    </row>
    <row r="225" spans="3:29" x14ac:dyDescent="0.75">
      <c r="C225" s="4">
        <v>4</v>
      </c>
      <c r="D225" s="58">
        <v>41977</v>
      </c>
      <c r="E225" s="5">
        <f>+VLOOKUP(D225,'Prezzi Trade'!$I$9:$J$468,2,0)</f>
        <v>19.504999999999999</v>
      </c>
      <c r="F225" s="5">
        <f>+VLOOKUP(D225,'Prezzi Trade'!$K$9:$L$468,2,0)</f>
        <v>139.79</v>
      </c>
      <c r="G225" s="5">
        <f>+VLOOKUP(D225,'Prezzi Trade'!$M$9:$N$468,2,0)/VLOOKUP(D225,'Prezzi Trade'!$O$9:$P$468,2,0)</f>
        <v>840.14300719075709</v>
      </c>
      <c r="H225" s="5">
        <f>+(VLOOKUP(D225,'Prezzi FI'!$C$8:$D$468,2,0)+VLOOKUP(D225,'Prezzi FI'!$H$8:$I$467,2,0))/100</f>
        <v>1.1739255</v>
      </c>
      <c r="I225" s="5">
        <f>+IF(VLOOKUP(D225,'Prezzi FI'!$H$8:$I$467,2,0)&lt;VLOOKUP(D226,'Prezzi FI'!$H$8:$I$467,2,0),4.25/2,0)/100</f>
        <v>0</v>
      </c>
      <c r="K225" s="4" t="str">
        <f t="shared" si="25"/>
        <v>201449</v>
      </c>
      <c r="L225" s="14">
        <f t="shared" si="26"/>
        <v>41977</v>
      </c>
      <c r="M225" s="39">
        <f t="shared" si="27"/>
        <v>-2.6310649995803015E-2</v>
      </c>
      <c r="N225" s="39">
        <f t="shared" si="28"/>
        <v>-1.3500276093098361E-2</v>
      </c>
      <c r="O225" s="39">
        <f t="shared" si="29"/>
        <v>-6.8454469071608766E-3</v>
      </c>
      <c r="P225" s="39">
        <f t="shared" si="30"/>
        <v>-1.5047550126575005E-3</v>
      </c>
      <c r="AC225" s="14"/>
    </row>
    <row r="226" spans="3:29" x14ac:dyDescent="0.75">
      <c r="C226" s="4">
        <v>3</v>
      </c>
      <c r="D226" s="58">
        <v>41976</v>
      </c>
      <c r="E226" s="5">
        <f>+VLOOKUP(D226,'Prezzi Trade'!$I$9:$J$468,2,0)</f>
        <v>20.024999999999999</v>
      </c>
      <c r="F226" s="5">
        <f>+VLOOKUP(D226,'Prezzi Trade'!$K$9:$L$468,2,0)</f>
        <v>141.69</v>
      </c>
      <c r="G226" s="5">
        <f>+VLOOKUP(D226,'Prezzi Trade'!$M$9:$N$468,2,0)/VLOOKUP(D226,'Prezzi Trade'!$O$9:$P$468,2,0)</f>
        <v>845.91389114541016</v>
      </c>
      <c r="H226" s="5">
        <f>+(VLOOKUP(D226,'Prezzi FI'!$C$8:$D$468,2,0)+VLOOKUP(D226,'Prezzi FI'!$H$8:$I$467,2,0))/100</f>
        <v>1.1756932999999998</v>
      </c>
      <c r="I226" s="5">
        <f>+IF(VLOOKUP(D226,'Prezzi FI'!$H$8:$I$467,2,0)&lt;VLOOKUP(D227,'Prezzi FI'!$H$8:$I$467,2,0),4.25/2,0)/100</f>
        <v>0</v>
      </c>
      <c r="K226" s="4" t="str">
        <f t="shared" si="25"/>
        <v>201449</v>
      </c>
      <c r="L226" s="14">
        <f t="shared" si="26"/>
        <v>41976</v>
      </c>
      <c r="M226" s="39">
        <f t="shared" si="27"/>
        <v>8.7774858212234415E-3</v>
      </c>
      <c r="N226" s="39">
        <f t="shared" si="28"/>
        <v>7.7225931995708917E-3</v>
      </c>
      <c r="O226" s="39">
        <f t="shared" si="29"/>
        <v>-2.0545650310681519E-3</v>
      </c>
      <c r="P226" s="39">
        <f t="shared" si="30"/>
        <v>9.8492529457447722E-4</v>
      </c>
      <c r="AC226" s="14"/>
    </row>
    <row r="227" spans="3:29" x14ac:dyDescent="0.75">
      <c r="C227" s="4">
        <v>2</v>
      </c>
      <c r="D227" s="58">
        <v>41975</v>
      </c>
      <c r="E227" s="5">
        <f>+VLOOKUP(D227,'Prezzi Trade'!$I$9:$J$468,2,0)</f>
        <v>19.850000000000001</v>
      </c>
      <c r="F227" s="5">
        <f>+VLOOKUP(D227,'Prezzi Trade'!$K$9:$L$468,2,0)</f>
        <v>140.6</v>
      </c>
      <c r="G227" s="5">
        <f>+VLOOKUP(D227,'Prezzi Trade'!$M$9:$N$468,2,0)/VLOOKUP(D227,'Prezzi Trade'!$O$9:$P$468,2,0)</f>
        <v>847.65366287052746</v>
      </c>
      <c r="H227" s="5">
        <f>+(VLOOKUP(D227,'Prezzi FI'!$C$8:$D$468,2,0)+VLOOKUP(D227,'Prezzi FI'!$H$8:$I$467,2,0))/100</f>
        <v>1.1745359</v>
      </c>
      <c r="I227" s="5">
        <f>+IF(VLOOKUP(D227,'Prezzi FI'!$H$8:$I$467,2,0)&lt;VLOOKUP(D228,'Prezzi FI'!$H$8:$I$467,2,0),4.25/2,0)/100</f>
        <v>0</v>
      </c>
      <c r="K227" s="4" t="str">
        <f t="shared" si="25"/>
        <v>201449</v>
      </c>
      <c r="L227" s="14">
        <f t="shared" si="26"/>
        <v>41975</v>
      </c>
      <c r="M227" s="39">
        <f t="shared" si="27"/>
        <v>3.2799322958117958E-3</v>
      </c>
      <c r="N227" s="39">
        <f t="shared" si="28"/>
        <v>1.0869672236903671E-2</v>
      </c>
      <c r="O227" s="39">
        <f t="shared" si="29"/>
        <v>5.0787781860418798E-3</v>
      </c>
      <c r="P227" s="39">
        <f t="shared" si="30"/>
        <v>2.5323845626844813E-4</v>
      </c>
      <c r="AC227" s="14"/>
    </row>
    <row r="228" spans="3:29" x14ac:dyDescent="0.75">
      <c r="C228" s="4">
        <v>1</v>
      </c>
      <c r="D228" s="58">
        <v>41974</v>
      </c>
      <c r="E228" s="5">
        <f>+VLOOKUP(D228,'Prezzi Trade'!$I$9:$J$468,2,0)</f>
        <v>19.785</v>
      </c>
      <c r="F228" s="5">
        <f>+VLOOKUP(D228,'Prezzi Trade'!$K$9:$L$468,2,0)</f>
        <v>139.08000000000001</v>
      </c>
      <c r="G228" s="5">
        <f>+VLOOKUP(D228,'Prezzi Trade'!$M$9:$N$468,2,0)/VLOOKUP(D228,'Prezzi Trade'!$O$9:$P$468,2,0)</f>
        <v>843.35953163846352</v>
      </c>
      <c r="H228" s="5">
        <f>+(VLOOKUP(D228,'Prezzi FI'!$C$8:$D$468,2,0)+VLOOKUP(D228,'Prezzi FI'!$H$8:$I$467,2,0))/100</f>
        <v>1.1742385</v>
      </c>
      <c r="I228" s="5">
        <f>+IF(VLOOKUP(D228,'Prezzi FI'!$H$8:$I$467,2,0)&lt;VLOOKUP(D229,'Prezzi FI'!$H$8:$I$467,2,0),4.25/2,0)/100</f>
        <v>0</v>
      </c>
      <c r="K228" s="4" t="str">
        <f t="shared" si="25"/>
        <v>201449</v>
      </c>
      <c r="L228" s="14">
        <f t="shared" si="26"/>
        <v>41974</v>
      </c>
      <c r="M228" s="39">
        <f t="shared" si="27"/>
        <v>-1.6293128947173063E-2</v>
      </c>
      <c r="N228" s="39">
        <f t="shared" si="28"/>
        <v>-1.1580656980682521E-2</v>
      </c>
      <c r="O228" s="39">
        <f t="shared" si="29"/>
        <v>-7.1529355995809856E-3</v>
      </c>
      <c r="P228" s="39">
        <f t="shared" si="30"/>
        <v>-3.9387986475331429E-4</v>
      </c>
      <c r="AC228" s="14"/>
    </row>
    <row r="229" spans="3:29" x14ac:dyDescent="0.75">
      <c r="C229" s="4">
        <v>5</v>
      </c>
      <c r="D229" s="58">
        <v>41971</v>
      </c>
      <c r="E229" s="5">
        <f>+VLOOKUP(D229,'Prezzi Trade'!$I$9:$J$468,2,0)</f>
        <v>20.11</v>
      </c>
      <c r="F229" s="5">
        <f>+VLOOKUP(D229,'Prezzi Trade'!$K$9:$L$468,2,0)</f>
        <v>140.69999999999999</v>
      </c>
      <c r="G229" s="5">
        <f>+VLOOKUP(D229,'Prezzi Trade'!$M$9:$N$468,2,0)/VLOOKUP(D229,'Prezzi Trade'!$O$9:$P$468,2,0)</f>
        <v>849.41365461847386</v>
      </c>
      <c r="H229" s="5">
        <f>+(VLOOKUP(D229,'Prezzi FI'!$C$8:$D$468,2,0)+VLOOKUP(D229,'Prezzi FI'!$H$8:$I$467,2,0))/100</f>
        <v>1.1747011000000001</v>
      </c>
      <c r="I229" s="5">
        <f>+IF(VLOOKUP(D229,'Prezzi FI'!$H$8:$I$467,2,0)&lt;VLOOKUP(D230,'Prezzi FI'!$H$8:$I$467,2,0),4.25/2,0)/100</f>
        <v>0</v>
      </c>
      <c r="K229" s="4" t="str">
        <f t="shared" si="25"/>
        <v>201448</v>
      </c>
      <c r="L229" s="14">
        <f t="shared" si="26"/>
        <v>41971</v>
      </c>
      <c r="M229" s="39">
        <f t="shared" si="27"/>
        <v>-5.2076993081734959E-3</v>
      </c>
      <c r="N229" s="39">
        <f t="shared" si="28"/>
        <v>1.2801367227170215E-3</v>
      </c>
      <c r="O229" s="39">
        <f t="shared" si="29"/>
        <v>-2.7547214024846566E-3</v>
      </c>
      <c r="P229" s="39">
        <f t="shared" si="30"/>
        <v>-6.7449730554166427E-4</v>
      </c>
      <c r="AC229" s="14"/>
    </row>
    <row r="230" spans="3:29" x14ac:dyDescent="0.75">
      <c r="C230" s="4">
        <v>4</v>
      </c>
      <c r="D230" s="58">
        <v>41970</v>
      </c>
      <c r="E230" s="5">
        <f>+VLOOKUP(D230,'Prezzi Trade'!$I$9:$J$468,2,0)</f>
        <v>20.215</v>
      </c>
      <c r="F230" s="5">
        <f>+VLOOKUP(D230,'Prezzi Trade'!$K$9:$L$468,2,0)</f>
        <v>140.52000000000001</v>
      </c>
      <c r="G230" s="5">
        <f>+VLOOKUP(D230,'Prezzi Trade'!$M$9:$N$468,2,0)/VLOOKUP(D230,'Prezzi Trade'!$O$9:$P$468,2,0)</f>
        <v>851.75677843734957</v>
      </c>
      <c r="H230" s="5">
        <f>+(VLOOKUP(D230,'Prezzi FI'!$C$8:$D$468,2,0)+VLOOKUP(D230,'Prezzi FI'!$H$8:$I$467,2,0))/100</f>
        <v>1.1754936999999999</v>
      </c>
      <c r="I230" s="5">
        <f>+IF(VLOOKUP(D230,'Prezzi FI'!$H$8:$I$467,2,0)&lt;VLOOKUP(D231,'Prezzi FI'!$H$8:$I$467,2,0),4.25/2,0)/100</f>
        <v>0</v>
      </c>
      <c r="K230" s="4" t="str">
        <f t="shared" si="25"/>
        <v>201448</v>
      </c>
      <c r="L230" s="14">
        <f t="shared" si="26"/>
        <v>41970</v>
      </c>
      <c r="M230" s="39">
        <f t="shared" si="27"/>
        <v>1.0442660783535859E-2</v>
      </c>
      <c r="N230" s="39">
        <f t="shared" si="28"/>
        <v>3.1361394200297541E-3</v>
      </c>
      <c r="O230" s="39">
        <f t="shared" si="29"/>
        <v>-2.4055910935538553E-2</v>
      </c>
      <c r="P230" s="39">
        <f t="shared" si="30"/>
        <v>2.2332140586957335E-3</v>
      </c>
      <c r="AC230" s="14"/>
    </row>
    <row r="231" spans="3:29" x14ac:dyDescent="0.75">
      <c r="C231" s="4">
        <v>3</v>
      </c>
      <c r="D231" s="58">
        <v>41969</v>
      </c>
      <c r="E231" s="5">
        <f>+VLOOKUP(D231,'Prezzi Trade'!$I$9:$J$468,2,0)</f>
        <v>20.004999999999999</v>
      </c>
      <c r="F231" s="5">
        <f>+VLOOKUP(D231,'Prezzi Trade'!$K$9:$L$468,2,0)</f>
        <v>140.08000000000001</v>
      </c>
      <c r="G231" s="5">
        <f>+VLOOKUP(D231,'Prezzi Trade'!$M$9:$N$468,2,0)/VLOOKUP(D231,'Prezzi Trade'!$O$9:$P$468,2,0)</f>
        <v>872.49500199920044</v>
      </c>
      <c r="H231" s="5">
        <f>+(VLOOKUP(D231,'Prezzi FI'!$C$8:$D$468,2,0)+VLOOKUP(D231,'Prezzi FI'!$H$8:$I$467,2,0))/100</f>
        <v>1.1728715000000001</v>
      </c>
      <c r="I231" s="5">
        <f>+IF(VLOOKUP(D231,'Prezzi FI'!$H$8:$I$467,2,0)&lt;VLOOKUP(D232,'Prezzi FI'!$H$8:$I$467,2,0),4.25/2,0)/100</f>
        <v>0</v>
      </c>
      <c r="K231" s="4" t="str">
        <f t="shared" si="25"/>
        <v>201448</v>
      </c>
      <c r="L231" s="14">
        <f t="shared" si="26"/>
        <v>41969</v>
      </c>
      <c r="M231" s="39">
        <f t="shared" si="27"/>
        <v>-4.2399365176447089E-3</v>
      </c>
      <c r="N231" s="39">
        <f t="shared" si="28"/>
        <v>-1.1415526353826184E-3</v>
      </c>
      <c r="O231" s="39">
        <f t="shared" si="29"/>
        <v>-1.0328970133774925E-3</v>
      </c>
      <c r="P231" s="39">
        <f t="shared" si="30"/>
        <v>-1.1951539495081939E-3</v>
      </c>
      <c r="AC231" s="14"/>
    </row>
    <row r="232" spans="3:29" x14ac:dyDescent="0.75">
      <c r="C232" s="4">
        <v>2</v>
      </c>
      <c r="D232" s="58">
        <v>41968</v>
      </c>
      <c r="E232" s="5">
        <f>+VLOOKUP(D232,'Prezzi Trade'!$I$9:$J$468,2,0)</f>
        <v>20.09</v>
      </c>
      <c r="F232" s="5">
        <f>+VLOOKUP(D232,'Prezzi Trade'!$K$9:$L$468,2,0)</f>
        <v>140.24</v>
      </c>
      <c r="G232" s="5">
        <f>+VLOOKUP(D232,'Prezzi Trade'!$M$9:$N$468,2,0)/VLOOKUP(D232,'Prezzi Trade'!$O$9:$P$468,2,0)</f>
        <v>873.39666506333162</v>
      </c>
      <c r="H232" s="5">
        <f>+(VLOOKUP(D232,'Prezzi FI'!$C$8:$D$468,2,0)+VLOOKUP(D232,'Prezzi FI'!$H$8:$I$467,2,0))/100</f>
        <v>1.1742741000000001</v>
      </c>
      <c r="I232" s="5">
        <f>+IF(VLOOKUP(D232,'Prezzi FI'!$H$8:$I$467,2,0)&lt;VLOOKUP(D233,'Prezzi FI'!$H$8:$I$467,2,0),4.25/2,0)/100</f>
        <v>0</v>
      </c>
      <c r="K232" s="4" t="str">
        <f t="shared" si="25"/>
        <v>201448</v>
      </c>
      <c r="L232" s="14">
        <f t="shared" si="26"/>
        <v>41968</v>
      </c>
      <c r="M232" s="39">
        <f t="shared" si="27"/>
        <v>4.7399365280613994E-3</v>
      </c>
      <c r="N232" s="39">
        <f t="shared" si="28"/>
        <v>-1.2826909761235162E-3</v>
      </c>
      <c r="O232" s="39">
        <f t="shared" si="29"/>
        <v>-1.0854728647911874E-2</v>
      </c>
      <c r="P232" s="39">
        <f t="shared" si="30"/>
        <v>1.4635910748830032E-3</v>
      </c>
      <c r="AC232" s="14"/>
    </row>
    <row r="233" spans="3:29" x14ac:dyDescent="0.75">
      <c r="C233" s="4">
        <v>1</v>
      </c>
      <c r="D233" s="58">
        <v>41967</v>
      </c>
      <c r="E233" s="5">
        <f>+VLOOKUP(D233,'Prezzi Trade'!$I$9:$J$468,2,0)</f>
        <v>19.995000000000001</v>
      </c>
      <c r="F233" s="5">
        <f>+VLOOKUP(D233,'Prezzi Trade'!$K$9:$L$468,2,0)</f>
        <v>140.41999999999999</v>
      </c>
      <c r="G233" s="5">
        <f>+VLOOKUP(D233,'Prezzi Trade'!$M$9:$N$468,2,0)/VLOOKUP(D233,'Prezzi Trade'!$O$9:$P$468,2,0)</f>
        <v>882.92878958366816</v>
      </c>
      <c r="H233" s="5">
        <f>+(VLOOKUP(D233,'Prezzi FI'!$C$8:$D$468,2,0)+VLOOKUP(D233,'Prezzi FI'!$H$8:$I$467,2,0))/100</f>
        <v>1.1725566999999999</v>
      </c>
      <c r="I233" s="5">
        <f>+IF(VLOOKUP(D233,'Prezzi FI'!$H$8:$I$467,2,0)&lt;VLOOKUP(D234,'Prezzi FI'!$H$8:$I$467,2,0),4.25/2,0)/100</f>
        <v>0</v>
      </c>
      <c r="K233" s="4" t="str">
        <f t="shared" si="25"/>
        <v>201448</v>
      </c>
      <c r="L233" s="14">
        <f t="shared" si="26"/>
        <v>41967</v>
      </c>
      <c r="M233" s="39">
        <f t="shared" si="27"/>
        <v>1.7519714154636996E-3</v>
      </c>
      <c r="N233" s="39">
        <f t="shared" si="28"/>
        <v>-3.0575627332788337E-3</v>
      </c>
      <c r="O233" s="39">
        <f t="shared" si="29"/>
        <v>-6.654533822937304E-3</v>
      </c>
      <c r="P233" s="39">
        <f t="shared" si="30"/>
        <v>1.7561684644101614E-3</v>
      </c>
      <c r="AC233" s="14"/>
    </row>
    <row r="234" spans="3:29" x14ac:dyDescent="0.75">
      <c r="C234" s="4">
        <v>5</v>
      </c>
      <c r="D234" s="58">
        <v>41964</v>
      </c>
      <c r="E234" s="5">
        <f>+VLOOKUP(D234,'Prezzi Trade'!$I$9:$J$468,2,0)</f>
        <v>19.96</v>
      </c>
      <c r="F234" s="5">
        <f>+VLOOKUP(D234,'Prezzi Trade'!$K$9:$L$468,2,0)</f>
        <v>140.85</v>
      </c>
      <c r="G234" s="5">
        <f>+VLOOKUP(D234,'Prezzi Trade'!$M$9:$N$468,2,0)/VLOOKUP(D234,'Prezzi Trade'!$O$9:$P$468,2,0)</f>
        <v>888.82386180174376</v>
      </c>
      <c r="H234" s="5">
        <f>+(VLOOKUP(D234,'Prezzi FI'!$C$8:$D$468,2,0)+VLOOKUP(D234,'Prezzi FI'!$H$8:$I$467,2,0))/100</f>
        <v>1.1704993000000001</v>
      </c>
      <c r="I234" s="5">
        <f>+IF(VLOOKUP(D234,'Prezzi FI'!$H$8:$I$467,2,0)&lt;VLOOKUP(D235,'Prezzi FI'!$H$8:$I$467,2,0),4.25/2,0)/100</f>
        <v>0</v>
      </c>
      <c r="K234" s="4" t="str">
        <f t="shared" si="25"/>
        <v>201447</v>
      </c>
      <c r="L234" s="14">
        <f t="shared" si="26"/>
        <v>41964</v>
      </c>
      <c r="M234" s="39">
        <f t="shared" si="27"/>
        <v>3.5180788457043061E-2</v>
      </c>
      <c r="N234" s="39">
        <f t="shared" si="28"/>
        <v>1.8559523805262729E-2</v>
      </c>
      <c r="O234" s="39">
        <f t="shared" si="29"/>
        <v>2.5310605358253177E-2</v>
      </c>
      <c r="P234" s="39">
        <f t="shared" si="30"/>
        <v>3.6610313438781325E-3</v>
      </c>
      <c r="AC234" s="14"/>
    </row>
    <row r="235" spans="3:29" x14ac:dyDescent="0.75">
      <c r="C235" s="4">
        <v>4</v>
      </c>
      <c r="D235" s="58">
        <v>41963</v>
      </c>
      <c r="E235" s="5">
        <f>+VLOOKUP(D235,'Prezzi Trade'!$I$9:$J$468,2,0)</f>
        <v>19.27</v>
      </c>
      <c r="F235" s="5">
        <f>+VLOOKUP(D235,'Prezzi Trade'!$K$9:$L$468,2,0)</f>
        <v>138.26</v>
      </c>
      <c r="G235" s="5">
        <f>+VLOOKUP(D235,'Prezzi Trade'!$M$9:$N$468,2,0)/VLOOKUP(D235,'Prezzi Trade'!$O$9:$P$468,2,0)</f>
        <v>866.60950709842086</v>
      </c>
      <c r="H235" s="5">
        <f>+(VLOOKUP(D235,'Prezzi FI'!$C$8:$D$468,2,0)+VLOOKUP(D235,'Prezzi FI'!$H$8:$I$467,2,0))/100</f>
        <v>1.1662218999999998</v>
      </c>
      <c r="I235" s="5">
        <f>+IF(VLOOKUP(D235,'Prezzi FI'!$H$8:$I$467,2,0)&lt;VLOOKUP(D236,'Prezzi FI'!$H$8:$I$467,2,0),4.25/2,0)/100</f>
        <v>0</v>
      </c>
      <c r="K235" s="4" t="str">
        <f t="shared" si="25"/>
        <v>201447</v>
      </c>
      <c r="L235" s="14">
        <f t="shared" si="26"/>
        <v>41963</v>
      </c>
      <c r="M235" s="39">
        <f t="shared" si="27"/>
        <v>-8.5260818779114133E-3</v>
      </c>
      <c r="N235" s="39">
        <f t="shared" si="28"/>
        <v>3.1149288107712751E-3</v>
      </c>
      <c r="O235" s="39">
        <f t="shared" si="29"/>
        <v>1.306094880158974E-3</v>
      </c>
      <c r="P235" s="39">
        <f t="shared" si="30"/>
        <v>8.2539793977124884E-4</v>
      </c>
      <c r="AC235" s="14"/>
    </row>
    <row r="236" spans="3:29" x14ac:dyDescent="0.75">
      <c r="C236" s="4">
        <v>3</v>
      </c>
      <c r="D236" s="58">
        <v>41962</v>
      </c>
      <c r="E236" s="5">
        <f>+VLOOKUP(D236,'Prezzi Trade'!$I$9:$J$468,2,0)</f>
        <v>19.434999999999999</v>
      </c>
      <c r="F236" s="5">
        <f>+VLOOKUP(D236,'Prezzi Trade'!$K$9:$L$468,2,0)</f>
        <v>137.83000000000001</v>
      </c>
      <c r="G236" s="5">
        <f>+VLOOKUP(D236,'Prezzi Trade'!$M$9:$N$468,2,0)/VLOOKUP(D236,'Prezzi Trade'!$O$9:$P$468,2,0)</f>
        <v>865.47837170397509</v>
      </c>
      <c r="H236" s="5">
        <f>+(VLOOKUP(D236,'Prezzi FI'!$C$8:$D$468,2,0)+VLOOKUP(D236,'Prezzi FI'!$H$8:$I$467,2,0))/100</f>
        <v>1.1652597</v>
      </c>
      <c r="I236" s="5">
        <f>+IF(VLOOKUP(D236,'Prezzi FI'!$H$8:$I$467,2,0)&lt;VLOOKUP(D237,'Prezzi FI'!$H$8:$I$467,2,0),4.25/2,0)/100</f>
        <v>0</v>
      </c>
      <c r="K236" s="4" t="str">
        <f t="shared" si="25"/>
        <v>201447</v>
      </c>
      <c r="L236" s="14">
        <f t="shared" si="26"/>
        <v>41962</v>
      </c>
      <c r="M236" s="39">
        <f t="shared" si="27"/>
        <v>2.8339578415661976E-3</v>
      </c>
      <c r="N236" s="39">
        <f t="shared" si="28"/>
        <v>-3.4765009302690263E-3</v>
      </c>
      <c r="O236" s="39">
        <f t="shared" si="29"/>
        <v>-1.263127383238465E-3</v>
      </c>
      <c r="P236" s="39">
        <f t="shared" si="30"/>
        <v>1.2650340820832983E-4</v>
      </c>
      <c r="AC236" s="14"/>
    </row>
    <row r="237" spans="3:29" x14ac:dyDescent="0.75">
      <c r="C237" s="4">
        <v>2</v>
      </c>
      <c r="D237" s="58">
        <v>41961</v>
      </c>
      <c r="E237" s="5">
        <f>+VLOOKUP(D237,'Prezzi Trade'!$I$9:$J$468,2,0)</f>
        <v>19.38</v>
      </c>
      <c r="F237" s="5">
        <f>+VLOOKUP(D237,'Prezzi Trade'!$K$9:$L$468,2,0)</f>
        <v>138.31</v>
      </c>
      <c r="G237" s="5">
        <f>+VLOOKUP(D237,'Prezzi Trade'!$M$9:$N$468,2,0)/VLOOKUP(D237,'Prezzi Trade'!$O$9:$P$468,2,0)</f>
        <v>866.57227185705165</v>
      </c>
      <c r="H237" s="5">
        <f>+(VLOOKUP(D237,'Prezzi FI'!$C$8:$D$468,2,0)+VLOOKUP(D237,'Prezzi FI'!$H$8:$I$467,2,0))/100</f>
        <v>1.1651122999999999</v>
      </c>
      <c r="I237" s="5">
        <f>+IF(VLOOKUP(D237,'Prezzi FI'!$H$8:$I$467,2,0)&lt;VLOOKUP(D238,'Prezzi FI'!$H$8:$I$467,2,0),4.25/2,0)/100</f>
        <v>0</v>
      </c>
      <c r="K237" s="4" t="str">
        <f t="shared" si="25"/>
        <v>201447</v>
      </c>
      <c r="L237" s="14">
        <f t="shared" si="26"/>
        <v>41961</v>
      </c>
      <c r="M237" s="39">
        <f t="shared" si="27"/>
        <v>7.2501612250597701E-3</v>
      </c>
      <c r="N237" s="39">
        <f t="shared" si="28"/>
        <v>2.026489801129577E-3</v>
      </c>
      <c r="O237" s="39">
        <f t="shared" si="29"/>
        <v>-8.794378318113678E-3</v>
      </c>
      <c r="P237" s="39">
        <f t="shared" si="30"/>
        <v>-2.2536060366388374E-4</v>
      </c>
      <c r="AC237" s="14"/>
    </row>
    <row r="238" spans="3:29" x14ac:dyDescent="0.75">
      <c r="C238" s="4">
        <v>1</v>
      </c>
      <c r="D238" s="58">
        <v>41960</v>
      </c>
      <c r="E238" s="5">
        <f>+VLOOKUP(D238,'Prezzi Trade'!$I$9:$J$468,2,0)</f>
        <v>19.239999999999998</v>
      </c>
      <c r="F238" s="5">
        <f>+VLOOKUP(D238,'Prezzi Trade'!$K$9:$L$468,2,0)</f>
        <v>138.03</v>
      </c>
      <c r="G238" s="5">
        <f>+VLOOKUP(D238,'Prezzi Trade'!$M$9:$N$468,2,0)/VLOOKUP(D238,'Prezzi Trade'!$O$9:$P$468,2,0)</f>
        <v>874.22684552976159</v>
      </c>
      <c r="H238" s="5">
        <f>+(VLOOKUP(D238,'Prezzi FI'!$C$8:$D$468,2,0)+VLOOKUP(D238,'Prezzi FI'!$H$8:$I$467,2,0))/100</f>
        <v>1.1653749</v>
      </c>
      <c r="I238" s="5">
        <f>+IF(VLOOKUP(D238,'Prezzi FI'!$H$8:$I$467,2,0)&lt;VLOOKUP(D239,'Prezzi FI'!$H$8:$I$467,2,0),4.25/2,0)/100</f>
        <v>0</v>
      </c>
      <c r="K238" s="4" t="str">
        <f t="shared" si="25"/>
        <v>201447</v>
      </c>
      <c r="L238" s="14">
        <f t="shared" si="26"/>
        <v>41960</v>
      </c>
      <c r="M238" s="39">
        <f t="shared" si="27"/>
        <v>1.228934279634835E-2</v>
      </c>
      <c r="N238" s="39">
        <f t="shared" si="28"/>
        <v>3.623057175244048E-4</v>
      </c>
      <c r="O238" s="39">
        <f t="shared" si="29"/>
        <v>6.1575209053910934E-3</v>
      </c>
      <c r="P238" s="39">
        <f t="shared" si="30"/>
        <v>2.8765135828030461E-3</v>
      </c>
      <c r="AC238" s="14"/>
    </row>
    <row r="239" spans="3:29" x14ac:dyDescent="0.75">
      <c r="C239" s="4">
        <v>5</v>
      </c>
      <c r="D239" s="58">
        <v>41957</v>
      </c>
      <c r="E239" s="5">
        <f>+VLOOKUP(D239,'Prezzi Trade'!$I$9:$J$468,2,0)</f>
        <v>19.004999999999999</v>
      </c>
      <c r="F239" s="5">
        <f>+VLOOKUP(D239,'Prezzi Trade'!$K$9:$L$468,2,0)</f>
        <v>137.97999999999999</v>
      </c>
      <c r="G239" s="5">
        <f>+VLOOKUP(D239,'Prezzi Trade'!$M$9:$N$468,2,0)/VLOOKUP(D239,'Prezzi Trade'!$O$9:$P$468,2,0)</f>
        <v>868.86031467135217</v>
      </c>
      <c r="H239" s="5">
        <f>+(VLOOKUP(D239,'Prezzi FI'!$C$8:$D$468,2,0)+VLOOKUP(D239,'Prezzi FI'!$H$8:$I$467,2,0))/100</f>
        <v>1.1620275</v>
      </c>
      <c r="I239" s="5">
        <f>+IF(VLOOKUP(D239,'Prezzi FI'!$H$8:$I$467,2,0)&lt;VLOOKUP(D240,'Prezzi FI'!$H$8:$I$467,2,0),4.25/2,0)/100</f>
        <v>0</v>
      </c>
      <c r="K239" s="4" t="str">
        <f t="shared" si="25"/>
        <v>201446</v>
      </c>
      <c r="L239" s="14">
        <f t="shared" si="26"/>
        <v>41957</v>
      </c>
      <c r="M239" s="39">
        <f t="shared" si="27"/>
        <v>1.1111225425070629E-2</v>
      </c>
      <c r="N239" s="39">
        <f t="shared" si="28"/>
        <v>-4.3475111184001391E-4</v>
      </c>
      <c r="O239" s="39">
        <f t="shared" si="29"/>
        <v>-9.166940248764556E-3</v>
      </c>
      <c r="P239" s="39">
        <f t="shared" si="30"/>
        <v>5.0562358822176597E-4</v>
      </c>
      <c r="AC239" s="14"/>
    </row>
    <row r="240" spans="3:29" x14ac:dyDescent="0.75">
      <c r="C240" s="4">
        <v>4</v>
      </c>
      <c r="D240" s="58">
        <v>41956</v>
      </c>
      <c r="E240" s="5">
        <f>+VLOOKUP(D240,'Prezzi Trade'!$I$9:$J$468,2,0)</f>
        <v>18.795000000000002</v>
      </c>
      <c r="F240" s="5">
        <f>+VLOOKUP(D240,'Prezzi Trade'!$K$9:$L$468,2,0)</f>
        <v>138.04</v>
      </c>
      <c r="G240" s="5">
        <f>+VLOOKUP(D240,'Prezzi Trade'!$M$9:$N$468,2,0)/VLOOKUP(D240,'Prezzi Trade'!$O$9:$P$468,2,0)</f>
        <v>876.86172344689373</v>
      </c>
      <c r="H240" s="5">
        <f>+(VLOOKUP(D240,'Prezzi FI'!$C$8:$D$468,2,0)+VLOOKUP(D240,'Prezzi FI'!$H$8:$I$467,2,0))/100</f>
        <v>1.1614400999999999</v>
      </c>
      <c r="I240" s="5">
        <f>+IF(VLOOKUP(D240,'Prezzi FI'!$H$8:$I$467,2,0)&lt;VLOOKUP(D241,'Prezzi FI'!$H$8:$I$467,2,0),4.25/2,0)/100</f>
        <v>0</v>
      </c>
      <c r="K240" s="4" t="str">
        <f t="shared" si="25"/>
        <v>201446</v>
      </c>
      <c r="L240" s="14">
        <f t="shared" si="26"/>
        <v>41956</v>
      </c>
      <c r="M240" s="39">
        <f t="shared" si="27"/>
        <v>5.3219799020917257E-4</v>
      </c>
      <c r="N240" s="39">
        <f t="shared" si="28"/>
        <v>1.8127112239909623E-3</v>
      </c>
      <c r="O240" s="39">
        <f t="shared" si="29"/>
        <v>-1.4838727973494304E-2</v>
      </c>
      <c r="P240" s="39">
        <f t="shared" si="30"/>
        <v>-2.9932491994959188E-4</v>
      </c>
      <c r="AC240" s="14"/>
    </row>
    <row r="241" spans="3:29" x14ac:dyDescent="0.75">
      <c r="C241" s="4">
        <v>3</v>
      </c>
      <c r="D241" s="58">
        <v>41955</v>
      </c>
      <c r="E241" s="5">
        <f>+VLOOKUP(D241,'Prezzi Trade'!$I$9:$J$468,2,0)</f>
        <v>18.785</v>
      </c>
      <c r="F241" s="5">
        <f>+VLOOKUP(D241,'Prezzi Trade'!$K$9:$L$468,2,0)</f>
        <v>137.79</v>
      </c>
      <c r="G241" s="5">
        <f>+VLOOKUP(D241,'Prezzi Trade'!$M$9:$N$468,2,0)/VLOOKUP(D241,'Prezzi Trade'!$O$9:$P$468,2,0)</f>
        <v>889.97025245216264</v>
      </c>
      <c r="H241" s="5">
        <f>+(VLOOKUP(D241,'Prezzi FI'!$C$8:$D$468,2,0)+VLOOKUP(D241,'Prezzi FI'!$H$8:$I$467,2,0))/100</f>
        <v>1.1617877999999999</v>
      </c>
      <c r="I241" s="5">
        <f>+IF(VLOOKUP(D241,'Prezzi FI'!$H$8:$I$467,2,0)&lt;VLOOKUP(D242,'Prezzi FI'!$H$8:$I$467,2,0),4.25/2,0)/100</f>
        <v>0</v>
      </c>
      <c r="K241" s="4" t="str">
        <f t="shared" si="25"/>
        <v>201446</v>
      </c>
      <c r="L241" s="14">
        <f t="shared" si="26"/>
        <v>41955</v>
      </c>
      <c r="M241" s="39">
        <f t="shared" si="27"/>
        <v>-2.7305450690267446E-2</v>
      </c>
      <c r="N241" s="39">
        <f t="shared" si="28"/>
        <v>-5.2117381811954714E-3</v>
      </c>
      <c r="O241" s="39">
        <f t="shared" si="29"/>
        <v>1.0125316303683529E-2</v>
      </c>
      <c r="P241" s="39">
        <f t="shared" si="30"/>
        <v>-6.819918038121005E-4</v>
      </c>
      <c r="AC241" s="14"/>
    </row>
    <row r="242" spans="3:29" x14ac:dyDescent="0.75">
      <c r="C242" s="4">
        <v>2</v>
      </c>
      <c r="D242" s="58">
        <v>41954</v>
      </c>
      <c r="E242" s="5">
        <f>+VLOOKUP(D242,'Prezzi Trade'!$I$9:$J$468,2,0)</f>
        <v>19.305</v>
      </c>
      <c r="F242" s="5">
        <f>+VLOOKUP(D242,'Prezzi Trade'!$K$9:$L$468,2,0)</f>
        <v>138.51</v>
      </c>
      <c r="G242" s="5">
        <f>+VLOOKUP(D242,'Prezzi Trade'!$M$9:$N$468,2,0)/VLOOKUP(D242,'Prezzi Trade'!$O$9:$P$468,2,0)</f>
        <v>881.00448933782252</v>
      </c>
      <c r="H242" s="5">
        <f>+(VLOOKUP(D242,'Prezzi FI'!$C$8:$D$468,2,0)+VLOOKUP(D242,'Prezzi FI'!$H$8:$I$467,2,0))/100</f>
        <v>1.1625804</v>
      </c>
      <c r="I242" s="5">
        <f>+IF(VLOOKUP(D242,'Prezzi FI'!$H$8:$I$467,2,0)&lt;VLOOKUP(D243,'Prezzi FI'!$H$8:$I$467,2,0),4.25/2,0)/100</f>
        <v>0</v>
      </c>
      <c r="K242" s="4" t="str">
        <f t="shared" si="25"/>
        <v>201446</v>
      </c>
      <c r="L242" s="14">
        <f t="shared" si="26"/>
        <v>41954</v>
      </c>
      <c r="M242" s="39">
        <f t="shared" si="27"/>
        <v>0</v>
      </c>
      <c r="N242" s="39">
        <f t="shared" si="28"/>
        <v>7.9448200343783736E-4</v>
      </c>
      <c r="O242" s="39">
        <f t="shared" si="29"/>
        <v>-8.7464649016125336E-3</v>
      </c>
      <c r="P242" s="39">
        <f t="shared" si="30"/>
        <v>8.3246089233933863E-4</v>
      </c>
      <c r="AC242" s="14"/>
    </row>
    <row r="243" spans="3:29" x14ac:dyDescent="0.75">
      <c r="C243" s="4">
        <v>1</v>
      </c>
      <c r="D243" s="58">
        <v>41953</v>
      </c>
      <c r="E243" s="5">
        <f>+VLOOKUP(D243,'Prezzi Trade'!$I$9:$J$468,2,0)</f>
        <v>19.305</v>
      </c>
      <c r="F243" s="5">
        <f>+VLOOKUP(D243,'Prezzi Trade'!$K$9:$L$468,2,0)</f>
        <v>138.4</v>
      </c>
      <c r="G243" s="5">
        <f>+VLOOKUP(D243,'Prezzi Trade'!$M$9:$N$468,2,0)/VLOOKUP(D243,'Prezzi Trade'!$O$9:$P$468,2,0)</f>
        <v>888.74396135265692</v>
      </c>
      <c r="H243" s="5">
        <f>+(VLOOKUP(D243,'Prezzi FI'!$C$8:$D$468,2,0)+VLOOKUP(D243,'Prezzi FI'!$H$8:$I$467,2,0))/100</f>
        <v>1.161613</v>
      </c>
      <c r="I243" s="5">
        <f>+IF(VLOOKUP(D243,'Prezzi FI'!$H$8:$I$467,2,0)&lt;VLOOKUP(D244,'Prezzi FI'!$H$8:$I$467,2,0),4.25/2,0)/100</f>
        <v>0</v>
      </c>
      <c r="K243" s="4" t="str">
        <f t="shared" si="25"/>
        <v>201446</v>
      </c>
      <c r="L243" s="14">
        <f t="shared" si="26"/>
        <v>41953</v>
      </c>
      <c r="M243" s="39">
        <f t="shared" si="27"/>
        <v>6.4960602609074247E-3</v>
      </c>
      <c r="N243" s="39">
        <f t="shared" si="28"/>
        <v>3.3292351804240848E-3</v>
      </c>
      <c r="O243" s="39">
        <f t="shared" si="29"/>
        <v>1.7174244885843689E-3</v>
      </c>
      <c r="P243" s="39">
        <f t="shared" si="30"/>
        <v>1.0227221059094461E-3</v>
      </c>
      <c r="AC243" s="14"/>
    </row>
    <row r="244" spans="3:29" x14ac:dyDescent="0.75">
      <c r="C244" s="4">
        <v>5</v>
      </c>
      <c r="D244" s="58">
        <v>41950</v>
      </c>
      <c r="E244" s="5">
        <f>+VLOOKUP(D244,'Prezzi Trade'!$I$9:$J$468,2,0)</f>
        <v>19.18</v>
      </c>
      <c r="F244" s="5">
        <f>+VLOOKUP(D244,'Prezzi Trade'!$K$9:$L$468,2,0)</f>
        <v>137.94</v>
      </c>
      <c r="G244" s="5">
        <f>+VLOOKUP(D244,'Prezzi Trade'!$M$9:$N$468,2,0)/VLOOKUP(D244,'Prezzi Trade'!$O$9:$P$468,2,0)</f>
        <v>887.21892065531642</v>
      </c>
      <c r="H244" s="5">
        <f>+(VLOOKUP(D244,'Prezzi FI'!$C$8:$D$468,2,0)+VLOOKUP(D244,'Prezzi FI'!$H$8:$I$467,2,0))/100</f>
        <v>1.1604256000000002</v>
      </c>
      <c r="I244" s="5">
        <f>+IF(VLOOKUP(D244,'Prezzi FI'!$H$8:$I$467,2,0)&lt;VLOOKUP(D245,'Prezzi FI'!$H$8:$I$467,2,0),4.25/2,0)/100</f>
        <v>0</v>
      </c>
      <c r="K244" s="4" t="str">
        <f t="shared" si="25"/>
        <v>201445</v>
      </c>
      <c r="L244" s="14">
        <f t="shared" si="26"/>
        <v>41950</v>
      </c>
      <c r="M244" s="39">
        <f t="shared" si="27"/>
        <v>-8.0488556039683204E-3</v>
      </c>
      <c r="N244" s="39">
        <f t="shared" si="28"/>
        <v>1.6687832641106386E-3</v>
      </c>
      <c r="O244" s="39">
        <f t="shared" si="29"/>
        <v>1.0171096174244778E-3</v>
      </c>
      <c r="P244" s="39">
        <f t="shared" si="30"/>
        <v>-1.2768192078325331E-3</v>
      </c>
      <c r="AC244" s="14"/>
    </row>
    <row r="245" spans="3:29" x14ac:dyDescent="0.75">
      <c r="C245" s="4">
        <v>4</v>
      </c>
      <c r="D245" s="58">
        <v>41949</v>
      </c>
      <c r="E245" s="5">
        <f>+VLOOKUP(D245,'Prezzi Trade'!$I$9:$J$468,2,0)</f>
        <v>19.335000000000001</v>
      </c>
      <c r="F245" s="5">
        <f>+VLOOKUP(D245,'Prezzi Trade'!$K$9:$L$468,2,0)</f>
        <v>137.71</v>
      </c>
      <c r="G245" s="5">
        <f>+VLOOKUP(D245,'Prezzi Trade'!$M$9:$N$468,2,0)/VLOOKUP(D245,'Prezzi Trade'!$O$9:$P$468,2,0)</f>
        <v>886.31698052210459</v>
      </c>
      <c r="H245" s="5">
        <f>+(VLOOKUP(D245,'Prezzi FI'!$C$8:$D$468,2,0)+VLOOKUP(D245,'Prezzi FI'!$H$8:$I$467,2,0))/100</f>
        <v>1.1619082000000001</v>
      </c>
      <c r="I245" s="5">
        <f>+IF(VLOOKUP(D245,'Prezzi FI'!$H$8:$I$467,2,0)&lt;VLOOKUP(D246,'Prezzi FI'!$H$8:$I$467,2,0),4.25/2,0)/100</f>
        <v>0</v>
      </c>
      <c r="K245" s="4" t="str">
        <f t="shared" si="25"/>
        <v>201445</v>
      </c>
      <c r="L245" s="14">
        <f t="shared" si="26"/>
        <v>41949</v>
      </c>
      <c r="M245" s="39">
        <f t="shared" si="27"/>
        <v>-6.4441516985986255E-3</v>
      </c>
      <c r="N245" s="39">
        <f t="shared" si="28"/>
        <v>5.1690989109096884E-3</v>
      </c>
      <c r="O245" s="39">
        <f t="shared" si="29"/>
        <v>1.1563192143323651E-2</v>
      </c>
      <c r="P245" s="39">
        <f t="shared" si="30"/>
        <v>3.0964273798421804E-3</v>
      </c>
      <c r="AC245" s="14"/>
    </row>
    <row r="246" spans="3:29" x14ac:dyDescent="0.75">
      <c r="C246" s="4">
        <v>3</v>
      </c>
      <c r="D246" s="58">
        <v>41948</v>
      </c>
      <c r="E246" s="5">
        <f>+VLOOKUP(D246,'Prezzi Trade'!$I$9:$J$468,2,0)</f>
        <v>19.46</v>
      </c>
      <c r="F246" s="5">
        <f>+VLOOKUP(D246,'Prezzi Trade'!$K$9:$L$468,2,0)</f>
        <v>137</v>
      </c>
      <c r="G246" s="5">
        <f>+VLOOKUP(D246,'Prezzi Trade'!$M$9:$N$468,2,0)/VLOOKUP(D246,'Prezzi Trade'!$O$9:$P$468,2,0)</f>
        <v>876.12735282338815</v>
      </c>
      <c r="H246" s="5">
        <f>+(VLOOKUP(D246,'Prezzi FI'!$C$8:$D$468,2,0)+VLOOKUP(D246,'Prezzi FI'!$H$8:$I$467,2,0))/100</f>
        <v>1.1583160000000001</v>
      </c>
      <c r="I246" s="5">
        <f>+IF(VLOOKUP(D246,'Prezzi FI'!$H$8:$I$467,2,0)&lt;VLOOKUP(D247,'Prezzi FI'!$H$8:$I$467,2,0),4.25/2,0)/100</f>
        <v>0</v>
      </c>
      <c r="K246" s="4" t="str">
        <f t="shared" si="25"/>
        <v>201445</v>
      </c>
      <c r="L246" s="14">
        <f t="shared" si="26"/>
        <v>41948</v>
      </c>
      <c r="M246" s="39">
        <f t="shared" si="27"/>
        <v>2.471188307409353E-2</v>
      </c>
      <c r="N246" s="39">
        <f t="shared" si="28"/>
        <v>1.2338581915617229E-2</v>
      </c>
      <c r="O246" s="39">
        <f t="shared" si="29"/>
        <v>2.6551266974560511E-3</v>
      </c>
      <c r="P246" s="39">
        <f t="shared" si="30"/>
        <v>-1.2310217850291516E-4</v>
      </c>
      <c r="AC246" s="14"/>
    </row>
    <row r="247" spans="3:29" x14ac:dyDescent="0.75">
      <c r="C247" s="4">
        <v>2</v>
      </c>
      <c r="D247" s="58">
        <v>41947</v>
      </c>
      <c r="E247" s="5">
        <f>+VLOOKUP(D247,'Prezzi Trade'!$I$9:$J$468,2,0)</f>
        <v>18.984999999999999</v>
      </c>
      <c r="F247" s="5">
        <f>+VLOOKUP(D247,'Prezzi Trade'!$K$9:$L$468,2,0)</f>
        <v>135.32</v>
      </c>
      <c r="G247" s="5">
        <f>+VLOOKUP(D247,'Prezzi Trade'!$M$9:$N$468,2,0)/VLOOKUP(D247,'Prezzi Trade'!$O$9:$P$468,2,0)</f>
        <v>873.80420918367338</v>
      </c>
      <c r="H247" s="5">
        <f>+(VLOOKUP(D247,'Prezzi FI'!$C$8:$D$468,2,0)+VLOOKUP(D247,'Prezzi FI'!$H$8:$I$467,2,0))/100</f>
        <v>1.1584586000000001</v>
      </c>
      <c r="I247" s="5">
        <f>+IF(VLOOKUP(D247,'Prezzi FI'!$H$8:$I$467,2,0)&lt;VLOOKUP(D248,'Prezzi FI'!$H$8:$I$467,2,0),4.25/2,0)/100</f>
        <v>0</v>
      </c>
      <c r="K247" s="4" t="str">
        <f t="shared" si="25"/>
        <v>201445</v>
      </c>
      <c r="L247" s="14">
        <f t="shared" si="26"/>
        <v>41947</v>
      </c>
      <c r="M247" s="39">
        <f t="shared" si="27"/>
        <v>-2.3683605348527495E-2</v>
      </c>
      <c r="N247" s="39">
        <f t="shared" si="28"/>
        <v>-1.263051010335676E-2</v>
      </c>
      <c r="O247" s="39">
        <f t="shared" si="29"/>
        <v>-2.1512575340119272E-2</v>
      </c>
      <c r="P247" s="39">
        <f t="shared" si="30"/>
        <v>-4.7689942753364166E-4</v>
      </c>
      <c r="AC247" s="14"/>
    </row>
    <row r="248" spans="3:29" x14ac:dyDescent="0.75">
      <c r="C248" s="4">
        <v>1</v>
      </c>
      <c r="D248" s="58">
        <v>41946</v>
      </c>
      <c r="E248" s="5">
        <f>+VLOOKUP(D248,'Prezzi Trade'!$I$9:$J$468,2,0)</f>
        <v>19.440000000000001</v>
      </c>
      <c r="F248" s="5">
        <f>+VLOOKUP(D248,'Prezzi Trade'!$K$9:$L$468,2,0)</f>
        <v>137.04</v>
      </c>
      <c r="G248" s="5">
        <f>+VLOOKUP(D248,'Prezzi Trade'!$M$9:$N$468,2,0)/VLOOKUP(D248,'Prezzi Trade'!$O$9:$P$468,2,0)</f>
        <v>892.80564012177547</v>
      </c>
      <c r="H248" s="5">
        <f>+(VLOOKUP(D248,'Prezzi FI'!$C$8:$D$468,2,0)+VLOOKUP(D248,'Prezzi FI'!$H$8:$I$467,2,0))/100</f>
        <v>1.1590112000000001</v>
      </c>
      <c r="I248" s="5">
        <f>+IF(VLOOKUP(D248,'Prezzi FI'!$H$8:$I$467,2,0)&lt;VLOOKUP(D249,'Prezzi FI'!$H$8:$I$467,2,0),4.25/2,0)/100</f>
        <v>0</v>
      </c>
      <c r="K248" s="4" t="str">
        <f t="shared" si="25"/>
        <v>201445</v>
      </c>
      <c r="L248" s="14">
        <f t="shared" si="26"/>
        <v>41946</v>
      </c>
      <c r="M248" s="39">
        <f t="shared" si="27"/>
        <v>-1.8854061678166438E-2</v>
      </c>
      <c r="N248" s="39">
        <f t="shared" si="28"/>
        <v>1.8259509145116023E-3</v>
      </c>
      <c r="O248" s="39">
        <f t="shared" si="29"/>
        <v>7.5946433965239039E-3</v>
      </c>
      <c r="P248" s="39">
        <f t="shared" si="30"/>
        <v>-1.4765482360269682E-3</v>
      </c>
      <c r="AC248" s="14"/>
    </row>
    <row r="249" spans="3:29" x14ac:dyDescent="0.75">
      <c r="C249" s="4">
        <v>5</v>
      </c>
      <c r="D249" s="58">
        <v>41943</v>
      </c>
      <c r="E249" s="5">
        <f>+VLOOKUP(D249,'Prezzi Trade'!$I$9:$J$468,2,0)</f>
        <v>19.809999999999999</v>
      </c>
      <c r="F249" s="5">
        <f>+VLOOKUP(D249,'Prezzi Trade'!$K$9:$L$468,2,0)</f>
        <v>136.79</v>
      </c>
      <c r="G249" s="5">
        <f>+VLOOKUP(D249,'Prezzi Trade'!$M$9:$N$468,2,0)/VLOOKUP(D249,'Prezzi Trade'!$O$9:$P$468,2,0)</f>
        <v>886.0507824976047</v>
      </c>
      <c r="H249" s="5">
        <f>+(VLOOKUP(D249,'Prezzi FI'!$C$8:$D$468,2,0)+VLOOKUP(D249,'Prezzi FI'!$H$8:$I$467,2,0))/100</f>
        <v>1.1607238</v>
      </c>
      <c r="I249" s="5">
        <f>+IF(VLOOKUP(D249,'Prezzi FI'!$H$8:$I$467,2,0)&lt;VLOOKUP(D250,'Prezzi FI'!$H$8:$I$467,2,0),4.25/2,0)/100</f>
        <v>0</v>
      </c>
      <c r="K249" s="4" t="str">
        <f t="shared" si="25"/>
        <v>201444</v>
      </c>
      <c r="L249" s="14">
        <f t="shared" si="26"/>
        <v>41943</v>
      </c>
      <c r="M249" s="39">
        <f t="shared" si="27"/>
        <v>2.8675799976666298E-2</v>
      </c>
      <c r="N249" s="39">
        <f t="shared" si="28"/>
        <v>2.0607103150441602E-2</v>
      </c>
      <c r="O249" s="39">
        <f t="shared" si="29"/>
        <v>-1.2500184600051263E-3</v>
      </c>
      <c r="P249" s="39">
        <f t="shared" si="30"/>
        <v>3.0954436893737007E-3</v>
      </c>
      <c r="AC249" s="14"/>
    </row>
    <row r="250" spans="3:29" x14ac:dyDescent="0.75">
      <c r="C250" s="4">
        <v>4</v>
      </c>
      <c r="D250" s="58">
        <v>41942</v>
      </c>
      <c r="E250" s="5">
        <f>+VLOOKUP(D250,'Prezzi Trade'!$I$9:$J$468,2,0)</f>
        <v>19.25</v>
      </c>
      <c r="F250" s="5">
        <f>+VLOOKUP(D250,'Prezzi Trade'!$K$9:$L$468,2,0)</f>
        <v>134</v>
      </c>
      <c r="G250" s="5">
        <f>+VLOOKUP(D250,'Prezzi Trade'!$M$9:$N$468,2,0)/VLOOKUP(D250,'Prezzi Trade'!$O$9:$P$468,2,0)</f>
        <v>887.15905486837926</v>
      </c>
      <c r="H250" s="5">
        <f>+(VLOOKUP(D250,'Prezzi FI'!$C$8:$D$468,2,0)+VLOOKUP(D250,'Prezzi FI'!$H$8:$I$467,2,0))/100</f>
        <v>1.1571364</v>
      </c>
      <c r="I250" s="5">
        <f>+IF(VLOOKUP(D250,'Prezzi FI'!$H$8:$I$467,2,0)&lt;VLOOKUP(D251,'Prezzi FI'!$H$8:$I$467,2,0),4.25/2,0)/100</f>
        <v>0</v>
      </c>
      <c r="K250" s="4" t="str">
        <f t="shared" si="25"/>
        <v>201444</v>
      </c>
      <c r="L250" s="14">
        <f t="shared" si="26"/>
        <v>41942</v>
      </c>
      <c r="M250" s="39">
        <f t="shared" si="27"/>
        <v>1.5596571916468101E-3</v>
      </c>
      <c r="N250" s="39">
        <f t="shared" si="28"/>
        <v>1.1710087271865852E-2</v>
      </c>
      <c r="O250" s="39">
        <f t="shared" si="29"/>
        <v>-4.935634114232282E-3</v>
      </c>
      <c r="P250" s="39">
        <f t="shared" si="30"/>
        <v>1.6538946701312662E-3</v>
      </c>
      <c r="AC250" s="14"/>
    </row>
    <row r="251" spans="3:29" x14ac:dyDescent="0.75">
      <c r="C251" s="4">
        <v>3</v>
      </c>
      <c r="D251" s="58">
        <v>41941</v>
      </c>
      <c r="E251" s="5">
        <f>+VLOOKUP(D251,'Prezzi Trade'!$I$9:$J$468,2,0)</f>
        <v>19.22</v>
      </c>
      <c r="F251" s="5">
        <f>+VLOOKUP(D251,'Prezzi Trade'!$K$9:$L$468,2,0)</f>
        <v>132.44</v>
      </c>
      <c r="G251" s="5">
        <f>+VLOOKUP(D251,'Prezzi Trade'!$M$9:$N$468,2,0)/VLOOKUP(D251,'Prezzi Trade'!$O$9:$P$468,2,0)</f>
        <v>891.5485709761698</v>
      </c>
      <c r="H251" s="5">
        <f>+(VLOOKUP(D251,'Prezzi FI'!$C$8:$D$468,2,0)+VLOOKUP(D251,'Prezzi FI'!$H$8:$I$467,2,0))/100</f>
        <v>1.1552241999999999</v>
      </c>
      <c r="I251" s="5">
        <f>+IF(VLOOKUP(D251,'Prezzi FI'!$H$8:$I$467,2,0)&lt;VLOOKUP(D252,'Prezzi FI'!$H$8:$I$467,2,0),4.25/2,0)/100</f>
        <v>0</v>
      </c>
      <c r="K251" s="4" t="str">
        <f t="shared" si="25"/>
        <v>201444</v>
      </c>
      <c r="L251" s="14">
        <f t="shared" si="26"/>
        <v>41941</v>
      </c>
      <c r="M251" s="39">
        <f t="shared" si="27"/>
        <v>-1.4719439416473462E-2</v>
      </c>
      <c r="N251" s="39">
        <f t="shared" si="28"/>
        <v>3.1005431879358369E-3</v>
      </c>
      <c r="O251" s="39">
        <f t="shared" si="29"/>
        <v>1.9431824494626472E-2</v>
      </c>
      <c r="P251" s="39">
        <f t="shared" si="30"/>
        <v>5.1726281333293875E-4</v>
      </c>
      <c r="AC251" s="14"/>
    </row>
    <row r="252" spans="3:29" x14ac:dyDescent="0.75">
      <c r="C252" s="4">
        <v>2</v>
      </c>
      <c r="D252" s="58">
        <v>41940</v>
      </c>
      <c r="E252" s="5">
        <f>+VLOOKUP(D252,'Prezzi Trade'!$I$9:$J$468,2,0)</f>
        <v>19.504999999999999</v>
      </c>
      <c r="F252" s="5">
        <f>+VLOOKUP(D252,'Prezzi Trade'!$K$9:$L$468,2,0)</f>
        <v>132.03</v>
      </c>
      <c r="G252" s="5">
        <f>+VLOOKUP(D252,'Prezzi Trade'!$M$9:$N$468,2,0)/VLOOKUP(D252,'Prezzi Trade'!$O$9:$P$468,2,0)</f>
        <v>874.39139312077896</v>
      </c>
      <c r="H252" s="5">
        <f>+(VLOOKUP(D252,'Prezzi FI'!$C$8:$D$468,2,0)+VLOOKUP(D252,'Prezzi FI'!$H$8:$I$467,2,0))/100</f>
        <v>1.1546268</v>
      </c>
      <c r="I252" s="5">
        <f>+IF(VLOOKUP(D252,'Prezzi FI'!$H$8:$I$467,2,0)&lt;VLOOKUP(D253,'Prezzi FI'!$H$8:$I$467,2,0),4.25/2,0)/100</f>
        <v>0</v>
      </c>
      <c r="K252" s="4" t="str">
        <f t="shared" si="25"/>
        <v>201444</v>
      </c>
      <c r="L252" s="14">
        <f t="shared" si="26"/>
        <v>41940</v>
      </c>
      <c r="M252" s="39">
        <f t="shared" si="27"/>
        <v>2.2292265788099053E-2</v>
      </c>
      <c r="N252" s="39">
        <f t="shared" si="28"/>
        <v>5.4682296201961217E-3</v>
      </c>
      <c r="O252" s="39">
        <f t="shared" si="29"/>
        <v>6.8779048431067179E-3</v>
      </c>
      <c r="P252" s="39">
        <f t="shared" si="30"/>
        <v>4.7420499867656868E-4</v>
      </c>
      <c r="AC252" s="14"/>
    </row>
    <row r="253" spans="3:29" x14ac:dyDescent="0.75">
      <c r="C253" s="4">
        <v>1</v>
      </c>
      <c r="D253" s="58">
        <v>41939</v>
      </c>
      <c r="E253" s="5">
        <f>+VLOOKUP(D253,'Prezzi Trade'!$I$9:$J$468,2,0)</f>
        <v>19.074999999999999</v>
      </c>
      <c r="F253" s="5">
        <f>+VLOOKUP(D253,'Prezzi Trade'!$K$9:$L$468,2,0)</f>
        <v>131.31</v>
      </c>
      <c r="G253" s="5">
        <f>+VLOOKUP(D253,'Prezzi Trade'!$M$9:$N$468,2,0)/VLOOKUP(D253,'Prezzi Trade'!$O$9:$P$468,2,0)</f>
        <v>868.39804678270457</v>
      </c>
      <c r="H253" s="5">
        <f>+(VLOOKUP(D253,'Prezzi FI'!$C$8:$D$468,2,0)+VLOOKUP(D253,'Prezzi FI'!$H$8:$I$467,2,0))/100</f>
        <v>1.1540794000000001</v>
      </c>
      <c r="I253" s="5">
        <f>+IF(VLOOKUP(D253,'Prezzi FI'!$H$8:$I$467,2,0)&lt;VLOOKUP(D254,'Prezzi FI'!$H$8:$I$467,2,0),4.25/2,0)/100</f>
        <v>0</v>
      </c>
      <c r="K253" s="4" t="str">
        <f t="shared" si="25"/>
        <v>201444</v>
      </c>
      <c r="L253" s="14">
        <f t="shared" si="26"/>
        <v>41939</v>
      </c>
      <c r="M253" s="39">
        <f t="shared" si="27"/>
        <v>-2.3573167718066917E-2</v>
      </c>
      <c r="N253" s="39">
        <f t="shared" si="28"/>
        <v>-3.72468219749328E-3</v>
      </c>
      <c r="O253" s="39">
        <f t="shared" si="29"/>
        <v>-3.0760574604479425E-3</v>
      </c>
      <c r="P253" s="39">
        <f t="shared" si="30"/>
        <v>-1.2146030605060944E-3</v>
      </c>
      <c r="AC253" s="14"/>
    </row>
    <row r="254" spans="3:29" x14ac:dyDescent="0.75">
      <c r="C254" s="4">
        <v>5</v>
      </c>
      <c r="D254" s="58">
        <v>41936</v>
      </c>
      <c r="E254" s="5">
        <f>+VLOOKUP(D254,'Prezzi Trade'!$I$9:$J$468,2,0)</f>
        <v>19.53</v>
      </c>
      <c r="F254" s="5">
        <f>+VLOOKUP(D254,'Prezzi Trade'!$K$9:$L$468,2,0)</f>
        <v>131.80000000000001</v>
      </c>
      <c r="G254" s="5">
        <f>+VLOOKUP(D254,'Prezzi Trade'!$M$9:$N$468,2,0)/VLOOKUP(D254,'Prezzi Trade'!$O$9:$P$468,2,0)</f>
        <v>871.07340173638534</v>
      </c>
      <c r="H254" s="5">
        <f>+(VLOOKUP(D254,'Prezzi FI'!$C$8:$D$468,2,0)+VLOOKUP(D254,'Prezzi FI'!$H$8:$I$467,2,0))/100</f>
        <v>1.1554820000000001</v>
      </c>
      <c r="I254" s="5">
        <f>+IF(VLOOKUP(D254,'Prezzi FI'!$H$8:$I$467,2,0)&lt;VLOOKUP(D255,'Prezzi FI'!$H$8:$I$467,2,0),4.25/2,0)/100</f>
        <v>0</v>
      </c>
      <c r="K254" s="4" t="str">
        <f t="shared" si="25"/>
        <v>201443</v>
      </c>
      <c r="L254" s="14">
        <f t="shared" si="26"/>
        <v>41936</v>
      </c>
      <c r="M254" s="39">
        <f t="shared" si="27"/>
        <v>3.333763826168529E-3</v>
      </c>
      <c r="N254" s="39">
        <f t="shared" si="28"/>
        <v>-9.8585682727833743E-4</v>
      </c>
      <c r="O254" s="39">
        <f t="shared" si="29"/>
        <v>-4.3846495891797371E-3</v>
      </c>
      <c r="P254" s="39">
        <f t="shared" si="30"/>
        <v>-1.1353314227134231E-3</v>
      </c>
      <c r="AC254" s="14"/>
    </row>
    <row r="255" spans="3:29" x14ac:dyDescent="0.75">
      <c r="C255" s="4">
        <v>4</v>
      </c>
      <c r="D255" s="58">
        <v>41935</v>
      </c>
      <c r="E255" s="5">
        <f>+VLOOKUP(D255,'Prezzi Trade'!$I$9:$J$468,2,0)</f>
        <v>19.465</v>
      </c>
      <c r="F255" s="5">
        <f>+VLOOKUP(D255,'Prezzi Trade'!$K$9:$L$468,2,0)</f>
        <v>131.93</v>
      </c>
      <c r="G255" s="5">
        <f>+VLOOKUP(D255,'Prezzi Trade'!$M$9:$N$468,2,0)/VLOOKUP(D255,'Prezzi Trade'!$O$9:$P$468,2,0)</f>
        <v>874.90113888010114</v>
      </c>
      <c r="H255" s="5">
        <f>+(VLOOKUP(D255,'Prezzi FI'!$C$8:$D$468,2,0)+VLOOKUP(D255,'Prezzi FI'!$H$8:$I$467,2,0))/100</f>
        <v>1.1567946</v>
      </c>
      <c r="I255" s="5">
        <f>+IF(VLOOKUP(D255,'Prezzi FI'!$H$8:$I$467,2,0)&lt;VLOOKUP(D256,'Prezzi FI'!$H$8:$I$467,2,0),4.25/2,0)/100</f>
        <v>0</v>
      </c>
      <c r="K255" s="4" t="str">
        <f t="shared" si="25"/>
        <v>201443</v>
      </c>
      <c r="L255" s="14">
        <f t="shared" si="26"/>
        <v>41935</v>
      </c>
      <c r="M255" s="39">
        <f t="shared" si="27"/>
        <v>8.7719860728368206E-3</v>
      </c>
      <c r="N255" s="39">
        <f t="shared" si="28"/>
        <v>4.0253728451750213E-3</v>
      </c>
      <c r="O255" s="39">
        <f t="shared" si="29"/>
        <v>-1.5396402127502084E-3</v>
      </c>
      <c r="P255" s="39">
        <f t="shared" si="30"/>
        <v>-1.277586866624648E-4</v>
      </c>
      <c r="AC255" s="14"/>
    </row>
    <row r="256" spans="3:29" x14ac:dyDescent="0.75">
      <c r="C256" s="4">
        <v>3</v>
      </c>
      <c r="D256" s="58">
        <v>41934</v>
      </c>
      <c r="E256" s="5">
        <f>+VLOOKUP(D256,'Prezzi Trade'!$I$9:$J$468,2,0)</f>
        <v>19.295000000000002</v>
      </c>
      <c r="F256" s="5">
        <f>+VLOOKUP(D256,'Prezzi Trade'!$K$9:$L$468,2,0)</f>
        <v>131.4</v>
      </c>
      <c r="G256" s="5">
        <f>+VLOOKUP(D256,'Prezzi Trade'!$M$9:$N$468,2,0)/VLOOKUP(D256,'Prezzi Trade'!$O$9:$P$468,2,0)</f>
        <v>876.24920936116382</v>
      </c>
      <c r="H256" s="5">
        <f>+(VLOOKUP(D256,'Prezzi FI'!$C$8:$D$468,2,0)+VLOOKUP(D256,'Prezzi FI'!$H$8:$I$467,2,0))/100</f>
        <v>1.1569424000000001</v>
      </c>
      <c r="I256" s="5">
        <f>+IF(VLOOKUP(D256,'Prezzi FI'!$H$8:$I$467,2,0)&lt;VLOOKUP(D257,'Prezzi FI'!$H$8:$I$467,2,0),4.25/2,0)/100</f>
        <v>0</v>
      </c>
      <c r="K256" s="4" t="str">
        <f t="shared" si="25"/>
        <v>201443</v>
      </c>
      <c r="L256" s="14">
        <f t="shared" si="26"/>
        <v>41934</v>
      </c>
      <c r="M256" s="39">
        <f t="shared" si="27"/>
        <v>1.1205328969441873E-2</v>
      </c>
      <c r="N256" s="39">
        <f t="shared" si="28"/>
        <v>1.1404203042868691E-2</v>
      </c>
      <c r="O256" s="39">
        <f t="shared" si="29"/>
        <v>1.2871928746188132E-2</v>
      </c>
      <c r="P256" s="39">
        <f t="shared" si="30"/>
        <v>1.3210762507044655E-3</v>
      </c>
      <c r="AC256" s="14"/>
    </row>
    <row r="257" spans="3:29" x14ac:dyDescent="0.75">
      <c r="C257" s="4">
        <v>2</v>
      </c>
      <c r="D257" s="58">
        <v>41933</v>
      </c>
      <c r="E257" s="5">
        <f>+VLOOKUP(D257,'Prezzi Trade'!$I$9:$J$468,2,0)</f>
        <v>19.079999999999998</v>
      </c>
      <c r="F257" s="5">
        <f>+VLOOKUP(D257,'Prezzi Trade'!$K$9:$L$468,2,0)</f>
        <v>129.91</v>
      </c>
      <c r="G257" s="5">
        <f>+VLOOKUP(D257,'Prezzi Trade'!$M$9:$N$468,2,0)/VLOOKUP(D257,'Prezzi Trade'!$O$9:$P$468,2,0)</f>
        <v>865.0424728645587</v>
      </c>
      <c r="H257" s="5">
        <f>+(VLOOKUP(D257,'Prezzi FI'!$C$8:$D$468,2,0)+VLOOKUP(D257,'Prezzi FI'!$H$8:$I$467,2,0))/100</f>
        <v>1.1554150000000001</v>
      </c>
      <c r="I257" s="5">
        <f>+IF(VLOOKUP(D257,'Prezzi FI'!$H$8:$I$467,2,0)&lt;VLOOKUP(D258,'Prezzi FI'!$H$8:$I$467,2,0),4.25/2,0)/100</f>
        <v>0</v>
      </c>
      <c r="K257" s="4" t="str">
        <f t="shared" si="25"/>
        <v>201443</v>
      </c>
      <c r="L257" s="14">
        <f t="shared" si="26"/>
        <v>41933</v>
      </c>
      <c r="M257" s="39">
        <f t="shared" si="27"/>
        <v>2.6824075416317594E-2</v>
      </c>
      <c r="N257" s="39">
        <f t="shared" si="28"/>
        <v>2.3048594856954083E-2</v>
      </c>
      <c r="O257" s="39">
        <f t="shared" si="29"/>
        <v>1.1845307436004213E-2</v>
      </c>
      <c r="P257" s="39">
        <f t="shared" si="30"/>
        <v>2.7537957905409334E-3</v>
      </c>
      <c r="AC257" s="14"/>
    </row>
    <row r="258" spans="3:29" x14ac:dyDescent="0.75">
      <c r="C258" s="4">
        <v>1</v>
      </c>
      <c r="D258" s="58">
        <v>41932</v>
      </c>
      <c r="E258" s="5">
        <f>+VLOOKUP(D258,'Prezzi Trade'!$I$9:$J$468,2,0)</f>
        <v>18.574999999999999</v>
      </c>
      <c r="F258" s="5">
        <f>+VLOOKUP(D258,'Prezzi Trade'!$K$9:$L$468,2,0)</f>
        <v>126.95</v>
      </c>
      <c r="G258" s="5">
        <f>+VLOOKUP(D258,'Prezzi Trade'!$M$9:$N$468,2,0)/VLOOKUP(D258,'Prezzi Trade'!$O$9:$P$468,2,0)</f>
        <v>854.85622753555242</v>
      </c>
      <c r="H258" s="5">
        <f>+(VLOOKUP(D258,'Prezzi FI'!$C$8:$D$468,2,0)+VLOOKUP(D258,'Prezzi FI'!$H$8:$I$467,2,0))/100</f>
        <v>1.1522376000000001</v>
      </c>
      <c r="I258" s="5">
        <f>+IF(VLOOKUP(D258,'Prezzi FI'!$H$8:$I$467,2,0)&lt;VLOOKUP(D259,'Prezzi FI'!$H$8:$I$467,2,0),4.25/2,0)/100</f>
        <v>0</v>
      </c>
      <c r="K258" s="4" t="str">
        <f t="shared" si="25"/>
        <v>201443</v>
      </c>
      <c r="L258" s="14">
        <f t="shared" si="26"/>
        <v>41932</v>
      </c>
      <c r="M258" s="39">
        <f t="shared" si="27"/>
        <v>-8.8436862064532138E-3</v>
      </c>
      <c r="N258" s="39">
        <f t="shared" si="28"/>
        <v>-3.2244139453854403E-3</v>
      </c>
      <c r="O258" s="39">
        <f t="shared" si="29"/>
        <v>-1.1446000141514421E-2</v>
      </c>
      <c r="P258" s="39">
        <f t="shared" si="30"/>
        <v>-3.3466536874471671E-3</v>
      </c>
      <c r="AC258" s="14"/>
    </row>
    <row r="259" spans="3:29" x14ac:dyDescent="0.75">
      <c r="C259" s="4">
        <v>5</v>
      </c>
      <c r="D259" s="58">
        <v>41929</v>
      </c>
      <c r="E259" s="5">
        <f>+VLOOKUP(D259,'Prezzi Trade'!$I$9:$J$468,2,0)</f>
        <v>18.739999999999998</v>
      </c>
      <c r="F259" s="5">
        <f>+VLOOKUP(D259,'Prezzi Trade'!$K$9:$L$468,2,0)</f>
        <v>127.36</v>
      </c>
      <c r="G259" s="5">
        <f>+VLOOKUP(D259,'Prezzi Trade'!$M$9:$N$468,2,0)/VLOOKUP(D259,'Prezzi Trade'!$O$9:$P$468,2,0)</f>
        <v>864.69712404983943</v>
      </c>
      <c r="H259" s="5">
        <f>+(VLOOKUP(D259,'Prezzi FI'!$C$8:$D$468,2,0)+VLOOKUP(D259,'Prezzi FI'!$H$8:$I$467,2,0))/100</f>
        <v>1.1561002</v>
      </c>
      <c r="I259" s="5">
        <f>+IF(VLOOKUP(D259,'Prezzi FI'!$H$8:$I$467,2,0)&lt;VLOOKUP(D260,'Prezzi FI'!$H$8:$I$467,2,0),4.25/2,0)/100</f>
        <v>0</v>
      </c>
      <c r="K259" s="4" t="str">
        <f t="shared" si="25"/>
        <v>201442</v>
      </c>
      <c r="L259" s="14">
        <f t="shared" si="26"/>
        <v>41929</v>
      </c>
      <c r="M259" s="39">
        <f t="shared" si="27"/>
        <v>3.2265236145242383E-2</v>
      </c>
      <c r="N259" s="39">
        <f t="shared" si="28"/>
        <v>2.1909115742720062E-2</v>
      </c>
      <c r="O259" s="39">
        <f t="shared" si="29"/>
        <v>1.2002752291546258E-2</v>
      </c>
      <c r="P259" s="39">
        <f t="shared" si="30"/>
        <v>5.4185105120799553E-3</v>
      </c>
      <c r="AC259" s="14"/>
    </row>
    <row r="260" spans="3:29" x14ac:dyDescent="0.75">
      <c r="C260" s="4">
        <v>4</v>
      </c>
      <c r="D260" s="58">
        <v>41928</v>
      </c>
      <c r="E260" s="5">
        <f>+VLOOKUP(D260,'Prezzi Trade'!$I$9:$J$468,2,0)</f>
        <v>18.145</v>
      </c>
      <c r="F260" s="5">
        <f>+VLOOKUP(D260,'Prezzi Trade'!$K$9:$L$468,2,0)</f>
        <v>124.6</v>
      </c>
      <c r="G260" s="5">
        <f>+VLOOKUP(D260,'Prezzi Trade'!$M$9:$N$468,2,0)/VLOOKUP(D260,'Prezzi Trade'!$O$9:$P$468,2,0)</f>
        <v>854.38041695947527</v>
      </c>
      <c r="H260" s="5">
        <f>+(VLOOKUP(D260,'Prezzi FI'!$C$8:$D$468,2,0)+VLOOKUP(D260,'Prezzi FI'!$H$8:$I$467,2,0))/100</f>
        <v>1.1498528000000001</v>
      </c>
      <c r="I260" s="5">
        <f>+IF(VLOOKUP(D260,'Prezzi FI'!$H$8:$I$467,2,0)&lt;VLOOKUP(D261,'Prezzi FI'!$H$8:$I$467,2,0),4.25/2,0)/100</f>
        <v>0</v>
      </c>
      <c r="K260" s="4" t="str">
        <f t="shared" si="25"/>
        <v>201442</v>
      </c>
      <c r="L260" s="14">
        <f t="shared" si="26"/>
        <v>41928</v>
      </c>
      <c r="M260" s="39">
        <f t="shared" si="27"/>
        <v>-1.205163860659692E-2</v>
      </c>
      <c r="N260" s="39">
        <f t="shared" si="28"/>
        <v>3.6986453678460487E-3</v>
      </c>
      <c r="O260" s="39">
        <f t="shared" si="29"/>
        <v>-2.2245097276767209E-3</v>
      </c>
      <c r="P260" s="39">
        <f t="shared" si="30"/>
        <v>-9.5363066799649399E-3</v>
      </c>
      <c r="AC260" s="14"/>
    </row>
    <row r="261" spans="3:29" x14ac:dyDescent="0.75">
      <c r="C261" s="4">
        <v>3</v>
      </c>
      <c r="D261" s="58">
        <v>41927</v>
      </c>
      <c r="E261" s="5">
        <f>+VLOOKUP(D261,'Prezzi Trade'!$I$9:$J$468,2,0)</f>
        <v>18.364999999999998</v>
      </c>
      <c r="F261" s="5">
        <f>+VLOOKUP(D261,'Prezzi Trade'!$K$9:$L$468,2,0)</f>
        <v>124.14</v>
      </c>
      <c r="G261" s="5">
        <f>+VLOOKUP(D261,'Prezzi Trade'!$M$9:$N$468,2,0)/VLOOKUP(D261,'Prezzi Trade'!$O$9:$P$468,2,0)</f>
        <v>856.28311000311624</v>
      </c>
      <c r="H261" s="5">
        <f>+(VLOOKUP(D261,'Prezzi FI'!$C$8:$D$468,2,0)+VLOOKUP(D261,'Prezzi FI'!$H$8:$I$467,2,0))/100</f>
        <v>1.1608706</v>
      </c>
      <c r="I261" s="5">
        <f>+IF(VLOOKUP(D261,'Prezzi FI'!$H$8:$I$467,2,0)&lt;VLOOKUP(D262,'Prezzi FI'!$H$8:$I$467,2,0),4.25/2,0)/100</f>
        <v>0</v>
      </c>
      <c r="K261" s="4" t="str">
        <f t="shared" si="25"/>
        <v>201442</v>
      </c>
      <c r="L261" s="14">
        <f t="shared" si="26"/>
        <v>41927</v>
      </c>
      <c r="M261" s="39">
        <f t="shared" si="27"/>
        <v>-4.4463599762105316E-2</v>
      </c>
      <c r="N261" s="39">
        <f t="shared" si="28"/>
        <v>-2.843040686107455E-2</v>
      </c>
      <c r="O261" s="39">
        <f t="shared" si="29"/>
        <v>-2.7819870843301939E-2</v>
      </c>
      <c r="P261" s="39">
        <f t="shared" si="30"/>
        <v>-3.5792577687929509E-3</v>
      </c>
      <c r="AC261" s="14"/>
    </row>
    <row r="262" spans="3:29" x14ac:dyDescent="0.75">
      <c r="C262" s="4">
        <v>2</v>
      </c>
      <c r="D262" s="58">
        <v>41926</v>
      </c>
      <c r="E262" s="5">
        <f>+VLOOKUP(D262,'Prezzi Trade'!$I$9:$J$468,2,0)</f>
        <v>19.2</v>
      </c>
      <c r="F262" s="5">
        <f>+VLOOKUP(D262,'Prezzi Trade'!$K$9:$L$468,2,0)</f>
        <v>127.72</v>
      </c>
      <c r="G262" s="5">
        <f>+VLOOKUP(D262,'Prezzi Trade'!$M$9:$N$468,2,0)/VLOOKUP(D262,'Prezzi Trade'!$O$9:$P$468,2,0)</f>
        <v>880.43924790646236</v>
      </c>
      <c r="H262" s="5">
        <f>+(VLOOKUP(D262,'Prezzi FI'!$C$8:$D$468,2,0)+VLOOKUP(D262,'Prezzi FI'!$H$8:$I$467,2,0))/100</f>
        <v>1.1650331</v>
      </c>
      <c r="I262" s="5">
        <f>+IF(VLOOKUP(D262,'Prezzi FI'!$H$8:$I$467,2,0)&lt;VLOOKUP(D263,'Prezzi FI'!$H$8:$I$467,2,0),4.25/2,0)/100</f>
        <v>0</v>
      </c>
      <c r="K262" s="4" t="str">
        <f t="shared" ref="K262:K325" si="31">+YEAR( L262) &amp; WEEKNUM(L262,2)</f>
        <v>201442</v>
      </c>
      <c r="L262" s="14">
        <f t="shared" ref="L262:L325" si="32">+D262</f>
        <v>41926</v>
      </c>
      <c r="M262" s="39">
        <f t="shared" ref="M262:M325" si="33">+LN(E262/E263)</f>
        <v>-5.2069774672954189E-4</v>
      </c>
      <c r="N262" s="39">
        <f t="shared" ref="N262:N325" si="34">+LN(F262/F263)</f>
        <v>-3.9851586244430874E-3</v>
      </c>
      <c r="O262" s="39">
        <f t="shared" ref="O262:O325" si="35">+LN(G262/G263)</f>
        <v>7.6948470751356576E-3</v>
      </c>
      <c r="P262" s="39">
        <f t="shared" ref="P262:P325" si="36">+LN((H262+I262)/H263)</f>
        <v>4.6996831283395261E-4</v>
      </c>
      <c r="AC262" s="14"/>
    </row>
    <row r="263" spans="3:29" x14ac:dyDescent="0.75">
      <c r="C263" s="4">
        <v>1</v>
      </c>
      <c r="D263" s="58">
        <v>41925</v>
      </c>
      <c r="E263" s="5">
        <f>+VLOOKUP(D263,'Prezzi Trade'!$I$9:$J$468,2,0)</f>
        <v>19.21</v>
      </c>
      <c r="F263" s="5">
        <f>+VLOOKUP(D263,'Prezzi Trade'!$K$9:$L$468,2,0)</f>
        <v>128.22999999999999</v>
      </c>
      <c r="G263" s="5">
        <f>+VLOOKUP(D263,'Prezzi Trade'!$M$9:$N$468,2,0)/VLOOKUP(D263,'Prezzi Trade'!$O$9:$P$468,2,0)</f>
        <v>873.69040150564638</v>
      </c>
      <c r="H263" s="5">
        <f>+(VLOOKUP(D263,'Prezzi FI'!$C$8:$D$468,2,0)+VLOOKUP(D263,'Prezzi FI'!$H$8:$I$467,2,0))/100</f>
        <v>1.1644857</v>
      </c>
      <c r="I263" s="5">
        <f>+IF(VLOOKUP(D263,'Prezzi FI'!$H$8:$I$467,2,0)&lt;VLOOKUP(D264,'Prezzi FI'!$H$8:$I$467,2,0),4.25/2,0)/100</f>
        <v>0</v>
      </c>
      <c r="K263" s="4" t="str">
        <f t="shared" si="31"/>
        <v>201442</v>
      </c>
      <c r="L263" s="14">
        <f t="shared" si="32"/>
        <v>41925</v>
      </c>
      <c r="M263" s="39">
        <f t="shared" si="33"/>
        <v>-3.3779426689277826E-3</v>
      </c>
      <c r="N263" s="39">
        <f t="shared" si="34"/>
        <v>-8.7736887978271619E-3</v>
      </c>
      <c r="O263" s="39">
        <f t="shared" si="35"/>
        <v>-9.3973723645425552E-3</v>
      </c>
      <c r="P263" s="39">
        <f t="shared" si="36"/>
        <v>-5.2593082208715787E-4</v>
      </c>
      <c r="AC263" s="14"/>
    </row>
    <row r="264" spans="3:29" x14ac:dyDescent="0.75">
      <c r="C264" s="4">
        <v>5</v>
      </c>
      <c r="D264" s="58">
        <v>41922</v>
      </c>
      <c r="E264" s="5">
        <f>+VLOOKUP(D264,'Prezzi Trade'!$I$9:$J$468,2,0)</f>
        <v>19.274999999999999</v>
      </c>
      <c r="F264" s="5">
        <f>+VLOOKUP(D264,'Prezzi Trade'!$K$9:$L$468,2,0)</f>
        <v>129.36000000000001</v>
      </c>
      <c r="G264" s="5">
        <f>+VLOOKUP(D264,'Prezzi Trade'!$M$9:$N$468,2,0)/VLOOKUP(D264,'Prezzi Trade'!$O$9:$P$468,2,0)</f>
        <v>881.93949473350756</v>
      </c>
      <c r="H264" s="5">
        <f>+(VLOOKUP(D264,'Prezzi FI'!$C$8:$D$468,2,0)+VLOOKUP(D264,'Prezzi FI'!$H$8:$I$467,2,0))/100</f>
        <v>1.1650982999999999</v>
      </c>
      <c r="I264" s="5">
        <f>+IF(VLOOKUP(D264,'Prezzi FI'!$H$8:$I$467,2,0)&lt;VLOOKUP(D265,'Prezzi FI'!$H$8:$I$467,2,0),4.25/2,0)/100</f>
        <v>0</v>
      </c>
      <c r="K264" s="4" t="str">
        <f t="shared" si="31"/>
        <v>201441</v>
      </c>
      <c r="L264" s="14">
        <f t="shared" si="32"/>
        <v>41922</v>
      </c>
      <c r="M264" s="39">
        <f t="shared" si="33"/>
        <v>-9.0381506150621471E-3</v>
      </c>
      <c r="N264" s="39">
        <f t="shared" si="34"/>
        <v>-1.671177260435339E-2</v>
      </c>
      <c r="O264" s="39">
        <f t="shared" si="35"/>
        <v>-5.758841368530828E-3</v>
      </c>
      <c r="P264" s="39">
        <f t="shared" si="36"/>
        <v>-6.9720877370803584E-4</v>
      </c>
      <c r="AC264" s="14"/>
    </row>
    <row r="265" spans="3:29" x14ac:dyDescent="0.75">
      <c r="C265" s="4">
        <v>4</v>
      </c>
      <c r="D265" s="58">
        <v>41921</v>
      </c>
      <c r="E265" s="5">
        <f>+VLOOKUP(D265,'Prezzi Trade'!$I$9:$J$468,2,0)</f>
        <v>19.45</v>
      </c>
      <c r="F265" s="5">
        <f>+VLOOKUP(D265,'Prezzi Trade'!$K$9:$L$468,2,0)</f>
        <v>131.54</v>
      </c>
      <c r="G265" s="5">
        <f>+VLOOKUP(D265,'Prezzi Trade'!$M$9:$N$468,2,0)/VLOOKUP(D265,'Prezzi Trade'!$O$9:$P$468,2,0)</f>
        <v>887.03309692671405</v>
      </c>
      <c r="H265" s="5">
        <f>+(VLOOKUP(D265,'Prezzi FI'!$C$8:$D$468,2,0)+VLOOKUP(D265,'Prezzi FI'!$H$8:$I$467,2,0))/100</f>
        <v>1.1659108999999999</v>
      </c>
      <c r="I265" s="5">
        <f>+IF(VLOOKUP(D265,'Prezzi FI'!$H$8:$I$467,2,0)&lt;VLOOKUP(D266,'Prezzi FI'!$H$8:$I$467,2,0),4.25/2,0)/100</f>
        <v>0</v>
      </c>
      <c r="K265" s="4" t="str">
        <f t="shared" si="31"/>
        <v>201441</v>
      </c>
      <c r="L265" s="14">
        <f t="shared" si="32"/>
        <v>41921</v>
      </c>
      <c r="M265" s="39">
        <f t="shared" si="33"/>
        <v>-1.2517726358413984E-2</v>
      </c>
      <c r="N265" s="39">
        <f t="shared" si="34"/>
        <v>6.0238849281725087E-3</v>
      </c>
      <c r="O265" s="39">
        <f t="shared" si="35"/>
        <v>7.8077892213198712E-3</v>
      </c>
      <c r="P265" s="39">
        <f t="shared" si="36"/>
        <v>2.0023277023519955E-3</v>
      </c>
      <c r="AC265" s="14"/>
    </row>
    <row r="266" spans="3:29" x14ac:dyDescent="0.75">
      <c r="C266" s="4">
        <v>3</v>
      </c>
      <c r="D266" s="58">
        <v>41920</v>
      </c>
      <c r="E266" s="5">
        <f>+VLOOKUP(D266,'Prezzi Trade'!$I$9:$J$468,2,0)</f>
        <v>19.695</v>
      </c>
      <c r="F266" s="5">
        <f>+VLOOKUP(D266,'Prezzi Trade'!$K$9:$L$468,2,0)</f>
        <v>130.75</v>
      </c>
      <c r="G266" s="5">
        <f>+VLOOKUP(D266,'Prezzi Trade'!$M$9:$N$468,2,0)/VLOOKUP(D266,'Prezzi Trade'!$O$9:$P$468,2,0)</f>
        <v>880.13429670933783</v>
      </c>
      <c r="H266" s="5">
        <f>+(VLOOKUP(D266,'Prezzi FI'!$C$8:$D$468,2,0)+VLOOKUP(D266,'Prezzi FI'!$H$8:$I$467,2,0))/100</f>
        <v>1.1635787</v>
      </c>
      <c r="I266" s="5">
        <f>+IF(VLOOKUP(D266,'Prezzi FI'!$H$8:$I$467,2,0)&lt;VLOOKUP(D267,'Prezzi FI'!$H$8:$I$467,2,0),4.25/2,0)/100</f>
        <v>0</v>
      </c>
      <c r="K266" s="4" t="str">
        <f t="shared" si="31"/>
        <v>201441</v>
      </c>
      <c r="L266" s="14">
        <f t="shared" si="32"/>
        <v>41920</v>
      </c>
      <c r="M266" s="39">
        <f t="shared" si="33"/>
        <v>-7.8392107103303302E-3</v>
      </c>
      <c r="N266" s="39">
        <f t="shared" si="34"/>
        <v>-1.1406967793376478E-2</v>
      </c>
      <c r="O266" s="39">
        <f t="shared" si="35"/>
        <v>-1.470440983655028E-2</v>
      </c>
      <c r="P266" s="39">
        <f t="shared" si="36"/>
        <v>-4.4903080215577339E-4</v>
      </c>
      <c r="AC266" s="14"/>
    </row>
    <row r="267" spans="3:29" x14ac:dyDescent="0.75">
      <c r="C267" s="4">
        <v>2</v>
      </c>
      <c r="D267" s="58">
        <v>41919</v>
      </c>
      <c r="E267" s="5">
        <f>+VLOOKUP(D267,'Prezzi Trade'!$I$9:$J$468,2,0)</f>
        <v>19.850000000000001</v>
      </c>
      <c r="F267" s="5">
        <f>+VLOOKUP(D267,'Prezzi Trade'!$K$9:$L$468,2,0)</f>
        <v>132.25</v>
      </c>
      <c r="G267" s="5">
        <f>+VLOOKUP(D267,'Prezzi Trade'!$M$9:$N$468,2,0)/VLOOKUP(D267,'Prezzi Trade'!$O$9:$P$468,2,0)</f>
        <v>893.17177139248508</v>
      </c>
      <c r="H267" s="5">
        <f>+(VLOOKUP(D267,'Prezzi FI'!$C$8:$D$468,2,0)+VLOOKUP(D267,'Prezzi FI'!$H$8:$I$467,2,0))/100</f>
        <v>1.1641013</v>
      </c>
      <c r="I267" s="5">
        <f>+IF(VLOOKUP(D267,'Prezzi FI'!$H$8:$I$467,2,0)&lt;VLOOKUP(D268,'Prezzi FI'!$H$8:$I$467,2,0),4.25/2,0)/100</f>
        <v>0</v>
      </c>
      <c r="K267" s="4" t="str">
        <f t="shared" si="31"/>
        <v>201441</v>
      </c>
      <c r="L267" s="14">
        <f t="shared" si="32"/>
        <v>41919</v>
      </c>
      <c r="M267" s="39">
        <f t="shared" si="33"/>
        <v>-1.6983425191546647E-2</v>
      </c>
      <c r="N267" s="39">
        <f t="shared" si="34"/>
        <v>-1.307109956210792E-2</v>
      </c>
      <c r="O267" s="39">
        <f t="shared" si="35"/>
        <v>6.2011985150107855E-3</v>
      </c>
      <c r="P267" s="39">
        <f t="shared" si="36"/>
        <v>-7.3214240528532751E-4</v>
      </c>
      <c r="AC267" s="14"/>
    </row>
    <row r="268" spans="3:29" x14ac:dyDescent="0.75">
      <c r="C268" s="4">
        <v>1</v>
      </c>
      <c r="D268" s="58">
        <v>41918</v>
      </c>
      <c r="E268" s="5">
        <f>+VLOOKUP(D268,'Prezzi Trade'!$I$9:$J$468,2,0)</f>
        <v>20.190000000000001</v>
      </c>
      <c r="F268" s="5">
        <f>+VLOOKUP(D268,'Prezzi Trade'!$K$9:$L$468,2,0)</f>
        <v>133.99</v>
      </c>
      <c r="G268" s="5">
        <f>+VLOOKUP(D268,'Prezzi Trade'!$M$9:$N$468,2,0)/VLOOKUP(D268,'Prezzi Trade'!$O$9:$P$468,2,0)</f>
        <v>887.65017388555168</v>
      </c>
      <c r="H268" s="5">
        <f>+(VLOOKUP(D268,'Prezzi FI'!$C$8:$D$468,2,0)+VLOOKUP(D268,'Prezzi FI'!$H$8:$I$467,2,0))/100</f>
        <v>1.1649539</v>
      </c>
      <c r="I268" s="5">
        <f>+IF(VLOOKUP(D268,'Prezzi FI'!$H$8:$I$467,2,0)&lt;VLOOKUP(D269,'Prezzi FI'!$H$8:$I$467,2,0),4.25/2,0)/100</f>
        <v>0</v>
      </c>
      <c r="K268" s="4" t="str">
        <f t="shared" si="31"/>
        <v>201441</v>
      </c>
      <c r="L268" s="14">
        <f t="shared" si="32"/>
        <v>41918</v>
      </c>
      <c r="M268" s="39">
        <f t="shared" si="33"/>
        <v>-2.4734120945184858E-3</v>
      </c>
      <c r="N268" s="39">
        <f t="shared" si="34"/>
        <v>-5.2229062929491003E-4</v>
      </c>
      <c r="O268" s="39">
        <f t="shared" si="35"/>
        <v>-1.5443233040041268E-3</v>
      </c>
      <c r="P268" s="39">
        <f t="shared" si="36"/>
        <v>-5.6638559722959768E-4</v>
      </c>
      <c r="AC268" s="14"/>
    </row>
    <row r="269" spans="3:29" x14ac:dyDescent="0.75">
      <c r="C269" s="4">
        <v>5</v>
      </c>
      <c r="D269" s="58">
        <v>41915</v>
      </c>
      <c r="E269" s="5">
        <f>+VLOOKUP(D269,'Prezzi Trade'!$I$9:$J$468,2,0)</f>
        <v>20.239999999999998</v>
      </c>
      <c r="F269" s="5">
        <f>+VLOOKUP(D269,'Prezzi Trade'!$K$9:$L$468,2,0)</f>
        <v>134.06</v>
      </c>
      <c r="G269" s="5">
        <f>+VLOOKUP(D269,'Prezzi Trade'!$M$9:$N$468,2,0)/VLOOKUP(D269,'Prezzi Trade'!$O$9:$P$468,2,0)</f>
        <v>889.02205177372969</v>
      </c>
      <c r="H269" s="5">
        <f>+(VLOOKUP(D269,'Prezzi FI'!$C$8:$D$468,2,0)+VLOOKUP(D269,'Prezzi FI'!$H$8:$I$467,2,0))/100</f>
        <v>1.1656138999999999</v>
      </c>
      <c r="I269" s="5">
        <f>+IF(VLOOKUP(D269,'Prezzi FI'!$H$8:$I$467,2,0)&lt;VLOOKUP(D270,'Prezzi FI'!$H$8:$I$467,2,0),4.25/2,0)/100</f>
        <v>0</v>
      </c>
      <c r="K269" s="4" t="str">
        <f t="shared" si="31"/>
        <v>201440</v>
      </c>
      <c r="L269" s="14">
        <f t="shared" si="32"/>
        <v>41915</v>
      </c>
      <c r="M269" s="39">
        <f t="shared" si="33"/>
        <v>1.4933079885572307E-2</v>
      </c>
      <c r="N269" s="39">
        <f t="shared" si="34"/>
        <v>2.2250795418501019E-2</v>
      </c>
      <c r="O269" s="39">
        <f t="shared" si="35"/>
        <v>1.2206119182735781E-2</v>
      </c>
      <c r="P269" s="39">
        <f t="shared" si="36"/>
        <v>-2.9387918328854069E-4</v>
      </c>
      <c r="AC269" s="14"/>
    </row>
    <row r="270" spans="3:29" x14ac:dyDescent="0.75">
      <c r="C270" s="4">
        <v>4</v>
      </c>
      <c r="D270" s="58">
        <v>41914</v>
      </c>
      <c r="E270" s="5">
        <f>+VLOOKUP(D270,'Prezzi Trade'!$I$9:$J$468,2,0)</f>
        <v>19.940000000000001</v>
      </c>
      <c r="F270" s="5">
        <f>+VLOOKUP(D270,'Prezzi Trade'!$K$9:$L$468,2,0)</f>
        <v>131.11000000000001</v>
      </c>
      <c r="G270" s="5">
        <f>+VLOOKUP(D270,'Prezzi Trade'!$M$9:$N$468,2,0)/VLOOKUP(D270,'Prezzi Trade'!$O$9:$P$468,2,0)</f>
        <v>878.2365014209031</v>
      </c>
      <c r="H270" s="5">
        <f>+(VLOOKUP(D270,'Prezzi FI'!$C$8:$D$468,2,0)+VLOOKUP(D270,'Prezzi FI'!$H$8:$I$467,2,0))/100</f>
        <v>1.1659565000000001</v>
      </c>
      <c r="I270" s="5">
        <f>+IF(VLOOKUP(D270,'Prezzi FI'!$H$8:$I$467,2,0)&lt;VLOOKUP(D271,'Prezzi FI'!$H$8:$I$467,2,0),4.25/2,0)/100</f>
        <v>0</v>
      </c>
      <c r="K270" s="4" t="str">
        <f t="shared" si="31"/>
        <v>201440</v>
      </c>
      <c r="L270" s="14">
        <f t="shared" si="32"/>
        <v>41914</v>
      </c>
      <c r="M270" s="39">
        <f t="shared" si="33"/>
        <v>-4.0059416971309672E-2</v>
      </c>
      <c r="N270" s="39">
        <f t="shared" si="34"/>
        <v>-2.0683104455050887E-2</v>
      </c>
      <c r="O270" s="39">
        <f t="shared" si="35"/>
        <v>-1.6334470657623883E-2</v>
      </c>
      <c r="P270" s="39">
        <f t="shared" si="36"/>
        <v>-2.4778092702328223E-3</v>
      </c>
      <c r="AC270" s="14"/>
    </row>
    <row r="271" spans="3:29" x14ac:dyDescent="0.75">
      <c r="C271" s="4">
        <v>3</v>
      </c>
      <c r="D271" s="58">
        <v>41913</v>
      </c>
      <c r="E271" s="5">
        <f>+VLOOKUP(D271,'Prezzi Trade'!$I$9:$J$468,2,0)</f>
        <v>20.754999999999999</v>
      </c>
      <c r="F271" s="5">
        <f>+VLOOKUP(D271,'Prezzi Trade'!$K$9:$L$468,2,0)</f>
        <v>133.85</v>
      </c>
      <c r="G271" s="5">
        <f>+VLOOKUP(D271,'Prezzi Trade'!$M$9:$N$468,2,0)/VLOOKUP(D271,'Prezzi Trade'!$O$9:$P$468,2,0)</f>
        <v>892.69983363701181</v>
      </c>
      <c r="H271" s="5">
        <f>+(VLOOKUP(D271,'Prezzi FI'!$C$8:$D$468,2,0)+VLOOKUP(D271,'Prezzi FI'!$H$8:$I$467,2,0))/100</f>
        <v>1.1688491000000001</v>
      </c>
      <c r="I271" s="5">
        <f>+IF(VLOOKUP(D271,'Prezzi FI'!$H$8:$I$467,2,0)&lt;VLOOKUP(D272,'Prezzi FI'!$H$8:$I$467,2,0),4.25/2,0)/100</f>
        <v>0</v>
      </c>
      <c r="K271" s="4" t="str">
        <f t="shared" si="31"/>
        <v>201440</v>
      </c>
      <c r="L271" s="14">
        <f t="shared" si="32"/>
        <v>41913</v>
      </c>
      <c r="M271" s="39">
        <f t="shared" si="33"/>
        <v>-8.3963549529062782E-3</v>
      </c>
      <c r="N271" s="39">
        <f t="shared" si="34"/>
        <v>-1.0553011134741132E-2</v>
      </c>
      <c r="O271" s="39">
        <f t="shared" si="35"/>
        <v>-3.3916742853099657E-3</v>
      </c>
      <c r="P271" s="39">
        <f t="shared" si="36"/>
        <v>3.138086135190813E-3</v>
      </c>
      <c r="AC271" s="14"/>
    </row>
    <row r="272" spans="3:29" x14ac:dyDescent="0.75">
      <c r="C272" s="4">
        <v>2</v>
      </c>
      <c r="D272" s="58">
        <v>41912</v>
      </c>
      <c r="E272" s="5">
        <f>+VLOOKUP(D272,'Prezzi Trade'!$I$9:$J$468,2,0)</f>
        <v>20.93</v>
      </c>
      <c r="F272" s="5">
        <f>+VLOOKUP(D272,'Prezzi Trade'!$K$9:$L$468,2,0)</f>
        <v>135.27000000000001</v>
      </c>
      <c r="G272" s="5">
        <f>+VLOOKUP(D272,'Prezzi Trade'!$M$9:$N$468,2,0)/VLOOKUP(D272,'Prezzi Trade'!$O$9:$P$468,2,0)</f>
        <v>895.7327210830498</v>
      </c>
      <c r="H272" s="5">
        <f>+(VLOOKUP(D272,'Prezzi FI'!$C$8:$D$468,2,0)+VLOOKUP(D272,'Prezzi FI'!$H$8:$I$467,2,0))/100</f>
        <v>1.1651869000000001</v>
      </c>
      <c r="I272" s="5">
        <f>+IF(VLOOKUP(D272,'Prezzi FI'!$H$8:$I$467,2,0)&lt;VLOOKUP(D273,'Prezzi FI'!$H$8:$I$467,2,0),4.25/2,0)/100</f>
        <v>0</v>
      </c>
      <c r="K272" s="4" t="str">
        <f t="shared" si="31"/>
        <v>201440</v>
      </c>
      <c r="L272" s="14">
        <f t="shared" si="32"/>
        <v>41912</v>
      </c>
      <c r="M272" s="39">
        <f t="shared" si="33"/>
        <v>1.5407141555540614E-2</v>
      </c>
      <c r="N272" s="39">
        <f t="shared" si="34"/>
        <v>7.5690477121284506E-3</v>
      </c>
      <c r="O272" s="39">
        <f t="shared" si="35"/>
        <v>-6.9739211626001943E-4</v>
      </c>
      <c r="P272" s="39">
        <f t="shared" si="36"/>
        <v>2.1370466760375654E-3</v>
      </c>
      <c r="AC272" s="14"/>
    </row>
    <row r="273" spans="3:29" x14ac:dyDescent="0.75">
      <c r="C273" s="4">
        <v>1</v>
      </c>
      <c r="D273" s="58">
        <v>41911</v>
      </c>
      <c r="E273" s="5">
        <f>+VLOOKUP(D273,'Prezzi Trade'!$I$9:$J$468,2,0)</f>
        <v>20.61</v>
      </c>
      <c r="F273" s="5">
        <f>+VLOOKUP(D273,'Prezzi Trade'!$K$9:$L$468,2,0)</f>
        <v>134.25</v>
      </c>
      <c r="G273" s="5">
        <f>+VLOOKUP(D273,'Prezzi Trade'!$M$9:$N$468,2,0)/VLOOKUP(D273,'Prezzi Trade'!$O$9:$P$468,2,0)</f>
        <v>896.35761589403978</v>
      </c>
      <c r="H273" s="5">
        <f>+(VLOOKUP(D273,'Prezzi FI'!$C$8:$D$468,2,0)+VLOOKUP(D273,'Prezzi FI'!$H$8:$I$467,2,0))/100</f>
        <v>1.1626995</v>
      </c>
      <c r="I273" s="5">
        <f>+IF(VLOOKUP(D273,'Prezzi FI'!$H$8:$I$467,2,0)&lt;VLOOKUP(D274,'Prezzi FI'!$H$8:$I$467,2,0),4.25/2,0)/100</f>
        <v>0</v>
      </c>
      <c r="K273" s="4" t="str">
        <f t="shared" si="31"/>
        <v>201440</v>
      </c>
      <c r="L273" s="14">
        <f t="shared" si="32"/>
        <v>41911</v>
      </c>
      <c r="M273" s="39">
        <f t="shared" si="33"/>
        <v>-1.2775875834551541E-2</v>
      </c>
      <c r="N273" s="39">
        <f t="shared" si="34"/>
        <v>7.4515651734093113E-4</v>
      </c>
      <c r="O273" s="39">
        <f t="shared" si="35"/>
        <v>1.8624568402178117E-3</v>
      </c>
      <c r="P273" s="39">
        <f t="shared" si="36"/>
        <v>-1.1970132316801662E-3</v>
      </c>
      <c r="AC273" s="14"/>
    </row>
    <row r="274" spans="3:29" x14ac:dyDescent="0.75">
      <c r="C274" s="4">
        <v>5</v>
      </c>
      <c r="D274" s="58">
        <v>41908</v>
      </c>
      <c r="E274" s="5">
        <f>+VLOOKUP(D274,'Prezzi Trade'!$I$9:$J$468,2,0)</f>
        <v>20.875</v>
      </c>
      <c r="F274" s="5">
        <f>+VLOOKUP(D274,'Prezzi Trade'!$K$9:$L$468,2,0)</f>
        <v>134.15</v>
      </c>
      <c r="G274" s="5">
        <f>+VLOOKUP(D274,'Prezzi Trade'!$M$9:$N$468,2,0)/VLOOKUP(D274,'Prezzi Trade'!$O$9:$P$468,2,0)</f>
        <v>894.68974217456434</v>
      </c>
      <c r="H274" s="5">
        <f>+(VLOOKUP(D274,'Prezzi FI'!$C$8:$D$468,2,0)+VLOOKUP(D274,'Prezzi FI'!$H$8:$I$467,2,0))/100</f>
        <v>1.1640921</v>
      </c>
      <c r="I274" s="5">
        <f>+IF(VLOOKUP(D274,'Prezzi FI'!$H$8:$I$467,2,0)&lt;VLOOKUP(D275,'Prezzi FI'!$H$8:$I$467,2,0),4.25/2,0)/100</f>
        <v>0</v>
      </c>
      <c r="K274" s="4" t="str">
        <f t="shared" si="31"/>
        <v>201439</v>
      </c>
      <c r="L274" s="14">
        <f t="shared" si="32"/>
        <v>41908</v>
      </c>
      <c r="M274" s="39">
        <f t="shared" si="33"/>
        <v>2.081391692031356E-2</v>
      </c>
      <c r="N274" s="39">
        <f t="shared" si="34"/>
        <v>2.1640991991369726E-3</v>
      </c>
      <c r="O274" s="39">
        <f t="shared" si="35"/>
        <v>5.8294429582768856E-3</v>
      </c>
      <c r="P274" s="39">
        <f t="shared" si="36"/>
        <v>-7.5790015318407203E-4</v>
      </c>
      <c r="AC274" s="14"/>
    </row>
    <row r="275" spans="3:29" x14ac:dyDescent="0.75">
      <c r="C275" s="4">
        <v>4</v>
      </c>
      <c r="D275" s="58">
        <v>41907</v>
      </c>
      <c r="E275" s="5">
        <f>+VLOOKUP(D275,'Prezzi Trade'!$I$9:$J$468,2,0)</f>
        <v>20.445</v>
      </c>
      <c r="F275" s="5">
        <f>+VLOOKUP(D275,'Prezzi Trade'!$K$9:$L$468,2,0)</f>
        <v>133.86000000000001</v>
      </c>
      <c r="G275" s="5">
        <f>+VLOOKUP(D275,'Prezzi Trade'!$M$9:$N$468,2,0)/VLOOKUP(D275,'Prezzi Trade'!$O$9:$P$468,2,0)</f>
        <v>889.48937171542866</v>
      </c>
      <c r="H275" s="5">
        <f>+(VLOOKUP(D275,'Prezzi FI'!$C$8:$D$468,2,0)+VLOOKUP(D275,'Prezzi FI'!$H$8:$I$467,2,0))/100</f>
        <v>1.1649746999999999</v>
      </c>
      <c r="I275" s="5">
        <f>+IF(VLOOKUP(D275,'Prezzi FI'!$H$8:$I$467,2,0)&lt;VLOOKUP(D276,'Prezzi FI'!$H$8:$I$467,2,0),4.25/2,0)/100</f>
        <v>0</v>
      </c>
      <c r="K275" s="4" t="str">
        <f t="shared" si="31"/>
        <v>201439</v>
      </c>
      <c r="L275" s="14">
        <f t="shared" si="32"/>
        <v>41907</v>
      </c>
      <c r="M275" s="39">
        <f t="shared" si="33"/>
        <v>-1.4084739881738972E-2</v>
      </c>
      <c r="N275" s="39">
        <f t="shared" si="34"/>
        <v>-7.1460777527964821E-3</v>
      </c>
      <c r="O275" s="39">
        <f t="shared" si="35"/>
        <v>1.834626018206813E-3</v>
      </c>
      <c r="P275" s="39">
        <f t="shared" si="36"/>
        <v>1.5354604629490333E-3</v>
      </c>
      <c r="AC275" s="14"/>
    </row>
    <row r="276" spans="3:29" x14ac:dyDescent="0.75">
      <c r="C276" s="4">
        <v>3</v>
      </c>
      <c r="D276" s="58">
        <v>41906</v>
      </c>
      <c r="E276" s="5">
        <f>+VLOOKUP(D276,'Prezzi Trade'!$I$9:$J$468,2,0)</f>
        <v>20.734999999999999</v>
      </c>
      <c r="F276" s="5">
        <f>+VLOOKUP(D276,'Prezzi Trade'!$K$9:$L$468,2,0)</f>
        <v>134.82</v>
      </c>
      <c r="G276" s="5">
        <f>+VLOOKUP(D276,'Prezzi Trade'!$M$9:$N$468,2,0)/VLOOKUP(D276,'Prezzi Trade'!$O$9:$P$468,2,0)</f>
        <v>887.85898740120513</v>
      </c>
      <c r="H276" s="5">
        <f>+(VLOOKUP(D276,'Prezzi FI'!$C$8:$D$468,2,0)+VLOOKUP(D276,'Prezzi FI'!$H$8:$I$467,2,0))/100</f>
        <v>1.1631872999999999</v>
      </c>
      <c r="I276" s="5">
        <f>+IF(VLOOKUP(D276,'Prezzi FI'!$H$8:$I$467,2,0)&lt;VLOOKUP(D277,'Prezzi FI'!$H$8:$I$467,2,0),4.25/2,0)/100</f>
        <v>0</v>
      </c>
      <c r="K276" s="4" t="str">
        <f t="shared" si="31"/>
        <v>201439</v>
      </c>
      <c r="L276" s="14">
        <f t="shared" si="32"/>
        <v>41906</v>
      </c>
      <c r="M276" s="39">
        <f t="shared" si="33"/>
        <v>1.3840211209533881E-2</v>
      </c>
      <c r="N276" s="39">
        <f t="shared" si="34"/>
        <v>7.6691489397648751E-3</v>
      </c>
      <c r="O276" s="39">
        <f t="shared" si="35"/>
        <v>3.896265218700535E-3</v>
      </c>
      <c r="P276" s="39">
        <f t="shared" si="36"/>
        <v>8.1034396145719103E-4</v>
      </c>
      <c r="AC276" s="14"/>
    </row>
    <row r="277" spans="3:29" x14ac:dyDescent="0.75">
      <c r="C277" s="4">
        <v>2</v>
      </c>
      <c r="D277" s="58">
        <v>41905</v>
      </c>
      <c r="E277" s="5">
        <f>+VLOOKUP(D277,'Prezzi Trade'!$I$9:$J$468,2,0)</f>
        <v>20.45</v>
      </c>
      <c r="F277" s="5">
        <f>+VLOOKUP(D277,'Prezzi Trade'!$K$9:$L$468,2,0)</f>
        <v>133.79</v>
      </c>
      <c r="G277" s="5">
        <f>+VLOOKUP(D277,'Prezzi Trade'!$M$9:$N$468,2,0)/VLOOKUP(D277,'Prezzi Trade'!$O$9:$P$468,2,0)</f>
        <v>884.40638380692872</v>
      </c>
      <c r="H277" s="5">
        <f>+(VLOOKUP(D277,'Prezzi FI'!$C$8:$D$468,2,0)+VLOOKUP(D277,'Prezzi FI'!$H$8:$I$467,2,0))/100</f>
        <v>1.1622451</v>
      </c>
      <c r="I277" s="5">
        <f>+IF(VLOOKUP(D277,'Prezzi FI'!$H$8:$I$467,2,0)&lt;VLOOKUP(D278,'Prezzi FI'!$H$8:$I$467,2,0),4.25/2,0)/100</f>
        <v>0</v>
      </c>
      <c r="K277" s="4" t="str">
        <f t="shared" si="31"/>
        <v>201439</v>
      </c>
      <c r="L277" s="14">
        <f t="shared" si="32"/>
        <v>41905</v>
      </c>
      <c r="M277" s="39">
        <f t="shared" si="33"/>
        <v>-1.4322371296020504E-2</v>
      </c>
      <c r="N277" s="39">
        <f t="shared" si="34"/>
        <v>-7.2982152955401239E-3</v>
      </c>
      <c r="O277" s="39">
        <f t="shared" si="35"/>
        <v>3.9446458610443028E-3</v>
      </c>
      <c r="P277" s="39">
        <f t="shared" si="36"/>
        <v>-1.274821615102003E-3</v>
      </c>
      <c r="AC277" s="14"/>
    </row>
    <row r="278" spans="3:29" x14ac:dyDescent="0.75">
      <c r="C278" s="4">
        <v>1</v>
      </c>
      <c r="D278" s="58">
        <v>41904</v>
      </c>
      <c r="E278" s="5">
        <f>+VLOOKUP(D278,'Prezzi Trade'!$I$9:$J$468,2,0)</f>
        <v>20.745000000000001</v>
      </c>
      <c r="F278" s="5">
        <f>+VLOOKUP(D278,'Prezzi Trade'!$K$9:$L$468,2,0)</f>
        <v>134.77000000000001</v>
      </c>
      <c r="G278" s="5">
        <f>+VLOOKUP(D278,'Prezzi Trade'!$M$9:$N$468,2,0)/VLOOKUP(D278,'Prezzi Trade'!$O$9:$P$468,2,0)</f>
        <v>880.92458557086161</v>
      </c>
      <c r="H278" s="5">
        <f>+(VLOOKUP(D278,'Prezzi FI'!$C$8:$D$468,2,0)+VLOOKUP(D278,'Prezzi FI'!$H$8:$I$467,2,0))/100</f>
        <v>1.1637276999999999</v>
      </c>
      <c r="I278" s="5">
        <f>+IF(VLOOKUP(D278,'Prezzi FI'!$H$8:$I$467,2,0)&lt;VLOOKUP(D279,'Prezzi FI'!$H$8:$I$467,2,0),4.25/2,0)/100</f>
        <v>0</v>
      </c>
      <c r="K278" s="4" t="str">
        <f t="shared" si="31"/>
        <v>201439</v>
      </c>
      <c r="L278" s="14">
        <f t="shared" si="32"/>
        <v>41904</v>
      </c>
      <c r="M278" s="39">
        <f t="shared" si="33"/>
        <v>-8.4003854118909656E-3</v>
      </c>
      <c r="N278" s="39">
        <f t="shared" si="34"/>
        <v>-7.1716694945443936E-3</v>
      </c>
      <c r="O278" s="39">
        <f t="shared" si="35"/>
        <v>-1.3094669732188332E-2</v>
      </c>
      <c r="P278" s="39">
        <f t="shared" si="36"/>
        <v>-7.097628484258308E-5</v>
      </c>
      <c r="AC278" s="14"/>
    </row>
    <row r="279" spans="3:29" x14ac:dyDescent="0.75">
      <c r="C279" s="4">
        <v>5</v>
      </c>
      <c r="D279" s="58">
        <v>41901</v>
      </c>
      <c r="E279" s="5">
        <f>+VLOOKUP(D279,'Prezzi Trade'!$I$9:$J$468,2,0)</f>
        <v>20.92</v>
      </c>
      <c r="F279" s="5">
        <f>+VLOOKUP(D279,'Prezzi Trade'!$K$9:$L$468,2,0)</f>
        <v>135.74</v>
      </c>
      <c r="G279" s="5">
        <f>+VLOOKUP(D279,'Prezzi Trade'!$M$9:$N$468,2,0)/VLOOKUP(D279,'Prezzi Trade'!$O$9:$P$468,2,0)</f>
        <v>892.53585905830994</v>
      </c>
      <c r="H279" s="5">
        <f>+(VLOOKUP(D279,'Prezzi FI'!$C$8:$D$468,2,0)+VLOOKUP(D279,'Prezzi FI'!$H$8:$I$467,2,0))/100</f>
        <v>1.1638103000000002</v>
      </c>
      <c r="I279" s="5">
        <f>+IF(VLOOKUP(D279,'Prezzi FI'!$H$8:$I$467,2,0)&lt;VLOOKUP(D280,'Prezzi FI'!$H$8:$I$467,2,0),4.25/2,0)/100</f>
        <v>0</v>
      </c>
      <c r="K279" s="4" t="str">
        <f t="shared" si="31"/>
        <v>201438</v>
      </c>
      <c r="L279" s="14">
        <f t="shared" si="32"/>
        <v>41901</v>
      </c>
      <c r="M279" s="39">
        <f t="shared" si="33"/>
        <v>-9.0412226635069783E-3</v>
      </c>
      <c r="N279" s="39">
        <f t="shared" si="34"/>
        <v>4.5780187760677583E-3</v>
      </c>
      <c r="O279" s="39">
        <f t="shared" si="35"/>
        <v>1.2125321170505252E-4</v>
      </c>
      <c r="P279" s="39">
        <f t="shared" si="36"/>
        <v>3.6303682735398151E-3</v>
      </c>
      <c r="AC279" s="14"/>
    </row>
    <row r="280" spans="3:29" x14ac:dyDescent="0.75">
      <c r="C280" s="4">
        <v>4</v>
      </c>
      <c r="D280" s="58">
        <v>41900</v>
      </c>
      <c r="E280" s="5">
        <f>+VLOOKUP(D280,'Prezzi Trade'!$I$9:$J$468,2,0)</f>
        <v>21.11</v>
      </c>
      <c r="F280" s="5">
        <f>+VLOOKUP(D280,'Prezzi Trade'!$K$9:$L$468,2,0)</f>
        <v>135.12</v>
      </c>
      <c r="G280" s="5">
        <f>+VLOOKUP(D280,'Prezzi Trade'!$M$9:$N$468,2,0)/VLOOKUP(D280,'Prezzi Trade'!$O$9:$P$468,2,0)</f>
        <v>892.42764277975539</v>
      </c>
      <c r="H280" s="5">
        <f>+(VLOOKUP(D280,'Prezzi FI'!$C$8:$D$468,2,0)+VLOOKUP(D280,'Prezzi FI'!$H$8:$I$467,2,0))/100</f>
        <v>1.1595929</v>
      </c>
      <c r="I280" s="5">
        <f>+IF(VLOOKUP(D280,'Prezzi FI'!$H$8:$I$467,2,0)&lt;VLOOKUP(D281,'Prezzi FI'!$H$8:$I$467,2,0),4.25/2,0)/100</f>
        <v>0</v>
      </c>
      <c r="K280" s="4" t="str">
        <f t="shared" si="31"/>
        <v>201438</v>
      </c>
      <c r="L280" s="14">
        <f t="shared" si="32"/>
        <v>41900</v>
      </c>
      <c r="M280" s="39">
        <f t="shared" si="33"/>
        <v>2.1339664292493051E-3</v>
      </c>
      <c r="N280" s="39">
        <f t="shared" si="34"/>
        <v>8.8459971005138659E-3</v>
      </c>
      <c r="O280" s="39">
        <f t="shared" si="35"/>
        <v>-1.32484317295963E-2</v>
      </c>
      <c r="P280" s="39">
        <f t="shared" si="36"/>
        <v>-1.6480132275964847E-3</v>
      </c>
      <c r="AC280" s="14"/>
    </row>
    <row r="281" spans="3:29" x14ac:dyDescent="0.75">
      <c r="C281" s="4">
        <v>3</v>
      </c>
      <c r="D281" s="58">
        <v>41899</v>
      </c>
      <c r="E281" s="5">
        <f>+VLOOKUP(D281,'Prezzi Trade'!$I$9:$J$468,2,0)</f>
        <v>21.065000000000001</v>
      </c>
      <c r="F281" s="5">
        <f>+VLOOKUP(D281,'Prezzi Trade'!$K$9:$L$468,2,0)</f>
        <v>133.93</v>
      </c>
      <c r="G281" s="5">
        <f>+VLOOKUP(D281,'Prezzi Trade'!$M$9:$N$468,2,0)/VLOOKUP(D281,'Prezzi Trade'!$O$9:$P$468,2,0)</f>
        <v>904.32957636999618</v>
      </c>
      <c r="H281" s="5">
        <f>+(VLOOKUP(D281,'Prezzi FI'!$C$8:$D$468,2,0)+VLOOKUP(D281,'Prezzi FI'!$H$8:$I$467,2,0))/100</f>
        <v>1.1615054999999999</v>
      </c>
      <c r="I281" s="5">
        <f>+IF(VLOOKUP(D281,'Prezzi FI'!$H$8:$I$467,2,0)&lt;VLOOKUP(D282,'Prezzi FI'!$H$8:$I$467,2,0),4.25/2,0)/100</f>
        <v>0</v>
      </c>
      <c r="K281" s="4" t="str">
        <f t="shared" si="31"/>
        <v>201438</v>
      </c>
      <c r="L281" s="14">
        <f t="shared" si="32"/>
        <v>41899</v>
      </c>
      <c r="M281" s="39">
        <f t="shared" si="33"/>
        <v>1.2419552996075252E-2</v>
      </c>
      <c r="N281" s="39">
        <f t="shared" si="34"/>
        <v>1.7935884039996476E-3</v>
      </c>
      <c r="O281" s="39">
        <f t="shared" si="35"/>
        <v>9.4958368537840267E-3</v>
      </c>
      <c r="P281" s="39">
        <f t="shared" si="36"/>
        <v>3.6935797479515772E-3</v>
      </c>
      <c r="AC281" s="14"/>
    </row>
    <row r="282" spans="3:29" x14ac:dyDescent="0.75">
      <c r="C282" s="4">
        <v>2</v>
      </c>
      <c r="D282" s="58">
        <v>41898</v>
      </c>
      <c r="E282" s="5">
        <f>+VLOOKUP(D282,'Prezzi Trade'!$I$9:$J$468,2,0)</f>
        <v>20.805</v>
      </c>
      <c r="F282" s="5">
        <f>+VLOOKUP(D282,'Prezzi Trade'!$K$9:$L$468,2,0)</f>
        <v>133.69</v>
      </c>
      <c r="G282" s="5">
        <f>+VLOOKUP(D282,'Prezzi Trade'!$M$9:$N$468,2,0)/VLOOKUP(D282,'Prezzi Trade'!$O$9:$P$468,2,0)</f>
        <v>895.78285361524809</v>
      </c>
      <c r="H282" s="5">
        <f>+(VLOOKUP(D282,'Prezzi FI'!$C$8:$D$468,2,0)+VLOOKUP(D282,'Prezzi FI'!$H$8:$I$467,2,0))/100</f>
        <v>1.1572233000000001</v>
      </c>
      <c r="I282" s="5">
        <f>+IF(VLOOKUP(D282,'Prezzi FI'!$H$8:$I$467,2,0)&lt;VLOOKUP(D283,'Prezzi FI'!$H$8:$I$467,2,0),4.25/2,0)/100</f>
        <v>0</v>
      </c>
      <c r="K282" s="4" t="str">
        <f t="shared" si="31"/>
        <v>201438</v>
      </c>
      <c r="L282" s="14">
        <f t="shared" si="32"/>
        <v>41898</v>
      </c>
      <c r="M282" s="39">
        <f t="shared" si="33"/>
        <v>-2.400385214004029E-3</v>
      </c>
      <c r="N282" s="39">
        <f t="shared" si="34"/>
        <v>1.7968111444980198E-3</v>
      </c>
      <c r="O282" s="39">
        <f t="shared" si="35"/>
        <v>1.4745999300307519E-3</v>
      </c>
      <c r="P282" s="39">
        <f t="shared" si="36"/>
        <v>1.792381708471982E-4</v>
      </c>
      <c r="AC282" s="14"/>
    </row>
    <row r="283" spans="3:29" x14ac:dyDescent="0.75">
      <c r="C283" s="4">
        <v>1</v>
      </c>
      <c r="D283" s="58">
        <v>41897</v>
      </c>
      <c r="E283" s="5">
        <f>+VLOOKUP(D283,'Prezzi Trade'!$I$9:$J$468,2,0)</f>
        <v>20.855</v>
      </c>
      <c r="F283" s="5">
        <f>+VLOOKUP(D283,'Prezzi Trade'!$K$9:$L$468,2,0)</f>
        <v>133.44999999999999</v>
      </c>
      <c r="G283" s="5">
        <f>+VLOOKUP(D283,'Prezzi Trade'!$M$9:$N$468,2,0)/VLOOKUP(D283,'Prezzi Trade'!$O$9:$P$468,2,0)</f>
        <v>894.46290571870168</v>
      </c>
      <c r="H283" s="5">
        <f>+(VLOOKUP(D283,'Prezzi FI'!$C$8:$D$468,2,0)+VLOOKUP(D283,'Prezzi FI'!$H$8:$I$467,2,0))/100</f>
        <v>1.1570159</v>
      </c>
      <c r="I283" s="5">
        <f>+IF(VLOOKUP(D283,'Prezzi FI'!$H$8:$I$467,2,0)&lt;VLOOKUP(D284,'Prezzi FI'!$H$8:$I$467,2,0),4.25/2,0)/100</f>
        <v>0</v>
      </c>
      <c r="K283" s="4" t="str">
        <f t="shared" si="31"/>
        <v>201438</v>
      </c>
      <c r="L283" s="14">
        <f t="shared" si="32"/>
        <v>41897</v>
      </c>
      <c r="M283" s="39">
        <f t="shared" si="33"/>
        <v>-9.0692745736254445E-3</v>
      </c>
      <c r="N283" s="39">
        <f t="shared" si="34"/>
        <v>-3.665062631371068E-3</v>
      </c>
      <c r="O283" s="39">
        <f t="shared" si="35"/>
        <v>-3.3048614882412285E-4</v>
      </c>
      <c r="P283" s="39">
        <f t="shared" si="36"/>
        <v>7.499683469588146E-4</v>
      </c>
      <c r="AC283" s="14"/>
    </row>
    <row r="284" spans="3:29" x14ac:dyDescent="0.75">
      <c r="C284" s="4">
        <v>5</v>
      </c>
      <c r="D284" s="58">
        <v>41894</v>
      </c>
      <c r="E284" s="5">
        <f>+VLOOKUP(D284,'Prezzi Trade'!$I$9:$J$468,2,0)</f>
        <v>21.045000000000002</v>
      </c>
      <c r="F284" s="5">
        <f>+VLOOKUP(D284,'Prezzi Trade'!$K$9:$L$468,2,0)</f>
        <v>133.94</v>
      </c>
      <c r="G284" s="5">
        <f>+VLOOKUP(D284,'Prezzi Trade'!$M$9:$N$468,2,0)/VLOOKUP(D284,'Prezzi Trade'!$O$9:$P$468,2,0)</f>
        <v>894.75856217216904</v>
      </c>
      <c r="H284" s="5">
        <f>+(VLOOKUP(D284,'Prezzi FI'!$C$8:$D$468,2,0)+VLOOKUP(D284,'Prezzi FI'!$H$8:$I$467,2,0))/100</f>
        <v>1.1561485</v>
      </c>
      <c r="I284" s="5">
        <f>+IF(VLOOKUP(D284,'Prezzi FI'!$H$8:$I$467,2,0)&lt;VLOOKUP(D285,'Prezzi FI'!$H$8:$I$467,2,0),4.25/2,0)/100</f>
        <v>0</v>
      </c>
      <c r="K284" s="4" t="str">
        <f t="shared" si="31"/>
        <v>201437</v>
      </c>
      <c r="L284" s="14">
        <f t="shared" si="32"/>
        <v>41894</v>
      </c>
      <c r="M284" s="39">
        <f t="shared" si="33"/>
        <v>-1.6617214506274454E-3</v>
      </c>
      <c r="N284" s="39">
        <f t="shared" si="34"/>
        <v>-1.8647676309623163E-3</v>
      </c>
      <c r="O284" s="39">
        <f t="shared" si="35"/>
        <v>-6.4166510605207176E-3</v>
      </c>
      <c r="P284" s="39">
        <f t="shared" si="36"/>
        <v>-1.5492057316761191E-3</v>
      </c>
      <c r="AC284" s="14"/>
    </row>
    <row r="285" spans="3:29" x14ac:dyDescent="0.75">
      <c r="C285" s="4">
        <v>4</v>
      </c>
      <c r="D285" s="58">
        <v>41893</v>
      </c>
      <c r="E285" s="5">
        <f>+VLOOKUP(D285,'Prezzi Trade'!$I$9:$J$468,2,0)</f>
        <v>21.08</v>
      </c>
      <c r="F285" s="5">
        <f>+VLOOKUP(D285,'Prezzi Trade'!$K$9:$L$468,2,0)</f>
        <v>134.19</v>
      </c>
      <c r="G285" s="5">
        <f>+VLOOKUP(D285,'Prezzi Trade'!$M$9:$N$468,2,0)/VLOOKUP(D285,'Prezzi Trade'!$O$9:$P$468,2,0)</f>
        <v>900.51837524177961</v>
      </c>
      <c r="H285" s="5">
        <f>+(VLOOKUP(D285,'Prezzi FI'!$C$8:$D$468,2,0)+VLOOKUP(D285,'Prezzi FI'!$H$8:$I$467,2,0))/100</f>
        <v>1.1579410000000001</v>
      </c>
      <c r="I285" s="5">
        <f>+IF(VLOOKUP(D285,'Prezzi FI'!$H$8:$I$467,2,0)&lt;VLOOKUP(D286,'Prezzi FI'!$H$8:$I$467,2,0),4.25/2,0)/100</f>
        <v>0</v>
      </c>
      <c r="K285" s="4" t="str">
        <f t="shared" si="31"/>
        <v>201437</v>
      </c>
      <c r="L285" s="14">
        <f t="shared" si="32"/>
        <v>41893</v>
      </c>
      <c r="M285" s="39">
        <f t="shared" si="33"/>
        <v>-1.42213818706777E-3</v>
      </c>
      <c r="N285" s="39">
        <f t="shared" si="34"/>
        <v>-6.7046599896779832E-4</v>
      </c>
      <c r="O285" s="39">
        <f t="shared" si="35"/>
        <v>-6.6414706065692497E-3</v>
      </c>
      <c r="P285" s="39">
        <f t="shared" si="36"/>
        <v>-1.6331186135547825E-3</v>
      </c>
      <c r="AC285" s="14"/>
    </row>
    <row r="286" spans="3:29" x14ac:dyDescent="0.75">
      <c r="C286" s="4">
        <v>3</v>
      </c>
      <c r="D286" s="58">
        <v>41892</v>
      </c>
      <c r="E286" s="5">
        <f>+VLOOKUP(D286,'Prezzi Trade'!$I$9:$J$468,2,0)</f>
        <v>21.11</v>
      </c>
      <c r="F286" s="5">
        <f>+VLOOKUP(D286,'Prezzi Trade'!$K$9:$L$468,2,0)</f>
        <v>134.28</v>
      </c>
      <c r="G286" s="5">
        <f>+VLOOKUP(D286,'Prezzi Trade'!$M$9:$N$468,2,0)/VLOOKUP(D286,'Prezzi Trade'!$O$9:$P$468,2,0)</f>
        <v>906.51904614431703</v>
      </c>
      <c r="H286" s="5">
        <f>+(VLOOKUP(D286,'Prezzi FI'!$C$8:$D$468,2,0)+VLOOKUP(D286,'Prezzi FI'!$H$8:$I$467,2,0))/100</f>
        <v>1.1598336</v>
      </c>
      <c r="I286" s="5">
        <f>+IF(VLOOKUP(D286,'Prezzi FI'!$H$8:$I$467,2,0)&lt;VLOOKUP(D287,'Prezzi FI'!$H$8:$I$467,2,0),4.25/2,0)/100</f>
        <v>0</v>
      </c>
      <c r="K286" s="4" t="str">
        <f t="shared" si="31"/>
        <v>201437</v>
      </c>
      <c r="L286" s="14">
        <f t="shared" si="32"/>
        <v>41892</v>
      </c>
      <c r="M286" s="39">
        <f t="shared" si="33"/>
        <v>-2.1294223118015921E-3</v>
      </c>
      <c r="N286" s="39">
        <f t="shared" si="34"/>
        <v>-1.1908307450706976E-3</v>
      </c>
      <c r="O286" s="39">
        <f t="shared" si="35"/>
        <v>-5.4666190084055573E-3</v>
      </c>
      <c r="P286" s="39">
        <f t="shared" si="36"/>
        <v>-1.8501048642032493E-3</v>
      </c>
      <c r="AC286" s="14"/>
    </row>
    <row r="287" spans="3:29" x14ac:dyDescent="0.75">
      <c r="C287" s="4">
        <v>2</v>
      </c>
      <c r="D287" s="58">
        <v>41891</v>
      </c>
      <c r="E287" s="5">
        <f>+VLOOKUP(D287,'Prezzi Trade'!$I$9:$J$468,2,0)</f>
        <v>21.155000000000001</v>
      </c>
      <c r="F287" s="5">
        <f>+VLOOKUP(D287,'Prezzi Trade'!$K$9:$L$468,2,0)</f>
        <v>134.44</v>
      </c>
      <c r="G287" s="5">
        <f>+VLOOKUP(D287,'Prezzi Trade'!$M$9:$N$468,2,0)/VLOOKUP(D287,'Prezzi Trade'!$O$9:$P$468,2,0)</f>
        <v>911.48821028218003</v>
      </c>
      <c r="H287" s="5">
        <f>+(VLOOKUP(D287,'Prezzi FI'!$C$8:$D$468,2,0)+VLOOKUP(D287,'Prezzi FI'!$H$8:$I$467,2,0))/100</f>
        <v>1.1619814000000002</v>
      </c>
      <c r="I287" s="5">
        <f>+IF(VLOOKUP(D287,'Prezzi FI'!$H$8:$I$467,2,0)&lt;VLOOKUP(D288,'Prezzi FI'!$H$8:$I$467,2,0),4.25/2,0)/100</f>
        <v>0</v>
      </c>
      <c r="K287" s="4" t="str">
        <f t="shared" si="31"/>
        <v>201437</v>
      </c>
      <c r="L287" s="14">
        <f t="shared" si="32"/>
        <v>41891</v>
      </c>
      <c r="M287" s="39">
        <f t="shared" si="33"/>
        <v>-6.3611947333572037E-3</v>
      </c>
      <c r="N287" s="39">
        <f t="shared" si="34"/>
        <v>-2.9708875089551174E-3</v>
      </c>
      <c r="O287" s="39">
        <f t="shared" si="35"/>
        <v>-1.2579306701490801E-2</v>
      </c>
      <c r="P287" s="39">
        <f t="shared" si="36"/>
        <v>-3.1299145239015906E-3</v>
      </c>
      <c r="AC287" s="14"/>
    </row>
    <row r="288" spans="3:29" x14ac:dyDescent="0.75">
      <c r="C288" s="4">
        <v>1</v>
      </c>
      <c r="D288" s="58">
        <v>41890</v>
      </c>
      <c r="E288" s="5">
        <f>+VLOOKUP(D288,'Prezzi Trade'!$I$9:$J$468,2,0)</f>
        <v>21.29</v>
      </c>
      <c r="F288" s="5">
        <f>+VLOOKUP(D288,'Prezzi Trade'!$K$9:$L$468,2,0)</f>
        <v>134.84</v>
      </c>
      <c r="G288" s="5">
        <f>+VLOOKUP(D288,'Prezzi Trade'!$M$9:$N$468,2,0)/VLOOKUP(D288,'Prezzi Trade'!$O$9:$P$468,2,0)</f>
        <v>923.02651985111663</v>
      </c>
      <c r="H288" s="5">
        <f>+(VLOOKUP(D288,'Prezzi FI'!$C$8:$D$468,2,0)+VLOOKUP(D288,'Prezzi FI'!$H$8:$I$467,2,0))/100</f>
        <v>1.165624</v>
      </c>
      <c r="I288" s="5">
        <f>+IF(VLOOKUP(D288,'Prezzi FI'!$H$8:$I$467,2,0)&lt;VLOOKUP(D289,'Prezzi FI'!$H$8:$I$467,2,0),4.25/2,0)/100</f>
        <v>0</v>
      </c>
      <c r="K288" s="4" t="str">
        <f t="shared" si="31"/>
        <v>201437</v>
      </c>
      <c r="L288" s="14">
        <f t="shared" si="32"/>
        <v>41890</v>
      </c>
      <c r="M288" s="39">
        <f t="shared" si="33"/>
        <v>-3.2825351866060232E-3</v>
      </c>
      <c r="N288" s="39">
        <f t="shared" si="34"/>
        <v>1.4843404833094645E-3</v>
      </c>
      <c r="O288" s="39">
        <f t="shared" si="35"/>
        <v>4.7248162922166412E-3</v>
      </c>
      <c r="P288" s="39">
        <f t="shared" si="36"/>
        <v>-1.0226199148910451E-3</v>
      </c>
      <c r="AC288" s="14"/>
    </row>
    <row r="289" spans="3:29" x14ac:dyDescent="0.75">
      <c r="C289" s="4">
        <v>5</v>
      </c>
      <c r="D289" s="58">
        <v>41887</v>
      </c>
      <c r="E289" s="5">
        <f>+VLOOKUP(D289,'Prezzi Trade'!$I$9:$J$468,2,0)</f>
        <v>21.36</v>
      </c>
      <c r="F289" s="5">
        <f>+VLOOKUP(D289,'Prezzi Trade'!$K$9:$L$468,2,0)</f>
        <v>134.63999999999999</v>
      </c>
      <c r="G289" s="5">
        <f>+VLOOKUP(D289,'Prezzi Trade'!$M$9:$N$468,2,0)/VLOOKUP(D289,'Prezzi Trade'!$O$9:$P$468,2,0)</f>
        <v>918.67567567567573</v>
      </c>
      <c r="H289" s="5">
        <f>+(VLOOKUP(D289,'Prezzi FI'!$C$8:$D$468,2,0)+VLOOKUP(D289,'Prezzi FI'!$H$8:$I$467,2,0))/100</f>
        <v>1.1668166</v>
      </c>
      <c r="I289" s="5">
        <f>+IF(VLOOKUP(D289,'Prezzi FI'!$H$8:$I$467,2,0)&lt;VLOOKUP(D290,'Prezzi FI'!$H$8:$I$467,2,0),4.25/2,0)/100</f>
        <v>0</v>
      </c>
      <c r="K289" s="4" t="str">
        <f t="shared" si="31"/>
        <v>201436</v>
      </c>
      <c r="L289" s="14">
        <f t="shared" si="32"/>
        <v>41887</v>
      </c>
      <c r="M289" s="39">
        <f t="shared" si="33"/>
        <v>-1.1697275868780125E-3</v>
      </c>
      <c r="N289" s="39">
        <f t="shared" si="34"/>
        <v>-4.6682312185520611E-3</v>
      </c>
      <c r="O289" s="39">
        <f t="shared" si="35"/>
        <v>-2.3864568979674477E-3</v>
      </c>
      <c r="P289" s="39">
        <f t="shared" si="36"/>
        <v>4.0167411411107246E-3</v>
      </c>
      <c r="AC289" s="14"/>
    </row>
    <row r="290" spans="3:29" x14ac:dyDescent="0.75">
      <c r="C290" s="4">
        <v>4</v>
      </c>
      <c r="D290" s="58">
        <v>41886</v>
      </c>
      <c r="E290" s="5">
        <f>+VLOOKUP(D290,'Prezzi Trade'!$I$9:$J$468,2,0)</f>
        <v>21.385000000000002</v>
      </c>
      <c r="F290" s="5">
        <f>+VLOOKUP(D290,'Prezzi Trade'!$K$9:$L$468,2,0)</f>
        <v>135.27000000000001</v>
      </c>
      <c r="G290" s="5">
        <f>+VLOOKUP(D290,'Prezzi Trade'!$M$9:$N$468,2,0)/VLOOKUP(D290,'Prezzi Trade'!$O$9:$P$468,2,0)</f>
        <v>920.87067367119892</v>
      </c>
      <c r="H290" s="5">
        <f>+(VLOOKUP(D290,'Prezzi FI'!$C$8:$D$468,2,0)+VLOOKUP(D290,'Prezzi FI'!$H$8:$I$467,2,0))/100</f>
        <v>1.1621391999999999</v>
      </c>
      <c r="I290" s="5">
        <f>+IF(VLOOKUP(D290,'Prezzi FI'!$H$8:$I$467,2,0)&lt;VLOOKUP(D291,'Prezzi FI'!$H$8:$I$467,2,0),4.25/2,0)/100</f>
        <v>0</v>
      </c>
      <c r="K290" s="4" t="str">
        <f t="shared" si="31"/>
        <v>201436</v>
      </c>
      <c r="L290" s="14">
        <f t="shared" si="32"/>
        <v>41886</v>
      </c>
      <c r="M290" s="39">
        <f t="shared" si="33"/>
        <v>3.0143495002164636E-2</v>
      </c>
      <c r="N290" s="39">
        <f t="shared" si="34"/>
        <v>1.2721966025648816E-2</v>
      </c>
      <c r="O290" s="39">
        <f t="shared" si="35"/>
        <v>1.4158982525837414E-2</v>
      </c>
      <c r="P290" s="39">
        <f t="shared" si="36"/>
        <v>4.2230295741336717E-3</v>
      </c>
      <c r="AC290" s="14"/>
    </row>
    <row r="291" spans="3:29" x14ac:dyDescent="0.75">
      <c r="C291" s="4">
        <v>3</v>
      </c>
      <c r="D291" s="58">
        <v>41885</v>
      </c>
      <c r="E291" s="5">
        <f>+VLOOKUP(D291,'Prezzi Trade'!$I$9:$J$468,2,0)</f>
        <v>20.75</v>
      </c>
      <c r="F291" s="5">
        <f>+VLOOKUP(D291,'Prezzi Trade'!$K$9:$L$468,2,0)</f>
        <v>133.56</v>
      </c>
      <c r="G291" s="5">
        <f>+VLOOKUP(D291,'Prezzi Trade'!$M$9:$N$468,2,0)/VLOOKUP(D291,'Prezzi Trade'!$O$9:$P$468,2,0)</f>
        <v>907.92395437262371</v>
      </c>
      <c r="H291" s="5">
        <f>+(VLOOKUP(D291,'Prezzi FI'!$C$8:$D$468,2,0)+VLOOKUP(D291,'Prezzi FI'!$H$8:$I$467,2,0))/100</f>
        <v>1.1572418</v>
      </c>
      <c r="I291" s="5">
        <f>+IF(VLOOKUP(D291,'Prezzi FI'!$H$8:$I$467,2,0)&lt;VLOOKUP(D292,'Prezzi FI'!$H$8:$I$467,2,0),4.25/2,0)/100</f>
        <v>0</v>
      </c>
      <c r="K291" s="4" t="str">
        <f t="shared" si="31"/>
        <v>201436</v>
      </c>
      <c r="L291" s="14">
        <f t="shared" si="32"/>
        <v>41885</v>
      </c>
      <c r="M291" s="39">
        <f t="shared" si="33"/>
        <v>1.4074486153226869E-2</v>
      </c>
      <c r="N291" s="39">
        <f t="shared" si="34"/>
        <v>2.9994023686295331E-3</v>
      </c>
      <c r="O291" s="39">
        <f t="shared" si="35"/>
        <v>-5.9961507654454271E-3</v>
      </c>
      <c r="P291" s="39">
        <f t="shared" si="36"/>
        <v>9.2694284879172228E-4</v>
      </c>
      <c r="AC291" s="14"/>
    </row>
    <row r="292" spans="3:29" x14ac:dyDescent="0.75">
      <c r="C292" s="4">
        <v>2</v>
      </c>
      <c r="D292" s="58">
        <v>41884</v>
      </c>
      <c r="E292" s="5">
        <f>+VLOOKUP(D292,'Prezzi Trade'!$I$9:$J$468,2,0)</f>
        <v>20.46</v>
      </c>
      <c r="F292" s="5">
        <f>+VLOOKUP(D292,'Prezzi Trade'!$K$9:$L$468,2,0)</f>
        <v>133.16</v>
      </c>
      <c r="G292" s="5">
        <f>+VLOOKUP(D292,'Prezzi Trade'!$M$9:$N$468,2,0)/VLOOKUP(D292,'Prezzi Trade'!$O$9:$P$468,2,0)</f>
        <v>913.38435762698964</v>
      </c>
      <c r="H292" s="5">
        <f>+(VLOOKUP(D292,'Prezzi FI'!$C$8:$D$468,2,0)+VLOOKUP(D292,'Prezzi FI'!$H$8:$I$467,2,0))/100</f>
        <v>1.1561695999999999</v>
      </c>
      <c r="I292" s="5">
        <f>+IF(VLOOKUP(D292,'Prezzi FI'!$H$8:$I$467,2,0)&lt;VLOOKUP(D293,'Prezzi FI'!$H$8:$I$467,2,0),4.25/2,0)/100</f>
        <v>0</v>
      </c>
      <c r="K292" s="4" t="str">
        <f t="shared" si="31"/>
        <v>201436</v>
      </c>
      <c r="L292" s="14">
        <f t="shared" si="32"/>
        <v>41884</v>
      </c>
      <c r="M292" s="39">
        <f t="shared" si="33"/>
        <v>5.636579069827263E-3</v>
      </c>
      <c r="N292" s="39">
        <f t="shared" si="34"/>
        <v>-7.5094807229308174E-5</v>
      </c>
      <c r="O292" s="39">
        <f t="shared" si="35"/>
        <v>-3.1895326100579453E-3</v>
      </c>
      <c r="P292" s="39">
        <f t="shared" si="36"/>
        <v>-1.2815163232573618E-3</v>
      </c>
      <c r="AC292" s="14"/>
    </row>
    <row r="293" spans="3:29" x14ac:dyDescent="0.75">
      <c r="C293" s="4">
        <v>1</v>
      </c>
      <c r="D293" s="58">
        <v>41883</v>
      </c>
      <c r="E293" s="5">
        <f>+VLOOKUP(D293,'Prezzi Trade'!$I$9:$J$468,2,0)</f>
        <v>20.344999999999999</v>
      </c>
      <c r="F293" s="5">
        <f>+VLOOKUP(D293,'Prezzi Trade'!$K$9:$L$468,2,0)</f>
        <v>133.16999999999999</v>
      </c>
      <c r="G293" s="5">
        <f>+VLOOKUP(D293,'Prezzi Trade'!$M$9:$N$468,2,0)/VLOOKUP(D293,'Prezzi Trade'!$O$9:$P$468,2,0)</f>
        <v>916.30227774815262</v>
      </c>
      <c r="H293" s="5">
        <f>+(VLOOKUP(D293,'Prezzi FI'!$C$8:$D$468,2,0)+VLOOKUP(D293,'Prezzi FI'!$H$8:$I$467,2,0))/100</f>
        <v>1.1576522</v>
      </c>
      <c r="I293" s="5">
        <f>+IF(VLOOKUP(D293,'Prezzi FI'!$H$8:$I$467,2,0)&lt;VLOOKUP(D294,'Prezzi FI'!$H$8:$I$467,2,0),4.25/2,0)/100</f>
        <v>0</v>
      </c>
      <c r="K293" s="4" t="str">
        <f t="shared" si="31"/>
        <v>201436</v>
      </c>
      <c r="L293" s="14">
        <f t="shared" si="32"/>
        <v>41883</v>
      </c>
      <c r="M293" s="39">
        <f t="shared" si="33"/>
        <v>-5.3921699277085511E-3</v>
      </c>
      <c r="N293" s="39">
        <f t="shared" si="34"/>
        <v>2.0295417948537351E-3</v>
      </c>
      <c r="O293" s="39">
        <f t="shared" si="35"/>
        <v>-1.8850636928123229E-4</v>
      </c>
      <c r="P293" s="39">
        <f t="shared" si="36"/>
        <v>5.0753505729556633E-4</v>
      </c>
      <c r="AC293" s="14"/>
    </row>
    <row r="294" spans="3:29" x14ac:dyDescent="0.75">
      <c r="C294" s="4">
        <v>5</v>
      </c>
      <c r="D294" s="58">
        <v>41880</v>
      </c>
      <c r="E294" s="5">
        <f>+VLOOKUP(D294,'Prezzi Trade'!$I$9:$J$468,2,0)</f>
        <v>20.454999999999998</v>
      </c>
      <c r="F294" s="5">
        <f>+VLOOKUP(D294,'Prezzi Trade'!$K$9:$L$468,2,0)</f>
        <v>132.9</v>
      </c>
      <c r="G294" s="5">
        <f>+VLOOKUP(D294,'Prezzi Trade'!$M$9:$N$468,2,0)/VLOOKUP(D294,'Prezzi Trade'!$O$9:$P$468,2,0)</f>
        <v>916.47502284495897</v>
      </c>
      <c r="H294" s="5">
        <f>+(VLOOKUP(D294,'Prezzi FI'!$C$8:$D$468,2,0)+VLOOKUP(D294,'Prezzi FI'!$H$8:$I$467,2,0))/100</f>
        <v>1.1570648000000001</v>
      </c>
      <c r="I294" s="5">
        <f>+IF(VLOOKUP(D294,'Prezzi FI'!$H$8:$I$467,2,0)&lt;VLOOKUP(D295,'Prezzi FI'!$H$8:$I$467,2,0),4.25/2,0)/100</f>
        <v>0</v>
      </c>
      <c r="K294" s="4" t="str">
        <f t="shared" si="31"/>
        <v>201435</v>
      </c>
      <c r="L294" s="14">
        <f t="shared" si="32"/>
        <v>41880</v>
      </c>
      <c r="M294" s="39">
        <f t="shared" si="33"/>
        <v>5.3921699277086656E-3</v>
      </c>
      <c r="N294" s="39">
        <f t="shared" si="34"/>
        <v>5.1297638137675766E-3</v>
      </c>
      <c r="O294" s="39">
        <f t="shared" si="35"/>
        <v>3.7005600228589976E-3</v>
      </c>
      <c r="P294" s="39">
        <f t="shared" si="36"/>
        <v>-2.182871964733099E-4</v>
      </c>
      <c r="AC294" s="14"/>
    </row>
    <row r="295" spans="3:29" x14ac:dyDescent="0.75">
      <c r="C295" s="4">
        <v>4</v>
      </c>
      <c r="D295" s="58">
        <v>41879</v>
      </c>
      <c r="E295" s="5">
        <f>+VLOOKUP(D295,'Prezzi Trade'!$I$9:$J$468,2,0)</f>
        <v>20.344999999999999</v>
      </c>
      <c r="F295" s="5">
        <f>+VLOOKUP(D295,'Prezzi Trade'!$K$9:$L$468,2,0)</f>
        <v>132.22</v>
      </c>
      <c r="G295" s="5">
        <f>+VLOOKUP(D295,'Prezzi Trade'!$M$9:$N$468,2,0)/VLOOKUP(D295,'Prezzi Trade'!$O$9:$P$468,2,0)</f>
        <v>913.08981945076619</v>
      </c>
      <c r="H295" s="5">
        <f>+(VLOOKUP(D295,'Prezzi FI'!$C$8:$D$468,2,0)+VLOOKUP(D295,'Prezzi FI'!$H$8:$I$467,2,0))/100</f>
        <v>1.1573173999999999</v>
      </c>
      <c r="I295" s="5">
        <f>+IF(VLOOKUP(D295,'Prezzi FI'!$H$8:$I$467,2,0)&lt;VLOOKUP(D296,'Prezzi FI'!$H$8:$I$467,2,0),4.25/2,0)/100</f>
        <v>0</v>
      </c>
      <c r="K295" s="4" t="str">
        <f t="shared" si="31"/>
        <v>201435</v>
      </c>
      <c r="L295" s="14">
        <f t="shared" si="32"/>
        <v>41879</v>
      </c>
      <c r="M295" s="39">
        <f t="shared" si="33"/>
        <v>-1.8746744994034996E-2</v>
      </c>
      <c r="N295" s="39">
        <f t="shared" si="34"/>
        <v>-2.9452877840757102E-3</v>
      </c>
      <c r="O295" s="39">
        <f t="shared" si="35"/>
        <v>6.7109068320737463E-4</v>
      </c>
      <c r="P295" s="39">
        <f t="shared" si="36"/>
        <v>-3.6247514391772044E-3</v>
      </c>
      <c r="AC295" s="14"/>
    </row>
    <row r="296" spans="3:29" x14ac:dyDescent="0.75">
      <c r="C296" s="4">
        <v>3</v>
      </c>
      <c r="D296" s="58">
        <v>41878</v>
      </c>
      <c r="E296" s="5">
        <f>+VLOOKUP(D296,'Prezzi Trade'!$I$9:$J$468,2,0)</f>
        <v>20.73</v>
      </c>
      <c r="F296" s="5">
        <f>+VLOOKUP(D296,'Prezzi Trade'!$K$9:$L$468,2,0)</f>
        <v>132.61000000000001</v>
      </c>
      <c r="G296" s="5">
        <f>+VLOOKUP(D296,'Prezzi Trade'!$M$9:$N$468,2,0)/VLOOKUP(D296,'Prezzi Trade'!$O$9:$P$468,2,0)</f>
        <v>912.47725894481505</v>
      </c>
      <c r="H296" s="5">
        <f>+(VLOOKUP(D296,'Prezzi FI'!$C$8:$D$468,2,0)+VLOOKUP(D296,'Prezzi FI'!$H$8:$I$467,2,0))/100</f>
        <v>1.1615200000000001</v>
      </c>
      <c r="I296" s="5">
        <f>+IF(VLOOKUP(D296,'Prezzi FI'!$H$8:$I$467,2,0)&lt;VLOOKUP(D297,'Prezzi FI'!$H$8:$I$467,2,0),4.25/2,0)/100</f>
        <v>2.1250000000000002E-2</v>
      </c>
      <c r="K296" s="4" t="str">
        <f t="shared" si="31"/>
        <v>201435</v>
      </c>
      <c r="L296" s="14">
        <f t="shared" si="32"/>
        <v>41878</v>
      </c>
      <c r="M296" s="39">
        <f t="shared" si="33"/>
        <v>5.0779942269434828E-3</v>
      </c>
      <c r="N296" s="39">
        <f t="shared" si="34"/>
        <v>-3.7697440790214834E-4</v>
      </c>
      <c r="O296" s="39">
        <f t="shared" si="35"/>
        <v>-1.5686880807322385E-3</v>
      </c>
      <c r="P296" s="39">
        <f t="shared" si="36"/>
        <v>3.0145652774924884E-4</v>
      </c>
      <c r="AC296" s="14"/>
    </row>
    <row r="297" spans="3:29" x14ac:dyDescent="0.75">
      <c r="C297" s="4">
        <v>2</v>
      </c>
      <c r="D297" s="58">
        <v>41877</v>
      </c>
      <c r="E297" s="5">
        <f>+VLOOKUP(D297,'Prezzi Trade'!$I$9:$J$468,2,0)</f>
        <v>20.625</v>
      </c>
      <c r="F297" s="5">
        <f>+VLOOKUP(D297,'Prezzi Trade'!$K$9:$L$468,2,0)</f>
        <v>132.66</v>
      </c>
      <c r="G297" s="5">
        <f>+VLOOKUP(D297,'Prezzi Trade'!$M$9:$N$468,2,0)/VLOOKUP(D297,'Prezzi Trade'!$O$9:$P$468,2,0)</f>
        <v>913.90977443609029</v>
      </c>
      <c r="H297" s="5">
        <f>+(VLOOKUP(D297,'Prezzi FI'!$C$8:$D$468,2,0)+VLOOKUP(D297,'Prezzi FI'!$H$8:$I$467,2,0))/100</f>
        <v>1.1824135</v>
      </c>
      <c r="I297" s="5">
        <f>+IF(VLOOKUP(D297,'Prezzi FI'!$H$8:$I$467,2,0)&lt;VLOOKUP(D298,'Prezzi FI'!$H$8:$I$467,2,0),4.25/2,0)/100</f>
        <v>0</v>
      </c>
      <c r="K297" s="4" t="str">
        <f t="shared" si="31"/>
        <v>201435</v>
      </c>
      <c r="L297" s="14">
        <f t="shared" si="32"/>
        <v>41877</v>
      </c>
      <c r="M297" s="39">
        <f t="shared" si="33"/>
        <v>3.4779680064292398E-2</v>
      </c>
      <c r="N297" s="39">
        <f t="shared" si="34"/>
        <v>1.1219038231820419E-2</v>
      </c>
      <c r="O297" s="39">
        <f t="shared" si="35"/>
        <v>5.8336470690167185E-3</v>
      </c>
      <c r="P297" s="39">
        <f t="shared" si="36"/>
        <v>5.5301698273418996E-3</v>
      </c>
      <c r="AC297" s="14"/>
    </row>
    <row r="298" spans="3:29" x14ac:dyDescent="0.75">
      <c r="C298" s="4">
        <v>5</v>
      </c>
      <c r="D298" s="58">
        <v>41873</v>
      </c>
      <c r="E298" s="5">
        <f>+VLOOKUP(D298,'Prezzi Trade'!$I$9:$J$468,2,0)</f>
        <v>19.920000000000002</v>
      </c>
      <c r="F298" s="5">
        <f>+VLOOKUP(D298,'Prezzi Trade'!$K$9:$L$468,2,0)</f>
        <v>131.18</v>
      </c>
      <c r="G298" s="5">
        <f>+VLOOKUP(D298,'Prezzi Trade'!$M$9:$N$468,2,0)/VLOOKUP(D298,'Prezzi Trade'!$O$9:$P$468,2,0)</f>
        <v>908.59386799577112</v>
      </c>
      <c r="H298" s="5">
        <f>+(VLOOKUP(D298,'Prezzi FI'!$C$8:$D$468,2,0)+VLOOKUP(D298,'Prezzi FI'!$H$8:$I$467,2,0))/100</f>
        <v>1.1758926000000001</v>
      </c>
      <c r="I298" s="5">
        <f>+IF(VLOOKUP(D298,'Prezzi FI'!$H$8:$I$467,2,0)&lt;VLOOKUP(D299,'Prezzi FI'!$H$8:$I$467,2,0),4.25/2,0)/100</f>
        <v>0</v>
      </c>
      <c r="K298" s="4" t="str">
        <f t="shared" si="31"/>
        <v>201434</v>
      </c>
      <c r="L298" s="14">
        <f t="shared" si="32"/>
        <v>41873</v>
      </c>
      <c r="M298" s="39">
        <f t="shared" si="33"/>
        <v>-2.006018726865743E-3</v>
      </c>
      <c r="N298" s="39">
        <f t="shared" si="34"/>
        <v>3.8122832225676273E-4</v>
      </c>
      <c r="O298" s="39">
        <f t="shared" si="35"/>
        <v>4.3880843551888865E-3</v>
      </c>
      <c r="P298" s="39">
        <f t="shared" si="36"/>
        <v>8.9723103083117259E-5</v>
      </c>
      <c r="AC298" s="14"/>
    </row>
    <row r="299" spans="3:29" x14ac:dyDescent="0.75">
      <c r="C299" s="4">
        <v>4</v>
      </c>
      <c r="D299" s="58">
        <v>41872</v>
      </c>
      <c r="E299" s="5">
        <f>+VLOOKUP(D299,'Prezzi Trade'!$I$9:$J$468,2,0)</f>
        <v>19.96</v>
      </c>
      <c r="F299" s="5">
        <f>+VLOOKUP(D299,'Prezzi Trade'!$K$9:$L$468,2,0)</f>
        <v>131.13</v>
      </c>
      <c r="G299" s="5">
        <f>+VLOOKUP(D299,'Prezzi Trade'!$M$9:$N$468,2,0)/VLOOKUP(D299,'Prezzi Trade'!$O$9:$P$468,2,0)</f>
        <v>904.61561629395374</v>
      </c>
      <c r="H299" s="5">
        <f>+(VLOOKUP(D299,'Prezzi FI'!$C$8:$D$468,2,0)+VLOOKUP(D299,'Prezzi FI'!$H$8:$I$467,2,0))/100</f>
        <v>1.1757871</v>
      </c>
      <c r="I299" s="5">
        <f>+IF(VLOOKUP(D299,'Prezzi FI'!$H$8:$I$467,2,0)&lt;VLOOKUP(D300,'Prezzi FI'!$H$8:$I$467,2,0),4.25/2,0)/100</f>
        <v>0</v>
      </c>
      <c r="K299" s="4" t="str">
        <f t="shared" si="31"/>
        <v>201434</v>
      </c>
      <c r="L299" s="14">
        <f t="shared" si="32"/>
        <v>41872</v>
      </c>
      <c r="M299" s="39">
        <f t="shared" si="33"/>
        <v>1.8711038926868588E-2</v>
      </c>
      <c r="N299" s="39">
        <f t="shared" si="34"/>
        <v>5.8893435739719013E-3</v>
      </c>
      <c r="O299" s="39">
        <f t="shared" si="35"/>
        <v>9.3376970872176247E-4</v>
      </c>
      <c r="P299" s="39">
        <f t="shared" si="36"/>
        <v>1.5878567347137815E-3</v>
      </c>
      <c r="AC299" s="14"/>
    </row>
    <row r="300" spans="3:29" x14ac:dyDescent="0.75">
      <c r="C300" s="4">
        <v>3</v>
      </c>
      <c r="D300" s="58">
        <v>41871</v>
      </c>
      <c r="E300" s="5">
        <f>+VLOOKUP(D300,'Prezzi Trade'!$I$9:$J$468,2,0)</f>
        <v>19.59</v>
      </c>
      <c r="F300" s="5">
        <f>+VLOOKUP(D300,'Prezzi Trade'!$K$9:$L$468,2,0)</f>
        <v>130.36000000000001</v>
      </c>
      <c r="G300" s="5">
        <f>+VLOOKUP(D300,'Prezzi Trade'!$M$9:$N$468,2,0)/VLOOKUP(D300,'Prezzi Trade'!$O$9:$P$468,2,0)</f>
        <v>903.77130788957606</v>
      </c>
      <c r="H300" s="5">
        <f>+(VLOOKUP(D300,'Prezzi FI'!$C$8:$D$468,2,0)+VLOOKUP(D300,'Prezzi FI'!$H$8:$I$467,2,0))/100</f>
        <v>1.1739216000000001</v>
      </c>
      <c r="I300" s="5">
        <f>+IF(VLOOKUP(D300,'Prezzi FI'!$H$8:$I$467,2,0)&lt;VLOOKUP(D301,'Prezzi FI'!$H$8:$I$467,2,0),4.25/2,0)/100</f>
        <v>0</v>
      </c>
      <c r="K300" s="4" t="str">
        <f t="shared" si="31"/>
        <v>201434</v>
      </c>
      <c r="L300" s="14">
        <f t="shared" si="32"/>
        <v>41871</v>
      </c>
      <c r="M300" s="39">
        <f t="shared" si="33"/>
        <v>-2.2944560735236315E-3</v>
      </c>
      <c r="N300" s="39">
        <f t="shared" si="34"/>
        <v>1.9964684509012616E-3</v>
      </c>
      <c r="O300" s="39">
        <f t="shared" si="35"/>
        <v>7.5952370280926119E-3</v>
      </c>
      <c r="P300" s="39">
        <f t="shared" si="36"/>
        <v>4.3155292366952631E-4</v>
      </c>
      <c r="AC300" s="14"/>
    </row>
    <row r="301" spans="3:29" x14ac:dyDescent="0.75">
      <c r="C301" s="4">
        <v>2</v>
      </c>
      <c r="D301" s="58">
        <v>41870</v>
      </c>
      <c r="E301" s="5">
        <f>+VLOOKUP(D301,'Prezzi Trade'!$I$9:$J$468,2,0)</f>
        <v>19.635000000000002</v>
      </c>
      <c r="F301" s="5">
        <f>+VLOOKUP(D301,'Prezzi Trade'!$K$9:$L$468,2,0)</f>
        <v>130.1</v>
      </c>
      <c r="G301" s="5">
        <f>+VLOOKUP(D301,'Prezzi Trade'!$M$9:$N$468,2,0)/VLOOKUP(D301,'Prezzi Trade'!$O$9:$P$468,2,0)</f>
        <v>896.9329529243937</v>
      </c>
      <c r="H301" s="5">
        <f>+(VLOOKUP(D301,'Prezzi FI'!$C$8:$D$468,2,0)+VLOOKUP(D301,'Prezzi FI'!$H$8:$I$467,2,0))/100</f>
        <v>1.1734150999999999</v>
      </c>
      <c r="I301" s="5">
        <f>+IF(VLOOKUP(D301,'Prezzi FI'!$H$8:$I$467,2,0)&lt;VLOOKUP(D302,'Prezzi FI'!$H$8:$I$467,2,0),4.25/2,0)/100</f>
        <v>0</v>
      </c>
      <c r="K301" s="4" t="str">
        <f t="shared" si="31"/>
        <v>201434</v>
      </c>
      <c r="L301" s="14">
        <f t="shared" si="32"/>
        <v>41870</v>
      </c>
      <c r="M301" s="39">
        <f t="shared" si="33"/>
        <v>1.2740478217181915E-3</v>
      </c>
      <c r="N301" s="39">
        <f t="shared" si="34"/>
        <v>6.4775056837101724E-3</v>
      </c>
      <c r="O301" s="39">
        <f t="shared" si="35"/>
        <v>2.9638082899336457E-3</v>
      </c>
      <c r="P301" s="39">
        <f t="shared" si="36"/>
        <v>1.9410941570078136E-3</v>
      </c>
      <c r="AC301" s="14"/>
    </row>
    <row r="302" spans="3:29" x14ac:dyDescent="0.75">
      <c r="C302" s="4">
        <v>1</v>
      </c>
      <c r="D302" s="58">
        <v>41869</v>
      </c>
      <c r="E302" s="5">
        <f>+VLOOKUP(D302,'Prezzi Trade'!$I$9:$J$468,2,0)</f>
        <v>19.61</v>
      </c>
      <c r="F302" s="5">
        <f>+VLOOKUP(D302,'Prezzi Trade'!$K$9:$L$468,2,0)</f>
        <v>129.26</v>
      </c>
      <c r="G302" s="5">
        <f>+VLOOKUP(D302,'Prezzi Trade'!$M$9:$N$468,2,0)/VLOOKUP(D302,'Prezzi Trade'!$O$9:$P$468,2,0)</f>
        <v>894.27855111510246</v>
      </c>
      <c r="H302" s="5">
        <f>+(VLOOKUP(D302,'Prezzi FI'!$C$8:$D$468,2,0)+VLOOKUP(D302,'Prezzi FI'!$H$8:$I$467,2,0))/100</f>
        <v>1.1711396000000001</v>
      </c>
      <c r="I302" s="5">
        <f>+IF(VLOOKUP(D302,'Prezzi FI'!$H$8:$I$467,2,0)&lt;VLOOKUP(D303,'Prezzi FI'!$H$8:$I$467,2,0),4.25/2,0)/100</f>
        <v>0</v>
      </c>
      <c r="K302" s="4" t="str">
        <f t="shared" si="31"/>
        <v>201434</v>
      </c>
      <c r="L302" s="14">
        <f t="shared" si="32"/>
        <v>41869</v>
      </c>
      <c r="M302" s="39">
        <f t="shared" si="33"/>
        <v>8.1925701437996039E-3</v>
      </c>
      <c r="N302" s="39">
        <f t="shared" si="34"/>
        <v>1.0186317228951572E-2</v>
      </c>
      <c r="O302" s="39">
        <f t="shared" si="35"/>
        <v>-2.3196096740312248E-3</v>
      </c>
      <c r="P302" s="39">
        <f t="shared" si="36"/>
        <v>7.439967453577353E-4</v>
      </c>
      <c r="AC302" s="14"/>
    </row>
    <row r="303" spans="3:29" x14ac:dyDescent="0.75">
      <c r="C303" s="4">
        <v>4</v>
      </c>
      <c r="D303" s="58">
        <v>41865</v>
      </c>
      <c r="E303" s="5">
        <f>+VLOOKUP(D303,'Prezzi Trade'!$I$9:$J$468,2,0)</f>
        <v>19.45</v>
      </c>
      <c r="F303" s="5">
        <f>+VLOOKUP(D303,'Prezzi Trade'!$K$9:$L$468,2,0)</f>
        <v>127.95</v>
      </c>
      <c r="G303" s="5">
        <f>+VLOOKUP(D303,'Prezzi Trade'!$M$9:$N$468,2,0)/VLOOKUP(D303,'Prezzi Trade'!$O$9:$P$468,2,0)</f>
        <v>896.35533602754083</v>
      </c>
      <c r="H303" s="5">
        <f>+(VLOOKUP(D303,'Prezzi FI'!$C$8:$D$468,2,0)+VLOOKUP(D303,'Prezzi FI'!$H$8:$I$467,2,0))/100</f>
        <v>1.1702686000000002</v>
      </c>
      <c r="I303" s="5">
        <f>+IF(VLOOKUP(D303,'Prezzi FI'!$H$8:$I$467,2,0)&lt;VLOOKUP(D304,'Prezzi FI'!$H$8:$I$467,2,0),4.25/2,0)/100</f>
        <v>0</v>
      </c>
      <c r="K303" s="4" t="str">
        <f t="shared" si="31"/>
        <v>201433</v>
      </c>
      <c r="L303" s="14">
        <f t="shared" si="32"/>
        <v>41865</v>
      </c>
      <c r="M303" s="39">
        <f t="shared" si="33"/>
        <v>-2.5673955052458097E-3</v>
      </c>
      <c r="N303" s="39">
        <f t="shared" si="34"/>
        <v>3.9085402100088522E-4</v>
      </c>
      <c r="O303" s="39">
        <f t="shared" si="35"/>
        <v>-4.726918658636033E-3</v>
      </c>
      <c r="P303" s="39">
        <f t="shared" si="36"/>
        <v>2.3572784046186107E-3</v>
      </c>
      <c r="AC303" s="14"/>
    </row>
    <row r="304" spans="3:29" x14ac:dyDescent="0.75">
      <c r="C304" s="4">
        <v>3</v>
      </c>
      <c r="D304" s="58">
        <v>41864</v>
      </c>
      <c r="E304" s="5">
        <f>+VLOOKUP(D304,'Prezzi Trade'!$I$9:$J$468,2,0)</f>
        <v>19.5</v>
      </c>
      <c r="F304" s="5">
        <f>+VLOOKUP(D304,'Prezzi Trade'!$K$9:$L$468,2,0)</f>
        <v>127.9</v>
      </c>
      <c r="G304" s="5">
        <f>+VLOOKUP(D304,'Prezzi Trade'!$M$9:$N$468,2,0)/VLOOKUP(D304,'Prezzi Trade'!$O$9:$P$468,2,0)</f>
        <v>900.60236456150858</v>
      </c>
      <c r="H304" s="5">
        <f>+(VLOOKUP(D304,'Prezzi FI'!$C$8:$D$468,2,0)+VLOOKUP(D304,'Prezzi FI'!$H$8:$I$467,2,0))/100</f>
        <v>1.1675131999999999</v>
      </c>
      <c r="I304" s="5">
        <f>+IF(VLOOKUP(D304,'Prezzi FI'!$H$8:$I$467,2,0)&lt;VLOOKUP(D305,'Prezzi FI'!$H$8:$I$467,2,0),4.25/2,0)/100</f>
        <v>0</v>
      </c>
      <c r="K304" s="4" t="str">
        <f t="shared" si="31"/>
        <v>201433</v>
      </c>
      <c r="L304" s="14">
        <f t="shared" si="32"/>
        <v>41864</v>
      </c>
      <c r="M304" s="39">
        <f t="shared" si="33"/>
        <v>3.8535693159899723E-3</v>
      </c>
      <c r="N304" s="39">
        <f t="shared" si="34"/>
        <v>7.6129551847112266E-3</v>
      </c>
      <c r="O304" s="39">
        <f t="shared" si="35"/>
        <v>-4.5904679411211983E-3</v>
      </c>
      <c r="P304" s="39">
        <f t="shared" si="36"/>
        <v>-3.1129705830744089E-4</v>
      </c>
      <c r="AC304" s="14"/>
    </row>
    <row r="305" spans="3:29" x14ac:dyDescent="0.75">
      <c r="C305" s="4">
        <v>2</v>
      </c>
      <c r="D305" s="58">
        <v>41863</v>
      </c>
      <c r="E305" s="5">
        <f>+VLOOKUP(D305,'Prezzi Trade'!$I$9:$J$468,2,0)</f>
        <v>19.425000000000001</v>
      </c>
      <c r="F305" s="5">
        <f>+VLOOKUP(D305,'Prezzi Trade'!$K$9:$L$468,2,0)</f>
        <v>126.93</v>
      </c>
      <c r="G305" s="5">
        <f>+VLOOKUP(D305,'Prezzi Trade'!$M$9:$N$468,2,0)/VLOOKUP(D305,'Prezzi Trade'!$O$9:$P$468,2,0)</f>
        <v>904.74605430473491</v>
      </c>
      <c r="H305" s="5">
        <f>+(VLOOKUP(D305,'Prezzi FI'!$C$8:$D$468,2,0)+VLOOKUP(D305,'Prezzi FI'!$H$8:$I$467,2,0))/100</f>
        <v>1.1678766999999999</v>
      </c>
      <c r="I305" s="5">
        <f>+IF(VLOOKUP(D305,'Prezzi FI'!$H$8:$I$467,2,0)&lt;VLOOKUP(D306,'Prezzi FI'!$H$8:$I$467,2,0),4.25/2,0)/100</f>
        <v>0</v>
      </c>
      <c r="K305" s="4" t="str">
        <f t="shared" si="31"/>
        <v>201433</v>
      </c>
      <c r="L305" s="14">
        <f t="shared" si="32"/>
        <v>41863</v>
      </c>
      <c r="M305" s="39">
        <f t="shared" si="33"/>
        <v>-5.1466805047528728E-4</v>
      </c>
      <c r="N305" s="39">
        <f t="shared" si="34"/>
        <v>-2.9893036734681341E-3</v>
      </c>
      <c r="O305" s="39">
        <f t="shared" si="35"/>
        <v>-5.3427560470311148E-3</v>
      </c>
      <c r="P305" s="39">
        <f t="shared" si="36"/>
        <v>2.4737804240918095E-3</v>
      </c>
      <c r="AC305" s="14"/>
    </row>
    <row r="306" spans="3:29" x14ac:dyDescent="0.75">
      <c r="C306" s="4">
        <v>1</v>
      </c>
      <c r="D306" s="58">
        <v>41862</v>
      </c>
      <c r="E306" s="5">
        <f>+VLOOKUP(D306,'Prezzi Trade'!$I$9:$J$468,2,0)</f>
        <v>19.434999999999999</v>
      </c>
      <c r="F306" s="5">
        <f>+VLOOKUP(D306,'Prezzi Trade'!$K$9:$L$468,2,0)</f>
        <v>127.31</v>
      </c>
      <c r="G306" s="5">
        <f>+VLOOKUP(D306,'Prezzi Trade'!$M$9:$N$468,2,0)/VLOOKUP(D306,'Prezzi Trade'!$O$9:$P$468,2,0)</f>
        <v>909.59282779230477</v>
      </c>
      <c r="H306" s="5">
        <f>+(VLOOKUP(D306,'Prezzi FI'!$C$8:$D$468,2,0)+VLOOKUP(D306,'Prezzi FI'!$H$8:$I$467,2,0))/100</f>
        <v>1.1649912</v>
      </c>
      <c r="I306" s="5">
        <f>+IF(VLOOKUP(D306,'Prezzi FI'!$H$8:$I$467,2,0)&lt;VLOOKUP(D307,'Prezzi FI'!$H$8:$I$467,2,0),4.25/2,0)/100</f>
        <v>0</v>
      </c>
      <c r="K306" s="4" t="str">
        <f t="shared" si="31"/>
        <v>201433</v>
      </c>
      <c r="L306" s="14">
        <f t="shared" si="32"/>
        <v>41862</v>
      </c>
      <c r="M306" s="39">
        <f t="shared" si="33"/>
        <v>1.1904902506318458E-2</v>
      </c>
      <c r="N306" s="39">
        <f t="shared" si="34"/>
        <v>1.5754590989563191E-2</v>
      </c>
      <c r="O306" s="39">
        <f t="shared" si="35"/>
        <v>4.4401936694445478E-3</v>
      </c>
      <c r="P306" s="39">
        <f t="shared" si="36"/>
        <v>2.8930438417708922E-3</v>
      </c>
      <c r="AC306" s="14"/>
    </row>
    <row r="307" spans="3:29" x14ac:dyDescent="0.75">
      <c r="C307" s="4">
        <v>5</v>
      </c>
      <c r="D307" s="58">
        <v>41859</v>
      </c>
      <c r="E307" s="5">
        <f>+VLOOKUP(D307,'Prezzi Trade'!$I$9:$J$468,2,0)</f>
        <v>19.204999999999998</v>
      </c>
      <c r="F307" s="5">
        <f>+VLOOKUP(D307,'Prezzi Trade'!$K$9:$L$468,2,0)</f>
        <v>125.32</v>
      </c>
      <c r="G307" s="5">
        <f>+VLOOKUP(D307,'Prezzi Trade'!$M$9:$N$468,2,0)/VLOOKUP(D307,'Prezzi Trade'!$O$9:$P$468,2,0)</f>
        <v>905.5630126771066</v>
      </c>
      <c r="H307" s="5">
        <f>+(VLOOKUP(D307,'Prezzi FI'!$C$8:$D$468,2,0)+VLOOKUP(D307,'Prezzi FI'!$H$8:$I$467,2,0))/100</f>
        <v>1.1616257000000001</v>
      </c>
      <c r="I307" s="5">
        <f>+IF(VLOOKUP(D307,'Prezzi FI'!$H$8:$I$467,2,0)&lt;VLOOKUP(D308,'Prezzi FI'!$H$8:$I$467,2,0),4.25/2,0)/100</f>
        <v>0</v>
      </c>
      <c r="K307" s="4" t="str">
        <f t="shared" si="31"/>
        <v>201432</v>
      </c>
      <c r="L307" s="14">
        <f t="shared" si="32"/>
        <v>41859</v>
      </c>
      <c r="M307" s="39">
        <f t="shared" si="33"/>
        <v>3.3902757730598144E-3</v>
      </c>
      <c r="N307" s="39">
        <f t="shared" si="34"/>
        <v>-6.2840758837921507E-3</v>
      </c>
      <c r="O307" s="39">
        <f t="shared" si="35"/>
        <v>-6.5459787759009486E-3</v>
      </c>
      <c r="P307" s="39">
        <f t="shared" si="36"/>
        <v>1.1761991899987031E-3</v>
      </c>
      <c r="AC307" s="14"/>
    </row>
    <row r="308" spans="3:29" x14ac:dyDescent="0.75">
      <c r="C308" s="4">
        <v>4</v>
      </c>
      <c r="D308" s="58">
        <v>41858</v>
      </c>
      <c r="E308" s="5">
        <f>+VLOOKUP(D308,'Prezzi Trade'!$I$9:$J$468,2,0)</f>
        <v>19.14</v>
      </c>
      <c r="F308" s="5">
        <f>+VLOOKUP(D308,'Prezzi Trade'!$K$9:$L$468,2,0)</f>
        <v>126.11</v>
      </c>
      <c r="G308" s="5">
        <f>+VLOOKUP(D308,'Prezzi Trade'!$M$9:$N$468,2,0)/VLOOKUP(D308,'Prezzi Trade'!$O$9:$P$468,2,0)</f>
        <v>911.51025295614431</v>
      </c>
      <c r="H308" s="5">
        <f>+(VLOOKUP(D308,'Prezzi FI'!$C$8:$D$468,2,0)+VLOOKUP(D308,'Prezzi FI'!$H$8:$I$467,2,0))/100</f>
        <v>1.1602602</v>
      </c>
      <c r="I308" s="5">
        <f>+IF(VLOOKUP(D308,'Prezzi FI'!$H$8:$I$467,2,0)&lt;VLOOKUP(D309,'Prezzi FI'!$H$8:$I$467,2,0),4.25/2,0)/100</f>
        <v>0</v>
      </c>
      <c r="K308" s="4" t="str">
        <f t="shared" si="31"/>
        <v>201432</v>
      </c>
      <c r="L308" s="14">
        <f t="shared" si="32"/>
        <v>41858</v>
      </c>
      <c r="M308" s="39">
        <f t="shared" si="33"/>
        <v>-1.9915309700941318E-2</v>
      </c>
      <c r="N308" s="39">
        <f t="shared" si="34"/>
        <v>-4.5096797026559741E-3</v>
      </c>
      <c r="O308" s="39">
        <f t="shared" si="35"/>
        <v>1.9422322150844412E-4</v>
      </c>
      <c r="P308" s="39">
        <f t="shared" si="36"/>
        <v>-1.691722920154415E-3</v>
      </c>
      <c r="AC308" s="14"/>
    </row>
    <row r="309" spans="3:29" x14ac:dyDescent="0.75">
      <c r="C309" s="4">
        <v>3</v>
      </c>
      <c r="D309" s="58">
        <v>41857</v>
      </c>
      <c r="E309" s="5">
        <f>+VLOOKUP(D309,'Prezzi Trade'!$I$9:$J$468,2,0)</f>
        <v>19.524999999999999</v>
      </c>
      <c r="F309" s="5">
        <f>+VLOOKUP(D309,'Prezzi Trade'!$K$9:$L$468,2,0)</f>
        <v>126.68</v>
      </c>
      <c r="G309" s="5">
        <f>+VLOOKUP(D309,'Prezzi Trade'!$M$9:$N$468,2,0)/VLOOKUP(D309,'Prezzi Trade'!$O$9:$P$468,2,0)</f>
        <v>911.33323368955973</v>
      </c>
      <c r="H309" s="5">
        <f>+(VLOOKUP(D309,'Prezzi FI'!$C$8:$D$468,2,0)+VLOOKUP(D309,'Prezzi FI'!$H$8:$I$467,2,0))/100</f>
        <v>1.1622247000000001</v>
      </c>
      <c r="I309" s="5">
        <f>+IF(VLOOKUP(D309,'Prezzi FI'!$H$8:$I$467,2,0)&lt;VLOOKUP(D310,'Prezzi FI'!$H$8:$I$467,2,0),4.25/2,0)/100</f>
        <v>0</v>
      </c>
      <c r="K309" s="4" t="str">
        <f t="shared" si="31"/>
        <v>201432</v>
      </c>
      <c r="L309" s="14">
        <f t="shared" si="32"/>
        <v>41857</v>
      </c>
      <c r="M309" s="39">
        <f t="shared" si="33"/>
        <v>-2.7281307993130489E-2</v>
      </c>
      <c r="N309" s="39">
        <f t="shared" si="34"/>
        <v>-5.1964529184402499E-3</v>
      </c>
      <c r="O309" s="39">
        <f t="shared" si="35"/>
        <v>5.502150756705711E-3</v>
      </c>
      <c r="P309" s="39">
        <f t="shared" si="36"/>
        <v>-2.6496739716294787E-3</v>
      </c>
      <c r="AC309" s="14"/>
    </row>
    <row r="310" spans="3:29" x14ac:dyDescent="0.75">
      <c r="C310" s="4">
        <v>2</v>
      </c>
      <c r="D310" s="58">
        <v>41856</v>
      </c>
      <c r="E310" s="5">
        <f>+VLOOKUP(D310,'Prezzi Trade'!$I$9:$J$468,2,0)</f>
        <v>20.065000000000001</v>
      </c>
      <c r="F310" s="5">
        <f>+VLOOKUP(D310,'Prezzi Trade'!$K$9:$L$468,2,0)</f>
        <v>127.34</v>
      </c>
      <c r="G310" s="5">
        <f>+VLOOKUP(D310,'Prezzi Trade'!$M$9:$N$468,2,0)/VLOOKUP(D310,'Prezzi Trade'!$O$9:$P$468,2,0)</f>
        <v>906.33271028037393</v>
      </c>
      <c r="H310" s="5">
        <f>+(VLOOKUP(D310,'Prezzi FI'!$C$8:$D$468,2,0)+VLOOKUP(D310,'Prezzi FI'!$H$8:$I$467,2,0))/100</f>
        <v>1.1653083000000002</v>
      </c>
      <c r="I310" s="5">
        <f>+IF(VLOOKUP(D310,'Prezzi FI'!$H$8:$I$467,2,0)&lt;VLOOKUP(D311,'Prezzi FI'!$H$8:$I$467,2,0),4.25/2,0)/100</f>
        <v>0</v>
      </c>
      <c r="K310" s="4" t="str">
        <f t="shared" si="31"/>
        <v>201432</v>
      </c>
      <c r="L310" s="14">
        <f t="shared" si="32"/>
        <v>41856</v>
      </c>
      <c r="M310" s="39">
        <f t="shared" si="33"/>
        <v>-1.3858177734773089E-2</v>
      </c>
      <c r="N310" s="39">
        <f t="shared" si="34"/>
        <v>3.6189167023414912E-3</v>
      </c>
      <c r="O310" s="39">
        <f t="shared" si="35"/>
        <v>-3.5622994944348955E-3</v>
      </c>
      <c r="P310" s="39">
        <f t="shared" si="36"/>
        <v>-1.6844005676579308E-3</v>
      </c>
      <c r="AC310" s="14"/>
    </row>
    <row r="311" spans="3:29" x14ac:dyDescent="0.75">
      <c r="C311" s="4">
        <v>1</v>
      </c>
      <c r="D311" s="58">
        <v>41855</v>
      </c>
      <c r="E311" s="5">
        <f>+VLOOKUP(D311,'Prezzi Trade'!$I$9:$J$468,2,0)</f>
        <v>20.344999999999999</v>
      </c>
      <c r="F311" s="5">
        <f>+VLOOKUP(D311,'Prezzi Trade'!$K$9:$L$468,2,0)</f>
        <v>126.88</v>
      </c>
      <c r="G311" s="5">
        <f>+VLOOKUP(D311,'Prezzi Trade'!$M$9:$N$468,2,0)/VLOOKUP(D311,'Prezzi Trade'!$O$9:$P$468,2,0)</f>
        <v>909.56709634155425</v>
      </c>
      <c r="H311" s="5">
        <f>+(VLOOKUP(D311,'Prezzi FI'!$C$8:$D$468,2,0)+VLOOKUP(D311,'Prezzi FI'!$H$8:$I$467,2,0))/100</f>
        <v>1.1672728000000001</v>
      </c>
      <c r="I311" s="5">
        <f>+IF(VLOOKUP(D311,'Prezzi FI'!$H$8:$I$467,2,0)&lt;VLOOKUP(D312,'Prezzi FI'!$H$8:$I$467,2,0),4.25/2,0)/100</f>
        <v>0</v>
      </c>
      <c r="K311" s="4" t="str">
        <f t="shared" si="31"/>
        <v>201432</v>
      </c>
      <c r="L311" s="14">
        <f t="shared" si="32"/>
        <v>41855</v>
      </c>
      <c r="M311" s="39">
        <f t="shared" si="33"/>
        <v>-7.3701022866873712E-4</v>
      </c>
      <c r="N311" s="39">
        <f t="shared" si="34"/>
        <v>1.2618298204221654E-3</v>
      </c>
      <c r="O311" s="39">
        <f t="shared" si="35"/>
        <v>6.148963002816827E-3</v>
      </c>
      <c r="P311" s="39">
        <f t="shared" si="36"/>
        <v>1.7453305061428011E-3</v>
      </c>
      <c r="AC311" s="14"/>
    </row>
    <row r="312" spans="3:29" x14ac:dyDescent="0.75">
      <c r="C312" s="4">
        <v>5</v>
      </c>
      <c r="D312" s="58">
        <v>41852</v>
      </c>
      <c r="E312" s="5">
        <f>+VLOOKUP(D312,'Prezzi Trade'!$I$9:$J$468,2,0)</f>
        <v>20.36</v>
      </c>
      <c r="F312" s="5">
        <f>+VLOOKUP(D312,'Prezzi Trade'!$K$9:$L$468,2,0)</f>
        <v>126.72</v>
      </c>
      <c r="G312" s="5">
        <f>+VLOOKUP(D312,'Prezzi Trade'!$M$9:$N$468,2,0)/VLOOKUP(D312,'Prezzi Trade'!$O$9:$P$468,2,0)</f>
        <v>903.99136197780922</v>
      </c>
      <c r="H312" s="5">
        <f>+(VLOOKUP(D312,'Prezzi FI'!$C$8:$D$468,2,0)+VLOOKUP(D312,'Prezzi FI'!$H$8:$I$467,2,0))/100</f>
        <v>1.1652373</v>
      </c>
      <c r="I312" s="5">
        <f>+IF(VLOOKUP(D312,'Prezzi FI'!$H$8:$I$467,2,0)&lt;VLOOKUP(D313,'Prezzi FI'!$H$8:$I$467,2,0),4.25/2,0)/100</f>
        <v>0</v>
      </c>
      <c r="K312" s="4" t="str">
        <f t="shared" si="31"/>
        <v>201431</v>
      </c>
      <c r="L312" s="14">
        <f t="shared" si="32"/>
        <v>41852</v>
      </c>
      <c r="M312" s="39">
        <f t="shared" si="33"/>
        <v>-1.1233329357376087E-2</v>
      </c>
      <c r="N312" s="39">
        <f t="shared" si="34"/>
        <v>-1.2079525654601126E-2</v>
      </c>
      <c r="O312" s="39">
        <f t="shared" si="35"/>
        <v>-9.7733864219842637E-3</v>
      </c>
      <c r="P312" s="39">
        <f t="shared" si="36"/>
        <v>-1.2046080517955668E-3</v>
      </c>
      <c r="AC312" s="14"/>
    </row>
    <row r="313" spans="3:29" x14ac:dyDescent="0.75">
      <c r="C313" s="4">
        <v>4</v>
      </c>
      <c r="D313" s="58">
        <v>41851</v>
      </c>
      <c r="E313" s="5">
        <f>+VLOOKUP(D313,'Prezzi Trade'!$I$9:$J$468,2,0)</f>
        <v>20.59</v>
      </c>
      <c r="F313" s="5">
        <f>+VLOOKUP(D313,'Prezzi Trade'!$K$9:$L$468,2,0)</f>
        <v>128.26</v>
      </c>
      <c r="G313" s="5">
        <f>+VLOOKUP(D313,'Prezzi Trade'!$M$9:$N$468,2,0)/VLOOKUP(D313,'Prezzi Trade'!$O$9:$P$468,2,0)</f>
        <v>912.86973409023017</v>
      </c>
      <c r="H313" s="5">
        <f>+(VLOOKUP(D313,'Prezzi FI'!$C$8:$D$468,2,0)+VLOOKUP(D313,'Prezzi FI'!$H$8:$I$467,2,0))/100</f>
        <v>1.1666418000000001</v>
      </c>
      <c r="I313" s="5">
        <f>+IF(VLOOKUP(D313,'Prezzi FI'!$H$8:$I$467,2,0)&lt;VLOOKUP(D314,'Prezzi FI'!$H$8:$I$467,2,0),4.25/2,0)/100</f>
        <v>0</v>
      </c>
      <c r="K313" s="4" t="str">
        <f t="shared" si="31"/>
        <v>201431</v>
      </c>
      <c r="L313" s="14">
        <f t="shared" si="32"/>
        <v>41851</v>
      </c>
      <c r="M313" s="39">
        <f t="shared" si="33"/>
        <v>-1.4225676909440614E-2</v>
      </c>
      <c r="N313" s="39">
        <f t="shared" si="34"/>
        <v>-1.2397493359624048E-2</v>
      </c>
      <c r="O313" s="39">
        <f t="shared" si="35"/>
        <v>-5.5084029884541908E-3</v>
      </c>
      <c r="P313" s="39">
        <f t="shared" si="36"/>
        <v>-7.2361070229962337E-4</v>
      </c>
      <c r="AC313" s="14"/>
    </row>
    <row r="314" spans="3:29" x14ac:dyDescent="0.75">
      <c r="C314" s="4">
        <v>3</v>
      </c>
      <c r="D314" s="58">
        <v>41850</v>
      </c>
      <c r="E314" s="5">
        <f>+VLOOKUP(D314,'Prezzi Trade'!$I$9:$J$468,2,0)</f>
        <v>20.885000000000002</v>
      </c>
      <c r="F314" s="5">
        <f>+VLOOKUP(D314,'Prezzi Trade'!$K$9:$L$468,2,0)</f>
        <v>129.86000000000001</v>
      </c>
      <c r="G314" s="5">
        <f>+VLOOKUP(D314,'Prezzi Trade'!$M$9:$N$468,2,0)/VLOOKUP(D314,'Prezzi Trade'!$O$9:$P$468,2,0)</f>
        <v>917.91206330247837</v>
      </c>
      <c r="H314" s="5">
        <f>+(VLOOKUP(D314,'Prezzi FI'!$C$8:$D$468,2,0)+VLOOKUP(D314,'Prezzi FI'!$H$8:$I$467,2,0))/100</f>
        <v>1.1674863</v>
      </c>
      <c r="I314" s="5">
        <f>+IF(VLOOKUP(D314,'Prezzi FI'!$H$8:$I$467,2,0)&lt;VLOOKUP(D315,'Prezzi FI'!$H$8:$I$467,2,0),4.25/2,0)/100</f>
        <v>0</v>
      </c>
      <c r="K314" s="4" t="str">
        <f t="shared" si="31"/>
        <v>201431</v>
      </c>
      <c r="L314" s="14">
        <f t="shared" si="32"/>
        <v>41850</v>
      </c>
      <c r="M314" s="39">
        <f t="shared" si="33"/>
        <v>-7.1565190933455258E-3</v>
      </c>
      <c r="N314" s="39">
        <f t="shared" si="34"/>
        <v>-6.9281400715841593E-4</v>
      </c>
      <c r="O314" s="39">
        <f t="shared" si="35"/>
        <v>2.7484990846394436E-3</v>
      </c>
      <c r="P314" s="39">
        <f t="shared" si="36"/>
        <v>-2.7572555118110672E-3</v>
      </c>
      <c r="AC314" s="14"/>
    </row>
    <row r="315" spans="3:29" x14ac:dyDescent="0.75">
      <c r="C315" s="4">
        <v>2</v>
      </c>
      <c r="D315" s="58">
        <v>41849</v>
      </c>
      <c r="E315" s="5">
        <f>+VLOOKUP(D315,'Prezzi Trade'!$I$9:$J$468,2,0)</f>
        <v>21.035</v>
      </c>
      <c r="F315" s="5">
        <f>+VLOOKUP(D315,'Prezzi Trade'!$K$9:$L$468,2,0)</f>
        <v>129.94999999999999</v>
      </c>
      <c r="G315" s="5">
        <f>+VLOOKUP(D315,'Prezzi Trade'!$M$9:$N$468,2,0)/VLOOKUP(D315,'Prezzi Trade'!$O$9:$P$468,2,0)</f>
        <v>915.39264672980835</v>
      </c>
      <c r="H315" s="5">
        <f>+(VLOOKUP(D315,'Prezzi FI'!$C$8:$D$468,2,0)+VLOOKUP(D315,'Prezzi FI'!$H$8:$I$467,2,0))/100</f>
        <v>1.1707098</v>
      </c>
      <c r="I315" s="5">
        <f>+IF(VLOOKUP(D315,'Prezzi FI'!$H$8:$I$467,2,0)&lt;VLOOKUP(D316,'Prezzi FI'!$H$8:$I$467,2,0),4.25/2,0)/100</f>
        <v>0</v>
      </c>
      <c r="K315" s="4" t="str">
        <f t="shared" si="31"/>
        <v>201431</v>
      </c>
      <c r="L315" s="14">
        <f t="shared" si="32"/>
        <v>41849</v>
      </c>
      <c r="M315" s="39">
        <f t="shared" si="33"/>
        <v>2.3798202569301611E-3</v>
      </c>
      <c r="N315" s="39">
        <f t="shared" si="34"/>
        <v>9.2385871533699499E-4</v>
      </c>
      <c r="O315" s="39">
        <f t="shared" si="35"/>
        <v>-2.1792449181996043E-3</v>
      </c>
      <c r="P315" s="39">
        <f t="shared" si="36"/>
        <v>1.2269315676792544E-3</v>
      </c>
      <c r="AC315" s="14"/>
    </row>
    <row r="316" spans="3:29" x14ac:dyDescent="0.75">
      <c r="C316" s="4">
        <v>1</v>
      </c>
      <c r="D316" s="58">
        <v>41848</v>
      </c>
      <c r="E316" s="5">
        <f>+VLOOKUP(D316,'Prezzi Trade'!$I$9:$J$468,2,0)</f>
        <v>20.984999999999999</v>
      </c>
      <c r="F316" s="5">
        <f>+VLOOKUP(D316,'Prezzi Trade'!$K$9:$L$468,2,0)</f>
        <v>129.83000000000001</v>
      </c>
      <c r="G316" s="5">
        <f>+VLOOKUP(D316,'Prezzi Trade'!$M$9:$N$468,2,0)/VLOOKUP(D316,'Prezzi Trade'!$O$9:$P$468,2,0)</f>
        <v>917.38968673264378</v>
      </c>
      <c r="H316" s="5">
        <f>+(VLOOKUP(D316,'Prezzi FI'!$C$8:$D$468,2,0)+VLOOKUP(D316,'Prezzi FI'!$H$8:$I$467,2,0))/100</f>
        <v>1.1692743000000001</v>
      </c>
      <c r="I316" s="5">
        <f>+IF(VLOOKUP(D316,'Prezzi FI'!$H$8:$I$467,2,0)&lt;VLOOKUP(D317,'Prezzi FI'!$H$8:$I$467,2,0),4.25/2,0)/100</f>
        <v>0</v>
      </c>
      <c r="K316" s="4" t="str">
        <f t="shared" si="31"/>
        <v>201431</v>
      </c>
      <c r="L316" s="14">
        <f t="shared" si="32"/>
        <v>41848</v>
      </c>
      <c r="M316" s="39">
        <f t="shared" si="33"/>
        <v>-4.991097705129087E-3</v>
      </c>
      <c r="N316" s="39">
        <f t="shared" si="34"/>
        <v>1.5405946725892861E-4</v>
      </c>
      <c r="O316" s="39">
        <f t="shared" si="35"/>
        <v>-6.3081826526147772E-4</v>
      </c>
      <c r="P316" s="39">
        <f t="shared" si="36"/>
        <v>2.839461367323473E-3</v>
      </c>
      <c r="AC316" s="14"/>
    </row>
    <row r="317" spans="3:29" x14ac:dyDescent="0.75">
      <c r="C317" s="4">
        <v>5</v>
      </c>
      <c r="D317" s="58">
        <v>41845</v>
      </c>
      <c r="E317" s="5">
        <f>+VLOOKUP(D317,'Prezzi Trade'!$I$9:$J$468,2,0)</f>
        <v>21.09</v>
      </c>
      <c r="F317" s="5">
        <f>+VLOOKUP(D317,'Prezzi Trade'!$K$9:$L$468,2,0)</f>
        <v>129.81</v>
      </c>
      <c r="G317" s="5">
        <f>+VLOOKUP(D317,'Prezzi Trade'!$M$9:$N$468,2,0)/VLOOKUP(D317,'Prezzi Trade'!$O$9:$P$468,2,0)</f>
        <v>917.96857547099557</v>
      </c>
      <c r="H317" s="5">
        <f>+(VLOOKUP(D317,'Prezzi FI'!$C$8:$D$468,2,0)+VLOOKUP(D317,'Prezzi FI'!$H$8:$I$467,2,0))/100</f>
        <v>1.1659588999999999</v>
      </c>
      <c r="I317" s="5">
        <f>+IF(VLOOKUP(D317,'Prezzi FI'!$H$8:$I$467,2,0)&lt;VLOOKUP(D318,'Prezzi FI'!$H$8:$I$467,2,0),4.25/2,0)/100</f>
        <v>0</v>
      </c>
      <c r="K317" s="4" t="str">
        <f t="shared" si="31"/>
        <v>201430</v>
      </c>
      <c r="L317" s="14">
        <f t="shared" si="32"/>
        <v>41845</v>
      </c>
      <c r="M317" s="39">
        <f t="shared" si="33"/>
        <v>-7.0872018830547626E-3</v>
      </c>
      <c r="N317" s="39">
        <f t="shared" si="34"/>
        <v>-3.8443842519115044E-3</v>
      </c>
      <c r="O317" s="39">
        <f t="shared" si="35"/>
        <v>2.4961868819141078E-3</v>
      </c>
      <c r="P317" s="39">
        <f t="shared" si="36"/>
        <v>1.3693386956032923E-3</v>
      </c>
      <c r="AC317" s="14"/>
    </row>
    <row r="318" spans="3:29" x14ac:dyDescent="0.75">
      <c r="C318" s="4">
        <v>4</v>
      </c>
      <c r="D318" s="58">
        <v>41844</v>
      </c>
      <c r="E318" s="5">
        <f>+VLOOKUP(D318,'Prezzi Trade'!$I$9:$J$468,2,0)</f>
        <v>21.24</v>
      </c>
      <c r="F318" s="5">
        <f>+VLOOKUP(D318,'Prezzi Trade'!$K$9:$L$468,2,0)</f>
        <v>130.31</v>
      </c>
      <c r="G318" s="5">
        <f>+VLOOKUP(D318,'Prezzi Trade'!$M$9:$N$468,2,0)/VLOOKUP(D318,'Prezzi Trade'!$O$9:$P$468,2,0)</f>
        <v>915.68001188442395</v>
      </c>
      <c r="H318" s="5">
        <f>+(VLOOKUP(D318,'Prezzi FI'!$C$8:$D$468,2,0)+VLOOKUP(D318,'Prezzi FI'!$H$8:$I$467,2,0))/100</f>
        <v>1.1643633999999998</v>
      </c>
      <c r="I318" s="5">
        <f>+IF(VLOOKUP(D318,'Prezzi FI'!$H$8:$I$467,2,0)&lt;VLOOKUP(D319,'Prezzi FI'!$H$8:$I$467,2,0),4.25/2,0)/100</f>
        <v>0</v>
      </c>
      <c r="K318" s="4" t="str">
        <f t="shared" si="31"/>
        <v>201430</v>
      </c>
      <c r="L318" s="14">
        <f t="shared" si="32"/>
        <v>41844</v>
      </c>
      <c r="M318" s="39">
        <f t="shared" si="33"/>
        <v>2.045255596819506E-2</v>
      </c>
      <c r="N318" s="39">
        <f t="shared" si="34"/>
        <v>1.9203447158089389E-3</v>
      </c>
      <c r="O318" s="39">
        <f t="shared" si="35"/>
        <v>3.251008617315582E-3</v>
      </c>
      <c r="P318" s="39">
        <f t="shared" si="36"/>
        <v>2.022768998990138E-4</v>
      </c>
      <c r="AC318" s="14"/>
    </row>
    <row r="319" spans="3:29" x14ac:dyDescent="0.75">
      <c r="C319" s="4">
        <v>3</v>
      </c>
      <c r="D319" s="58">
        <v>41843</v>
      </c>
      <c r="E319" s="5">
        <f>+VLOOKUP(D319,'Prezzi Trade'!$I$9:$J$468,2,0)</f>
        <v>20.81</v>
      </c>
      <c r="F319" s="5">
        <f>+VLOOKUP(D319,'Prezzi Trade'!$K$9:$L$468,2,0)</f>
        <v>130.06</v>
      </c>
      <c r="G319" s="5">
        <f>+VLOOKUP(D319,'Prezzi Trade'!$M$9:$N$468,2,0)/VLOOKUP(D319,'Prezzi Trade'!$O$9:$P$468,2,0)</f>
        <v>912.7079619726677</v>
      </c>
      <c r="H319" s="5">
        <f>+(VLOOKUP(D319,'Prezzi FI'!$C$8:$D$468,2,0)+VLOOKUP(D319,'Prezzi FI'!$H$8:$I$467,2,0))/100</f>
        <v>1.1641278999999998</v>
      </c>
      <c r="I319" s="5">
        <f>+IF(VLOOKUP(D319,'Prezzi FI'!$H$8:$I$467,2,0)&lt;VLOOKUP(D320,'Prezzi FI'!$H$8:$I$467,2,0),4.25/2,0)/100</f>
        <v>0</v>
      </c>
      <c r="K319" s="4" t="str">
        <f t="shared" si="31"/>
        <v>201430</v>
      </c>
      <c r="L319" s="14">
        <f t="shared" si="32"/>
        <v>41843</v>
      </c>
      <c r="M319" s="39">
        <f t="shared" si="33"/>
        <v>-1.9203078392675641E-3</v>
      </c>
      <c r="N319" s="39">
        <f t="shared" si="34"/>
        <v>1.6929592346700305E-3</v>
      </c>
      <c r="O319" s="39">
        <f t="shared" si="35"/>
        <v>-1.0776454695009591E-3</v>
      </c>
      <c r="P319" s="39">
        <f t="shared" si="36"/>
        <v>1.9402419492474416E-3</v>
      </c>
      <c r="AC319" s="14"/>
    </row>
    <row r="320" spans="3:29" x14ac:dyDescent="0.75">
      <c r="C320" s="4">
        <v>2</v>
      </c>
      <c r="D320" s="58">
        <v>41842</v>
      </c>
      <c r="E320" s="5">
        <f>+VLOOKUP(D320,'Prezzi Trade'!$I$9:$J$468,2,0)</f>
        <v>20.85</v>
      </c>
      <c r="F320" s="5">
        <f>+VLOOKUP(D320,'Prezzi Trade'!$K$9:$L$468,2,0)</f>
        <v>129.84</v>
      </c>
      <c r="G320" s="5">
        <f>+VLOOKUP(D320,'Prezzi Trade'!$M$9:$N$468,2,0)/VLOOKUP(D320,'Prezzi Trade'!$O$9:$P$468,2,0)</f>
        <v>913.69206773618532</v>
      </c>
      <c r="H320" s="5">
        <f>+(VLOOKUP(D320,'Prezzi FI'!$C$8:$D$468,2,0)+VLOOKUP(D320,'Prezzi FI'!$H$8:$I$467,2,0))/100</f>
        <v>1.1618713999999999</v>
      </c>
      <c r="I320" s="5">
        <f>+IF(VLOOKUP(D320,'Prezzi FI'!$H$8:$I$467,2,0)&lt;VLOOKUP(D321,'Prezzi FI'!$H$8:$I$467,2,0),4.25/2,0)/100</f>
        <v>0</v>
      </c>
      <c r="K320" s="4" t="str">
        <f t="shared" si="31"/>
        <v>201430</v>
      </c>
      <c r="L320" s="14">
        <f t="shared" si="32"/>
        <v>41842</v>
      </c>
      <c r="M320" s="39">
        <f t="shared" si="33"/>
        <v>1.9860182909306863E-2</v>
      </c>
      <c r="N320" s="39">
        <f t="shared" si="34"/>
        <v>1.3023439886286823E-2</v>
      </c>
      <c r="O320" s="39">
        <f t="shared" si="35"/>
        <v>6.2072074104014838E-3</v>
      </c>
      <c r="P320" s="39">
        <f t="shared" si="36"/>
        <v>-6.7497596589579864E-4</v>
      </c>
      <c r="AC320" s="14"/>
    </row>
    <row r="321" spans="3:29" x14ac:dyDescent="0.75">
      <c r="C321" s="4">
        <v>1</v>
      </c>
      <c r="D321" s="58">
        <v>41841</v>
      </c>
      <c r="E321" s="5">
        <f>+VLOOKUP(D321,'Prezzi Trade'!$I$9:$J$468,2,0)</f>
        <v>20.440000000000001</v>
      </c>
      <c r="F321" s="5">
        <f>+VLOOKUP(D321,'Prezzi Trade'!$K$9:$L$468,2,0)</f>
        <v>128.16</v>
      </c>
      <c r="G321" s="5">
        <f>+VLOOKUP(D321,'Prezzi Trade'!$M$9:$N$468,2,0)/VLOOKUP(D321,'Prezzi Trade'!$O$9:$P$468,2,0)</f>
        <v>908.03815721363605</v>
      </c>
      <c r="H321" s="5">
        <f>+(VLOOKUP(D321,'Prezzi FI'!$C$8:$D$468,2,0)+VLOOKUP(D321,'Prezzi FI'!$H$8:$I$467,2,0))/100</f>
        <v>1.1626558999999999</v>
      </c>
      <c r="I321" s="5">
        <f>+IF(VLOOKUP(D321,'Prezzi FI'!$H$8:$I$467,2,0)&lt;VLOOKUP(D322,'Prezzi FI'!$H$8:$I$467,2,0),4.25/2,0)/100</f>
        <v>0</v>
      </c>
      <c r="K321" s="4" t="str">
        <f t="shared" si="31"/>
        <v>201430</v>
      </c>
      <c r="L321" s="14">
        <f t="shared" si="32"/>
        <v>41841</v>
      </c>
      <c r="M321" s="39">
        <f t="shared" si="33"/>
        <v>-1.5534292962184233E-2</v>
      </c>
      <c r="N321" s="39">
        <f t="shared" si="34"/>
        <v>-4.826038789988352E-3</v>
      </c>
      <c r="O321" s="39">
        <f t="shared" si="35"/>
        <v>-1.8254893999140119E-4</v>
      </c>
      <c r="P321" s="39">
        <f t="shared" si="36"/>
        <v>1.5196601331038566E-3</v>
      </c>
      <c r="AC321" s="14"/>
    </row>
    <row r="322" spans="3:29" x14ac:dyDescent="0.75">
      <c r="C322" s="4">
        <v>5</v>
      </c>
      <c r="D322" s="58">
        <v>41838</v>
      </c>
      <c r="E322" s="5">
        <f>+VLOOKUP(D322,'Prezzi Trade'!$I$9:$J$468,2,0)</f>
        <v>20.76</v>
      </c>
      <c r="F322" s="5">
        <f>+VLOOKUP(D322,'Prezzi Trade'!$K$9:$L$468,2,0)</f>
        <v>128.78</v>
      </c>
      <c r="G322" s="5">
        <f>+VLOOKUP(D322,'Prezzi Trade'!$M$9:$N$468,2,0)/VLOOKUP(D322,'Prezzi Trade'!$O$9:$P$468,2,0)</f>
        <v>908.20393374741207</v>
      </c>
      <c r="H322" s="5">
        <f>+(VLOOKUP(D322,'Prezzi FI'!$C$8:$D$468,2,0)+VLOOKUP(D322,'Prezzi FI'!$H$8:$I$467,2,0))/100</f>
        <v>1.1608904</v>
      </c>
      <c r="I322" s="5">
        <f>+IF(VLOOKUP(D322,'Prezzi FI'!$H$8:$I$467,2,0)&lt;VLOOKUP(D323,'Prezzi FI'!$H$8:$I$467,2,0),4.25/2,0)/100</f>
        <v>0</v>
      </c>
      <c r="K322" s="4" t="str">
        <f t="shared" si="31"/>
        <v>201429</v>
      </c>
      <c r="L322" s="14">
        <f t="shared" si="32"/>
        <v>41838</v>
      </c>
      <c r="M322" s="39">
        <f t="shared" si="33"/>
        <v>5.5548989596343242E-3</v>
      </c>
      <c r="N322" s="39">
        <f t="shared" si="34"/>
        <v>1.2432014033202197E-3</v>
      </c>
      <c r="O322" s="39">
        <f t="shared" si="35"/>
        <v>-3.1400047640116609E-3</v>
      </c>
      <c r="P322" s="39">
        <f t="shared" si="36"/>
        <v>-1.0112119678601843E-3</v>
      </c>
      <c r="AC322" s="14"/>
    </row>
    <row r="323" spans="3:29" x14ac:dyDescent="0.75">
      <c r="C323" s="4">
        <v>4</v>
      </c>
      <c r="D323" s="58">
        <v>41837</v>
      </c>
      <c r="E323" s="5">
        <f>+VLOOKUP(D323,'Prezzi Trade'!$I$9:$J$468,2,0)</f>
        <v>20.645</v>
      </c>
      <c r="F323" s="5">
        <f>+VLOOKUP(D323,'Prezzi Trade'!$K$9:$L$468,2,0)</f>
        <v>128.62</v>
      </c>
      <c r="G323" s="5">
        <f>+VLOOKUP(D323,'Prezzi Trade'!$M$9:$N$468,2,0)/VLOOKUP(D323,'Prezzi Trade'!$O$9:$P$468,2,0)</f>
        <v>911.0601803933165</v>
      </c>
      <c r="H323" s="5">
        <f>+(VLOOKUP(D323,'Prezzi FI'!$C$8:$D$468,2,0)+VLOOKUP(D323,'Prezzi FI'!$H$8:$I$467,2,0))/100</f>
        <v>1.1620649000000001</v>
      </c>
      <c r="I323" s="5">
        <f>+IF(VLOOKUP(D323,'Prezzi FI'!$H$8:$I$467,2,0)&lt;VLOOKUP(D324,'Prezzi FI'!$H$8:$I$467,2,0),4.25/2,0)/100</f>
        <v>0</v>
      </c>
      <c r="K323" s="4" t="str">
        <f t="shared" si="31"/>
        <v>201429</v>
      </c>
      <c r="L323" s="14">
        <f t="shared" si="32"/>
        <v>41837</v>
      </c>
      <c r="M323" s="39">
        <f t="shared" si="33"/>
        <v>-2.0139736092926328E-2</v>
      </c>
      <c r="N323" s="39">
        <f t="shared" si="34"/>
        <v>-3.1051103973785813E-3</v>
      </c>
      <c r="O323" s="39">
        <f t="shared" si="35"/>
        <v>-3.0759967930228884E-3</v>
      </c>
      <c r="P323" s="39">
        <f t="shared" si="36"/>
        <v>1.6841116344784831E-3</v>
      </c>
      <c r="AC323" s="14"/>
    </row>
    <row r="324" spans="3:29" x14ac:dyDescent="0.75">
      <c r="C324" s="4">
        <v>3</v>
      </c>
      <c r="D324" s="58">
        <v>41836</v>
      </c>
      <c r="E324" s="5">
        <f>+VLOOKUP(D324,'Prezzi Trade'!$I$9:$J$468,2,0)</f>
        <v>21.065000000000001</v>
      </c>
      <c r="F324" s="5">
        <f>+VLOOKUP(D324,'Prezzi Trade'!$K$9:$L$468,2,0)</f>
        <v>129.02000000000001</v>
      </c>
      <c r="G324" s="5">
        <f>+VLOOKUP(D324,'Prezzi Trade'!$M$9:$N$468,2,0)/VLOOKUP(D324,'Prezzi Trade'!$O$9:$P$468,2,0)</f>
        <v>913.86691312384482</v>
      </c>
      <c r="H324" s="5">
        <f>+(VLOOKUP(D324,'Prezzi FI'!$C$8:$D$468,2,0)+VLOOKUP(D324,'Prezzi FI'!$H$8:$I$467,2,0))/100</f>
        <v>1.1601094999999999</v>
      </c>
      <c r="I324" s="5">
        <f>+IF(VLOOKUP(D324,'Prezzi FI'!$H$8:$I$467,2,0)&lt;VLOOKUP(D325,'Prezzi FI'!$H$8:$I$467,2,0),4.25/2,0)/100</f>
        <v>0</v>
      </c>
      <c r="K324" s="4" t="str">
        <f t="shared" si="31"/>
        <v>201429</v>
      </c>
      <c r="L324" s="14">
        <f t="shared" si="32"/>
        <v>41836</v>
      </c>
      <c r="M324" s="39">
        <f t="shared" si="33"/>
        <v>3.1098082694460422E-2</v>
      </c>
      <c r="N324" s="39">
        <f t="shared" si="34"/>
        <v>7.5466184585614385E-3</v>
      </c>
      <c r="O324" s="39">
        <f t="shared" si="35"/>
        <v>8.9446656367428278E-3</v>
      </c>
      <c r="P324" s="39">
        <f t="shared" si="36"/>
        <v>2.2147418986013796E-3</v>
      </c>
      <c r="AC324" s="14"/>
    </row>
    <row r="325" spans="3:29" x14ac:dyDescent="0.75">
      <c r="C325" s="4">
        <v>2</v>
      </c>
      <c r="D325" s="58">
        <v>41835</v>
      </c>
      <c r="E325" s="5">
        <f>+VLOOKUP(D325,'Prezzi Trade'!$I$9:$J$468,2,0)</f>
        <v>20.420000000000002</v>
      </c>
      <c r="F325" s="5">
        <f>+VLOOKUP(D325,'Prezzi Trade'!$K$9:$L$468,2,0)</f>
        <v>128.05000000000001</v>
      </c>
      <c r="G325" s="5">
        <f>+VLOOKUP(D325,'Prezzi Trade'!$M$9:$N$468,2,0)/VLOOKUP(D325,'Prezzi Trade'!$O$9:$P$468,2,0)</f>
        <v>905.72912828826168</v>
      </c>
      <c r="H325" s="5">
        <f>+(VLOOKUP(D325,'Prezzi FI'!$C$8:$D$468,2,0)+VLOOKUP(D325,'Prezzi FI'!$H$8:$I$467,2,0))/100</f>
        <v>1.157543</v>
      </c>
      <c r="I325" s="5">
        <f>+IF(VLOOKUP(D325,'Prezzi FI'!$H$8:$I$467,2,0)&lt;VLOOKUP(D326,'Prezzi FI'!$H$8:$I$467,2,0),4.25/2,0)/100</f>
        <v>0</v>
      </c>
      <c r="K325" s="4" t="str">
        <f t="shared" si="31"/>
        <v>201429</v>
      </c>
      <c r="L325" s="14">
        <f t="shared" si="32"/>
        <v>41835</v>
      </c>
      <c r="M325" s="39">
        <f t="shared" si="33"/>
        <v>-1.2652236903708775E-2</v>
      </c>
      <c r="N325" s="39">
        <f t="shared" si="34"/>
        <v>-1.5617679244595971E-4</v>
      </c>
      <c r="O325" s="39">
        <f t="shared" si="35"/>
        <v>-1.4925876146992033E-3</v>
      </c>
      <c r="P325" s="39">
        <f t="shared" si="36"/>
        <v>1.3793013223519913E-3</v>
      </c>
      <c r="AC325" s="14"/>
    </row>
    <row r="326" spans="3:29" x14ac:dyDescent="0.75">
      <c r="C326" s="4">
        <v>1</v>
      </c>
      <c r="D326" s="58">
        <v>41834</v>
      </c>
      <c r="E326" s="5">
        <f>+VLOOKUP(D326,'Prezzi Trade'!$I$9:$J$468,2,0)</f>
        <v>20.68</v>
      </c>
      <c r="F326" s="5">
        <f>+VLOOKUP(D326,'Prezzi Trade'!$K$9:$L$468,2,0)</f>
        <v>128.07</v>
      </c>
      <c r="G326" s="5">
        <f>+VLOOKUP(D326,'Prezzi Trade'!$M$9:$N$468,2,0)/VLOOKUP(D326,'Prezzi Trade'!$O$9:$P$468,2,0)</f>
        <v>907.08201776929286</v>
      </c>
      <c r="H326" s="5">
        <f>+(VLOOKUP(D326,'Prezzi FI'!$C$8:$D$468,2,0)+VLOOKUP(D326,'Prezzi FI'!$H$8:$I$467,2,0))/100</f>
        <v>1.1559475000000001</v>
      </c>
      <c r="I326" s="5">
        <f>+IF(VLOOKUP(D326,'Prezzi FI'!$H$8:$I$467,2,0)&lt;VLOOKUP(D327,'Prezzi FI'!$H$8:$I$467,2,0),4.25/2,0)/100</f>
        <v>0</v>
      </c>
      <c r="K326" s="4" t="str">
        <f t="shared" ref="K326:K389" si="37">+YEAR( L326) &amp; WEEKNUM(L326,2)</f>
        <v>201429</v>
      </c>
      <c r="L326" s="14">
        <f t="shared" ref="L326:L389" si="38">+D326</f>
        <v>41834</v>
      </c>
      <c r="M326" s="39">
        <f t="shared" ref="M326:M389" si="39">+LN(E326/E327)</f>
        <v>1.9361090268664007E-3</v>
      </c>
      <c r="N326" s="39">
        <f t="shared" ref="N326:N389" si="40">+LN(F326/F327)</f>
        <v>6.03048387461959E-3</v>
      </c>
      <c r="O326" s="39">
        <f t="shared" ref="O326:O389" si="41">+LN(G326/G327)</f>
        <v>-2.4175984169712548E-3</v>
      </c>
      <c r="P326" s="39">
        <f t="shared" ref="P326:P389" si="42">+LN((H326+I326)/H327)</f>
        <v>3.2489451488777613E-4</v>
      </c>
      <c r="AC326" s="14"/>
    </row>
    <row r="327" spans="3:29" x14ac:dyDescent="0.75">
      <c r="C327" s="4">
        <v>5</v>
      </c>
      <c r="D327" s="58">
        <v>41831</v>
      </c>
      <c r="E327" s="5">
        <f>+VLOOKUP(D327,'Prezzi Trade'!$I$9:$J$468,2,0)</f>
        <v>20.64</v>
      </c>
      <c r="F327" s="5">
        <f>+VLOOKUP(D327,'Prezzi Trade'!$K$9:$L$468,2,0)</f>
        <v>127.3</v>
      </c>
      <c r="G327" s="5">
        <f>+VLOOKUP(D327,'Prezzi Trade'!$M$9:$N$468,2,0)/VLOOKUP(D327,'Prezzi Trade'!$O$9:$P$468,2,0)</f>
        <v>909.27763080540865</v>
      </c>
      <c r="H327" s="5">
        <f>+(VLOOKUP(D327,'Prezzi FI'!$C$8:$D$468,2,0)+VLOOKUP(D327,'Prezzi FI'!$H$8:$I$467,2,0))/100</f>
        <v>1.155572</v>
      </c>
      <c r="I327" s="5">
        <f>+IF(VLOOKUP(D327,'Prezzi FI'!$H$8:$I$467,2,0)&lt;VLOOKUP(D328,'Prezzi FI'!$H$8:$I$467,2,0),4.25/2,0)/100</f>
        <v>0</v>
      </c>
      <c r="K327" s="4" t="str">
        <f t="shared" si="37"/>
        <v>201428</v>
      </c>
      <c r="L327" s="14">
        <f t="shared" si="38"/>
        <v>41831</v>
      </c>
      <c r="M327" s="39">
        <f t="shared" si="39"/>
        <v>6.5621817693394457E-3</v>
      </c>
      <c r="N327" s="39">
        <f t="shared" si="40"/>
        <v>2.5956674816606791E-3</v>
      </c>
      <c r="O327" s="39">
        <f t="shared" si="41"/>
        <v>-3.9069623616853526E-3</v>
      </c>
      <c r="P327" s="39">
        <f t="shared" si="42"/>
        <v>1.971096003721941E-3</v>
      </c>
      <c r="AC327" s="14"/>
    </row>
    <row r="328" spans="3:29" x14ac:dyDescent="0.75">
      <c r="C328" s="4">
        <v>4</v>
      </c>
      <c r="D328" s="58">
        <v>41830</v>
      </c>
      <c r="E328" s="5">
        <f>+VLOOKUP(D328,'Prezzi Trade'!$I$9:$J$468,2,0)</f>
        <v>20.504999999999999</v>
      </c>
      <c r="F328" s="5">
        <f>+VLOOKUP(D328,'Prezzi Trade'!$K$9:$L$468,2,0)</f>
        <v>126.97</v>
      </c>
      <c r="G328" s="5">
        <f>+VLOOKUP(D328,'Prezzi Trade'!$M$9:$N$468,2,0)/VLOOKUP(D328,'Prezzi Trade'!$O$9:$P$468,2,0)</f>
        <v>912.83709310015433</v>
      </c>
      <c r="H328" s="5">
        <f>+(VLOOKUP(D328,'Prezzi FI'!$C$8:$D$468,2,0)+VLOOKUP(D328,'Prezzi FI'!$H$8:$I$467,2,0))/100</f>
        <v>1.1532964999999999</v>
      </c>
      <c r="I328" s="5">
        <f>+IF(VLOOKUP(D328,'Prezzi FI'!$H$8:$I$467,2,0)&lt;VLOOKUP(D329,'Prezzi FI'!$H$8:$I$467,2,0),4.25/2,0)/100</f>
        <v>0</v>
      </c>
      <c r="K328" s="4" t="str">
        <f t="shared" si="37"/>
        <v>201428</v>
      </c>
      <c r="L328" s="14">
        <f t="shared" si="38"/>
        <v>41830</v>
      </c>
      <c r="M328" s="39">
        <f t="shared" si="39"/>
        <v>-1.8841137055856157E-2</v>
      </c>
      <c r="N328" s="39">
        <f t="shared" si="40"/>
        <v>-4.9495328289894279E-3</v>
      </c>
      <c r="O328" s="39">
        <f t="shared" si="41"/>
        <v>-2.1094741082750236E-3</v>
      </c>
      <c r="P328" s="39">
        <f t="shared" si="42"/>
        <v>-2.740116206990848E-3</v>
      </c>
      <c r="AC328" s="14"/>
    </row>
    <row r="329" spans="3:29" x14ac:dyDescent="0.75">
      <c r="C329" s="4">
        <v>3</v>
      </c>
      <c r="D329" s="58">
        <v>41829</v>
      </c>
      <c r="E329" s="5">
        <f>+VLOOKUP(D329,'Prezzi Trade'!$I$9:$J$468,2,0)</f>
        <v>20.895</v>
      </c>
      <c r="F329" s="5">
        <f>+VLOOKUP(D329,'Prezzi Trade'!$K$9:$L$468,2,0)</f>
        <v>127.6</v>
      </c>
      <c r="G329" s="5">
        <f>+VLOOKUP(D329,'Prezzi Trade'!$M$9:$N$468,2,0)/VLOOKUP(D329,'Prezzi Trade'!$O$9:$P$468,2,0)</f>
        <v>914.76473175021988</v>
      </c>
      <c r="H329" s="5">
        <f>+(VLOOKUP(D329,'Prezzi FI'!$C$8:$D$468,2,0)+VLOOKUP(D329,'Prezzi FI'!$H$8:$I$467,2,0))/100</f>
        <v>1.156461</v>
      </c>
      <c r="I329" s="5">
        <f>+IF(VLOOKUP(D329,'Prezzi FI'!$H$8:$I$467,2,0)&lt;VLOOKUP(D330,'Prezzi FI'!$H$8:$I$467,2,0),4.25/2,0)/100</f>
        <v>0</v>
      </c>
      <c r="K329" s="4" t="str">
        <f t="shared" si="37"/>
        <v>201428</v>
      </c>
      <c r="L329" s="14">
        <f t="shared" si="38"/>
        <v>41829</v>
      </c>
      <c r="M329" s="39">
        <f t="shared" si="39"/>
        <v>-8.8148277732827632E-3</v>
      </c>
      <c r="N329" s="39">
        <f t="shared" si="40"/>
        <v>-1.0989549826355667E-2</v>
      </c>
      <c r="O329" s="39">
        <f t="shared" si="41"/>
        <v>-5.8289379195463767E-3</v>
      </c>
      <c r="P329" s="39">
        <f t="shared" si="42"/>
        <v>-1.0488582529538844E-3</v>
      </c>
      <c r="AC329" s="14"/>
    </row>
    <row r="330" spans="3:29" x14ac:dyDescent="0.75">
      <c r="C330" s="4">
        <v>2</v>
      </c>
      <c r="D330" s="58">
        <v>41828</v>
      </c>
      <c r="E330" s="5">
        <f>+VLOOKUP(D330,'Prezzi Trade'!$I$9:$J$468,2,0)</f>
        <v>21.08</v>
      </c>
      <c r="F330" s="5">
        <f>+VLOOKUP(D330,'Prezzi Trade'!$K$9:$L$468,2,0)</f>
        <v>129.01</v>
      </c>
      <c r="G330" s="5">
        <f>+VLOOKUP(D330,'Prezzi Trade'!$M$9:$N$468,2,0)/VLOOKUP(D330,'Prezzi Trade'!$O$9:$P$468,2,0)</f>
        <v>920.11240908089053</v>
      </c>
      <c r="H330" s="5">
        <f>+(VLOOKUP(D330,'Prezzi FI'!$C$8:$D$468,2,0)+VLOOKUP(D330,'Prezzi FI'!$H$8:$I$467,2,0))/100</f>
        <v>1.1576746</v>
      </c>
      <c r="I330" s="5">
        <f>+IF(VLOOKUP(D330,'Prezzi FI'!$H$8:$I$467,2,0)&lt;VLOOKUP(D331,'Prezzi FI'!$H$8:$I$467,2,0),4.25/2,0)/100</f>
        <v>0</v>
      </c>
      <c r="K330" s="4" t="str">
        <f t="shared" si="37"/>
        <v>201428</v>
      </c>
      <c r="L330" s="14">
        <f t="shared" si="38"/>
        <v>41828</v>
      </c>
      <c r="M330" s="39">
        <f t="shared" si="39"/>
        <v>-2.7373331518711141E-2</v>
      </c>
      <c r="N330" s="39">
        <f t="shared" si="40"/>
        <v>-9.1050011722606013E-3</v>
      </c>
      <c r="O330" s="39">
        <f t="shared" si="41"/>
        <v>-1.7433402336228148E-3</v>
      </c>
      <c r="P330" s="39">
        <f t="shared" si="42"/>
        <v>-1.5230157597137734E-3</v>
      </c>
      <c r="AC330" s="14"/>
    </row>
    <row r="331" spans="3:29" x14ac:dyDescent="0.75">
      <c r="C331" s="4">
        <v>1</v>
      </c>
      <c r="D331" s="58">
        <v>41827</v>
      </c>
      <c r="E331" s="5">
        <f>+VLOOKUP(D331,'Prezzi Trade'!$I$9:$J$468,2,0)</f>
        <v>21.664999999999999</v>
      </c>
      <c r="F331" s="5">
        <f>+VLOOKUP(D331,'Prezzi Trade'!$K$9:$L$468,2,0)</f>
        <v>130.19</v>
      </c>
      <c r="G331" s="5">
        <f>+VLOOKUP(D331,'Prezzi Trade'!$M$9:$N$468,2,0)/VLOOKUP(D331,'Prezzi Trade'!$O$9:$P$468,2,0)</f>
        <v>921.71787709497198</v>
      </c>
      <c r="H331" s="5">
        <f>+(VLOOKUP(D331,'Prezzi FI'!$C$8:$D$468,2,0)+VLOOKUP(D331,'Prezzi FI'!$H$8:$I$467,2,0))/100</f>
        <v>1.1594390999999999</v>
      </c>
      <c r="I331" s="5">
        <f>+IF(VLOOKUP(D331,'Prezzi FI'!$H$8:$I$467,2,0)&lt;VLOOKUP(D332,'Prezzi FI'!$H$8:$I$467,2,0),4.25/2,0)/100</f>
        <v>0</v>
      </c>
      <c r="K331" s="4" t="str">
        <f t="shared" si="37"/>
        <v>201428</v>
      </c>
      <c r="L331" s="14">
        <f t="shared" si="38"/>
        <v>41827</v>
      </c>
      <c r="M331" s="39">
        <f t="shared" si="39"/>
        <v>-1.2613399655211528E-2</v>
      </c>
      <c r="N331" s="39">
        <f t="shared" si="40"/>
        <v>-4.9038486134791179E-3</v>
      </c>
      <c r="O331" s="39">
        <f t="shared" si="41"/>
        <v>-7.7193179780052175E-3</v>
      </c>
      <c r="P331" s="39">
        <f t="shared" si="42"/>
        <v>1.6000395429317696E-4</v>
      </c>
      <c r="AC331" s="14"/>
    </row>
    <row r="332" spans="3:29" x14ac:dyDescent="0.75">
      <c r="C332" s="4">
        <v>5</v>
      </c>
      <c r="D332" s="58">
        <v>41824</v>
      </c>
      <c r="E332" s="5">
        <f>+VLOOKUP(D332,'Prezzi Trade'!$I$9:$J$468,2,0)</f>
        <v>21.94</v>
      </c>
      <c r="F332" s="5">
        <f>+VLOOKUP(D332,'Prezzi Trade'!$K$9:$L$468,2,0)</f>
        <v>130.83000000000001</v>
      </c>
      <c r="G332" s="5">
        <f>+VLOOKUP(D332,'Prezzi Trade'!$M$9:$N$468,2,0)/VLOOKUP(D332,'Prezzi Trade'!$O$9:$P$468,2,0)</f>
        <v>928.8604428750092</v>
      </c>
      <c r="H332" s="5">
        <f>+(VLOOKUP(D332,'Prezzi FI'!$C$8:$D$468,2,0)+VLOOKUP(D332,'Prezzi FI'!$H$8:$I$467,2,0))/100</f>
        <v>1.1592536000000002</v>
      </c>
      <c r="I332" s="5">
        <f>+IF(VLOOKUP(D332,'Prezzi FI'!$H$8:$I$467,2,0)&lt;VLOOKUP(D333,'Prezzi FI'!$H$8:$I$467,2,0),4.25/2,0)/100</f>
        <v>0</v>
      </c>
      <c r="K332" s="4" t="str">
        <f t="shared" si="37"/>
        <v>201427</v>
      </c>
      <c r="L332" s="14">
        <f t="shared" si="38"/>
        <v>41824</v>
      </c>
      <c r="M332" s="39">
        <f t="shared" si="39"/>
        <v>-1.4704483926581519E-2</v>
      </c>
      <c r="N332" s="39">
        <f t="shared" si="40"/>
        <v>-5.3490239306943125E-4</v>
      </c>
      <c r="O332" s="39">
        <f t="shared" si="41"/>
        <v>-6.2940987669402113E-4</v>
      </c>
      <c r="P332" s="39">
        <f t="shared" si="42"/>
        <v>2.33655690890051E-3</v>
      </c>
      <c r="AC332" s="14"/>
    </row>
    <row r="333" spans="3:29" x14ac:dyDescent="0.75">
      <c r="C333" s="4">
        <v>4</v>
      </c>
      <c r="D333" s="58">
        <v>41823</v>
      </c>
      <c r="E333" s="5">
        <f>+VLOOKUP(D333,'Prezzi Trade'!$I$9:$J$468,2,0)</f>
        <v>22.265000000000001</v>
      </c>
      <c r="F333" s="5">
        <f>+VLOOKUP(D333,'Prezzi Trade'!$K$9:$L$468,2,0)</f>
        <v>130.9</v>
      </c>
      <c r="G333" s="5">
        <f>+VLOOKUP(D333,'Prezzi Trade'!$M$9:$N$468,2,0)/VLOOKUP(D333,'Prezzi Trade'!$O$9:$P$468,2,0)</f>
        <v>929.44526083761934</v>
      </c>
      <c r="H333" s="5">
        <f>+(VLOOKUP(D333,'Prezzi FI'!$C$8:$D$468,2,0)+VLOOKUP(D333,'Prezzi FI'!$H$8:$I$467,2,0))/100</f>
        <v>1.1565481000000002</v>
      </c>
      <c r="I333" s="5">
        <f>+IF(VLOOKUP(D333,'Prezzi FI'!$H$8:$I$467,2,0)&lt;VLOOKUP(D334,'Prezzi FI'!$H$8:$I$467,2,0),4.25/2,0)/100</f>
        <v>0</v>
      </c>
      <c r="K333" s="4" t="str">
        <f t="shared" si="37"/>
        <v>201427</v>
      </c>
      <c r="L333" s="14">
        <f t="shared" si="38"/>
        <v>41823</v>
      </c>
      <c r="M333" s="39">
        <f t="shared" si="39"/>
        <v>8.7967185050205985E-3</v>
      </c>
      <c r="N333" s="39">
        <f t="shared" si="40"/>
        <v>7.3608674634694183E-3</v>
      </c>
      <c r="O333" s="39">
        <f t="shared" si="41"/>
        <v>2.2745148409502921E-3</v>
      </c>
      <c r="P333" s="39">
        <f t="shared" si="42"/>
        <v>1.5883109905109312E-3</v>
      </c>
      <c r="AC333" s="14"/>
    </row>
    <row r="334" spans="3:29" x14ac:dyDescent="0.75">
      <c r="C334" s="4">
        <v>3</v>
      </c>
      <c r="D334" s="58">
        <v>41822</v>
      </c>
      <c r="E334" s="5">
        <f>+VLOOKUP(D334,'Prezzi Trade'!$I$9:$J$468,2,0)</f>
        <v>22.07</v>
      </c>
      <c r="F334" s="5">
        <f>+VLOOKUP(D334,'Prezzi Trade'!$K$9:$L$468,2,0)</f>
        <v>129.94</v>
      </c>
      <c r="G334" s="5">
        <f>+VLOOKUP(D334,'Prezzi Trade'!$M$9:$N$468,2,0)/VLOOKUP(D334,'Prezzi Trade'!$O$9:$P$468,2,0)</f>
        <v>927.33362618054036</v>
      </c>
      <c r="H334" s="5">
        <f>+(VLOOKUP(D334,'Prezzi FI'!$C$8:$D$468,2,0)+VLOOKUP(D334,'Prezzi FI'!$H$8:$I$467,2,0))/100</f>
        <v>1.1547126000000001</v>
      </c>
      <c r="I334" s="5">
        <f>+IF(VLOOKUP(D334,'Prezzi FI'!$H$8:$I$467,2,0)&lt;VLOOKUP(D335,'Prezzi FI'!$H$8:$I$467,2,0),4.25/2,0)/100</f>
        <v>0</v>
      </c>
      <c r="K334" s="4" t="str">
        <f t="shared" si="37"/>
        <v>201427</v>
      </c>
      <c r="L334" s="14">
        <f t="shared" si="38"/>
        <v>41822</v>
      </c>
      <c r="M334" s="39">
        <f t="shared" si="39"/>
        <v>4.5413338721262833E-3</v>
      </c>
      <c r="N334" s="39">
        <f t="shared" si="40"/>
        <v>2.9287111492563487E-3</v>
      </c>
      <c r="O334" s="39">
        <f t="shared" si="41"/>
        <v>5.9297807585459829E-3</v>
      </c>
      <c r="P334" s="39">
        <f t="shared" si="42"/>
        <v>-2.1311587641751838E-3</v>
      </c>
      <c r="AC334" s="14"/>
    </row>
    <row r="335" spans="3:29" x14ac:dyDescent="0.75">
      <c r="C335" s="4">
        <v>2</v>
      </c>
      <c r="D335" s="58">
        <v>41821</v>
      </c>
      <c r="E335" s="5">
        <f>+VLOOKUP(D335,'Prezzi Trade'!$I$9:$J$468,2,0)</f>
        <v>21.97</v>
      </c>
      <c r="F335" s="5">
        <f>+VLOOKUP(D335,'Prezzi Trade'!$K$9:$L$468,2,0)</f>
        <v>129.56</v>
      </c>
      <c r="G335" s="5">
        <f>+VLOOKUP(D335,'Prezzi Trade'!$M$9:$N$468,2,0)/VLOOKUP(D335,'Prezzi Trade'!$O$9:$P$468,2,0)</f>
        <v>921.85101250091384</v>
      </c>
      <c r="H335" s="5">
        <f>+(VLOOKUP(D335,'Prezzi FI'!$C$8:$D$468,2,0)+VLOOKUP(D335,'Prezzi FI'!$H$8:$I$467,2,0))/100</f>
        <v>1.1571761</v>
      </c>
      <c r="I335" s="5">
        <f>+IF(VLOOKUP(D335,'Prezzi FI'!$H$8:$I$467,2,0)&lt;VLOOKUP(D336,'Prezzi FI'!$H$8:$I$467,2,0),4.25/2,0)/100</f>
        <v>0</v>
      </c>
      <c r="K335" s="4" t="str">
        <f t="shared" si="37"/>
        <v>201427</v>
      </c>
      <c r="L335" s="14">
        <f t="shared" si="38"/>
        <v>41821</v>
      </c>
      <c r="M335" s="39">
        <f t="shared" si="39"/>
        <v>1.3979831204646033E-2</v>
      </c>
      <c r="N335" s="39">
        <f t="shared" si="40"/>
        <v>7.9039543599884517E-3</v>
      </c>
      <c r="O335" s="39">
        <f t="shared" si="41"/>
        <v>-1.1034458576454582E-2</v>
      </c>
      <c r="P335" s="39">
        <f t="shared" si="42"/>
        <v>6.1842033529214155E-4</v>
      </c>
      <c r="AC335" s="14"/>
    </row>
    <row r="336" spans="3:29" x14ac:dyDescent="0.75">
      <c r="C336" s="4">
        <v>1</v>
      </c>
      <c r="D336" s="58">
        <v>41820</v>
      </c>
      <c r="E336" s="5">
        <f>+VLOOKUP(D336,'Prezzi Trade'!$I$9:$J$468,2,0)</f>
        <v>21.664999999999999</v>
      </c>
      <c r="F336" s="5">
        <f>+VLOOKUP(D336,'Prezzi Trade'!$K$9:$L$468,2,0)</f>
        <v>128.54</v>
      </c>
      <c r="G336" s="5">
        <f>+VLOOKUP(D336,'Prezzi Trade'!$M$9:$N$468,2,0)/VLOOKUP(D336,'Prezzi Trade'!$O$9:$P$468,2,0)</f>
        <v>932.07946826382283</v>
      </c>
      <c r="H336" s="5">
        <f>+(VLOOKUP(D336,'Prezzi FI'!$C$8:$D$468,2,0)+VLOOKUP(D336,'Prezzi FI'!$H$8:$I$467,2,0))/100</f>
        <v>1.1564607</v>
      </c>
      <c r="I336" s="5">
        <f>+IF(VLOOKUP(D336,'Prezzi FI'!$H$8:$I$467,2,0)&lt;VLOOKUP(D337,'Prezzi FI'!$H$8:$I$467,2,0),4.25/2,0)/100</f>
        <v>0</v>
      </c>
      <c r="K336" s="4" t="str">
        <f t="shared" si="37"/>
        <v>201427</v>
      </c>
      <c r="L336" s="14">
        <f t="shared" si="38"/>
        <v>41820</v>
      </c>
      <c r="M336" s="39">
        <f t="shared" si="39"/>
        <v>-1.1532696469103874E-3</v>
      </c>
      <c r="N336" s="39">
        <f t="shared" si="40"/>
        <v>-8.553987846131526E-4</v>
      </c>
      <c r="O336" s="39">
        <f t="shared" si="41"/>
        <v>-5.4928277324592812E-3</v>
      </c>
      <c r="P336" s="39">
        <f t="shared" si="42"/>
        <v>-6.6085031492215686E-4</v>
      </c>
      <c r="AC336" s="14"/>
    </row>
    <row r="337" spans="3:29" x14ac:dyDescent="0.75">
      <c r="C337" s="4">
        <v>5</v>
      </c>
      <c r="D337" s="58">
        <v>41817</v>
      </c>
      <c r="E337" s="5">
        <f>+VLOOKUP(D337,'Prezzi Trade'!$I$9:$J$468,2,0)</f>
        <v>21.69</v>
      </c>
      <c r="F337" s="5">
        <f>+VLOOKUP(D337,'Prezzi Trade'!$K$9:$L$468,2,0)</f>
        <v>128.65</v>
      </c>
      <c r="G337" s="5">
        <f>+VLOOKUP(D337,'Prezzi Trade'!$M$9:$N$468,2,0)/VLOOKUP(D337,'Prezzi Trade'!$O$9:$P$468,2,0)</f>
        <v>937.2133069539093</v>
      </c>
      <c r="H337" s="5">
        <f>+(VLOOKUP(D337,'Prezzi FI'!$C$8:$D$468,2,0)+VLOOKUP(D337,'Prezzi FI'!$H$8:$I$467,2,0))/100</f>
        <v>1.1572252000000001</v>
      </c>
      <c r="I337" s="5">
        <f>+IF(VLOOKUP(D337,'Prezzi FI'!$H$8:$I$467,2,0)&lt;VLOOKUP(D338,'Prezzi FI'!$H$8:$I$467,2,0),4.25/2,0)/100</f>
        <v>0</v>
      </c>
      <c r="K337" s="4" t="str">
        <f t="shared" si="37"/>
        <v>201426</v>
      </c>
      <c r="L337" s="14">
        <f t="shared" si="38"/>
        <v>41817</v>
      </c>
      <c r="M337" s="39">
        <f t="shared" si="39"/>
        <v>-4.8292608515729737E-3</v>
      </c>
      <c r="N337" s="39">
        <f t="shared" si="40"/>
        <v>-7.772725510103899E-5</v>
      </c>
      <c r="O337" s="39">
        <f t="shared" si="41"/>
        <v>-1.8905684887359604E-3</v>
      </c>
      <c r="P337" s="39">
        <f t="shared" si="42"/>
        <v>2.7267209180846134E-4</v>
      </c>
      <c r="AC337" s="14"/>
    </row>
    <row r="338" spans="3:29" x14ac:dyDescent="0.75">
      <c r="C338" s="4">
        <v>4</v>
      </c>
      <c r="D338" s="58">
        <v>41816</v>
      </c>
      <c r="E338" s="5">
        <f>+VLOOKUP(D338,'Prezzi Trade'!$I$9:$J$468,2,0)</f>
        <v>21.795000000000002</v>
      </c>
      <c r="F338" s="5">
        <f>+VLOOKUP(D338,'Prezzi Trade'!$K$9:$L$468,2,0)</f>
        <v>128.66</v>
      </c>
      <c r="G338" s="5">
        <f>+VLOOKUP(D338,'Prezzi Trade'!$M$9:$N$468,2,0)/VLOOKUP(D338,'Prezzi Trade'!$O$9:$P$468,2,0)</f>
        <v>938.98684887223578</v>
      </c>
      <c r="H338" s="5">
        <f>+(VLOOKUP(D338,'Prezzi FI'!$C$8:$D$468,2,0)+VLOOKUP(D338,'Prezzi FI'!$H$8:$I$467,2,0))/100</f>
        <v>1.1569096999999999</v>
      </c>
      <c r="I338" s="5">
        <f>+IF(VLOOKUP(D338,'Prezzi FI'!$H$8:$I$467,2,0)&lt;VLOOKUP(D339,'Prezzi FI'!$H$8:$I$467,2,0),4.25/2,0)/100</f>
        <v>0</v>
      </c>
      <c r="K338" s="4" t="str">
        <f t="shared" si="37"/>
        <v>201426</v>
      </c>
      <c r="L338" s="14">
        <f t="shared" si="38"/>
        <v>41816</v>
      </c>
      <c r="M338" s="39">
        <f t="shared" si="39"/>
        <v>-2.9778970580365107E-3</v>
      </c>
      <c r="N338" s="39">
        <f t="shared" si="40"/>
        <v>6.9976288669689065E-4</v>
      </c>
      <c r="O338" s="39">
        <f t="shared" si="41"/>
        <v>-5.1936202392815643E-4</v>
      </c>
      <c r="P338" s="39">
        <f t="shared" si="42"/>
        <v>1.4925867157395806E-3</v>
      </c>
      <c r="AC338" s="14"/>
    </row>
    <row r="339" spans="3:29" x14ac:dyDescent="0.75">
      <c r="C339" s="4">
        <v>3</v>
      </c>
      <c r="D339" s="58">
        <v>41815</v>
      </c>
      <c r="E339" s="5">
        <f>+VLOOKUP(D339,'Prezzi Trade'!$I$9:$J$468,2,0)</f>
        <v>21.86</v>
      </c>
      <c r="F339" s="5">
        <f>+VLOOKUP(D339,'Prezzi Trade'!$K$9:$L$468,2,0)</f>
        <v>128.57</v>
      </c>
      <c r="G339" s="5">
        <f>+VLOOKUP(D339,'Prezzi Trade'!$M$9:$N$468,2,0)/VLOOKUP(D339,'Prezzi Trade'!$O$9:$P$468,2,0)</f>
        <v>939.47464964414121</v>
      </c>
      <c r="H339" s="5">
        <f>+(VLOOKUP(D339,'Prezzi FI'!$C$8:$D$468,2,0)+VLOOKUP(D339,'Prezzi FI'!$H$8:$I$467,2,0))/100</f>
        <v>1.1551841999999999</v>
      </c>
      <c r="I339" s="5">
        <f>+IF(VLOOKUP(D339,'Prezzi FI'!$H$8:$I$467,2,0)&lt;VLOOKUP(D340,'Prezzi FI'!$H$8:$I$467,2,0),4.25/2,0)/100</f>
        <v>0</v>
      </c>
      <c r="K339" s="4" t="str">
        <f t="shared" si="37"/>
        <v>201426</v>
      </c>
      <c r="L339" s="14">
        <f t="shared" si="38"/>
        <v>41815</v>
      </c>
      <c r="M339" s="39">
        <f t="shared" si="39"/>
        <v>-7.9736155455578089E-3</v>
      </c>
      <c r="N339" s="39">
        <f t="shared" si="40"/>
        <v>-1.029142058039647E-2</v>
      </c>
      <c r="O339" s="39">
        <f t="shared" si="41"/>
        <v>-1.7273575999470245E-3</v>
      </c>
      <c r="P339" s="39">
        <f t="shared" si="42"/>
        <v>1.2442984440915264E-3</v>
      </c>
      <c r="AC339" s="14"/>
    </row>
    <row r="340" spans="3:29" x14ac:dyDescent="0.75">
      <c r="C340" s="4">
        <v>2</v>
      </c>
      <c r="D340" s="58">
        <v>41814</v>
      </c>
      <c r="E340" s="5">
        <f>+VLOOKUP(D340,'Prezzi Trade'!$I$9:$J$468,2,0)</f>
        <v>22.035</v>
      </c>
      <c r="F340" s="5">
        <f>+VLOOKUP(D340,'Prezzi Trade'!$K$9:$L$468,2,0)</f>
        <v>129.9</v>
      </c>
      <c r="G340" s="5">
        <f>+VLOOKUP(D340,'Prezzi Trade'!$M$9:$N$468,2,0)/VLOOKUP(D340,'Prezzi Trade'!$O$9:$P$468,2,0)</f>
        <v>941.09886071297319</v>
      </c>
      <c r="H340" s="5">
        <f>+(VLOOKUP(D340,'Prezzi FI'!$C$8:$D$468,2,0)+VLOOKUP(D340,'Prezzi FI'!$H$8:$I$467,2,0))/100</f>
        <v>1.1537477</v>
      </c>
      <c r="I340" s="5">
        <f>+IF(VLOOKUP(D340,'Prezzi FI'!$H$8:$I$467,2,0)&lt;VLOOKUP(D341,'Prezzi FI'!$H$8:$I$467,2,0),4.25/2,0)/100</f>
        <v>0</v>
      </c>
      <c r="K340" s="4" t="str">
        <f t="shared" si="37"/>
        <v>201426</v>
      </c>
      <c r="L340" s="14">
        <f t="shared" si="38"/>
        <v>41814</v>
      </c>
      <c r="M340" s="39">
        <f t="shared" si="39"/>
        <v>-1.1339155314060751E-3</v>
      </c>
      <c r="N340" s="39">
        <f t="shared" si="40"/>
        <v>3.1612655958050476E-3</v>
      </c>
      <c r="O340" s="39">
        <f t="shared" si="41"/>
        <v>1.7135591510323176E-3</v>
      </c>
      <c r="P340" s="39">
        <f t="shared" si="42"/>
        <v>2.4954236420314758E-3</v>
      </c>
      <c r="AC340" s="14"/>
    </row>
    <row r="341" spans="3:29" x14ac:dyDescent="0.75">
      <c r="C341" s="4">
        <v>1</v>
      </c>
      <c r="D341" s="58">
        <v>41813</v>
      </c>
      <c r="E341" s="5">
        <f>+VLOOKUP(D341,'Prezzi Trade'!$I$9:$J$468,2,0)</f>
        <v>22.06</v>
      </c>
      <c r="F341" s="5">
        <f>+VLOOKUP(D341,'Prezzi Trade'!$K$9:$L$468,2,0)</f>
        <v>129.49</v>
      </c>
      <c r="G341" s="5">
        <f>+VLOOKUP(D341,'Prezzi Trade'!$M$9:$N$468,2,0)/VLOOKUP(D341,'Prezzi Trade'!$O$9:$P$468,2,0)</f>
        <v>939.48761302653816</v>
      </c>
      <c r="H341" s="5">
        <f>+(VLOOKUP(D341,'Prezzi FI'!$C$8:$D$468,2,0)+VLOOKUP(D341,'Prezzi FI'!$H$8:$I$467,2,0))/100</f>
        <v>1.1508722</v>
      </c>
      <c r="I341" s="5">
        <f>+IF(VLOOKUP(D341,'Prezzi FI'!$H$8:$I$467,2,0)&lt;VLOOKUP(D342,'Prezzi FI'!$H$8:$I$467,2,0),4.25/2,0)/100</f>
        <v>0</v>
      </c>
      <c r="K341" s="4" t="str">
        <f t="shared" si="37"/>
        <v>201426</v>
      </c>
      <c r="L341" s="14">
        <f t="shared" si="38"/>
        <v>41813</v>
      </c>
      <c r="M341" s="39">
        <f t="shared" si="39"/>
        <v>-1.059642425408368E-2</v>
      </c>
      <c r="N341" s="39">
        <f t="shared" si="40"/>
        <v>-3.0842803384437205E-3</v>
      </c>
      <c r="O341" s="39">
        <f t="shared" si="41"/>
        <v>-1.5715233354629803E-4</v>
      </c>
      <c r="P341" s="39">
        <f t="shared" si="42"/>
        <v>2.0749269336439438E-3</v>
      </c>
      <c r="AC341" s="14"/>
    </row>
    <row r="342" spans="3:29" x14ac:dyDescent="0.75">
      <c r="C342" s="4">
        <v>5</v>
      </c>
      <c r="D342" s="58">
        <v>41810</v>
      </c>
      <c r="E342" s="5">
        <f>+VLOOKUP(D342,'Prezzi Trade'!$I$9:$J$468,2,0)</f>
        <v>22.295000000000002</v>
      </c>
      <c r="F342" s="5">
        <f>+VLOOKUP(D342,'Prezzi Trade'!$K$9:$L$468,2,0)</f>
        <v>129.88999999999999</v>
      </c>
      <c r="G342" s="5">
        <f>+VLOOKUP(D342,'Prezzi Trade'!$M$9:$N$468,2,0)/VLOOKUP(D342,'Prezzi Trade'!$O$9:$P$468,2,0)</f>
        <v>939.63526729906596</v>
      </c>
      <c r="H342" s="5">
        <f>+(VLOOKUP(D342,'Prezzi FI'!$C$8:$D$468,2,0)+VLOOKUP(D342,'Prezzi FI'!$H$8:$I$467,2,0))/100</f>
        <v>1.1484867000000001</v>
      </c>
      <c r="I342" s="5">
        <f>+IF(VLOOKUP(D342,'Prezzi FI'!$H$8:$I$467,2,0)&lt;VLOOKUP(D343,'Prezzi FI'!$H$8:$I$467,2,0),4.25/2,0)/100</f>
        <v>0</v>
      </c>
      <c r="K342" s="4" t="str">
        <f t="shared" si="37"/>
        <v>201425</v>
      </c>
      <c r="L342" s="14">
        <f t="shared" si="38"/>
        <v>41810</v>
      </c>
      <c r="M342" s="39">
        <f t="shared" si="39"/>
        <v>-9.5972168392008464E-3</v>
      </c>
      <c r="N342" s="39">
        <f t="shared" si="40"/>
        <v>4.6299951527307565E-3</v>
      </c>
      <c r="O342" s="39">
        <f t="shared" si="41"/>
        <v>2.0399004652087876E-3</v>
      </c>
      <c r="P342" s="39">
        <f t="shared" si="42"/>
        <v>-2.0393880382089851E-3</v>
      </c>
      <c r="AC342" s="14"/>
    </row>
    <row r="343" spans="3:29" x14ac:dyDescent="0.75">
      <c r="C343" s="4">
        <v>4</v>
      </c>
      <c r="D343" s="58">
        <v>41809</v>
      </c>
      <c r="E343" s="5">
        <f>+VLOOKUP(D343,'Prezzi Trade'!$I$9:$J$468,2,0)</f>
        <v>22.51</v>
      </c>
      <c r="F343" s="5">
        <f>+VLOOKUP(D343,'Prezzi Trade'!$K$9:$L$468,2,0)</f>
        <v>129.29</v>
      </c>
      <c r="G343" s="5">
        <f>+VLOOKUP(D343,'Prezzi Trade'!$M$9:$N$468,2,0)/VLOOKUP(D343,'Prezzi Trade'!$O$9:$P$468,2,0)</f>
        <v>937.7204585537919</v>
      </c>
      <c r="H343" s="5">
        <f>+(VLOOKUP(D343,'Prezzi FI'!$C$8:$D$468,2,0)+VLOOKUP(D343,'Prezzi FI'!$H$8:$I$467,2,0))/100</f>
        <v>1.1508312999999999</v>
      </c>
      <c r="I343" s="5">
        <f>+IF(VLOOKUP(D343,'Prezzi FI'!$H$8:$I$467,2,0)&lt;VLOOKUP(D344,'Prezzi FI'!$H$8:$I$467,2,0),4.25/2,0)/100</f>
        <v>0</v>
      </c>
      <c r="K343" s="4" t="str">
        <f t="shared" si="37"/>
        <v>201425</v>
      </c>
      <c r="L343" s="14">
        <f t="shared" si="38"/>
        <v>41809</v>
      </c>
      <c r="M343" s="39">
        <f t="shared" si="39"/>
        <v>8.2525281560782877E-3</v>
      </c>
      <c r="N343" s="39">
        <f t="shared" si="40"/>
        <v>4.9624045387086689E-3</v>
      </c>
      <c r="O343" s="39">
        <f t="shared" si="41"/>
        <v>6.6077254986331088E-3</v>
      </c>
      <c r="P343" s="39">
        <f t="shared" si="42"/>
        <v>2.5278891338562114E-3</v>
      </c>
      <c r="AC343" s="14"/>
    </row>
    <row r="344" spans="3:29" x14ac:dyDescent="0.75">
      <c r="C344" s="4">
        <v>3</v>
      </c>
      <c r="D344" s="58">
        <v>41808</v>
      </c>
      <c r="E344" s="5">
        <f>+VLOOKUP(D344,'Prezzi Trade'!$I$9:$J$468,2,0)</f>
        <v>22.324999999999999</v>
      </c>
      <c r="F344" s="5">
        <f>+VLOOKUP(D344,'Prezzi Trade'!$K$9:$L$468,2,0)</f>
        <v>128.65</v>
      </c>
      <c r="G344" s="5">
        <f>+VLOOKUP(D344,'Prezzi Trade'!$M$9:$N$468,2,0)/VLOOKUP(D344,'Prezzi Trade'!$O$9:$P$468,2,0)</f>
        <v>931.54468554615664</v>
      </c>
      <c r="H344" s="5">
        <f>+(VLOOKUP(D344,'Prezzi FI'!$C$8:$D$468,2,0)+VLOOKUP(D344,'Prezzi FI'!$H$8:$I$467,2,0))/100</f>
        <v>1.1479258000000001</v>
      </c>
      <c r="I344" s="5">
        <f>+IF(VLOOKUP(D344,'Prezzi FI'!$H$8:$I$467,2,0)&lt;VLOOKUP(D345,'Prezzi FI'!$H$8:$I$467,2,0),4.25/2,0)/100</f>
        <v>0</v>
      </c>
      <c r="K344" s="4" t="str">
        <f t="shared" si="37"/>
        <v>201425</v>
      </c>
      <c r="L344" s="14">
        <f t="shared" si="38"/>
        <v>41808</v>
      </c>
      <c r="M344" s="39">
        <f t="shared" si="39"/>
        <v>2.2398924945242534E-4</v>
      </c>
      <c r="N344" s="39">
        <f t="shared" si="40"/>
        <v>-6.2164894378973683E-4</v>
      </c>
      <c r="O344" s="39">
        <f t="shared" si="41"/>
        <v>-9.4482606439602547E-4</v>
      </c>
      <c r="P344" s="39">
        <f t="shared" si="42"/>
        <v>-1.5785593614845417E-3</v>
      </c>
      <c r="AC344" s="14"/>
    </row>
    <row r="345" spans="3:29" x14ac:dyDescent="0.75">
      <c r="C345" s="4">
        <v>2</v>
      </c>
      <c r="D345" s="58">
        <v>41807</v>
      </c>
      <c r="E345" s="5">
        <f>+VLOOKUP(D345,'Prezzi Trade'!$I$9:$J$468,2,0)</f>
        <v>22.32</v>
      </c>
      <c r="F345" s="5">
        <f>+VLOOKUP(D345,'Prezzi Trade'!$K$9:$L$468,2,0)</f>
        <v>128.72999999999999</v>
      </c>
      <c r="G345" s="5">
        <f>+VLOOKUP(D345,'Prezzi Trade'!$M$9:$N$468,2,0)/VLOOKUP(D345,'Prezzi Trade'!$O$9:$P$468,2,0)</f>
        <v>932.42524916943523</v>
      </c>
      <c r="H345" s="5">
        <f>+(VLOOKUP(D345,'Prezzi FI'!$C$8:$D$468,2,0)+VLOOKUP(D345,'Prezzi FI'!$H$8:$I$467,2,0))/100</f>
        <v>1.1497393</v>
      </c>
      <c r="I345" s="5">
        <f>+IF(VLOOKUP(D345,'Prezzi FI'!$H$8:$I$467,2,0)&lt;VLOOKUP(D346,'Prezzi FI'!$H$8:$I$467,2,0),4.25/2,0)/100</f>
        <v>0</v>
      </c>
      <c r="K345" s="4" t="str">
        <f t="shared" si="37"/>
        <v>201425</v>
      </c>
      <c r="L345" s="14">
        <f t="shared" si="38"/>
        <v>41807</v>
      </c>
      <c r="M345" s="39">
        <f t="shared" si="39"/>
        <v>2.9164350452925928E-3</v>
      </c>
      <c r="N345" s="39">
        <f t="shared" si="40"/>
        <v>5.608801803524785E-3</v>
      </c>
      <c r="O345" s="39">
        <f t="shared" si="41"/>
        <v>2.8809204887232796E-3</v>
      </c>
      <c r="P345" s="39">
        <f t="shared" si="42"/>
        <v>-2.4796598395122414E-3</v>
      </c>
      <c r="AC345" s="14"/>
    </row>
    <row r="346" spans="3:29" x14ac:dyDescent="0.75">
      <c r="C346" s="4">
        <v>1</v>
      </c>
      <c r="D346" s="58">
        <v>41806</v>
      </c>
      <c r="E346" s="5">
        <f>+VLOOKUP(D346,'Prezzi Trade'!$I$9:$J$468,2,0)</f>
        <v>22.254999999999999</v>
      </c>
      <c r="F346" s="5">
        <f>+VLOOKUP(D346,'Prezzi Trade'!$K$9:$L$468,2,0)</f>
        <v>128.01</v>
      </c>
      <c r="G346" s="5">
        <f>+VLOOKUP(D346,'Prezzi Trade'!$M$9:$N$468,2,0)/VLOOKUP(D346,'Prezzi Trade'!$O$9:$P$468,2,0)</f>
        <v>929.74287187799314</v>
      </c>
      <c r="H346" s="5">
        <f>+(VLOOKUP(D346,'Prezzi FI'!$C$8:$D$468,2,0)+VLOOKUP(D346,'Prezzi FI'!$H$8:$I$467,2,0))/100</f>
        <v>1.1525938</v>
      </c>
      <c r="I346" s="5">
        <f>+IF(VLOOKUP(D346,'Prezzi FI'!$H$8:$I$467,2,0)&lt;VLOOKUP(D347,'Prezzi FI'!$H$8:$I$467,2,0),4.25/2,0)/100</f>
        <v>0</v>
      </c>
      <c r="K346" s="4" t="str">
        <f t="shared" si="37"/>
        <v>201425</v>
      </c>
      <c r="L346" s="14">
        <f t="shared" si="38"/>
        <v>41806</v>
      </c>
      <c r="M346" s="39">
        <f t="shared" si="39"/>
        <v>-9.8368778898663776E-3</v>
      </c>
      <c r="N346" s="39">
        <f t="shared" si="40"/>
        <v>-5.4534257932682658E-3</v>
      </c>
      <c r="O346" s="39">
        <f t="shared" si="41"/>
        <v>-4.1461020102903197E-5</v>
      </c>
      <c r="P346" s="39">
        <f t="shared" si="42"/>
        <v>-5.6768849660358378E-4</v>
      </c>
      <c r="AC346" s="14"/>
    </row>
    <row r="347" spans="3:29" x14ac:dyDescent="0.75">
      <c r="C347" s="4">
        <v>5</v>
      </c>
      <c r="D347" s="58">
        <v>41803</v>
      </c>
      <c r="E347" s="5">
        <f>+VLOOKUP(D347,'Prezzi Trade'!$I$9:$J$468,2,0)</f>
        <v>22.475000000000001</v>
      </c>
      <c r="F347" s="5">
        <f>+VLOOKUP(D347,'Prezzi Trade'!$K$9:$L$468,2,0)</f>
        <v>128.71</v>
      </c>
      <c r="G347" s="5">
        <f>+VLOOKUP(D347,'Prezzi Trade'!$M$9:$N$468,2,0)/VLOOKUP(D347,'Prezzi Trade'!$O$9:$P$468,2,0)</f>
        <v>929.78142076502718</v>
      </c>
      <c r="H347" s="5">
        <f>+(VLOOKUP(D347,'Prezzi FI'!$C$8:$D$468,2,0)+VLOOKUP(D347,'Prezzi FI'!$H$8:$I$467,2,0))/100</f>
        <v>1.1532483</v>
      </c>
      <c r="I347" s="5">
        <f>+IF(VLOOKUP(D347,'Prezzi FI'!$H$8:$I$467,2,0)&lt;VLOOKUP(D348,'Prezzi FI'!$H$8:$I$467,2,0),4.25/2,0)/100</f>
        <v>0</v>
      </c>
      <c r="K347" s="4" t="str">
        <f t="shared" si="37"/>
        <v>201424</v>
      </c>
      <c r="L347" s="14">
        <f t="shared" si="38"/>
        <v>41803</v>
      </c>
      <c r="M347" s="39">
        <f t="shared" si="39"/>
        <v>2.2249416044631916E-4</v>
      </c>
      <c r="N347" s="39">
        <f t="shared" si="40"/>
        <v>2.3310929046078553E-4</v>
      </c>
      <c r="O347" s="39">
        <f t="shared" si="41"/>
        <v>7.6539861231086082E-3</v>
      </c>
      <c r="P347" s="39">
        <f t="shared" si="42"/>
        <v>1.7839471315887077E-3</v>
      </c>
      <c r="AC347" s="14"/>
    </row>
    <row r="348" spans="3:29" x14ac:dyDescent="0.75">
      <c r="C348" s="4">
        <v>4</v>
      </c>
      <c r="D348" s="58">
        <v>41802</v>
      </c>
      <c r="E348" s="5">
        <f>+VLOOKUP(D348,'Prezzi Trade'!$I$9:$J$468,2,0)</f>
        <v>22.47</v>
      </c>
      <c r="F348" s="5">
        <f>+VLOOKUP(D348,'Prezzi Trade'!$K$9:$L$468,2,0)</f>
        <v>128.68</v>
      </c>
      <c r="G348" s="5">
        <f>+VLOOKUP(D348,'Prezzi Trade'!$M$9:$N$468,2,0)/VLOOKUP(D348,'Prezzi Trade'!$O$9:$P$468,2,0)</f>
        <v>922.69205224706661</v>
      </c>
      <c r="H348" s="5">
        <f>+(VLOOKUP(D348,'Prezzi FI'!$C$8:$D$468,2,0)+VLOOKUP(D348,'Prezzi FI'!$H$8:$I$467,2,0))/100</f>
        <v>1.1511928</v>
      </c>
      <c r="I348" s="5">
        <f>+IF(VLOOKUP(D348,'Prezzi FI'!$H$8:$I$467,2,0)&lt;VLOOKUP(D349,'Prezzi FI'!$H$8:$I$467,2,0),4.25/2,0)/100</f>
        <v>0</v>
      </c>
      <c r="K348" s="4" t="str">
        <f t="shared" si="37"/>
        <v>201424</v>
      </c>
      <c r="L348" s="14">
        <f t="shared" si="38"/>
        <v>41802</v>
      </c>
      <c r="M348" s="39">
        <f t="shared" si="39"/>
        <v>-3.7756846631214727E-3</v>
      </c>
      <c r="N348" s="39">
        <f t="shared" si="40"/>
        <v>-2.5612183662195179E-3</v>
      </c>
      <c r="O348" s="39">
        <f t="shared" si="41"/>
        <v>-2.2672255298670789E-4</v>
      </c>
      <c r="P348" s="39">
        <f t="shared" si="42"/>
        <v>-6.4713390712788378E-5</v>
      </c>
      <c r="AC348" s="14"/>
    </row>
    <row r="349" spans="3:29" x14ac:dyDescent="0.75">
      <c r="C349" s="4">
        <v>3</v>
      </c>
      <c r="D349" s="58">
        <v>41801</v>
      </c>
      <c r="E349" s="5">
        <f>+VLOOKUP(D349,'Prezzi Trade'!$I$9:$J$468,2,0)</f>
        <v>22.555</v>
      </c>
      <c r="F349" s="5">
        <f>+VLOOKUP(D349,'Prezzi Trade'!$K$9:$L$468,2,0)</f>
        <v>129.01</v>
      </c>
      <c r="G349" s="5">
        <f>+VLOOKUP(D349,'Prezzi Trade'!$M$9:$N$468,2,0)/VLOOKUP(D349,'Prezzi Trade'!$O$9:$P$468,2,0)</f>
        <v>922.90127106118825</v>
      </c>
      <c r="H349" s="5">
        <f>+(VLOOKUP(D349,'Prezzi FI'!$C$8:$D$468,2,0)+VLOOKUP(D349,'Prezzi FI'!$H$8:$I$467,2,0))/100</f>
        <v>1.1512673</v>
      </c>
      <c r="I349" s="5">
        <f>+IF(VLOOKUP(D349,'Prezzi FI'!$H$8:$I$467,2,0)&lt;VLOOKUP(D350,'Prezzi FI'!$H$8:$I$467,2,0),4.25/2,0)/100</f>
        <v>0</v>
      </c>
      <c r="K349" s="4" t="str">
        <f t="shared" si="37"/>
        <v>201424</v>
      </c>
      <c r="L349" s="14">
        <f t="shared" si="38"/>
        <v>41801</v>
      </c>
      <c r="M349" s="39">
        <f t="shared" si="39"/>
        <v>-1.058444280504559E-2</v>
      </c>
      <c r="N349" s="39">
        <f t="shared" si="40"/>
        <v>-1.5490669970837686E-3</v>
      </c>
      <c r="O349" s="39">
        <f t="shared" si="41"/>
        <v>1.8568268824067709E-3</v>
      </c>
      <c r="P349" s="39">
        <f t="shared" si="42"/>
        <v>-1.1230005223045508E-3</v>
      </c>
      <c r="AC349" s="14"/>
    </row>
    <row r="350" spans="3:29" x14ac:dyDescent="0.75">
      <c r="C350" s="4">
        <v>2</v>
      </c>
      <c r="D350" s="58">
        <v>41800</v>
      </c>
      <c r="E350" s="5">
        <f>+VLOOKUP(D350,'Prezzi Trade'!$I$9:$J$468,2,0)</f>
        <v>22.795000000000002</v>
      </c>
      <c r="F350" s="5">
        <f>+VLOOKUP(D350,'Prezzi Trade'!$K$9:$L$468,2,0)</f>
        <v>129.21</v>
      </c>
      <c r="G350" s="5">
        <f>+VLOOKUP(D350,'Prezzi Trade'!$M$9:$N$468,2,0)/VLOOKUP(D350,'Prezzi Trade'!$O$9:$P$468,2,0)</f>
        <v>921.1891931793017</v>
      </c>
      <c r="H350" s="5">
        <f>+(VLOOKUP(D350,'Prezzi FI'!$C$8:$D$468,2,0)+VLOOKUP(D350,'Prezzi FI'!$H$8:$I$467,2,0))/100</f>
        <v>1.1525609000000001</v>
      </c>
      <c r="I350" s="5">
        <f>+IF(VLOOKUP(D350,'Prezzi FI'!$H$8:$I$467,2,0)&lt;VLOOKUP(D351,'Prezzi FI'!$H$8:$I$467,2,0),4.25/2,0)/100</f>
        <v>0</v>
      </c>
      <c r="K350" s="4" t="str">
        <f t="shared" si="37"/>
        <v>201424</v>
      </c>
      <c r="L350" s="14">
        <f t="shared" si="38"/>
        <v>41800</v>
      </c>
      <c r="M350" s="39">
        <f t="shared" si="39"/>
        <v>-2.4099036748089601E-3</v>
      </c>
      <c r="N350" s="39">
        <f t="shared" si="40"/>
        <v>6.1933887556866226E-4</v>
      </c>
      <c r="O350" s="39">
        <f t="shared" si="41"/>
        <v>7.9527420849158077E-4</v>
      </c>
      <c r="P350" s="39">
        <f t="shared" si="42"/>
        <v>-4.6004379112429142E-3</v>
      </c>
      <c r="AC350" s="14"/>
    </row>
    <row r="351" spans="3:29" x14ac:dyDescent="0.75">
      <c r="C351" s="4">
        <v>1</v>
      </c>
      <c r="D351" s="58">
        <v>41799</v>
      </c>
      <c r="E351" s="5">
        <f>+VLOOKUP(D351,'Prezzi Trade'!$I$9:$J$468,2,0)</f>
        <v>22.85</v>
      </c>
      <c r="F351" s="5">
        <f>+VLOOKUP(D351,'Prezzi Trade'!$K$9:$L$468,2,0)</f>
        <v>129.13</v>
      </c>
      <c r="G351" s="5">
        <f>+VLOOKUP(D351,'Prezzi Trade'!$M$9:$N$468,2,0)/VLOOKUP(D351,'Prezzi Trade'!$O$9:$P$468,2,0)</f>
        <v>920.45688640376693</v>
      </c>
      <c r="H351" s="5">
        <f>+(VLOOKUP(D351,'Prezzi FI'!$C$8:$D$468,2,0)+VLOOKUP(D351,'Prezzi FI'!$H$8:$I$467,2,0))/100</f>
        <v>1.1578754</v>
      </c>
      <c r="I351" s="5">
        <f>+IF(VLOOKUP(D351,'Prezzi FI'!$H$8:$I$467,2,0)&lt;VLOOKUP(D352,'Prezzi FI'!$H$8:$I$467,2,0),4.25/2,0)/100</f>
        <v>0</v>
      </c>
      <c r="K351" s="4" t="str">
        <f t="shared" si="37"/>
        <v>201424</v>
      </c>
      <c r="L351" s="14">
        <f t="shared" si="38"/>
        <v>41799</v>
      </c>
      <c r="M351" s="39">
        <f t="shared" si="39"/>
        <v>1.16651482336462E-2</v>
      </c>
      <c r="N351" s="39">
        <f t="shared" si="40"/>
        <v>6.8381648076813063E-3</v>
      </c>
      <c r="O351" s="39">
        <f t="shared" si="41"/>
        <v>9.1210195172234318E-3</v>
      </c>
      <c r="P351" s="39">
        <f t="shared" si="42"/>
        <v>3.5433520603467849E-3</v>
      </c>
      <c r="AC351" s="14"/>
    </row>
    <row r="352" spans="3:29" x14ac:dyDescent="0.75">
      <c r="C352" s="4">
        <v>5</v>
      </c>
      <c r="D352" s="58">
        <v>41796</v>
      </c>
      <c r="E352" s="5">
        <f>+VLOOKUP(D352,'Prezzi Trade'!$I$9:$J$468,2,0)</f>
        <v>22.585000000000001</v>
      </c>
      <c r="F352" s="5">
        <f>+VLOOKUP(D352,'Prezzi Trade'!$K$9:$L$468,2,0)</f>
        <v>128.25</v>
      </c>
      <c r="G352" s="5">
        <f>+VLOOKUP(D352,'Prezzi Trade'!$M$9:$N$468,2,0)/VLOOKUP(D352,'Prezzi Trade'!$O$9:$P$468,2,0)</f>
        <v>912.09955281870816</v>
      </c>
      <c r="H352" s="5">
        <f>+(VLOOKUP(D352,'Prezzi FI'!$C$8:$D$468,2,0)+VLOOKUP(D352,'Prezzi FI'!$H$8:$I$467,2,0))/100</f>
        <v>1.1537799</v>
      </c>
      <c r="I352" s="5">
        <f>+IF(VLOOKUP(D352,'Prezzi FI'!$H$8:$I$467,2,0)&lt;VLOOKUP(D353,'Prezzi FI'!$H$8:$I$467,2,0),4.25/2,0)/100</f>
        <v>0</v>
      </c>
      <c r="K352" s="4" t="str">
        <f t="shared" si="37"/>
        <v>201423</v>
      </c>
      <c r="L352" s="14">
        <f t="shared" si="38"/>
        <v>41796</v>
      </c>
      <c r="M352" s="39">
        <f t="shared" si="39"/>
        <v>1.4270030332901883E-2</v>
      </c>
      <c r="N352" s="39">
        <f t="shared" si="40"/>
        <v>5.3162505006802974E-3</v>
      </c>
      <c r="O352" s="39">
        <f t="shared" si="41"/>
        <v>2.0374571151629121E-3</v>
      </c>
      <c r="P352" s="39">
        <f t="shared" si="42"/>
        <v>1.1634179536215202E-2</v>
      </c>
      <c r="AC352" s="14"/>
    </row>
    <row r="353" spans="3:29" x14ac:dyDescent="0.75">
      <c r="C353" s="4">
        <v>4</v>
      </c>
      <c r="D353" s="58">
        <v>41795</v>
      </c>
      <c r="E353" s="5">
        <f>+VLOOKUP(D353,'Prezzi Trade'!$I$9:$J$468,2,0)</f>
        <v>22.265000000000001</v>
      </c>
      <c r="F353" s="5">
        <f>+VLOOKUP(D353,'Prezzi Trade'!$K$9:$L$468,2,0)</f>
        <v>127.57</v>
      </c>
      <c r="G353" s="5">
        <f>+VLOOKUP(D353,'Prezzi Trade'!$M$9:$N$468,2,0)/VLOOKUP(D353,'Prezzi Trade'!$O$9:$P$468,2,0)</f>
        <v>910.24308097818141</v>
      </c>
      <c r="H353" s="5">
        <f>+(VLOOKUP(D353,'Prezzi FI'!$C$8:$D$468,2,0)+VLOOKUP(D353,'Prezzi FI'!$H$8:$I$467,2,0))/100</f>
        <v>1.1404344</v>
      </c>
      <c r="I353" s="5">
        <f>+IF(VLOOKUP(D353,'Prezzi FI'!$H$8:$I$467,2,0)&lt;VLOOKUP(D354,'Prezzi FI'!$H$8:$I$467,2,0),4.25/2,0)/100</f>
        <v>0</v>
      </c>
      <c r="K353" s="4" t="str">
        <f t="shared" si="37"/>
        <v>201423</v>
      </c>
      <c r="L353" s="14">
        <f t="shared" si="38"/>
        <v>41795</v>
      </c>
      <c r="M353" s="39">
        <f t="shared" si="39"/>
        <v>1.4476615633468316E-2</v>
      </c>
      <c r="N353" s="39">
        <f t="shared" si="40"/>
        <v>3.2977416820699399E-3</v>
      </c>
      <c r="O353" s="39">
        <f t="shared" si="41"/>
        <v>-6.5922151480209117E-3</v>
      </c>
      <c r="P353" s="39">
        <f t="shared" si="42"/>
        <v>4.6366013215863328E-3</v>
      </c>
      <c r="AC353" s="14"/>
    </row>
    <row r="354" spans="3:29" x14ac:dyDescent="0.75">
      <c r="C354" s="4">
        <v>3</v>
      </c>
      <c r="D354" s="58">
        <v>41794</v>
      </c>
      <c r="E354" s="5">
        <f>+VLOOKUP(D354,'Prezzi Trade'!$I$9:$J$468,2,0)</f>
        <v>21.945</v>
      </c>
      <c r="F354" s="5">
        <f>+VLOOKUP(D354,'Prezzi Trade'!$K$9:$L$468,2,0)</f>
        <v>127.15</v>
      </c>
      <c r="G354" s="5">
        <f>+VLOOKUP(D354,'Prezzi Trade'!$M$9:$N$468,2,0)/VLOOKUP(D354,'Prezzi Trade'!$O$9:$P$468,2,0)</f>
        <v>916.26342109133702</v>
      </c>
      <c r="H354" s="5">
        <f>+(VLOOKUP(D354,'Prezzi FI'!$C$8:$D$468,2,0)+VLOOKUP(D354,'Prezzi FI'!$H$8:$I$467,2,0))/100</f>
        <v>1.1351589</v>
      </c>
      <c r="I354" s="5">
        <f>+IF(VLOOKUP(D354,'Prezzi FI'!$H$8:$I$467,2,0)&lt;VLOOKUP(D355,'Prezzi FI'!$H$8:$I$467,2,0),4.25/2,0)/100</f>
        <v>0</v>
      </c>
      <c r="K354" s="4" t="str">
        <f t="shared" si="37"/>
        <v>201423</v>
      </c>
      <c r="L354" s="14">
        <f t="shared" si="38"/>
        <v>41794</v>
      </c>
      <c r="M354" s="39">
        <f t="shared" si="39"/>
        <v>-1.593625835278036E-3</v>
      </c>
      <c r="N354" s="39">
        <f t="shared" si="40"/>
        <v>1.6529579898046018E-3</v>
      </c>
      <c r="O354" s="39">
        <f t="shared" si="41"/>
        <v>1.77512870296848E-5</v>
      </c>
      <c r="P354" s="39">
        <f t="shared" si="42"/>
        <v>-7.5159459806313793E-4</v>
      </c>
      <c r="AC354" s="14"/>
    </row>
    <row r="355" spans="3:29" x14ac:dyDescent="0.75">
      <c r="C355" s="4">
        <v>2</v>
      </c>
      <c r="D355" s="58">
        <v>41793</v>
      </c>
      <c r="E355" s="5">
        <f>+VLOOKUP(D355,'Prezzi Trade'!$I$9:$J$468,2,0)</f>
        <v>21.98</v>
      </c>
      <c r="F355" s="5">
        <f>+VLOOKUP(D355,'Prezzi Trade'!$K$9:$L$468,2,0)</f>
        <v>126.94</v>
      </c>
      <c r="G355" s="5">
        <f>+VLOOKUP(D355,'Prezzi Trade'!$M$9:$N$468,2,0)/VLOOKUP(D355,'Prezzi Trade'!$O$9:$P$468,2,0)</f>
        <v>916.24715638071473</v>
      </c>
      <c r="H355" s="5">
        <f>+(VLOOKUP(D355,'Prezzi FI'!$C$8:$D$468,2,0)+VLOOKUP(D355,'Prezzi FI'!$H$8:$I$467,2,0))/100</f>
        <v>1.1360123999999998</v>
      </c>
      <c r="I355" s="5">
        <f>+IF(VLOOKUP(D355,'Prezzi FI'!$H$8:$I$467,2,0)&lt;VLOOKUP(D356,'Prezzi FI'!$H$8:$I$467,2,0),4.25/2,0)/100</f>
        <v>0</v>
      </c>
      <c r="K355" s="4" t="str">
        <f t="shared" si="37"/>
        <v>201423</v>
      </c>
      <c r="L355" s="14">
        <f t="shared" si="38"/>
        <v>41793</v>
      </c>
      <c r="M355" s="39">
        <f t="shared" si="39"/>
        <v>-5.6708783027311803E-3</v>
      </c>
      <c r="N355" s="39">
        <f t="shared" si="40"/>
        <v>-3.6172092597389596E-3</v>
      </c>
      <c r="O355" s="39">
        <f t="shared" si="41"/>
        <v>-4.2929927491629667E-3</v>
      </c>
      <c r="P355" s="39">
        <f t="shared" si="42"/>
        <v>-9.6308190815336139E-4</v>
      </c>
      <c r="AC355" s="14"/>
    </row>
    <row r="356" spans="3:29" x14ac:dyDescent="0.75">
      <c r="C356" s="4">
        <v>1</v>
      </c>
      <c r="D356" s="58">
        <v>41792</v>
      </c>
      <c r="E356" s="5">
        <f>+VLOOKUP(D356,'Prezzi Trade'!$I$9:$J$468,2,0)</f>
        <v>22.105</v>
      </c>
      <c r="F356" s="5">
        <f>+VLOOKUP(D356,'Prezzi Trade'!$K$9:$L$468,2,0)</f>
        <v>127.4</v>
      </c>
      <c r="G356" s="5">
        <f>+VLOOKUP(D356,'Prezzi Trade'!$M$9:$N$468,2,0)/VLOOKUP(D356,'Prezzi Trade'!$O$9:$P$468,2,0)</f>
        <v>920.18905399440928</v>
      </c>
      <c r="H356" s="5">
        <f>+(VLOOKUP(D356,'Prezzi FI'!$C$8:$D$468,2,0)+VLOOKUP(D356,'Prezzi FI'!$H$8:$I$467,2,0))/100</f>
        <v>1.1371070000000001</v>
      </c>
      <c r="I356" s="5">
        <f>+IF(VLOOKUP(D356,'Prezzi FI'!$H$8:$I$467,2,0)&lt;VLOOKUP(D357,'Prezzi FI'!$H$8:$I$467,2,0),4.25/2,0)/100</f>
        <v>0</v>
      </c>
      <c r="K356" s="4" t="str">
        <f t="shared" si="37"/>
        <v>201423</v>
      </c>
      <c r="L356" s="14">
        <f t="shared" si="38"/>
        <v>41792</v>
      </c>
      <c r="M356" s="39">
        <f t="shared" si="39"/>
        <v>8.1762890199597333E-3</v>
      </c>
      <c r="N356" s="39">
        <f t="shared" si="40"/>
        <v>5.1939992426920569E-3</v>
      </c>
      <c r="O356" s="39">
        <f t="shared" si="41"/>
        <v>2.5488008387508027E-3</v>
      </c>
      <c r="P356" s="39">
        <f t="shared" si="42"/>
        <v>3.9186047805720591E-4</v>
      </c>
      <c r="AC356" s="14"/>
    </row>
    <row r="357" spans="3:29" x14ac:dyDescent="0.75">
      <c r="C357" s="4">
        <v>5</v>
      </c>
      <c r="D357" s="58">
        <v>41789</v>
      </c>
      <c r="E357" s="5">
        <f>+VLOOKUP(D357,'Prezzi Trade'!$I$9:$J$468,2,0)</f>
        <v>21.925000000000001</v>
      </c>
      <c r="F357" s="5">
        <f>+VLOOKUP(D357,'Prezzi Trade'!$K$9:$L$468,2,0)</f>
        <v>126.74</v>
      </c>
      <c r="G357" s="5">
        <f>+VLOOKUP(D357,'Prezzi Trade'!$M$9:$N$468,2,0)/VLOOKUP(D357,'Prezzi Trade'!$O$9:$P$468,2,0)</f>
        <v>917.84666177549525</v>
      </c>
      <c r="H357" s="5">
        <f>+(VLOOKUP(D357,'Prezzi FI'!$C$8:$D$468,2,0)+VLOOKUP(D357,'Prezzi FI'!$H$8:$I$467,2,0))/100</f>
        <v>1.1366615</v>
      </c>
      <c r="I357" s="5">
        <f>+IF(VLOOKUP(D357,'Prezzi FI'!$H$8:$I$467,2,0)&lt;VLOOKUP(D358,'Prezzi FI'!$H$8:$I$467,2,0),4.25/2,0)/100</f>
        <v>0</v>
      </c>
      <c r="K357" s="4" t="str">
        <f t="shared" si="37"/>
        <v>201422</v>
      </c>
      <c r="L357" s="14">
        <f t="shared" si="38"/>
        <v>41789</v>
      </c>
      <c r="M357" s="39">
        <f t="shared" si="39"/>
        <v>4.3423676963943421E-3</v>
      </c>
      <c r="N357" s="39">
        <f t="shared" si="40"/>
        <v>1.1052341852950912E-3</v>
      </c>
      <c r="O357" s="39">
        <f t="shared" si="41"/>
        <v>-8.7663960934464547E-3</v>
      </c>
      <c r="P357" s="39">
        <f t="shared" si="42"/>
        <v>2.8640594829067308E-4</v>
      </c>
      <c r="AC357" s="14"/>
    </row>
    <row r="358" spans="3:29" x14ac:dyDescent="0.75">
      <c r="C358" s="4">
        <v>4</v>
      </c>
      <c r="D358" s="58">
        <v>41788</v>
      </c>
      <c r="E358" s="5">
        <f>+VLOOKUP(D358,'Prezzi Trade'!$I$9:$J$468,2,0)</f>
        <v>21.83</v>
      </c>
      <c r="F358" s="5">
        <f>+VLOOKUP(D358,'Prezzi Trade'!$K$9:$L$468,2,0)</f>
        <v>126.6</v>
      </c>
      <c r="G358" s="5">
        <f>+VLOOKUP(D358,'Prezzi Trade'!$M$9:$N$468,2,0)/VLOOKUP(D358,'Prezzi Trade'!$O$9:$P$468,2,0)</f>
        <v>925.92824057054622</v>
      </c>
      <c r="H358" s="5">
        <f>+(VLOOKUP(D358,'Prezzi FI'!$C$8:$D$468,2,0)+VLOOKUP(D358,'Prezzi FI'!$H$8:$I$467,2,0))/100</f>
        <v>1.136336</v>
      </c>
      <c r="I358" s="5">
        <f>+IF(VLOOKUP(D358,'Prezzi FI'!$H$8:$I$467,2,0)&lt;VLOOKUP(D359,'Prezzi FI'!$H$8:$I$467,2,0),4.25/2,0)/100</f>
        <v>0</v>
      </c>
      <c r="K358" s="4" t="str">
        <f t="shared" si="37"/>
        <v>201422</v>
      </c>
      <c r="L358" s="14">
        <f t="shared" si="38"/>
        <v>41788</v>
      </c>
      <c r="M358" s="39">
        <f t="shared" si="39"/>
        <v>-3.6579830455226903E-3</v>
      </c>
      <c r="N358" s="39">
        <f t="shared" si="40"/>
        <v>1.5019172026096068E-3</v>
      </c>
      <c r="O358" s="39">
        <f t="shared" si="41"/>
        <v>1.7371700155915184E-3</v>
      </c>
      <c r="P358" s="39">
        <f t="shared" si="42"/>
        <v>-1.8678599318055844E-3</v>
      </c>
      <c r="AC358" s="14"/>
    </row>
    <row r="359" spans="3:29" x14ac:dyDescent="0.75">
      <c r="C359" s="4">
        <v>3</v>
      </c>
      <c r="D359" s="58">
        <v>41787</v>
      </c>
      <c r="E359" s="5">
        <f>+VLOOKUP(D359,'Prezzi Trade'!$I$9:$J$468,2,0)</f>
        <v>21.91</v>
      </c>
      <c r="F359" s="5">
        <f>+VLOOKUP(D359,'Prezzi Trade'!$K$9:$L$468,2,0)</f>
        <v>126.41</v>
      </c>
      <c r="G359" s="5">
        <f>+VLOOKUP(D359,'Prezzi Trade'!$M$9:$N$468,2,0)/VLOOKUP(D359,'Prezzi Trade'!$O$9:$P$468,2,0)</f>
        <v>924.32114210022814</v>
      </c>
      <c r="H359" s="5">
        <f>+(VLOOKUP(D359,'Prezzi FI'!$C$8:$D$468,2,0)+VLOOKUP(D359,'Prezzi FI'!$H$8:$I$467,2,0))/100</f>
        <v>1.1384605000000001</v>
      </c>
      <c r="I359" s="5">
        <f>+IF(VLOOKUP(D359,'Prezzi FI'!$H$8:$I$467,2,0)&lt;VLOOKUP(D360,'Prezzi FI'!$H$8:$I$467,2,0),4.25/2,0)/100</f>
        <v>0</v>
      </c>
      <c r="K359" s="4" t="str">
        <f t="shared" si="37"/>
        <v>201422</v>
      </c>
      <c r="L359" s="14">
        <f t="shared" si="38"/>
        <v>41787</v>
      </c>
      <c r="M359" s="39">
        <f t="shared" si="39"/>
        <v>8.4794824559192832E-3</v>
      </c>
      <c r="N359" s="39">
        <f t="shared" si="40"/>
        <v>1.5834062369271258E-3</v>
      </c>
      <c r="O359" s="39">
        <f t="shared" si="41"/>
        <v>-4.4069958070276551E-4</v>
      </c>
      <c r="P359" s="39">
        <f t="shared" si="42"/>
        <v>2.4065781124884343E-3</v>
      </c>
      <c r="AC359" s="14"/>
    </row>
    <row r="360" spans="3:29" x14ac:dyDescent="0.75">
      <c r="C360" s="4">
        <v>2</v>
      </c>
      <c r="D360" s="58">
        <v>41786</v>
      </c>
      <c r="E360" s="5">
        <f>+VLOOKUP(D360,'Prezzi Trade'!$I$9:$J$468,2,0)</f>
        <v>21.725000000000001</v>
      </c>
      <c r="F360" s="5">
        <f>+VLOOKUP(D360,'Prezzi Trade'!$K$9:$L$468,2,0)</f>
        <v>126.21</v>
      </c>
      <c r="G360" s="5">
        <f>+VLOOKUP(D360,'Prezzi Trade'!$M$9:$N$468,2,0)/VLOOKUP(D360,'Prezzi Trade'!$O$9:$P$468,2,0)</f>
        <v>924.72857981220659</v>
      </c>
      <c r="H360" s="5">
        <f>+(VLOOKUP(D360,'Prezzi FI'!$C$8:$D$468,2,0)+VLOOKUP(D360,'Prezzi FI'!$H$8:$I$467,2,0))/100</f>
        <v>1.135724</v>
      </c>
      <c r="I360" s="5">
        <f>+IF(VLOOKUP(D360,'Prezzi FI'!$H$8:$I$467,2,0)&lt;VLOOKUP(D361,'Prezzi FI'!$H$8:$I$467,2,0),4.25/2,0)/100</f>
        <v>0</v>
      </c>
      <c r="K360" s="4" t="str">
        <f t="shared" si="37"/>
        <v>201422</v>
      </c>
      <c r="L360" s="14">
        <f t="shared" si="38"/>
        <v>41786</v>
      </c>
      <c r="M360" s="39">
        <f t="shared" si="39"/>
        <v>3.37031665301104E-2</v>
      </c>
      <c r="N360" s="39">
        <f t="shared" si="40"/>
        <v>6.1196296684414269E-3</v>
      </c>
      <c r="O360" s="39">
        <f t="shared" si="41"/>
        <v>-4.4184030605719767E-3</v>
      </c>
      <c r="P360" s="39">
        <f t="shared" si="42"/>
        <v>8.6760709546757266E-3</v>
      </c>
      <c r="AC360" s="14"/>
    </row>
    <row r="361" spans="3:29" x14ac:dyDescent="0.75">
      <c r="C361" s="4">
        <v>5</v>
      </c>
      <c r="D361" s="58">
        <v>41782</v>
      </c>
      <c r="E361" s="5">
        <f>+VLOOKUP(D361,'Prezzi Trade'!$I$9:$J$468,2,0)</f>
        <v>21.004999999999999</v>
      </c>
      <c r="F361" s="5">
        <f>+VLOOKUP(D361,'Prezzi Trade'!$K$9:$L$468,2,0)</f>
        <v>125.44</v>
      </c>
      <c r="G361" s="5">
        <f>+VLOOKUP(D361,'Prezzi Trade'!$M$9:$N$468,2,0)/VLOOKUP(D361,'Prezzi Trade'!$O$9:$P$468,2,0)</f>
        <v>928.82344311596876</v>
      </c>
      <c r="H361" s="5">
        <f>+(VLOOKUP(D361,'Prezzi FI'!$C$8:$D$468,2,0)+VLOOKUP(D361,'Prezzi FI'!$H$8:$I$467,2,0))/100</f>
        <v>1.1259129999999999</v>
      </c>
      <c r="I361" s="5">
        <f>+IF(VLOOKUP(D361,'Prezzi FI'!$H$8:$I$467,2,0)&lt;VLOOKUP(D362,'Prezzi FI'!$H$8:$I$467,2,0),4.25/2,0)/100</f>
        <v>0</v>
      </c>
      <c r="K361" s="4" t="str">
        <f t="shared" si="37"/>
        <v>201421</v>
      </c>
      <c r="L361" s="14">
        <f t="shared" si="38"/>
        <v>41782</v>
      </c>
      <c r="M361" s="39">
        <f t="shared" si="39"/>
        <v>1.7771841416800015E-2</v>
      </c>
      <c r="N361" s="39">
        <f t="shared" si="40"/>
        <v>2.3944460318802126E-3</v>
      </c>
      <c r="O361" s="39">
        <f t="shared" si="41"/>
        <v>2.2581020840219176E-3</v>
      </c>
      <c r="P361" s="39">
        <f t="shared" si="42"/>
        <v>4.9909716220897923E-3</v>
      </c>
      <c r="AC361" s="14"/>
    </row>
    <row r="362" spans="3:29" x14ac:dyDescent="0.75">
      <c r="C362" s="4">
        <v>4</v>
      </c>
      <c r="D362" s="58">
        <v>41781</v>
      </c>
      <c r="E362" s="5">
        <f>+VLOOKUP(D362,'Prezzi Trade'!$I$9:$J$468,2,0)</f>
        <v>20.635000000000002</v>
      </c>
      <c r="F362" s="5">
        <f>+VLOOKUP(D362,'Prezzi Trade'!$K$9:$L$468,2,0)</f>
        <v>125.14</v>
      </c>
      <c r="G362" s="5">
        <f>+VLOOKUP(D362,'Prezzi Trade'!$M$9:$N$468,2,0)/VLOOKUP(D362,'Prezzi Trade'!$O$9:$P$468,2,0)</f>
        <v>926.72843122894392</v>
      </c>
      <c r="H362" s="5">
        <f>+(VLOOKUP(D362,'Prezzi FI'!$C$8:$D$468,2,0)+VLOOKUP(D362,'Prezzi FI'!$H$8:$I$467,2,0))/100</f>
        <v>1.1203076000000001</v>
      </c>
      <c r="I362" s="5">
        <f>+IF(VLOOKUP(D362,'Prezzi FI'!$H$8:$I$467,2,0)&lt;VLOOKUP(D363,'Prezzi FI'!$H$8:$I$467,2,0),4.25/2,0)/100</f>
        <v>0</v>
      </c>
      <c r="K362" s="4" t="str">
        <f t="shared" si="37"/>
        <v>201421</v>
      </c>
      <c r="L362" s="14">
        <f t="shared" si="38"/>
        <v>41781</v>
      </c>
      <c r="M362" s="39">
        <f t="shared" si="39"/>
        <v>-1.1803099809892734E-2</v>
      </c>
      <c r="N362" s="39">
        <f t="shared" si="40"/>
        <v>7.1374455934794254E-3</v>
      </c>
      <c r="O362" s="39">
        <f t="shared" si="41"/>
        <v>5.8480301467480796E-3</v>
      </c>
      <c r="P362" s="39">
        <f t="shared" si="42"/>
        <v>-2.0281878147536494E-3</v>
      </c>
      <c r="AC362" s="14"/>
    </row>
    <row r="363" spans="3:29" x14ac:dyDescent="0.75">
      <c r="C363" s="4">
        <v>3</v>
      </c>
      <c r="D363" s="58">
        <v>41780</v>
      </c>
      <c r="E363" s="5">
        <f>+VLOOKUP(D363,'Prezzi Trade'!$I$9:$J$468,2,0)</f>
        <v>20.88</v>
      </c>
      <c r="F363" s="5">
        <f>+VLOOKUP(D363,'Prezzi Trade'!$K$9:$L$468,2,0)</f>
        <v>124.25</v>
      </c>
      <c r="G363" s="5">
        <f>+VLOOKUP(D363,'Prezzi Trade'!$M$9:$N$468,2,0)/VLOOKUP(D363,'Prezzi Trade'!$O$9:$P$468,2,0)</f>
        <v>921.32471138389587</v>
      </c>
      <c r="H363" s="5">
        <f>+(VLOOKUP(D363,'Prezzi FI'!$C$8:$D$468,2,0)+VLOOKUP(D363,'Prezzi FI'!$H$8:$I$467,2,0))/100</f>
        <v>1.1225821</v>
      </c>
      <c r="I363" s="5">
        <f>+IF(VLOOKUP(D363,'Prezzi FI'!$H$8:$I$467,2,0)&lt;VLOOKUP(D364,'Prezzi FI'!$H$8:$I$467,2,0),4.25/2,0)/100</f>
        <v>0</v>
      </c>
      <c r="K363" s="4" t="str">
        <f t="shared" si="37"/>
        <v>201421</v>
      </c>
      <c r="L363" s="14">
        <f t="shared" si="38"/>
        <v>41780</v>
      </c>
      <c r="M363" s="39">
        <f t="shared" si="39"/>
        <v>1.1076443607396191E-2</v>
      </c>
      <c r="N363" s="39">
        <f t="shared" si="40"/>
        <v>5.3260293750939649E-3</v>
      </c>
      <c r="O363" s="39">
        <f t="shared" si="41"/>
        <v>4.5092542784836695E-4</v>
      </c>
      <c r="P363" s="39">
        <f t="shared" si="42"/>
        <v>3.6647914920667135E-3</v>
      </c>
      <c r="AC363" s="14"/>
    </row>
    <row r="364" spans="3:29" x14ac:dyDescent="0.75">
      <c r="C364" s="4">
        <v>2</v>
      </c>
      <c r="D364" s="58">
        <v>41779</v>
      </c>
      <c r="E364" s="5">
        <f>+VLOOKUP(D364,'Prezzi Trade'!$I$9:$J$468,2,0)</f>
        <v>20.65</v>
      </c>
      <c r="F364" s="5">
        <f>+VLOOKUP(D364,'Prezzi Trade'!$K$9:$L$468,2,0)</f>
        <v>123.59</v>
      </c>
      <c r="G364" s="5">
        <f>+VLOOKUP(D364,'Prezzi Trade'!$M$9:$N$468,2,0)/VLOOKUP(D364,'Prezzi Trade'!$O$9:$P$468,2,0)</f>
        <v>920.90935629835053</v>
      </c>
      <c r="H364" s="5">
        <f>+(VLOOKUP(D364,'Prezzi FI'!$C$8:$D$468,2,0)+VLOOKUP(D364,'Prezzi FI'!$H$8:$I$467,2,0))/100</f>
        <v>1.1184756</v>
      </c>
      <c r="I364" s="5">
        <f>+IF(VLOOKUP(D364,'Prezzi FI'!$H$8:$I$467,2,0)&lt;VLOOKUP(D365,'Prezzi FI'!$H$8:$I$467,2,0),4.25/2,0)/100</f>
        <v>0</v>
      </c>
      <c r="K364" s="4" t="str">
        <f t="shared" si="37"/>
        <v>201421</v>
      </c>
      <c r="L364" s="14">
        <f t="shared" si="38"/>
        <v>41779</v>
      </c>
      <c r="M364" s="39">
        <f t="shared" si="39"/>
        <v>9.6899232388125689E-4</v>
      </c>
      <c r="N364" s="39">
        <f t="shared" si="40"/>
        <v>-2.343719503357918E-3</v>
      </c>
      <c r="O364" s="39">
        <f t="shared" si="41"/>
        <v>-1.5483893156165601E-5</v>
      </c>
      <c r="P364" s="39">
        <f t="shared" si="42"/>
        <v>-5.5941908683997555E-3</v>
      </c>
      <c r="AC364" s="14"/>
    </row>
    <row r="365" spans="3:29" x14ac:dyDescent="0.75">
      <c r="C365" s="4">
        <v>1</v>
      </c>
      <c r="D365" s="58">
        <v>41778</v>
      </c>
      <c r="E365" s="5">
        <f>+VLOOKUP(D365,'Prezzi Trade'!$I$9:$J$468,2,0)</f>
        <v>20.63</v>
      </c>
      <c r="F365" s="5">
        <f>+VLOOKUP(D365,'Prezzi Trade'!$K$9:$L$468,2,0)</f>
        <v>123.88</v>
      </c>
      <c r="G365" s="5">
        <f>+VLOOKUP(D365,'Prezzi Trade'!$M$9:$N$468,2,0)/VLOOKUP(D365,'Prezzi Trade'!$O$9:$P$468,2,0)</f>
        <v>920.92361567082503</v>
      </c>
      <c r="H365" s="5">
        <f>+(VLOOKUP(D365,'Prezzi FI'!$C$8:$D$468,2,0)+VLOOKUP(D365,'Prezzi FI'!$H$8:$I$467,2,0))/100</f>
        <v>1.1247501000000002</v>
      </c>
      <c r="I365" s="5">
        <f>+IF(VLOOKUP(D365,'Prezzi FI'!$H$8:$I$467,2,0)&lt;VLOOKUP(D366,'Prezzi FI'!$H$8:$I$467,2,0),4.25/2,0)/100</f>
        <v>0</v>
      </c>
      <c r="K365" s="4" t="str">
        <f t="shared" si="37"/>
        <v>201421</v>
      </c>
      <c r="L365" s="14">
        <f t="shared" si="38"/>
        <v>41778</v>
      </c>
      <c r="M365" s="39">
        <f t="shared" si="39"/>
        <v>-2.4207225570679531E-3</v>
      </c>
      <c r="N365" s="39">
        <f t="shared" si="40"/>
        <v>1.9392378410863578E-3</v>
      </c>
      <c r="O365" s="39">
        <f t="shared" si="41"/>
        <v>8.3990417370487171E-4</v>
      </c>
      <c r="P365" s="39">
        <f t="shared" si="42"/>
        <v>-5.014744088093913E-3</v>
      </c>
      <c r="AC365" s="14"/>
    </row>
    <row r="366" spans="3:29" x14ac:dyDescent="0.75">
      <c r="C366" s="4">
        <v>5</v>
      </c>
      <c r="D366" s="58">
        <v>41775</v>
      </c>
      <c r="E366" s="5">
        <f>+VLOOKUP(D366,'Prezzi Trade'!$I$9:$J$468,2,0)</f>
        <v>20.68</v>
      </c>
      <c r="F366" s="5">
        <f>+VLOOKUP(D366,'Prezzi Trade'!$K$9:$L$468,2,0)</f>
        <v>123.64</v>
      </c>
      <c r="G366" s="5">
        <f>+VLOOKUP(D366,'Prezzi Trade'!$M$9:$N$468,2,0)/VLOOKUP(D366,'Prezzi Trade'!$O$9:$P$468,2,0)</f>
        <v>920.15045281916446</v>
      </c>
      <c r="H366" s="5">
        <f>+(VLOOKUP(D366,'Prezzi FI'!$C$8:$D$468,2,0)+VLOOKUP(D366,'Prezzi FI'!$H$8:$I$467,2,0))/100</f>
        <v>1.1304046000000001</v>
      </c>
      <c r="I366" s="5">
        <f>+IF(VLOOKUP(D366,'Prezzi FI'!$H$8:$I$467,2,0)&lt;VLOOKUP(D367,'Prezzi FI'!$H$8:$I$467,2,0),4.25/2,0)/100</f>
        <v>0</v>
      </c>
      <c r="K366" s="4" t="str">
        <f t="shared" si="37"/>
        <v>201420</v>
      </c>
      <c r="L366" s="14">
        <f t="shared" si="38"/>
        <v>41775</v>
      </c>
      <c r="M366" s="39">
        <f t="shared" si="39"/>
        <v>9.7182494689213462E-3</v>
      </c>
      <c r="N366" s="39">
        <f t="shared" si="40"/>
        <v>5.271066009596535E-3</v>
      </c>
      <c r="O366" s="39">
        <f t="shared" si="41"/>
        <v>6.7502213820011384E-4</v>
      </c>
      <c r="P366" s="39">
        <f t="shared" si="42"/>
        <v>1.2087047499752316E-3</v>
      </c>
      <c r="AC366" s="14"/>
    </row>
    <row r="367" spans="3:29" x14ac:dyDescent="0.75">
      <c r="C367" s="4">
        <v>4</v>
      </c>
      <c r="D367" s="58">
        <v>41774</v>
      </c>
      <c r="E367" s="5">
        <f>+VLOOKUP(D367,'Prezzi Trade'!$I$9:$J$468,2,0)</f>
        <v>20.48</v>
      </c>
      <c r="F367" s="5">
        <f>+VLOOKUP(D367,'Prezzi Trade'!$K$9:$L$468,2,0)</f>
        <v>122.99</v>
      </c>
      <c r="G367" s="5">
        <f>+VLOOKUP(D367,'Prezzi Trade'!$M$9:$N$468,2,0)/VLOOKUP(D367,'Prezzi Trade'!$O$9:$P$468,2,0)</f>
        <v>919.52954048140043</v>
      </c>
      <c r="H367" s="5">
        <f>+(VLOOKUP(D367,'Prezzi FI'!$C$8:$D$468,2,0)+VLOOKUP(D367,'Prezzi FI'!$H$8:$I$467,2,0))/100</f>
        <v>1.1290391000000002</v>
      </c>
      <c r="I367" s="5">
        <f>+IF(VLOOKUP(D367,'Prezzi FI'!$H$8:$I$467,2,0)&lt;VLOOKUP(D368,'Prezzi FI'!$H$8:$I$467,2,0),4.25/2,0)/100</f>
        <v>0</v>
      </c>
      <c r="K367" s="4" t="str">
        <f t="shared" si="37"/>
        <v>201420</v>
      </c>
      <c r="L367" s="14">
        <f t="shared" si="38"/>
        <v>41774</v>
      </c>
      <c r="M367" s="39">
        <f t="shared" si="39"/>
        <v>-3.6908095199118772E-2</v>
      </c>
      <c r="N367" s="39">
        <f t="shared" si="40"/>
        <v>-1.1961671758567124E-2</v>
      </c>
      <c r="O367" s="39">
        <f t="shared" si="41"/>
        <v>-3.3583861533589303E-3</v>
      </c>
      <c r="P367" s="39">
        <f t="shared" si="42"/>
        <v>-6.8359542505465531E-3</v>
      </c>
      <c r="AC367" s="14"/>
    </row>
    <row r="368" spans="3:29" x14ac:dyDescent="0.75">
      <c r="C368" s="4">
        <v>3</v>
      </c>
      <c r="D368" s="58">
        <v>41773</v>
      </c>
      <c r="E368" s="5">
        <f>+VLOOKUP(D368,'Prezzi Trade'!$I$9:$J$468,2,0)</f>
        <v>21.25</v>
      </c>
      <c r="F368" s="5">
        <f>+VLOOKUP(D368,'Prezzi Trade'!$K$9:$L$468,2,0)</f>
        <v>124.47</v>
      </c>
      <c r="G368" s="5">
        <f>+VLOOKUP(D368,'Prezzi Trade'!$M$9:$N$468,2,0)/VLOOKUP(D368,'Prezzi Trade'!$O$9:$P$468,2,0)</f>
        <v>922.6228671430656</v>
      </c>
      <c r="H368" s="5">
        <f>+(VLOOKUP(D368,'Prezzi FI'!$C$8:$D$468,2,0)+VLOOKUP(D368,'Prezzi FI'!$H$8:$I$467,2,0))/100</f>
        <v>1.1367836000000002</v>
      </c>
      <c r="I368" s="5">
        <f>+IF(VLOOKUP(D368,'Prezzi FI'!$H$8:$I$467,2,0)&lt;VLOOKUP(D369,'Prezzi FI'!$H$8:$I$467,2,0),4.25/2,0)/100</f>
        <v>0</v>
      </c>
      <c r="K368" s="4" t="str">
        <f t="shared" si="37"/>
        <v>201420</v>
      </c>
      <c r="L368" s="14">
        <f t="shared" si="38"/>
        <v>41773</v>
      </c>
      <c r="M368" s="39">
        <f t="shared" si="39"/>
        <v>-2.5848915814495029E-3</v>
      </c>
      <c r="N368" s="39">
        <f t="shared" si="40"/>
        <v>-1.9263189197694672E-3</v>
      </c>
      <c r="O368" s="39">
        <f t="shared" si="41"/>
        <v>2.0214193883872473E-3</v>
      </c>
      <c r="P368" s="39">
        <f t="shared" si="42"/>
        <v>1.6872315539221546E-3</v>
      </c>
      <c r="AC368" s="14"/>
    </row>
    <row r="369" spans="3:29" x14ac:dyDescent="0.75">
      <c r="C369" s="4">
        <v>2</v>
      </c>
      <c r="D369" s="58">
        <v>41772</v>
      </c>
      <c r="E369" s="5">
        <f>+VLOOKUP(D369,'Prezzi Trade'!$I$9:$J$468,2,0)</f>
        <v>21.305</v>
      </c>
      <c r="F369" s="5">
        <f>+VLOOKUP(D369,'Prezzi Trade'!$K$9:$L$468,2,0)</f>
        <v>124.71</v>
      </c>
      <c r="G369" s="5">
        <f>+VLOOKUP(D369,'Prezzi Trade'!$M$9:$N$468,2,0)/VLOOKUP(D369,'Prezzi Trade'!$O$9:$P$468,2,0)</f>
        <v>920.75974310319657</v>
      </c>
      <c r="H369" s="5">
        <f>+(VLOOKUP(D369,'Prezzi FI'!$C$8:$D$468,2,0)+VLOOKUP(D369,'Prezzi FI'!$H$8:$I$467,2,0))/100</f>
        <v>1.1348672</v>
      </c>
      <c r="I369" s="5">
        <f>+IF(VLOOKUP(D369,'Prezzi FI'!$H$8:$I$467,2,0)&lt;VLOOKUP(D370,'Prezzi FI'!$H$8:$I$467,2,0),4.25/2,0)/100</f>
        <v>0</v>
      </c>
      <c r="K369" s="4" t="str">
        <f t="shared" si="37"/>
        <v>201420</v>
      </c>
      <c r="L369" s="14">
        <f t="shared" si="38"/>
        <v>41772</v>
      </c>
      <c r="M369" s="39">
        <f t="shared" si="39"/>
        <v>-1.1201984115926052E-2</v>
      </c>
      <c r="N369" s="39">
        <f t="shared" si="40"/>
        <v>6.1934643986943979E-3</v>
      </c>
      <c r="O369" s="39">
        <f t="shared" si="41"/>
        <v>7.3076430938335615E-3</v>
      </c>
      <c r="P369" s="39">
        <f t="shared" si="42"/>
        <v>1.3539379060332677E-3</v>
      </c>
      <c r="AC369" s="14"/>
    </row>
    <row r="370" spans="3:29" x14ac:dyDescent="0.75">
      <c r="C370" s="4">
        <v>1</v>
      </c>
      <c r="D370" s="58">
        <v>41771</v>
      </c>
      <c r="E370" s="5">
        <f>+VLOOKUP(D370,'Prezzi Trade'!$I$9:$J$468,2,0)</f>
        <v>21.545000000000002</v>
      </c>
      <c r="F370" s="5">
        <f>+VLOOKUP(D370,'Prezzi Trade'!$K$9:$L$468,2,0)</f>
        <v>123.94</v>
      </c>
      <c r="G370" s="5">
        <f>+VLOOKUP(D370,'Prezzi Trade'!$M$9:$N$468,2,0)/VLOOKUP(D370,'Prezzi Trade'!$O$9:$P$468,2,0)</f>
        <v>914.0556847920908</v>
      </c>
      <c r="H370" s="5">
        <f>+(VLOOKUP(D370,'Prezzi FI'!$C$8:$D$468,2,0)+VLOOKUP(D370,'Prezzi FI'!$H$8:$I$467,2,0))/100</f>
        <v>1.1333317000000001</v>
      </c>
      <c r="I370" s="5">
        <f>+IF(VLOOKUP(D370,'Prezzi FI'!$H$8:$I$467,2,0)&lt;VLOOKUP(D371,'Prezzi FI'!$H$8:$I$467,2,0),4.25/2,0)/100</f>
        <v>0</v>
      </c>
      <c r="K370" s="4" t="str">
        <f t="shared" si="37"/>
        <v>201420</v>
      </c>
      <c r="L370" s="14">
        <f t="shared" si="38"/>
        <v>41771</v>
      </c>
      <c r="M370" s="39">
        <f t="shared" si="39"/>
        <v>4.8854348652000081E-3</v>
      </c>
      <c r="N370" s="39">
        <f t="shared" si="40"/>
        <v>9.7292805730105729E-3</v>
      </c>
      <c r="O370" s="39">
        <f t="shared" si="41"/>
        <v>2.1306794760874571E-3</v>
      </c>
      <c r="P370" s="39">
        <f t="shared" si="42"/>
        <v>-1.5909419574450555E-3</v>
      </c>
      <c r="AC370" s="14"/>
    </row>
    <row r="371" spans="3:29" x14ac:dyDescent="0.75">
      <c r="C371" s="4">
        <v>5</v>
      </c>
      <c r="D371" s="58">
        <v>41768</v>
      </c>
      <c r="E371" s="5">
        <f>+VLOOKUP(D371,'Prezzi Trade'!$I$9:$J$468,2,0)</f>
        <v>21.44</v>
      </c>
      <c r="F371" s="5">
        <f>+VLOOKUP(D371,'Prezzi Trade'!$K$9:$L$468,2,0)</f>
        <v>122.74</v>
      </c>
      <c r="G371" s="5">
        <f>+VLOOKUP(D371,'Prezzi Trade'!$M$9:$N$468,2,0)/VLOOKUP(D371,'Prezzi Trade'!$O$9:$P$468,2,0)</f>
        <v>912.11019844442831</v>
      </c>
      <c r="H371" s="5">
        <f>+(VLOOKUP(D371,'Prezzi FI'!$C$8:$D$468,2,0)+VLOOKUP(D371,'Prezzi FI'!$H$8:$I$467,2,0))/100</f>
        <v>1.1351362</v>
      </c>
      <c r="I371" s="5">
        <f>+IF(VLOOKUP(D371,'Prezzi FI'!$H$8:$I$467,2,0)&lt;VLOOKUP(D372,'Prezzi FI'!$H$8:$I$467,2,0),4.25/2,0)/100</f>
        <v>0</v>
      </c>
      <c r="K371" s="4" t="str">
        <f t="shared" si="37"/>
        <v>201419</v>
      </c>
      <c r="L371" s="14">
        <f t="shared" si="38"/>
        <v>41768</v>
      </c>
      <c r="M371" s="39">
        <f t="shared" si="39"/>
        <v>-1.5733781302213184E-2</v>
      </c>
      <c r="N371" s="39">
        <f t="shared" si="40"/>
        <v>-1.3027196110382494E-3</v>
      </c>
      <c r="O371" s="39">
        <f t="shared" si="41"/>
        <v>7.0277988017657068E-3</v>
      </c>
      <c r="P371" s="39">
        <f t="shared" si="42"/>
        <v>-1.4476764420452374E-3</v>
      </c>
      <c r="AC371" s="14"/>
    </row>
    <row r="372" spans="3:29" x14ac:dyDescent="0.75">
      <c r="C372" s="4">
        <v>4</v>
      </c>
      <c r="D372" s="58">
        <v>41767</v>
      </c>
      <c r="E372" s="5">
        <f>+VLOOKUP(D372,'Prezzi Trade'!$I$9:$J$468,2,0)</f>
        <v>21.78</v>
      </c>
      <c r="F372" s="5">
        <f>+VLOOKUP(D372,'Prezzi Trade'!$K$9:$L$468,2,0)</f>
        <v>122.9</v>
      </c>
      <c r="G372" s="5">
        <f>+VLOOKUP(D372,'Prezzi Trade'!$M$9:$N$468,2,0)/VLOOKUP(D372,'Prezzi Trade'!$O$9:$P$468,2,0)</f>
        <v>905.72254335260118</v>
      </c>
      <c r="H372" s="5">
        <f>+(VLOOKUP(D372,'Prezzi FI'!$C$8:$D$468,2,0)+VLOOKUP(D372,'Prezzi FI'!$H$8:$I$467,2,0))/100</f>
        <v>1.1367806999999999</v>
      </c>
      <c r="I372" s="5">
        <f>+IF(VLOOKUP(D372,'Prezzi FI'!$H$8:$I$467,2,0)&lt;VLOOKUP(D373,'Prezzi FI'!$H$8:$I$467,2,0),4.25/2,0)/100</f>
        <v>0</v>
      </c>
      <c r="K372" s="4" t="str">
        <f t="shared" si="37"/>
        <v>201419</v>
      </c>
      <c r="L372" s="14">
        <f t="shared" si="38"/>
        <v>41767</v>
      </c>
      <c r="M372" s="39">
        <f t="shared" si="39"/>
        <v>2.0877585021555393E-2</v>
      </c>
      <c r="N372" s="39">
        <f t="shared" si="40"/>
        <v>1.1950702924669364E-2</v>
      </c>
      <c r="O372" s="39">
        <f t="shared" si="41"/>
        <v>5.100900051917258E-3</v>
      </c>
      <c r="P372" s="39">
        <f t="shared" si="42"/>
        <v>3.9447654261726885E-3</v>
      </c>
      <c r="AC372" s="14"/>
    </row>
    <row r="373" spans="3:29" x14ac:dyDescent="0.75">
      <c r="C373" s="4">
        <v>3</v>
      </c>
      <c r="D373" s="58">
        <v>41766</v>
      </c>
      <c r="E373" s="5">
        <f>+VLOOKUP(D373,'Prezzi Trade'!$I$9:$J$468,2,0)</f>
        <v>21.33</v>
      </c>
      <c r="F373" s="5">
        <f>+VLOOKUP(D373,'Prezzi Trade'!$K$9:$L$468,2,0)</f>
        <v>121.44</v>
      </c>
      <c r="G373" s="5">
        <f>+VLOOKUP(D373,'Prezzi Trade'!$M$9:$N$468,2,0)/VLOOKUP(D373,'Prezzi Trade'!$O$9:$P$468,2,0)</f>
        <v>901.11430625449316</v>
      </c>
      <c r="H373" s="5">
        <f>+(VLOOKUP(D373,'Prezzi FI'!$C$8:$D$468,2,0)+VLOOKUP(D373,'Prezzi FI'!$H$8:$I$467,2,0))/100</f>
        <v>1.1323052</v>
      </c>
      <c r="I373" s="5">
        <f>+IF(VLOOKUP(D373,'Prezzi FI'!$H$8:$I$467,2,0)&lt;VLOOKUP(D374,'Prezzi FI'!$H$8:$I$467,2,0),4.25/2,0)/100</f>
        <v>0</v>
      </c>
      <c r="K373" s="4" t="str">
        <f t="shared" si="37"/>
        <v>201419</v>
      </c>
      <c r="L373" s="14">
        <f t="shared" si="38"/>
        <v>41766</v>
      </c>
      <c r="M373" s="39">
        <f t="shared" si="39"/>
        <v>-1.1652427346729357E-2</v>
      </c>
      <c r="N373" s="39">
        <f t="shared" si="40"/>
        <v>-1.9743343037177405E-3</v>
      </c>
      <c r="O373" s="39">
        <f t="shared" si="41"/>
        <v>-5.6805851852649504E-4</v>
      </c>
      <c r="P373" s="39">
        <f t="shared" si="42"/>
        <v>-9.4770504655908804E-4</v>
      </c>
      <c r="AC373" s="14"/>
    </row>
    <row r="374" spans="3:29" x14ac:dyDescent="0.75">
      <c r="C374" s="4">
        <v>2</v>
      </c>
      <c r="D374" s="58">
        <v>41765</v>
      </c>
      <c r="E374" s="5">
        <f>+VLOOKUP(D374,'Prezzi Trade'!$I$9:$J$468,2,0)</f>
        <v>21.58</v>
      </c>
      <c r="F374" s="5">
        <f>+VLOOKUP(D374,'Prezzi Trade'!$K$9:$L$468,2,0)</f>
        <v>121.68</v>
      </c>
      <c r="G374" s="5">
        <f>+VLOOKUP(D374,'Prezzi Trade'!$M$9:$N$468,2,0)/VLOOKUP(D374,'Prezzi Trade'!$O$9:$P$468,2,0)</f>
        <v>901.62633733036535</v>
      </c>
      <c r="H374" s="5">
        <f>+(VLOOKUP(D374,'Prezzi FI'!$C$8:$D$468,2,0)+VLOOKUP(D374,'Prezzi FI'!$H$8:$I$467,2,0))/100</f>
        <v>1.1333788</v>
      </c>
      <c r="I374" s="5">
        <f>+IF(VLOOKUP(D374,'Prezzi FI'!$H$8:$I$467,2,0)&lt;VLOOKUP(D375,'Prezzi FI'!$H$8:$I$467,2,0),4.25/2,0)/100</f>
        <v>0</v>
      </c>
      <c r="K374" s="4" t="str">
        <f t="shared" si="37"/>
        <v>201419</v>
      </c>
      <c r="L374" s="14">
        <f t="shared" si="38"/>
        <v>41765</v>
      </c>
      <c r="M374" s="39">
        <f t="shared" si="39"/>
        <v>-1.2662768485289395E-2</v>
      </c>
      <c r="N374" s="39">
        <f t="shared" si="40"/>
        <v>-7.5323755510735332E-3</v>
      </c>
      <c r="O374" s="39">
        <f t="shared" si="41"/>
        <v>-4.0215273999670842E-3</v>
      </c>
      <c r="P374" s="39">
        <f t="shared" si="42"/>
        <v>3.06722332136181E-3</v>
      </c>
      <c r="AC374" s="14"/>
    </row>
    <row r="375" spans="3:29" x14ac:dyDescent="0.75">
      <c r="C375" s="4">
        <v>5</v>
      </c>
      <c r="D375" s="58">
        <v>41761</v>
      </c>
      <c r="E375" s="5">
        <f>+VLOOKUP(D375,'Prezzi Trade'!$I$9:$J$468,2,0)</f>
        <v>21.855</v>
      </c>
      <c r="F375" s="5">
        <f>+VLOOKUP(D375,'Prezzi Trade'!$K$9:$L$468,2,0)</f>
        <v>122.6</v>
      </c>
      <c r="G375" s="5">
        <f>+VLOOKUP(D375,'Prezzi Trade'!$M$9:$N$468,2,0)/VLOOKUP(D375,'Prezzi Trade'!$O$9:$P$468,2,0)</f>
        <v>905.25955299206919</v>
      </c>
      <c r="H375" s="5">
        <f>+(VLOOKUP(D375,'Prezzi FI'!$C$8:$D$468,2,0)+VLOOKUP(D375,'Prezzi FI'!$H$8:$I$467,2,0))/100</f>
        <v>1.1299078</v>
      </c>
      <c r="I375" s="5">
        <f>+IF(VLOOKUP(D375,'Prezzi FI'!$H$8:$I$467,2,0)&lt;VLOOKUP(D376,'Prezzi FI'!$H$8:$I$467,2,0),4.25/2,0)/100</f>
        <v>0</v>
      </c>
      <c r="K375" s="4" t="str">
        <f t="shared" si="37"/>
        <v>201418</v>
      </c>
      <c r="L375" s="14">
        <f t="shared" si="38"/>
        <v>41761</v>
      </c>
      <c r="M375" s="39">
        <f t="shared" si="39"/>
        <v>-6.861063733986034E-4</v>
      </c>
      <c r="N375" s="39">
        <f t="shared" si="40"/>
        <v>3.4316562804900985E-3</v>
      </c>
      <c r="O375" s="39">
        <f t="shared" si="41"/>
        <v>-1.6374810227406272E-3</v>
      </c>
      <c r="P375" s="39">
        <f t="shared" si="42"/>
        <v>1.6612490573382447E-3</v>
      </c>
      <c r="AC375" s="14"/>
    </row>
    <row r="376" spans="3:29" x14ac:dyDescent="0.75">
      <c r="C376" s="4">
        <v>3</v>
      </c>
      <c r="D376" s="58">
        <v>41759</v>
      </c>
      <c r="E376" s="5">
        <f>+VLOOKUP(D376,'Prezzi Trade'!$I$9:$J$468,2,0)</f>
        <v>21.87</v>
      </c>
      <c r="F376" s="5">
        <f>+VLOOKUP(D376,'Prezzi Trade'!$K$9:$L$468,2,0)</f>
        <v>122.18</v>
      </c>
      <c r="G376" s="5">
        <f>+VLOOKUP(D376,'Prezzi Trade'!$M$9:$N$468,2,0)/VLOOKUP(D376,'Prezzi Trade'!$O$9:$P$468,2,0)</f>
        <v>906.7431126496466</v>
      </c>
      <c r="H376" s="5">
        <f>+(VLOOKUP(D376,'Prezzi FI'!$C$8:$D$468,2,0)+VLOOKUP(D376,'Prezzi FI'!$H$8:$I$467,2,0))/100</f>
        <v>1.1280323000000001</v>
      </c>
      <c r="I376" s="5">
        <f>+IF(VLOOKUP(D376,'Prezzi FI'!$H$8:$I$467,2,0)&lt;VLOOKUP(D377,'Prezzi FI'!$H$8:$I$467,2,0),4.25/2,0)/100</f>
        <v>0</v>
      </c>
      <c r="K376" s="4" t="str">
        <f t="shared" si="37"/>
        <v>201418</v>
      </c>
      <c r="L376" s="14">
        <f t="shared" si="38"/>
        <v>41759</v>
      </c>
      <c r="M376" s="39">
        <f t="shared" si="39"/>
        <v>-6.3810608496938908E-3</v>
      </c>
      <c r="N376" s="39">
        <f t="shared" si="40"/>
        <v>-2.7789147429534934E-3</v>
      </c>
      <c r="O376" s="39">
        <f t="shared" si="41"/>
        <v>-1.1505902112005088E-2</v>
      </c>
      <c r="P376" s="39">
        <f t="shared" si="42"/>
        <v>2.9701905217642435E-3</v>
      </c>
      <c r="AC376" s="14"/>
    </row>
    <row r="377" spans="3:29" x14ac:dyDescent="0.75">
      <c r="C377" s="4">
        <v>2</v>
      </c>
      <c r="D377" s="58">
        <v>41758</v>
      </c>
      <c r="E377" s="5">
        <f>+VLOOKUP(D377,'Prezzi Trade'!$I$9:$J$468,2,0)</f>
        <v>22.01</v>
      </c>
      <c r="F377" s="5">
        <f>+VLOOKUP(D377,'Prezzi Trade'!$K$9:$L$468,2,0)</f>
        <v>122.52</v>
      </c>
      <c r="G377" s="5">
        <f>+VLOOKUP(D377,'Prezzi Trade'!$M$9:$N$468,2,0)/VLOOKUP(D377,'Prezzi Trade'!$O$9:$P$468,2,0)</f>
        <v>917.2362609514156</v>
      </c>
      <c r="H377" s="5">
        <f>+(VLOOKUP(D377,'Prezzi FI'!$C$8:$D$468,2,0)+VLOOKUP(D377,'Prezzi FI'!$H$8:$I$467,2,0))/100</f>
        <v>1.1246868000000001</v>
      </c>
      <c r="I377" s="5">
        <f>+IF(VLOOKUP(D377,'Prezzi FI'!$H$8:$I$467,2,0)&lt;VLOOKUP(D378,'Prezzi FI'!$H$8:$I$467,2,0),4.25/2,0)/100</f>
        <v>0</v>
      </c>
      <c r="K377" s="4" t="str">
        <f t="shared" si="37"/>
        <v>201418</v>
      </c>
      <c r="L377" s="14">
        <f t="shared" si="38"/>
        <v>41758</v>
      </c>
      <c r="M377" s="39">
        <f t="shared" si="39"/>
        <v>2.0193435137305447E-2</v>
      </c>
      <c r="N377" s="39">
        <f t="shared" si="40"/>
        <v>9.760175900792839E-3</v>
      </c>
      <c r="O377" s="39">
        <f t="shared" si="41"/>
        <v>5.1779882880261608E-3</v>
      </c>
      <c r="P377" s="39">
        <f t="shared" si="42"/>
        <v>5.7499197462587085E-4</v>
      </c>
      <c r="AC377" s="14"/>
    </row>
    <row r="378" spans="3:29" x14ac:dyDescent="0.75">
      <c r="C378" s="4">
        <v>1</v>
      </c>
      <c r="D378" s="58">
        <v>41757</v>
      </c>
      <c r="E378" s="5">
        <f>+VLOOKUP(D378,'Prezzi Trade'!$I$9:$J$468,2,0)</f>
        <v>21.57</v>
      </c>
      <c r="F378" s="5">
        <f>+VLOOKUP(D378,'Prezzi Trade'!$K$9:$L$468,2,0)</f>
        <v>121.33</v>
      </c>
      <c r="G378" s="5">
        <f>+VLOOKUP(D378,'Prezzi Trade'!$M$9:$N$468,2,0)/VLOOKUP(D378,'Prezzi Trade'!$O$9:$P$468,2,0)</f>
        <v>912.49909740775513</v>
      </c>
      <c r="H378" s="5">
        <f>+(VLOOKUP(D378,'Prezzi FI'!$C$8:$D$468,2,0)+VLOOKUP(D378,'Prezzi FI'!$H$8:$I$467,2,0))/100</f>
        <v>1.1240403000000001</v>
      </c>
      <c r="I378" s="5">
        <f>+IF(VLOOKUP(D378,'Prezzi FI'!$H$8:$I$467,2,0)&lt;VLOOKUP(D379,'Prezzi FI'!$H$8:$I$467,2,0),4.25/2,0)/100</f>
        <v>0</v>
      </c>
      <c r="K378" s="4" t="str">
        <f t="shared" si="37"/>
        <v>201418</v>
      </c>
      <c r="L378" s="14">
        <f t="shared" si="38"/>
        <v>41757</v>
      </c>
      <c r="M378" s="39">
        <f t="shared" si="39"/>
        <v>4.4139925307459136E-3</v>
      </c>
      <c r="N378" s="39">
        <f t="shared" si="40"/>
        <v>1.0720324285676075E-3</v>
      </c>
      <c r="O378" s="39">
        <f t="shared" si="41"/>
        <v>-5.0562175657189968E-3</v>
      </c>
      <c r="P378" s="39">
        <f t="shared" si="42"/>
        <v>-1.4570707300357525E-3</v>
      </c>
      <c r="AC378" s="14"/>
    </row>
    <row r="379" spans="3:29" x14ac:dyDescent="0.75">
      <c r="C379" s="4">
        <v>5</v>
      </c>
      <c r="D379" s="58">
        <v>41754</v>
      </c>
      <c r="E379" s="5">
        <f>+VLOOKUP(D379,'Prezzi Trade'!$I$9:$J$468,2,0)</f>
        <v>21.475000000000001</v>
      </c>
      <c r="F379" s="5">
        <f>+VLOOKUP(D379,'Prezzi Trade'!$K$9:$L$468,2,0)</f>
        <v>121.2</v>
      </c>
      <c r="G379" s="5">
        <f>+VLOOKUP(D379,'Prezzi Trade'!$M$9:$N$468,2,0)/VLOOKUP(D379,'Prezzi Trade'!$O$9:$P$468,2,0)</f>
        <v>917.12457522955674</v>
      </c>
      <c r="H379" s="5">
        <f>+(VLOOKUP(D379,'Prezzi FI'!$C$8:$D$468,2,0)+VLOOKUP(D379,'Prezzi FI'!$H$8:$I$467,2,0))/100</f>
        <v>1.1256793</v>
      </c>
      <c r="I379" s="5">
        <f>+IF(VLOOKUP(D379,'Prezzi FI'!$H$8:$I$467,2,0)&lt;VLOOKUP(D380,'Prezzi FI'!$H$8:$I$467,2,0),4.25/2,0)/100</f>
        <v>0</v>
      </c>
      <c r="K379" s="4" t="str">
        <f t="shared" si="37"/>
        <v>201417</v>
      </c>
      <c r="L379" s="14">
        <f t="shared" si="38"/>
        <v>41754</v>
      </c>
      <c r="M379" s="39">
        <f t="shared" si="39"/>
        <v>-1.8226366818357351E-2</v>
      </c>
      <c r="N379" s="39">
        <f t="shared" si="40"/>
        <v>-8.4624421539573474E-3</v>
      </c>
      <c r="O379" s="39">
        <f t="shared" si="41"/>
        <v>-3.8610143775056394E-3</v>
      </c>
      <c r="P379" s="39">
        <f t="shared" si="42"/>
        <v>-7.0563586257867041E-4</v>
      </c>
      <c r="AC379" s="14"/>
    </row>
    <row r="380" spans="3:29" x14ac:dyDescent="0.75">
      <c r="C380" s="4">
        <v>4</v>
      </c>
      <c r="D380" s="58">
        <v>41753</v>
      </c>
      <c r="E380" s="5">
        <f>+VLOOKUP(D380,'Prezzi Trade'!$I$9:$J$468,2,0)</f>
        <v>21.87</v>
      </c>
      <c r="F380" s="5">
        <f>+VLOOKUP(D380,'Prezzi Trade'!$K$9:$L$468,2,0)</f>
        <v>122.23</v>
      </c>
      <c r="G380" s="5">
        <f>+VLOOKUP(D380,'Prezzi Trade'!$M$9:$N$468,2,0)/VLOOKUP(D380,'Prezzi Trade'!$O$9:$P$468,2,0)</f>
        <v>920.67245119305858</v>
      </c>
      <c r="H380" s="5">
        <f>+(VLOOKUP(D380,'Prezzi FI'!$C$8:$D$468,2,0)+VLOOKUP(D380,'Prezzi FI'!$H$8:$I$467,2,0))/100</f>
        <v>1.1264738999999999</v>
      </c>
      <c r="I380" s="5">
        <f>+IF(VLOOKUP(D380,'Prezzi FI'!$H$8:$I$467,2,0)&lt;VLOOKUP(D381,'Prezzi FI'!$H$8:$I$467,2,0),4.25/2,0)/100</f>
        <v>0</v>
      </c>
      <c r="K380" s="4" t="str">
        <f t="shared" si="37"/>
        <v>201417</v>
      </c>
      <c r="L380" s="14">
        <f t="shared" si="38"/>
        <v>41753</v>
      </c>
      <c r="M380" s="39">
        <f t="shared" si="39"/>
        <v>4.5829594422203863E-3</v>
      </c>
      <c r="N380" s="39">
        <f t="shared" si="40"/>
        <v>4.0914856755050444E-4</v>
      </c>
      <c r="O380" s="39">
        <f t="shared" si="41"/>
        <v>5.5468433128624478E-3</v>
      </c>
      <c r="P380" s="39">
        <f t="shared" si="42"/>
        <v>-1.7867265771341855E-3</v>
      </c>
      <c r="AC380" s="14"/>
    </row>
    <row r="381" spans="3:29" x14ac:dyDescent="0.75">
      <c r="C381" s="4">
        <v>3</v>
      </c>
      <c r="D381" s="58">
        <v>41752</v>
      </c>
      <c r="E381" s="5">
        <f>+VLOOKUP(D381,'Prezzi Trade'!$I$9:$J$468,2,0)</f>
        <v>21.77</v>
      </c>
      <c r="F381" s="5">
        <f>+VLOOKUP(D381,'Prezzi Trade'!$K$9:$L$468,2,0)</f>
        <v>122.18</v>
      </c>
      <c r="G381" s="5">
        <f>+VLOOKUP(D381,'Prezzi Trade'!$M$9:$N$468,2,0)/VLOOKUP(D381,'Prezzi Trade'!$O$9:$P$468,2,0)</f>
        <v>915.57976259409384</v>
      </c>
      <c r="H381" s="5">
        <f>+(VLOOKUP(D381,'Prezzi FI'!$C$8:$D$468,2,0)+VLOOKUP(D381,'Prezzi FI'!$H$8:$I$467,2,0))/100</f>
        <v>1.1284883999999999</v>
      </c>
      <c r="I381" s="5">
        <f>+IF(VLOOKUP(D381,'Prezzi FI'!$H$8:$I$467,2,0)&lt;VLOOKUP(D382,'Prezzi FI'!$H$8:$I$467,2,0),4.25/2,0)/100</f>
        <v>0</v>
      </c>
      <c r="K381" s="4" t="str">
        <f t="shared" si="37"/>
        <v>201417</v>
      </c>
      <c r="L381" s="14">
        <f t="shared" si="38"/>
        <v>41752</v>
      </c>
      <c r="M381" s="39">
        <f t="shared" si="39"/>
        <v>-8.0064478937412562E-3</v>
      </c>
      <c r="N381" s="39">
        <f t="shared" si="40"/>
        <v>-3.8394034828774098E-3</v>
      </c>
      <c r="O381" s="39">
        <f t="shared" si="41"/>
        <v>2.094928357000001E-3</v>
      </c>
      <c r="P381" s="39">
        <f t="shared" si="42"/>
        <v>4.046052731965087E-4</v>
      </c>
      <c r="AC381" s="14"/>
    </row>
    <row r="382" spans="3:29" x14ac:dyDescent="0.75">
      <c r="C382" s="4">
        <v>2</v>
      </c>
      <c r="D382" s="58">
        <v>41751</v>
      </c>
      <c r="E382" s="5">
        <f>+VLOOKUP(D382,'Prezzi Trade'!$I$9:$J$468,2,0)</f>
        <v>21.945</v>
      </c>
      <c r="F382" s="5">
        <f>+VLOOKUP(D382,'Prezzi Trade'!$K$9:$L$468,2,0)</f>
        <v>122.65</v>
      </c>
      <c r="G382" s="5">
        <f>+VLOOKUP(D382,'Prezzi Trade'!$M$9:$N$468,2,0)/VLOOKUP(D382,'Prezzi Trade'!$O$9:$P$468,2,0)</f>
        <v>913.66369629790631</v>
      </c>
      <c r="H382" s="5">
        <f>+(VLOOKUP(D382,'Prezzi FI'!$C$8:$D$468,2,0)+VLOOKUP(D382,'Prezzi FI'!$H$8:$I$467,2,0))/100</f>
        <v>1.1280319000000001</v>
      </c>
      <c r="I382" s="5">
        <f>+IF(VLOOKUP(D382,'Prezzi FI'!$H$8:$I$467,2,0)&lt;VLOOKUP(D383,'Prezzi FI'!$H$8:$I$467,2,0),4.25/2,0)/100</f>
        <v>0</v>
      </c>
      <c r="K382" s="4" t="str">
        <f t="shared" si="37"/>
        <v>201417</v>
      </c>
      <c r="L382" s="14">
        <f t="shared" si="38"/>
        <v>41751</v>
      </c>
      <c r="M382" s="39">
        <f t="shared" si="39"/>
        <v>1.5151805020602246E-2</v>
      </c>
      <c r="N382" s="39">
        <f t="shared" si="40"/>
        <v>1.0903087884118121E-2</v>
      </c>
      <c r="O382" s="39">
        <f t="shared" si="41"/>
        <v>-1.6822154967021865E-3</v>
      </c>
      <c r="P382" s="39">
        <f t="shared" si="42"/>
        <v>8.0304788241454886E-4</v>
      </c>
      <c r="AC382" s="14"/>
    </row>
    <row r="383" spans="3:29" x14ac:dyDescent="0.75">
      <c r="C383" s="4">
        <v>4</v>
      </c>
      <c r="D383" s="58">
        <v>41746</v>
      </c>
      <c r="E383" s="5">
        <f>+VLOOKUP(D383,'Prezzi Trade'!$I$9:$J$468,2,0)</f>
        <v>21.614999999999998</v>
      </c>
      <c r="F383" s="5">
        <f>+VLOOKUP(D383,'Prezzi Trade'!$K$9:$L$468,2,0)</f>
        <v>121.32</v>
      </c>
      <c r="G383" s="5">
        <f>+VLOOKUP(D383,'Prezzi Trade'!$M$9:$N$468,2,0)/VLOOKUP(D383,'Prezzi Trade'!$O$9:$P$468,2,0)</f>
        <v>915.2019690169393</v>
      </c>
      <c r="H383" s="5">
        <f>+(VLOOKUP(D383,'Prezzi FI'!$C$8:$D$468,2,0)+VLOOKUP(D383,'Prezzi FI'!$H$8:$I$467,2,0))/100</f>
        <v>1.1271263999999999</v>
      </c>
      <c r="I383" s="5">
        <f>+IF(VLOOKUP(D383,'Prezzi FI'!$H$8:$I$467,2,0)&lt;VLOOKUP(D384,'Prezzi FI'!$H$8:$I$467,2,0),4.25/2,0)/100</f>
        <v>0</v>
      </c>
      <c r="K383" s="4" t="str">
        <f t="shared" si="37"/>
        <v>201416</v>
      </c>
      <c r="L383" s="14">
        <f t="shared" si="38"/>
        <v>41746</v>
      </c>
      <c r="M383" s="39">
        <f t="shared" si="39"/>
        <v>4.8695748399562953E-3</v>
      </c>
      <c r="N383" s="39">
        <f t="shared" si="40"/>
        <v>5.2064081905737504E-3</v>
      </c>
      <c r="O383" s="39">
        <f t="shared" si="41"/>
        <v>-1.2726620508080582E-3</v>
      </c>
      <c r="P383" s="39">
        <f t="shared" si="42"/>
        <v>-9.7944577411032533E-4</v>
      </c>
      <c r="AC383" s="14"/>
    </row>
    <row r="384" spans="3:29" x14ac:dyDescent="0.75">
      <c r="C384" s="4">
        <v>3</v>
      </c>
      <c r="D384" s="58">
        <v>41745</v>
      </c>
      <c r="E384" s="5">
        <f>+VLOOKUP(D384,'Prezzi Trade'!$I$9:$J$468,2,0)</f>
        <v>21.51</v>
      </c>
      <c r="F384" s="5">
        <f>+VLOOKUP(D384,'Prezzi Trade'!$K$9:$L$468,2,0)</f>
        <v>120.69</v>
      </c>
      <c r="G384" s="5">
        <f>+VLOOKUP(D384,'Prezzi Trade'!$M$9:$N$468,2,0)/VLOOKUP(D384,'Prezzi Trade'!$O$9:$P$468,2,0)</f>
        <v>916.36745330823794</v>
      </c>
      <c r="H384" s="5">
        <f>+(VLOOKUP(D384,'Prezzi FI'!$C$8:$D$468,2,0)+VLOOKUP(D384,'Prezzi FI'!$H$8:$I$467,2,0))/100</f>
        <v>1.1282308999999999</v>
      </c>
      <c r="I384" s="5">
        <f>+IF(VLOOKUP(D384,'Prezzi FI'!$H$8:$I$467,2,0)&lt;VLOOKUP(D385,'Prezzi FI'!$H$8:$I$467,2,0),4.25/2,0)/100</f>
        <v>0</v>
      </c>
      <c r="K384" s="4" t="str">
        <f t="shared" si="37"/>
        <v>201416</v>
      </c>
      <c r="L384" s="14">
        <f t="shared" si="38"/>
        <v>41745</v>
      </c>
      <c r="M384" s="39">
        <f t="shared" si="39"/>
        <v>3.0444829236122937E-2</v>
      </c>
      <c r="N384" s="39">
        <f t="shared" si="40"/>
        <v>1.1332510248242236E-2</v>
      </c>
      <c r="O384" s="39">
        <f t="shared" si="41"/>
        <v>6.1950273807129365E-3</v>
      </c>
      <c r="P384" s="39">
        <f t="shared" si="42"/>
        <v>7.6742459852175728E-4</v>
      </c>
      <c r="AC384" s="14"/>
    </row>
    <row r="385" spans="3:29" x14ac:dyDescent="0.75">
      <c r="C385" s="4">
        <v>2</v>
      </c>
      <c r="D385" s="58">
        <v>41744</v>
      </c>
      <c r="E385" s="5">
        <f>+VLOOKUP(D385,'Prezzi Trade'!$I$9:$J$468,2,0)</f>
        <v>20.864999999999998</v>
      </c>
      <c r="F385" s="5">
        <f>+VLOOKUP(D385,'Prezzi Trade'!$K$9:$L$468,2,0)</f>
        <v>119.33</v>
      </c>
      <c r="G385" s="5">
        <f>+VLOOKUP(D385,'Prezzi Trade'!$M$9:$N$468,2,0)/VLOOKUP(D385,'Prezzi Trade'!$O$9:$P$468,2,0)</f>
        <v>910.70807993049516</v>
      </c>
      <c r="H385" s="5">
        <f>+(VLOOKUP(D385,'Prezzi FI'!$C$8:$D$468,2,0)+VLOOKUP(D385,'Prezzi FI'!$H$8:$I$467,2,0))/100</f>
        <v>1.1273654</v>
      </c>
      <c r="I385" s="5">
        <f>+IF(VLOOKUP(D385,'Prezzi FI'!$H$8:$I$467,2,0)&lt;VLOOKUP(D386,'Prezzi FI'!$H$8:$I$467,2,0),4.25/2,0)/100</f>
        <v>0</v>
      </c>
      <c r="K385" s="4" t="str">
        <f t="shared" si="37"/>
        <v>201416</v>
      </c>
      <c r="L385" s="14">
        <f t="shared" si="38"/>
        <v>41744</v>
      </c>
      <c r="M385" s="39">
        <f t="shared" si="39"/>
        <v>-2.368095505247237E-2</v>
      </c>
      <c r="N385" s="39">
        <f t="shared" si="40"/>
        <v>-3.0958481823631047E-3</v>
      </c>
      <c r="O385" s="39">
        <f t="shared" si="41"/>
        <v>-1.3091820898438213E-3</v>
      </c>
      <c r="P385" s="39">
        <f t="shared" si="42"/>
        <v>3.8280843152752484E-3</v>
      </c>
      <c r="AC385" s="14"/>
    </row>
    <row r="386" spans="3:29" x14ac:dyDescent="0.75">
      <c r="C386" s="4">
        <v>1</v>
      </c>
      <c r="D386" s="58">
        <v>41743</v>
      </c>
      <c r="E386" s="5">
        <f>+VLOOKUP(D386,'Prezzi Trade'!$I$9:$J$468,2,0)</f>
        <v>21.364999999999998</v>
      </c>
      <c r="F386" s="5">
        <f>+VLOOKUP(D386,'Prezzi Trade'!$K$9:$L$468,2,0)</f>
        <v>119.7</v>
      </c>
      <c r="G386" s="5">
        <f>+VLOOKUP(D386,'Prezzi Trade'!$M$9:$N$468,2,0)/VLOOKUP(D386,'Prezzi Trade'!$O$9:$P$468,2,0)</f>
        <v>911.90114343609798</v>
      </c>
      <c r="H386" s="5">
        <f>+(VLOOKUP(D386,'Prezzi FI'!$C$8:$D$468,2,0)+VLOOKUP(D386,'Prezzi FI'!$H$8:$I$467,2,0))/100</f>
        <v>1.1230580000000001</v>
      </c>
      <c r="I386" s="5">
        <f>+IF(VLOOKUP(D386,'Prezzi FI'!$H$8:$I$467,2,0)&lt;VLOOKUP(D387,'Prezzi FI'!$H$8:$I$467,2,0),4.25/2,0)/100</f>
        <v>0</v>
      </c>
      <c r="K386" s="4" t="str">
        <f t="shared" si="37"/>
        <v>201416</v>
      </c>
      <c r="L386" s="14">
        <f t="shared" si="38"/>
        <v>41743</v>
      </c>
      <c r="M386" s="39">
        <f t="shared" si="39"/>
        <v>5.3971737255623115E-3</v>
      </c>
      <c r="N386" s="39">
        <f t="shared" si="40"/>
        <v>7.042282625412951E-3</v>
      </c>
      <c r="O386" s="39">
        <f t="shared" si="41"/>
        <v>5.1017726049125368E-3</v>
      </c>
      <c r="P386" s="39">
        <f t="shared" si="42"/>
        <v>1.2790240710827266E-3</v>
      </c>
      <c r="AC386" s="14"/>
    </row>
    <row r="387" spans="3:29" x14ac:dyDescent="0.75">
      <c r="C387" s="4">
        <v>5</v>
      </c>
      <c r="D387" s="58">
        <v>41740</v>
      </c>
      <c r="E387" s="5">
        <f>+VLOOKUP(D387,'Prezzi Trade'!$I$9:$J$468,2,0)</f>
        <v>21.25</v>
      </c>
      <c r="F387" s="5">
        <f>+VLOOKUP(D387,'Prezzi Trade'!$K$9:$L$468,2,0)</f>
        <v>118.86</v>
      </c>
      <c r="G387" s="5">
        <f>+VLOOKUP(D387,'Prezzi Trade'!$M$9:$N$468,2,0)/VLOOKUP(D387,'Prezzi Trade'!$O$9:$P$468,2,0)</f>
        <v>907.26067852769563</v>
      </c>
      <c r="H387" s="5">
        <f>+(VLOOKUP(D387,'Prezzi FI'!$C$8:$D$468,2,0)+VLOOKUP(D387,'Prezzi FI'!$H$8:$I$467,2,0))/100</f>
        <v>1.1216225</v>
      </c>
      <c r="I387" s="5">
        <f>+IF(VLOOKUP(D387,'Prezzi FI'!$H$8:$I$467,2,0)&lt;VLOOKUP(D388,'Prezzi FI'!$H$8:$I$467,2,0),4.25/2,0)/100</f>
        <v>0</v>
      </c>
      <c r="K387" s="4" t="str">
        <f t="shared" si="37"/>
        <v>201415</v>
      </c>
      <c r="L387" s="14">
        <f t="shared" si="38"/>
        <v>41740</v>
      </c>
      <c r="M387" s="39">
        <f t="shared" si="39"/>
        <v>-1.1230815283993195E-2</v>
      </c>
      <c r="N387" s="39">
        <f t="shared" si="40"/>
        <v>-1.3122341333873968E-2</v>
      </c>
      <c r="O387" s="39">
        <f t="shared" si="41"/>
        <v>4.4968377375140265E-3</v>
      </c>
      <c r="P387" s="39">
        <f t="shared" si="42"/>
        <v>-3.0040712615096768E-3</v>
      </c>
      <c r="AC387" s="14"/>
    </row>
    <row r="388" spans="3:29" x14ac:dyDescent="0.75">
      <c r="C388" s="4">
        <v>4</v>
      </c>
      <c r="D388" s="58">
        <v>41739</v>
      </c>
      <c r="E388" s="5">
        <f>+VLOOKUP(D388,'Prezzi Trade'!$I$9:$J$468,2,0)</f>
        <v>21.49</v>
      </c>
      <c r="F388" s="5">
        <f>+VLOOKUP(D388,'Prezzi Trade'!$K$9:$L$468,2,0)</f>
        <v>120.43</v>
      </c>
      <c r="G388" s="5">
        <f>+VLOOKUP(D388,'Prezzi Trade'!$M$9:$N$468,2,0)/VLOOKUP(D388,'Prezzi Trade'!$O$9:$P$468,2,0)</f>
        <v>903.19003384460279</v>
      </c>
      <c r="H388" s="5">
        <f>+(VLOOKUP(D388,'Prezzi FI'!$C$8:$D$468,2,0)+VLOOKUP(D388,'Prezzi FI'!$H$8:$I$467,2,0))/100</f>
        <v>1.124997</v>
      </c>
      <c r="I388" s="5">
        <f>+IF(VLOOKUP(D388,'Prezzi FI'!$H$8:$I$467,2,0)&lt;VLOOKUP(D389,'Prezzi FI'!$H$8:$I$467,2,0),4.25/2,0)/100</f>
        <v>0</v>
      </c>
      <c r="K388" s="4" t="str">
        <f t="shared" si="37"/>
        <v>201415</v>
      </c>
      <c r="L388" s="14">
        <f t="shared" si="38"/>
        <v>41739</v>
      </c>
      <c r="M388" s="39">
        <f t="shared" si="39"/>
        <v>-1.1336153786336352E-2</v>
      </c>
      <c r="N388" s="39">
        <f t="shared" si="40"/>
        <v>-6.6208964861034451E-3</v>
      </c>
      <c r="O388" s="39">
        <f t="shared" si="41"/>
        <v>-5.9533665451178084E-4</v>
      </c>
      <c r="P388" s="39">
        <f t="shared" si="42"/>
        <v>1.6417958284733606E-3</v>
      </c>
      <c r="AC388" s="14"/>
    </row>
    <row r="389" spans="3:29" x14ac:dyDescent="0.75">
      <c r="C389" s="4">
        <v>3</v>
      </c>
      <c r="D389" s="58">
        <v>41738</v>
      </c>
      <c r="E389" s="5">
        <f>+VLOOKUP(D389,'Prezzi Trade'!$I$9:$J$468,2,0)</f>
        <v>21.734999999999999</v>
      </c>
      <c r="F389" s="5">
        <f>+VLOOKUP(D389,'Prezzi Trade'!$K$9:$L$468,2,0)</f>
        <v>121.23</v>
      </c>
      <c r="G389" s="5">
        <f>+VLOOKUP(D389,'Prezzi Trade'!$M$9:$N$468,2,0)/VLOOKUP(D389,'Prezzi Trade'!$O$9:$P$468,2,0)</f>
        <v>903.72789606640208</v>
      </c>
      <c r="H389" s="5">
        <f>+(VLOOKUP(D389,'Prezzi FI'!$C$8:$D$468,2,0)+VLOOKUP(D389,'Prezzi FI'!$H$8:$I$467,2,0))/100</f>
        <v>1.1231515000000001</v>
      </c>
      <c r="I389" s="5">
        <f>+IF(VLOOKUP(D389,'Prezzi FI'!$H$8:$I$467,2,0)&lt;VLOOKUP(D390,'Prezzi FI'!$H$8:$I$467,2,0),4.25/2,0)/100</f>
        <v>0</v>
      </c>
      <c r="K389" s="4" t="str">
        <f t="shared" si="37"/>
        <v>201415</v>
      </c>
      <c r="L389" s="14">
        <f t="shared" si="38"/>
        <v>41738</v>
      </c>
      <c r="M389" s="39">
        <f t="shared" si="39"/>
        <v>-4.599816088464079E-4</v>
      </c>
      <c r="N389" s="39">
        <f t="shared" si="40"/>
        <v>2.8912497940078662E-3</v>
      </c>
      <c r="O389" s="39">
        <f t="shared" si="41"/>
        <v>-4.6334452341463349E-4</v>
      </c>
      <c r="P389" s="39">
        <f t="shared" si="42"/>
        <v>1.0033955409167023E-3</v>
      </c>
      <c r="AC389" s="14"/>
    </row>
    <row r="390" spans="3:29" x14ac:dyDescent="0.75">
      <c r="C390" s="4">
        <v>2</v>
      </c>
      <c r="D390" s="58">
        <v>41737</v>
      </c>
      <c r="E390" s="5">
        <f>+VLOOKUP(D390,'Prezzi Trade'!$I$9:$J$468,2,0)</f>
        <v>21.745000000000001</v>
      </c>
      <c r="F390" s="5">
        <f>+VLOOKUP(D390,'Prezzi Trade'!$K$9:$L$468,2,0)</f>
        <v>120.88</v>
      </c>
      <c r="G390" s="5">
        <f>+VLOOKUP(D390,'Prezzi Trade'!$M$9:$N$468,2,0)/VLOOKUP(D390,'Prezzi Trade'!$O$9:$P$468,2,0)</f>
        <v>904.14673046252005</v>
      </c>
      <c r="H390" s="5">
        <f>+(VLOOKUP(D390,'Prezzi FI'!$C$8:$D$468,2,0)+VLOOKUP(D390,'Prezzi FI'!$H$8:$I$467,2,0))/100</f>
        <v>1.1220251000000001</v>
      </c>
      <c r="I390" s="5">
        <f>+IF(VLOOKUP(D390,'Prezzi FI'!$H$8:$I$467,2,0)&lt;VLOOKUP(D391,'Prezzi FI'!$H$8:$I$467,2,0),4.25/2,0)/100</f>
        <v>0</v>
      </c>
      <c r="K390" s="4" t="str">
        <f t="shared" ref="K390:K441" si="43">+YEAR( L390) &amp; WEEKNUM(L390,2)</f>
        <v>201415</v>
      </c>
      <c r="L390" s="14">
        <f t="shared" ref="L390:L441" si="44">+D390</f>
        <v>41737</v>
      </c>
      <c r="M390" s="39">
        <f t="shared" ref="M390:M441" si="45">+LN(E390/E391)</f>
        <v>-1.6193762474105464E-2</v>
      </c>
      <c r="N390" s="39">
        <f t="shared" ref="N390:N441" si="46">+LN(F390/F391)</f>
        <v>-4.9513222130639963E-3</v>
      </c>
      <c r="O390" s="39">
        <f t="shared" ref="O390:O441" si="47">+LN(G390/G391)</f>
        <v>1.4762651754764852E-3</v>
      </c>
      <c r="P390" s="39">
        <f t="shared" ref="P390:P441" si="48">+LN((H390+I390)/H391)</f>
        <v>-2.1318138005739029E-3</v>
      </c>
      <c r="AC390" s="14"/>
    </row>
    <row r="391" spans="3:29" x14ac:dyDescent="0.75">
      <c r="C391" s="4">
        <v>1</v>
      </c>
      <c r="D391" s="58">
        <v>41736</v>
      </c>
      <c r="E391" s="5">
        <f>+VLOOKUP(D391,'Prezzi Trade'!$I$9:$J$468,2,0)</f>
        <v>22.1</v>
      </c>
      <c r="F391" s="5">
        <f>+VLOOKUP(D391,'Prezzi Trade'!$K$9:$L$468,2,0)</f>
        <v>121.48</v>
      </c>
      <c r="G391" s="5">
        <f>+VLOOKUP(D391,'Prezzi Trade'!$M$9:$N$468,2,0)/VLOOKUP(D391,'Prezzi Trade'!$O$9:$P$468,2,0)</f>
        <v>902.81295487627347</v>
      </c>
      <c r="H391" s="5">
        <f>+(VLOOKUP(D391,'Prezzi FI'!$C$8:$D$468,2,0)+VLOOKUP(D391,'Prezzi FI'!$H$8:$I$467,2,0))/100</f>
        <v>1.1244196000000002</v>
      </c>
      <c r="I391" s="5">
        <f>+IF(VLOOKUP(D391,'Prezzi FI'!$H$8:$I$467,2,0)&lt;VLOOKUP(D392,'Prezzi FI'!$H$8:$I$467,2,0),4.25/2,0)/100</f>
        <v>0</v>
      </c>
      <c r="K391" s="4" t="str">
        <f t="shared" si="43"/>
        <v>201415</v>
      </c>
      <c r="L391" s="14">
        <f t="shared" si="44"/>
        <v>41736</v>
      </c>
      <c r="M391" s="39">
        <f t="shared" si="45"/>
        <v>-4.0641284207954412E-3</v>
      </c>
      <c r="N391" s="39">
        <f t="shared" si="46"/>
        <v>-1.6977227872832922E-2</v>
      </c>
      <c r="O391" s="39">
        <f t="shared" si="47"/>
        <v>-2.3622909236042182E-3</v>
      </c>
      <c r="P391" s="39">
        <f t="shared" si="48"/>
        <v>-9.5514781894910899E-4</v>
      </c>
      <c r="AC391" s="14"/>
    </row>
    <row r="392" spans="3:29" x14ac:dyDescent="0.75">
      <c r="C392" s="4">
        <v>5</v>
      </c>
      <c r="D392" s="58">
        <v>41733</v>
      </c>
      <c r="E392" s="5">
        <f>+VLOOKUP(D392,'Prezzi Trade'!$I$9:$J$468,2,0)</f>
        <v>22.19</v>
      </c>
      <c r="F392" s="5">
        <f>+VLOOKUP(D392,'Prezzi Trade'!$K$9:$L$468,2,0)</f>
        <v>123.56</v>
      </c>
      <c r="G392" s="5">
        <f>+VLOOKUP(D392,'Prezzi Trade'!$M$9:$N$468,2,0)/VLOOKUP(D392,'Prezzi Trade'!$O$9:$P$468,2,0)</f>
        <v>904.94818274704414</v>
      </c>
      <c r="H392" s="5">
        <f>+(VLOOKUP(D392,'Prezzi FI'!$C$8:$D$468,2,0)+VLOOKUP(D392,'Prezzi FI'!$H$8:$I$467,2,0))/100</f>
        <v>1.1254941000000001</v>
      </c>
      <c r="I392" s="5">
        <f>+IF(VLOOKUP(D392,'Prezzi FI'!$H$8:$I$467,2,0)&lt;VLOOKUP(D393,'Prezzi FI'!$H$8:$I$467,2,0),4.25/2,0)/100</f>
        <v>0</v>
      </c>
      <c r="K392" s="4" t="str">
        <f t="shared" si="43"/>
        <v>201414</v>
      </c>
      <c r="L392" s="14">
        <f t="shared" si="44"/>
        <v>41733</v>
      </c>
      <c r="M392" s="39">
        <f t="shared" si="45"/>
        <v>8.8265821438194263E-3</v>
      </c>
      <c r="N392" s="39">
        <f t="shared" si="46"/>
        <v>2.1875641699196412E-3</v>
      </c>
      <c r="O392" s="39">
        <f t="shared" si="47"/>
        <v>5.8353193193546923E-3</v>
      </c>
      <c r="P392" s="39">
        <f t="shared" si="48"/>
        <v>5.4752302711907567E-3</v>
      </c>
      <c r="AC392" s="14"/>
    </row>
    <row r="393" spans="3:29" x14ac:dyDescent="0.75">
      <c r="C393" s="4">
        <v>4</v>
      </c>
      <c r="D393" s="58">
        <v>41732</v>
      </c>
      <c r="E393" s="5">
        <f>+VLOOKUP(D393,'Prezzi Trade'!$I$9:$J$468,2,0)</f>
        <v>21.995000000000001</v>
      </c>
      <c r="F393" s="5">
        <f>+VLOOKUP(D393,'Prezzi Trade'!$K$9:$L$468,2,0)</f>
        <v>123.29</v>
      </c>
      <c r="G393" s="5">
        <f>+VLOOKUP(D393,'Prezzi Trade'!$M$9:$N$468,2,0)/VLOOKUP(D393,'Prezzi Trade'!$O$9:$P$468,2,0)</f>
        <v>899.68289838168835</v>
      </c>
      <c r="H393" s="5">
        <f>+(VLOOKUP(D393,'Prezzi FI'!$C$8:$D$468,2,0)+VLOOKUP(D393,'Prezzi FI'!$H$8:$I$467,2,0))/100</f>
        <v>1.1193485999999999</v>
      </c>
      <c r="I393" s="5">
        <f>+IF(VLOOKUP(D393,'Prezzi FI'!$H$8:$I$467,2,0)&lt;VLOOKUP(D394,'Prezzi FI'!$H$8:$I$467,2,0),4.25/2,0)/100</f>
        <v>0</v>
      </c>
      <c r="K393" s="4" t="str">
        <f t="shared" si="43"/>
        <v>201414</v>
      </c>
      <c r="L393" s="14">
        <f t="shared" si="44"/>
        <v>41732</v>
      </c>
      <c r="M393" s="39">
        <f t="shared" si="45"/>
        <v>1.235148364922729E-2</v>
      </c>
      <c r="N393" s="39">
        <f t="shared" si="46"/>
        <v>2.1110758083838486E-3</v>
      </c>
      <c r="O393" s="39">
        <f t="shared" si="47"/>
        <v>7.0928814149249968E-3</v>
      </c>
      <c r="P393" s="39">
        <f t="shared" si="48"/>
        <v>3.7372694657621507E-3</v>
      </c>
      <c r="AC393" s="14"/>
    </row>
    <row r="394" spans="3:29" x14ac:dyDescent="0.75">
      <c r="C394" s="4">
        <v>3</v>
      </c>
      <c r="D394" s="58">
        <v>41731</v>
      </c>
      <c r="E394" s="5">
        <f>+VLOOKUP(D394,'Prezzi Trade'!$I$9:$J$468,2,0)</f>
        <v>21.725000000000001</v>
      </c>
      <c r="F394" s="5">
        <f>+VLOOKUP(D394,'Prezzi Trade'!$K$9:$L$468,2,0)</f>
        <v>123.03</v>
      </c>
      <c r="G394" s="5">
        <f>+VLOOKUP(D394,'Prezzi Trade'!$M$9:$N$468,2,0)/VLOOKUP(D394,'Prezzi Trade'!$O$9:$P$468,2,0)</f>
        <v>893.32413191922126</v>
      </c>
      <c r="H394" s="5">
        <f>+(VLOOKUP(D394,'Prezzi FI'!$C$8:$D$468,2,0)+VLOOKUP(D394,'Prezzi FI'!$H$8:$I$467,2,0))/100</f>
        <v>1.1151731</v>
      </c>
      <c r="I394" s="5">
        <f>+IF(VLOOKUP(D394,'Prezzi FI'!$H$8:$I$467,2,0)&lt;VLOOKUP(D395,'Prezzi FI'!$H$8:$I$467,2,0),4.25/2,0)/100</f>
        <v>0</v>
      </c>
      <c r="K394" s="4" t="str">
        <f t="shared" si="43"/>
        <v>201414</v>
      </c>
      <c r="L394" s="14">
        <f t="shared" si="44"/>
        <v>41731</v>
      </c>
      <c r="M394" s="39">
        <f t="shared" si="45"/>
        <v>-1.0758945489874112E-2</v>
      </c>
      <c r="N394" s="39">
        <f t="shared" si="46"/>
        <v>6.8510177436467935E-3</v>
      </c>
      <c r="O394" s="39">
        <f t="shared" si="47"/>
        <v>-4.5085137364983914E-3</v>
      </c>
      <c r="P394" s="39">
        <f t="shared" si="48"/>
        <v>-3.7072572607070608E-4</v>
      </c>
      <c r="AC394" s="14"/>
    </row>
    <row r="395" spans="3:29" x14ac:dyDescent="0.75">
      <c r="C395" s="4">
        <v>2</v>
      </c>
      <c r="D395" s="58">
        <v>41730</v>
      </c>
      <c r="E395" s="5">
        <f>+VLOOKUP(D395,'Prezzi Trade'!$I$9:$J$468,2,0)</f>
        <v>21.96</v>
      </c>
      <c r="F395" s="5">
        <f>+VLOOKUP(D395,'Prezzi Trade'!$K$9:$L$468,2,0)</f>
        <v>122.19</v>
      </c>
      <c r="G395" s="5">
        <f>+VLOOKUP(D395,'Prezzi Trade'!$M$9:$N$468,2,0)/VLOOKUP(D395,'Prezzi Trade'!$O$9:$P$468,2,0)</f>
        <v>897.36078886310918</v>
      </c>
      <c r="H395" s="5">
        <f>+(VLOOKUP(D395,'Prezzi FI'!$C$8:$D$468,2,0)+VLOOKUP(D395,'Prezzi FI'!$H$8:$I$467,2,0))/100</f>
        <v>1.1155866000000001</v>
      </c>
      <c r="I395" s="5">
        <f>+IF(VLOOKUP(D395,'Prezzi FI'!$H$8:$I$467,2,0)&lt;VLOOKUP(D396,'Prezzi FI'!$H$8:$I$467,2,0),4.25/2,0)/100</f>
        <v>0</v>
      </c>
      <c r="K395" s="4" t="str">
        <f t="shared" si="43"/>
        <v>201414</v>
      </c>
      <c r="L395" s="14">
        <f t="shared" si="44"/>
        <v>41730</v>
      </c>
      <c r="M395" s="39">
        <f t="shared" si="45"/>
        <v>1.1219350654544659E-2</v>
      </c>
      <c r="N395" s="39">
        <f t="shared" si="46"/>
        <v>3.1968550526341893E-3</v>
      </c>
      <c r="O395" s="39">
        <f t="shared" si="47"/>
        <v>2.8533862031689368E-3</v>
      </c>
      <c r="P395" s="39">
        <f t="shared" si="48"/>
        <v>1.3504256520304944E-3</v>
      </c>
      <c r="AC395" s="14"/>
    </row>
    <row r="396" spans="3:29" x14ac:dyDescent="0.75">
      <c r="C396" s="4">
        <v>1</v>
      </c>
      <c r="D396" s="58">
        <v>41729</v>
      </c>
      <c r="E396" s="5">
        <f>+VLOOKUP(D396,'Prezzi Trade'!$I$9:$J$468,2,0)</f>
        <v>21.715</v>
      </c>
      <c r="F396" s="5">
        <f>+VLOOKUP(D396,'Prezzi Trade'!$K$9:$L$468,2,0)</f>
        <v>121.8</v>
      </c>
      <c r="G396" s="5">
        <f>+VLOOKUP(D396,'Prezzi Trade'!$M$9:$N$468,2,0)/VLOOKUP(D396,'Prezzi Trade'!$O$9:$P$468,2,0)</f>
        <v>894.8039215686274</v>
      </c>
      <c r="H396" s="5">
        <f>+(VLOOKUP(D396,'Prezzi FI'!$C$8:$D$468,2,0)+VLOOKUP(D396,'Prezzi FI'!$H$8:$I$467,2,0))/100</f>
        <v>1.1140811000000002</v>
      </c>
      <c r="I396" s="5">
        <f>+IF(VLOOKUP(D396,'Prezzi FI'!$H$8:$I$467,2,0)&lt;VLOOKUP(D397,'Prezzi FI'!$H$8:$I$467,2,0),4.25/2,0)/100</f>
        <v>0</v>
      </c>
      <c r="K396" s="4" t="str">
        <f t="shared" si="43"/>
        <v>201414</v>
      </c>
      <c r="L396" s="14">
        <f t="shared" si="44"/>
        <v>41729</v>
      </c>
      <c r="M396" s="39">
        <f t="shared" si="45"/>
        <v>8.0915942585426427E-3</v>
      </c>
      <c r="N396" s="39">
        <f t="shared" si="46"/>
        <v>2.0546545136643757E-3</v>
      </c>
      <c r="O396" s="39">
        <f t="shared" si="47"/>
        <v>-8.9523621157999705E-3</v>
      </c>
      <c r="P396" s="39">
        <f t="shared" si="48"/>
        <v>9.9270040241182674E-4</v>
      </c>
      <c r="AC396" s="14"/>
    </row>
    <row r="397" spans="3:29" x14ac:dyDescent="0.75">
      <c r="C397" s="4">
        <v>5</v>
      </c>
      <c r="D397" s="58">
        <v>41726</v>
      </c>
      <c r="E397" s="5">
        <f>+VLOOKUP(D397,'Prezzi Trade'!$I$9:$J$468,2,0)</f>
        <v>21.54</v>
      </c>
      <c r="F397" s="5">
        <f>+VLOOKUP(D397,'Prezzi Trade'!$K$9:$L$468,2,0)</f>
        <v>121.55</v>
      </c>
      <c r="G397" s="5">
        <f>+VLOOKUP(D397,'Prezzi Trade'!$M$9:$N$468,2,0)/VLOOKUP(D397,'Prezzi Trade'!$O$9:$P$468,2,0)</f>
        <v>902.85049447353106</v>
      </c>
      <c r="H397" s="5">
        <f>+(VLOOKUP(D397,'Prezzi FI'!$C$8:$D$468,2,0)+VLOOKUP(D397,'Prezzi FI'!$H$8:$I$467,2,0))/100</f>
        <v>1.1129757</v>
      </c>
      <c r="I397" s="5">
        <f>+IF(VLOOKUP(D397,'Prezzi FI'!$H$8:$I$467,2,0)&lt;VLOOKUP(D398,'Prezzi FI'!$H$8:$I$467,2,0),4.25/2,0)/100</f>
        <v>0</v>
      </c>
      <c r="K397" s="4" t="str">
        <f t="shared" si="43"/>
        <v>201413</v>
      </c>
      <c r="L397" s="14">
        <f t="shared" si="44"/>
        <v>41726</v>
      </c>
      <c r="M397" s="39">
        <f t="shared" si="45"/>
        <v>1.567466880168852E-2</v>
      </c>
      <c r="N397" s="39">
        <f t="shared" si="46"/>
        <v>8.427016161880142E-3</v>
      </c>
      <c r="O397" s="39">
        <f t="shared" si="47"/>
        <v>3.1905168914093699E-3</v>
      </c>
      <c r="P397" s="39">
        <f t="shared" si="48"/>
        <v>-5.3401101152009654E-4</v>
      </c>
      <c r="AC397" s="14"/>
    </row>
    <row r="398" spans="3:29" x14ac:dyDescent="0.75">
      <c r="C398" s="4">
        <v>4</v>
      </c>
      <c r="D398" s="58">
        <v>41725</v>
      </c>
      <c r="E398" s="5">
        <f>+VLOOKUP(D398,'Prezzi Trade'!$I$9:$J$468,2,0)</f>
        <v>21.204999999999998</v>
      </c>
      <c r="F398" s="5">
        <f>+VLOOKUP(D398,'Prezzi Trade'!$K$9:$L$468,2,0)</f>
        <v>120.53</v>
      </c>
      <c r="G398" s="5">
        <f>+VLOOKUP(D398,'Prezzi Trade'!$M$9:$N$468,2,0)/VLOOKUP(D398,'Prezzi Trade'!$O$9:$P$468,2,0)</f>
        <v>899.97452507460514</v>
      </c>
      <c r="H398" s="5">
        <f>+(VLOOKUP(D398,'Prezzi FI'!$C$8:$D$468,2,0)+VLOOKUP(D398,'Prezzi FI'!$H$8:$I$467,2,0))/100</f>
        <v>1.1135701999999998</v>
      </c>
      <c r="I398" s="5">
        <f>+IF(VLOOKUP(D398,'Prezzi FI'!$H$8:$I$467,2,0)&lt;VLOOKUP(D399,'Prezzi FI'!$H$8:$I$467,2,0),4.25/2,0)/100</f>
        <v>0</v>
      </c>
      <c r="K398" s="4" t="str">
        <f t="shared" si="43"/>
        <v>201413</v>
      </c>
      <c r="L398" s="14">
        <f t="shared" si="44"/>
        <v>41725</v>
      </c>
      <c r="M398" s="39">
        <f t="shared" si="45"/>
        <v>3.7798296833163698E-3</v>
      </c>
      <c r="N398" s="39">
        <f t="shared" si="46"/>
        <v>-3.9745022097089243E-3</v>
      </c>
      <c r="O398" s="39">
        <f t="shared" si="47"/>
        <v>1.0109256787211916E-2</v>
      </c>
      <c r="P398" s="39">
        <f t="shared" si="48"/>
        <v>3.2430371657371487E-3</v>
      </c>
      <c r="AC398" s="14"/>
    </row>
    <row r="399" spans="3:29" x14ac:dyDescent="0.75">
      <c r="C399" s="4">
        <v>3</v>
      </c>
      <c r="D399" s="58">
        <v>41724</v>
      </c>
      <c r="E399" s="5">
        <f>+VLOOKUP(D399,'Prezzi Trade'!$I$9:$J$468,2,0)</f>
        <v>21.125</v>
      </c>
      <c r="F399" s="5">
        <f>+VLOOKUP(D399,'Prezzi Trade'!$K$9:$L$468,2,0)</f>
        <v>121.01</v>
      </c>
      <c r="G399" s="5">
        <f>+VLOOKUP(D399,'Prezzi Trade'!$M$9:$N$468,2,0)/VLOOKUP(D399,'Prezzi Trade'!$O$9:$P$468,2,0)</f>
        <v>890.9222843044771</v>
      </c>
      <c r="H399" s="5">
        <f>+(VLOOKUP(D399,'Prezzi FI'!$C$8:$D$468,2,0)+VLOOKUP(D399,'Prezzi FI'!$H$8:$I$467,2,0))/100</f>
        <v>1.1099646999999999</v>
      </c>
      <c r="I399" s="5">
        <f>+IF(VLOOKUP(D399,'Prezzi FI'!$H$8:$I$467,2,0)&lt;VLOOKUP(D400,'Prezzi FI'!$H$8:$I$467,2,0),4.25/2,0)/100</f>
        <v>0</v>
      </c>
      <c r="K399" s="4" t="str">
        <f t="shared" si="43"/>
        <v>201413</v>
      </c>
      <c r="L399" s="14">
        <f t="shared" si="44"/>
        <v>41724</v>
      </c>
      <c r="M399" s="39">
        <f t="shared" si="45"/>
        <v>1.2144452154128011E-2</v>
      </c>
      <c r="N399" s="39">
        <f t="shared" si="46"/>
        <v>6.383441365242111E-3</v>
      </c>
      <c r="O399" s="39">
        <f t="shared" si="47"/>
        <v>3.1267210715431142E-4</v>
      </c>
      <c r="P399" s="39">
        <f t="shared" si="48"/>
        <v>4.5026067484333875E-3</v>
      </c>
      <c r="AC399" s="14"/>
    </row>
    <row r="400" spans="3:29" x14ac:dyDescent="0.75">
      <c r="C400" s="4">
        <v>2</v>
      </c>
      <c r="D400" s="58">
        <v>41723</v>
      </c>
      <c r="E400" s="5">
        <f>+VLOOKUP(D400,'Prezzi Trade'!$I$9:$J$468,2,0)</f>
        <v>20.87</v>
      </c>
      <c r="F400" s="5">
        <f>+VLOOKUP(D400,'Prezzi Trade'!$K$9:$L$468,2,0)</f>
        <v>120.24</v>
      </c>
      <c r="G400" s="5">
        <f>+VLOOKUP(D400,'Prezzi Trade'!$M$9:$N$468,2,0)/VLOOKUP(D400,'Prezzi Trade'!$O$9:$P$468,2,0)</f>
        <v>890.64376130198912</v>
      </c>
      <c r="H400" s="5">
        <f>+(VLOOKUP(D400,'Prezzi FI'!$C$8:$D$468,2,0)+VLOOKUP(D400,'Prezzi FI'!$H$8:$I$467,2,0))/100</f>
        <v>1.1049782000000001</v>
      </c>
      <c r="I400" s="5">
        <f>+IF(VLOOKUP(D400,'Prezzi FI'!$H$8:$I$467,2,0)&lt;VLOOKUP(D401,'Prezzi FI'!$H$8:$I$467,2,0),4.25/2,0)/100</f>
        <v>0</v>
      </c>
      <c r="K400" s="4" t="str">
        <f t="shared" si="43"/>
        <v>201413</v>
      </c>
      <c r="L400" s="14">
        <f t="shared" si="44"/>
        <v>41723</v>
      </c>
      <c r="M400" s="39">
        <f t="shared" si="45"/>
        <v>9.1456714488810098E-3</v>
      </c>
      <c r="N400" s="39">
        <f t="shared" si="46"/>
        <v>7.6807857981711991E-3</v>
      </c>
      <c r="O400" s="39">
        <f t="shared" si="47"/>
        <v>6.0001143391249156E-3</v>
      </c>
      <c r="P400" s="39">
        <f t="shared" si="48"/>
        <v>1.8075506167837168E-3</v>
      </c>
      <c r="AC400" s="14"/>
    </row>
    <row r="401" spans="3:29" x14ac:dyDescent="0.75">
      <c r="C401" s="4">
        <v>1</v>
      </c>
      <c r="D401" s="58">
        <v>41722</v>
      </c>
      <c r="E401" s="5">
        <f>+VLOOKUP(D401,'Prezzi Trade'!$I$9:$J$468,2,0)</f>
        <v>20.68</v>
      </c>
      <c r="F401" s="5">
        <f>+VLOOKUP(D401,'Prezzi Trade'!$K$9:$L$468,2,0)</f>
        <v>119.32</v>
      </c>
      <c r="G401" s="5">
        <f>+VLOOKUP(D401,'Prezzi Trade'!$M$9:$N$468,2,0)/VLOOKUP(D401,'Prezzi Trade'!$O$9:$P$468,2,0)</f>
        <v>885.31579708050299</v>
      </c>
      <c r="H401" s="5">
        <f>+(VLOOKUP(D401,'Prezzi FI'!$C$8:$D$468,2,0)+VLOOKUP(D401,'Prezzi FI'!$H$8:$I$467,2,0))/100</f>
        <v>1.1029827000000001</v>
      </c>
      <c r="I401" s="5">
        <f>+IF(VLOOKUP(D401,'Prezzi FI'!$H$8:$I$467,2,0)&lt;VLOOKUP(D402,'Prezzi FI'!$H$8:$I$467,2,0),4.25/2,0)/100</f>
        <v>0</v>
      </c>
      <c r="K401" s="4" t="str">
        <f t="shared" si="43"/>
        <v>201413</v>
      </c>
      <c r="L401" s="14">
        <f t="shared" si="44"/>
        <v>41722</v>
      </c>
      <c r="M401" s="39">
        <f t="shared" si="45"/>
        <v>-1.5117264495928229E-2</v>
      </c>
      <c r="N401" s="39">
        <f t="shared" si="46"/>
        <v>-1.125058743896175E-2</v>
      </c>
      <c r="O401" s="39">
        <f t="shared" si="47"/>
        <v>-2.7040797252376675E-3</v>
      </c>
      <c r="P401" s="39">
        <f t="shared" si="48"/>
        <v>-8.0159511289067836E-4</v>
      </c>
      <c r="AC401" s="14"/>
    </row>
    <row r="402" spans="3:29" x14ac:dyDescent="0.75">
      <c r="C402" s="4">
        <v>5</v>
      </c>
      <c r="D402" s="58">
        <v>41719</v>
      </c>
      <c r="E402" s="5">
        <f>+VLOOKUP(D402,'Prezzi Trade'!$I$9:$J$468,2,0)</f>
        <v>20.995000000000001</v>
      </c>
      <c r="F402" s="5">
        <f>+VLOOKUP(D402,'Prezzi Trade'!$K$9:$L$468,2,0)</f>
        <v>120.67</v>
      </c>
      <c r="G402" s="5">
        <f>+VLOOKUP(D402,'Prezzi Trade'!$M$9:$N$468,2,0)/VLOOKUP(D402,'Prezzi Trade'!$O$9:$P$468,2,0)</f>
        <v>887.71300123268793</v>
      </c>
      <c r="H402" s="5">
        <f>+(VLOOKUP(D402,'Prezzi FI'!$C$8:$D$468,2,0)+VLOOKUP(D402,'Prezzi FI'!$H$8:$I$467,2,0))/100</f>
        <v>1.1038672</v>
      </c>
      <c r="I402" s="5">
        <f>+IF(VLOOKUP(D402,'Prezzi FI'!$H$8:$I$467,2,0)&lt;VLOOKUP(D403,'Prezzi FI'!$H$8:$I$467,2,0),4.25/2,0)/100</f>
        <v>0</v>
      </c>
      <c r="K402" s="4" t="str">
        <f t="shared" si="43"/>
        <v>201412</v>
      </c>
      <c r="L402" s="14">
        <f t="shared" si="44"/>
        <v>41719</v>
      </c>
      <c r="M402" s="39">
        <f t="shared" si="45"/>
        <v>-6.6461198825966284E-3</v>
      </c>
      <c r="N402" s="39">
        <f t="shared" si="46"/>
        <v>2.4061409658847912E-3</v>
      </c>
      <c r="O402" s="39">
        <f t="shared" si="47"/>
        <v>3.0879128339570184E-3</v>
      </c>
      <c r="P402" s="39">
        <f t="shared" si="48"/>
        <v>8.0250174583548198E-4</v>
      </c>
      <c r="AC402" s="14"/>
    </row>
    <row r="403" spans="3:29" x14ac:dyDescent="0.75">
      <c r="C403" s="4">
        <v>4</v>
      </c>
      <c r="D403" s="58">
        <v>41718</v>
      </c>
      <c r="E403" s="5">
        <f>+VLOOKUP(D403,'Prezzi Trade'!$I$9:$J$468,2,0)</f>
        <v>21.135000000000002</v>
      </c>
      <c r="F403" s="5">
        <f>+VLOOKUP(D403,'Prezzi Trade'!$K$9:$L$468,2,0)</f>
        <v>120.38</v>
      </c>
      <c r="G403" s="5">
        <f>+VLOOKUP(D403,'Prezzi Trade'!$M$9:$N$468,2,0)/VLOOKUP(D403,'Prezzi Trade'!$O$9:$P$468,2,0)</f>
        <v>884.97604877340689</v>
      </c>
      <c r="H403" s="5">
        <f>+(VLOOKUP(D403,'Prezzi FI'!$C$8:$D$468,2,0)+VLOOKUP(D403,'Prezzi FI'!$H$8:$I$467,2,0))/100</f>
        <v>1.1029817</v>
      </c>
      <c r="I403" s="5">
        <f>+IF(VLOOKUP(D403,'Prezzi FI'!$H$8:$I$467,2,0)&lt;VLOOKUP(D404,'Prezzi FI'!$H$8:$I$467,2,0),4.25/2,0)/100</f>
        <v>0</v>
      </c>
      <c r="K403" s="4" t="str">
        <f t="shared" si="43"/>
        <v>201412</v>
      </c>
      <c r="L403" s="14">
        <f t="shared" si="44"/>
        <v>41718</v>
      </c>
      <c r="M403" s="39">
        <f t="shared" si="45"/>
        <v>4.7427169762690831E-3</v>
      </c>
      <c r="N403" s="39">
        <f t="shared" si="46"/>
        <v>4.2455839006161986E-3</v>
      </c>
      <c r="O403" s="39">
        <f t="shared" si="47"/>
        <v>-4.0162146046218679E-3</v>
      </c>
      <c r="P403" s="39">
        <f t="shared" si="48"/>
        <v>-2.8831044420230506E-3</v>
      </c>
      <c r="AC403" s="14"/>
    </row>
    <row r="404" spans="3:29" x14ac:dyDescent="0.75">
      <c r="C404" s="4">
        <v>3</v>
      </c>
      <c r="D404" s="58">
        <v>41717</v>
      </c>
      <c r="E404" s="5">
        <f>+VLOOKUP(D404,'Prezzi Trade'!$I$9:$J$468,2,0)</f>
        <v>21.035</v>
      </c>
      <c r="F404" s="5">
        <f>+VLOOKUP(D404,'Prezzi Trade'!$K$9:$L$468,2,0)</f>
        <v>119.87</v>
      </c>
      <c r="G404" s="5">
        <f>+VLOOKUP(D404,'Prezzi Trade'!$M$9:$N$468,2,0)/VLOOKUP(D404,'Prezzi Trade'!$O$9:$P$468,2,0)</f>
        <v>888.53744939271257</v>
      </c>
      <c r="H404" s="5">
        <f>+(VLOOKUP(D404,'Prezzi FI'!$C$8:$D$468,2,0)+VLOOKUP(D404,'Prezzi FI'!$H$8:$I$467,2,0))/100</f>
        <v>1.1061662999999999</v>
      </c>
      <c r="I404" s="5">
        <f>+IF(VLOOKUP(D404,'Prezzi FI'!$H$8:$I$467,2,0)&lt;VLOOKUP(D405,'Prezzi FI'!$H$8:$I$467,2,0),4.25/2,0)/100</f>
        <v>0</v>
      </c>
      <c r="K404" s="4" t="str">
        <f t="shared" si="43"/>
        <v>201412</v>
      </c>
      <c r="L404" s="14">
        <f t="shared" si="44"/>
        <v>41717</v>
      </c>
      <c r="M404" s="39">
        <f t="shared" si="45"/>
        <v>-1.4251783884957074E-3</v>
      </c>
      <c r="N404" s="39">
        <f t="shared" si="46"/>
        <v>5.0066756720085898E-4</v>
      </c>
      <c r="O404" s="39">
        <f t="shared" si="47"/>
        <v>6.1491036942791623E-3</v>
      </c>
      <c r="P404" s="39">
        <f t="shared" si="48"/>
        <v>-5.183229535493663E-4</v>
      </c>
      <c r="AC404" s="14"/>
    </row>
    <row r="405" spans="3:29" x14ac:dyDescent="0.75">
      <c r="C405" s="4">
        <v>2</v>
      </c>
      <c r="D405" s="58">
        <v>41716</v>
      </c>
      <c r="E405" s="5">
        <f>+VLOOKUP(D405,'Prezzi Trade'!$I$9:$J$468,2,0)</f>
        <v>21.065000000000001</v>
      </c>
      <c r="F405" s="5">
        <f>+VLOOKUP(D405,'Prezzi Trade'!$K$9:$L$468,2,0)</f>
        <v>119.81</v>
      </c>
      <c r="G405" s="5">
        <f>+VLOOKUP(D405,'Prezzi Trade'!$M$9:$N$468,2,0)/VLOOKUP(D405,'Prezzi Trade'!$O$9:$P$468,2,0)</f>
        <v>883.09050455752538</v>
      </c>
      <c r="H405" s="5">
        <f>+(VLOOKUP(D405,'Prezzi FI'!$C$8:$D$468,2,0)+VLOOKUP(D405,'Prezzi FI'!$H$8:$I$467,2,0))/100</f>
        <v>1.1067397999999999</v>
      </c>
      <c r="I405" s="5">
        <f>+IF(VLOOKUP(D405,'Prezzi FI'!$H$8:$I$467,2,0)&lt;VLOOKUP(D406,'Prezzi FI'!$H$8:$I$467,2,0),4.25/2,0)/100</f>
        <v>0</v>
      </c>
      <c r="K405" s="4" t="str">
        <f t="shared" si="43"/>
        <v>201412</v>
      </c>
      <c r="L405" s="14">
        <f t="shared" si="44"/>
        <v>41716</v>
      </c>
      <c r="M405" s="39">
        <f t="shared" si="45"/>
        <v>1.0019167782071422E-2</v>
      </c>
      <c r="N405" s="39">
        <f t="shared" si="46"/>
        <v>4.6011709568478656E-3</v>
      </c>
      <c r="O405" s="39">
        <f t="shared" si="47"/>
        <v>3.3302840128279546E-3</v>
      </c>
      <c r="P405" s="39">
        <f t="shared" si="48"/>
        <v>1.1079198590767062E-3</v>
      </c>
      <c r="AC405" s="14"/>
    </row>
    <row r="406" spans="3:29" x14ac:dyDescent="0.75">
      <c r="C406" s="4">
        <v>1</v>
      </c>
      <c r="D406" s="58">
        <v>41715</v>
      </c>
      <c r="E406" s="5">
        <f>+VLOOKUP(D406,'Prezzi Trade'!$I$9:$J$468,2,0)</f>
        <v>20.855</v>
      </c>
      <c r="F406" s="5">
        <f>+VLOOKUP(D406,'Prezzi Trade'!$K$9:$L$468,2,0)</f>
        <v>119.26</v>
      </c>
      <c r="G406" s="5">
        <f>+VLOOKUP(D406,'Prezzi Trade'!$M$9:$N$468,2,0)/VLOOKUP(D406,'Prezzi Trade'!$O$9:$P$468,2,0)</f>
        <v>880.15445402298849</v>
      </c>
      <c r="H406" s="5">
        <f>+(VLOOKUP(D406,'Prezzi FI'!$C$8:$D$468,2,0)+VLOOKUP(D406,'Prezzi FI'!$H$8:$I$467,2,0))/100</f>
        <v>1.1055143000000001</v>
      </c>
      <c r="I406" s="5">
        <f>+IF(VLOOKUP(D406,'Prezzi FI'!$H$8:$I$467,2,0)&lt;VLOOKUP(D407,'Prezzi FI'!$H$8:$I$467,2,0),4.25/2,0)/100</f>
        <v>0</v>
      </c>
      <c r="K406" s="4" t="str">
        <f t="shared" si="43"/>
        <v>201412</v>
      </c>
      <c r="L406" s="14">
        <f t="shared" si="44"/>
        <v>41715</v>
      </c>
      <c r="M406" s="39">
        <f t="shared" si="45"/>
        <v>2.2794391377691788E-2</v>
      </c>
      <c r="N406" s="39">
        <f t="shared" si="46"/>
        <v>8.589526495068384E-3</v>
      </c>
      <c r="O406" s="39">
        <f t="shared" si="47"/>
        <v>-3.5035142201344668E-3</v>
      </c>
      <c r="P406" s="39">
        <f t="shared" si="48"/>
        <v>1.8157352460402604E-3</v>
      </c>
      <c r="AC406" s="14"/>
    </row>
    <row r="407" spans="3:29" x14ac:dyDescent="0.75">
      <c r="C407" s="4">
        <v>5</v>
      </c>
      <c r="D407" s="58">
        <v>41712</v>
      </c>
      <c r="E407" s="5">
        <f>+VLOOKUP(D407,'Prezzi Trade'!$I$9:$J$468,2,0)</f>
        <v>20.385000000000002</v>
      </c>
      <c r="F407" s="5">
        <f>+VLOOKUP(D407,'Prezzi Trade'!$K$9:$L$468,2,0)</f>
        <v>118.24</v>
      </c>
      <c r="G407" s="5">
        <f>+VLOOKUP(D407,'Prezzi Trade'!$M$9:$N$468,2,0)/VLOOKUP(D407,'Prezzi Trade'!$O$9:$P$468,2,0)</f>
        <v>883.24349575966653</v>
      </c>
      <c r="H407" s="5">
        <f>+(VLOOKUP(D407,'Prezzi FI'!$C$8:$D$468,2,0)+VLOOKUP(D407,'Prezzi FI'!$H$8:$I$467,2,0))/100</f>
        <v>1.1035088</v>
      </c>
      <c r="I407" s="5">
        <f>+IF(VLOOKUP(D407,'Prezzi FI'!$H$8:$I$467,2,0)&lt;VLOOKUP(D408,'Prezzi FI'!$H$8:$I$467,2,0),4.25/2,0)/100</f>
        <v>0</v>
      </c>
      <c r="K407" s="4" t="str">
        <f t="shared" si="43"/>
        <v>201411</v>
      </c>
      <c r="L407" s="14">
        <f t="shared" si="44"/>
        <v>41712</v>
      </c>
      <c r="M407" s="39">
        <f t="shared" si="45"/>
        <v>-1.1219629887646507E-2</v>
      </c>
      <c r="N407" s="39">
        <f t="shared" si="46"/>
        <v>-5.3981237695573695E-3</v>
      </c>
      <c r="O407" s="39">
        <f t="shared" si="47"/>
        <v>-1.9027964296246E-3</v>
      </c>
      <c r="P407" s="39">
        <f t="shared" si="48"/>
        <v>-1.1090270632059969E-3</v>
      </c>
      <c r="AC407" s="14"/>
    </row>
    <row r="408" spans="3:29" x14ac:dyDescent="0.75">
      <c r="C408" s="4">
        <v>4</v>
      </c>
      <c r="D408" s="58">
        <v>41711</v>
      </c>
      <c r="E408" s="5">
        <f>+VLOOKUP(D408,'Prezzi Trade'!$I$9:$J$468,2,0)</f>
        <v>20.614999999999998</v>
      </c>
      <c r="F408" s="5">
        <f>+VLOOKUP(D408,'Prezzi Trade'!$K$9:$L$468,2,0)</f>
        <v>118.88</v>
      </c>
      <c r="G408" s="5">
        <f>+VLOOKUP(D408,'Prezzi Trade'!$M$9:$N$468,2,0)/VLOOKUP(D408,'Prezzi Trade'!$O$9:$P$468,2,0)</f>
        <v>884.92572829535618</v>
      </c>
      <c r="H408" s="5">
        <f>+(VLOOKUP(D408,'Prezzi FI'!$C$8:$D$468,2,0)+VLOOKUP(D408,'Prezzi FI'!$H$8:$I$467,2,0))/100</f>
        <v>1.1047333000000001</v>
      </c>
      <c r="I408" s="5">
        <f>+IF(VLOOKUP(D408,'Prezzi FI'!$H$8:$I$467,2,0)&lt;VLOOKUP(D409,'Prezzi FI'!$H$8:$I$467,2,0),4.25/2,0)/100</f>
        <v>0</v>
      </c>
      <c r="K408" s="4" t="str">
        <f t="shared" si="43"/>
        <v>201411</v>
      </c>
      <c r="L408" s="14">
        <f t="shared" si="44"/>
        <v>41711</v>
      </c>
      <c r="M408" s="39">
        <f t="shared" si="45"/>
        <v>-9.1743762760413804E-3</v>
      </c>
      <c r="N408" s="39">
        <f t="shared" si="46"/>
        <v>-8.0429387994604105E-3</v>
      </c>
      <c r="O408" s="39">
        <f t="shared" si="47"/>
        <v>3.8391124512252207E-4</v>
      </c>
      <c r="P408" s="39">
        <f t="shared" si="48"/>
        <v>1.2096203552769721E-3</v>
      </c>
      <c r="AC408" s="14"/>
    </row>
    <row r="409" spans="3:29" x14ac:dyDescent="0.75">
      <c r="C409" s="4">
        <v>3</v>
      </c>
      <c r="D409" s="58">
        <v>41710</v>
      </c>
      <c r="E409" s="5">
        <f>+VLOOKUP(D409,'Prezzi Trade'!$I$9:$J$468,2,0)</f>
        <v>20.805</v>
      </c>
      <c r="F409" s="5">
        <f>+VLOOKUP(D409,'Prezzi Trade'!$K$9:$L$468,2,0)</f>
        <v>119.84</v>
      </c>
      <c r="G409" s="5">
        <f>+VLOOKUP(D409,'Prezzi Trade'!$M$9:$N$468,2,0)/VLOOKUP(D409,'Prezzi Trade'!$O$9:$P$468,2,0)</f>
        <v>884.58606056246845</v>
      </c>
      <c r="H409" s="5">
        <f>+(VLOOKUP(D409,'Prezzi FI'!$C$8:$D$468,2,0)+VLOOKUP(D409,'Prezzi FI'!$H$8:$I$467,2,0))/100</f>
        <v>1.1033978</v>
      </c>
      <c r="I409" s="5">
        <f>+IF(VLOOKUP(D409,'Prezzi FI'!$H$8:$I$467,2,0)&lt;VLOOKUP(D410,'Prezzi FI'!$H$8:$I$467,2,0),4.25/2,0)/100</f>
        <v>0</v>
      </c>
      <c r="K409" s="4" t="str">
        <f t="shared" si="43"/>
        <v>201411</v>
      </c>
      <c r="L409" s="14">
        <f t="shared" si="44"/>
        <v>41710</v>
      </c>
      <c r="M409" s="39">
        <f t="shared" si="45"/>
        <v>-3.1193786542048456E-3</v>
      </c>
      <c r="N409" s="39">
        <f t="shared" si="46"/>
        <v>-7.8131891108458047E-3</v>
      </c>
      <c r="O409" s="39">
        <f t="shared" si="47"/>
        <v>-5.6548413709041536E-3</v>
      </c>
      <c r="P409" s="39">
        <f t="shared" si="48"/>
        <v>-2.2074823228254969E-4</v>
      </c>
      <c r="AC409" s="14"/>
    </row>
    <row r="410" spans="3:29" x14ac:dyDescent="0.75">
      <c r="C410" s="4">
        <v>2</v>
      </c>
      <c r="D410" s="58">
        <v>41709</v>
      </c>
      <c r="E410" s="5">
        <f>+VLOOKUP(D410,'Prezzi Trade'!$I$9:$J$468,2,0)</f>
        <v>20.87</v>
      </c>
      <c r="F410" s="5">
        <f>+VLOOKUP(D410,'Prezzi Trade'!$K$9:$L$468,2,0)</f>
        <v>120.78</v>
      </c>
      <c r="G410" s="5">
        <f>+VLOOKUP(D410,'Prezzi Trade'!$M$9:$N$468,2,0)/VLOOKUP(D410,'Prezzi Trade'!$O$9:$P$468,2,0)</f>
        <v>889.60242441734624</v>
      </c>
      <c r="H410" s="5">
        <f>+(VLOOKUP(D410,'Prezzi FI'!$C$8:$D$468,2,0)+VLOOKUP(D410,'Prezzi FI'!$H$8:$I$467,2,0))/100</f>
        <v>1.1036413999999999</v>
      </c>
      <c r="I410" s="5">
        <f>+IF(VLOOKUP(D410,'Prezzi FI'!$H$8:$I$467,2,0)&lt;VLOOKUP(D411,'Prezzi FI'!$H$8:$I$467,2,0),4.25/2,0)/100</f>
        <v>0</v>
      </c>
      <c r="K410" s="4" t="str">
        <f t="shared" si="43"/>
        <v>201411</v>
      </c>
      <c r="L410" s="14">
        <f t="shared" si="44"/>
        <v>41709</v>
      </c>
      <c r="M410" s="39">
        <f t="shared" si="45"/>
        <v>3.119378654204833E-3</v>
      </c>
      <c r="N410" s="39">
        <f t="shared" si="46"/>
        <v>-4.9664763871612515E-4</v>
      </c>
      <c r="O410" s="39">
        <f t="shared" si="47"/>
        <v>-5.6608797970262329E-3</v>
      </c>
      <c r="P410" s="39">
        <f t="shared" si="48"/>
        <v>-1.2446477572071167E-3</v>
      </c>
      <c r="AC410" s="14"/>
    </row>
    <row r="411" spans="3:29" x14ac:dyDescent="0.75">
      <c r="C411" s="4">
        <v>1</v>
      </c>
      <c r="D411" s="58">
        <v>41708</v>
      </c>
      <c r="E411" s="5">
        <f>+VLOOKUP(D411,'Prezzi Trade'!$I$9:$J$468,2,0)</f>
        <v>20.805</v>
      </c>
      <c r="F411" s="5">
        <f>+VLOOKUP(D411,'Prezzi Trade'!$K$9:$L$468,2,0)</f>
        <v>120.84</v>
      </c>
      <c r="G411" s="5">
        <f>+VLOOKUP(D411,'Prezzi Trade'!$M$9:$N$468,2,0)/VLOOKUP(D411,'Prezzi Trade'!$O$9:$P$468,2,0)</f>
        <v>894.65263764773715</v>
      </c>
      <c r="H411" s="5">
        <f>+(VLOOKUP(D411,'Prezzi FI'!$C$8:$D$468,2,0)+VLOOKUP(D411,'Prezzi FI'!$H$8:$I$467,2,0))/100</f>
        <v>1.1050158999999999</v>
      </c>
      <c r="I411" s="5">
        <f>+IF(VLOOKUP(D411,'Prezzi FI'!$H$8:$I$467,2,0)&lt;VLOOKUP(D412,'Prezzi FI'!$H$8:$I$467,2,0),4.25/2,0)/100</f>
        <v>0</v>
      </c>
      <c r="K411" s="4" t="str">
        <f t="shared" si="43"/>
        <v>201411</v>
      </c>
      <c r="L411" s="14">
        <f t="shared" si="44"/>
        <v>41708</v>
      </c>
      <c r="M411" s="39">
        <f t="shared" si="45"/>
        <v>6.5099687412276657E-3</v>
      </c>
      <c r="N411" s="39">
        <f t="shared" si="46"/>
        <v>-3.3871732991213252E-3</v>
      </c>
      <c r="O411" s="39">
        <f t="shared" si="47"/>
        <v>-3.9674057928874634E-3</v>
      </c>
      <c r="P411" s="39">
        <f t="shared" si="48"/>
        <v>2.1974035641926675E-3</v>
      </c>
      <c r="AC411" s="14"/>
    </row>
    <row r="412" spans="3:29" x14ac:dyDescent="0.75">
      <c r="C412" s="4">
        <v>5</v>
      </c>
      <c r="D412" s="58">
        <v>41705</v>
      </c>
      <c r="E412" s="5">
        <f>+VLOOKUP(D412,'Prezzi Trade'!$I$9:$J$468,2,0)</f>
        <v>20.67</v>
      </c>
      <c r="F412" s="5">
        <f>+VLOOKUP(D412,'Prezzi Trade'!$K$9:$L$468,2,0)</f>
        <v>121.25</v>
      </c>
      <c r="G412" s="5">
        <f>+VLOOKUP(D412,'Prezzi Trade'!$M$9:$N$468,2,0)/VLOOKUP(D412,'Prezzi Trade'!$O$9:$P$468,2,0)</f>
        <v>898.20913808013847</v>
      </c>
      <c r="H412" s="5">
        <f>+(VLOOKUP(D412,'Prezzi FI'!$C$8:$D$468,2,0)+VLOOKUP(D412,'Prezzi FI'!$H$8:$I$467,2,0))/100</f>
        <v>1.1025904</v>
      </c>
      <c r="I412" s="5">
        <f>+IF(VLOOKUP(D412,'Prezzi FI'!$H$8:$I$467,2,0)&lt;VLOOKUP(D413,'Prezzi FI'!$H$8:$I$467,2,0),4.25/2,0)/100</f>
        <v>0</v>
      </c>
      <c r="K412" s="4" t="str">
        <f t="shared" si="43"/>
        <v>201410</v>
      </c>
      <c r="L412" s="14">
        <f t="shared" si="44"/>
        <v>41705</v>
      </c>
      <c r="M412" s="39">
        <f t="shared" si="45"/>
        <v>-8.9103539552316657E-3</v>
      </c>
      <c r="N412" s="39">
        <f t="shared" si="46"/>
        <v>-8.6225128755340556E-3</v>
      </c>
      <c r="O412" s="39">
        <f t="shared" si="47"/>
        <v>-2.3565737654531044E-3</v>
      </c>
      <c r="P412" s="39">
        <f t="shared" si="48"/>
        <v>7.3081932631997154E-4</v>
      </c>
      <c r="AC412" s="14"/>
    </row>
    <row r="413" spans="3:29" x14ac:dyDescent="0.75">
      <c r="C413" s="4">
        <v>4</v>
      </c>
      <c r="D413" s="58">
        <v>41704</v>
      </c>
      <c r="E413" s="5">
        <f>+VLOOKUP(D413,'Prezzi Trade'!$I$9:$J$468,2,0)</f>
        <v>20.855</v>
      </c>
      <c r="F413" s="5">
        <f>+VLOOKUP(D413,'Prezzi Trade'!$K$9:$L$468,2,0)</f>
        <v>122.3</v>
      </c>
      <c r="G413" s="5">
        <f>+VLOOKUP(D413,'Prezzi Trade'!$M$9:$N$468,2,0)/VLOOKUP(D413,'Prezzi Trade'!$O$9:$P$468,2,0)</f>
        <v>900.32833020637895</v>
      </c>
      <c r="H413" s="5">
        <f>+(VLOOKUP(D413,'Prezzi FI'!$C$8:$D$468,2,0)+VLOOKUP(D413,'Prezzi FI'!$H$8:$I$467,2,0))/100</f>
        <v>1.1017849</v>
      </c>
      <c r="I413" s="5">
        <f>+IF(VLOOKUP(D413,'Prezzi FI'!$H$8:$I$467,2,0)&lt;VLOOKUP(D414,'Prezzi FI'!$H$8:$I$467,2,0),4.25/2,0)/100</f>
        <v>0</v>
      </c>
      <c r="K413" s="4" t="str">
        <f t="shared" si="43"/>
        <v>201410</v>
      </c>
      <c r="L413" s="14">
        <f t="shared" si="44"/>
        <v>41704</v>
      </c>
      <c r="M413" s="39">
        <f t="shared" si="45"/>
        <v>3.8433869073966607E-3</v>
      </c>
      <c r="N413" s="39">
        <f t="shared" si="46"/>
        <v>-1.6351892768015893E-4</v>
      </c>
      <c r="O413" s="39">
        <f t="shared" si="47"/>
        <v>-6.6019016509889636E-3</v>
      </c>
      <c r="P413" s="39">
        <f t="shared" si="48"/>
        <v>-3.9263527576579782E-3</v>
      </c>
      <c r="AC413" s="14"/>
    </row>
    <row r="414" spans="3:29" x14ac:dyDescent="0.75">
      <c r="C414" s="4">
        <v>3</v>
      </c>
      <c r="D414" s="58">
        <v>41703</v>
      </c>
      <c r="E414" s="5">
        <f>+VLOOKUP(D414,'Prezzi Trade'!$I$9:$J$468,2,0)</f>
        <v>20.774999999999999</v>
      </c>
      <c r="F414" s="5">
        <f>+VLOOKUP(D414,'Prezzi Trade'!$K$9:$L$468,2,0)</f>
        <v>122.32</v>
      </c>
      <c r="G414" s="5">
        <f>+VLOOKUP(D414,'Prezzi Trade'!$M$9:$N$468,2,0)/VLOOKUP(D414,'Prezzi Trade'!$O$9:$P$468,2,0)</f>
        <v>906.29187299737839</v>
      </c>
      <c r="H414" s="5">
        <f>+(VLOOKUP(D414,'Prezzi FI'!$C$8:$D$468,2,0)+VLOOKUP(D414,'Prezzi FI'!$H$8:$I$467,2,0))/100</f>
        <v>1.1061193999999999</v>
      </c>
      <c r="I414" s="5">
        <f>+IF(VLOOKUP(D414,'Prezzi FI'!$H$8:$I$467,2,0)&lt;VLOOKUP(D415,'Prezzi FI'!$H$8:$I$467,2,0),4.25/2,0)/100</f>
        <v>0</v>
      </c>
      <c r="K414" s="4" t="str">
        <f t="shared" si="43"/>
        <v>201410</v>
      </c>
      <c r="L414" s="14">
        <f t="shared" si="44"/>
        <v>41703</v>
      </c>
      <c r="M414" s="39">
        <f t="shared" si="45"/>
        <v>1.4545711002378716E-2</v>
      </c>
      <c r="N414" s="39">
        <f t="shared" si="46"/>
        <v>3.2706459817301206E-4</v>
      </c>
      <c r="O414" s="39">
        <f t="shared" si="47"/>
        <v>-1.0622910231500762E-3</v>
      </c>
      <c r="P414" s="39">
        <f t="shared" si="48"/>
        <v>3.782959367357334E-3</v>
      </c>
      <c r="AC414" s="14"/>
    </row>
    <row r="415" spans="3:29" x14ac:dyDescent="0.75">
      <c r="C415" s="4">
        <v>2</v>
      </c>
      <c r="D415" s="58">
        <v>41702</v>
      </c>
      <c r="E415" s="5">
        <f>+VLOOKUP(D415,'Prezzi Trade'!$I$9:$J$468,2,0)</f>
        <v>20.475000000000001</v>
      </c>
      <c r="F415" s="5">
        <f>+VLOOKUP(D415,'Prezzi Trade'!$K$9:$L$468,2,0)</f>
        <v>122.28</v>
      </c>
      <c r="G415" s="5">
        <f>+VLOOKUP(D415,'Prezzi Trade'!$M$9:$N$468,2,0)/VLOOKUP(D415,'Prezzi Trade'!$O$9:$P$468,2,0)</f>
        <v>907.25513025760438</v>
      </c>
      <c r="H415" s="5">
        <f>+(VLOOKUP(D415,'Prezzi FI'!$C$8:$D$468,2,0)+VLOOKUP(D415,'Prezzi FI'!$H$8:$I$467,2,0))/100</f>
        <v>1.1019429000000001</v>
      </c>
      <c r="I415" s="5">
        <f>+IF(VLOOKUP(D415,'Prezzi FI'!$H$8:$I$467,2,0)&lt;VLOOKUP(D416,'Prezzi FI'!$H$8:$I$467,2,0),4.25/2,0)/100</f>
        <v>0</v>
      </c>
      <c r="K415" s="4" t="str">
        <f t="shared" si="43"/>
        <v>201410</v>
      </c>
      <c r="L415" s="14">
        <f t="shared" si="44"/>
        <v>41702</v>
      </c>
      <c r="M415" s="39">
        <f t="shared" si="45"/>
        <v>3.3775249181039128E-2</v>
      </c>
      <c r="N415" s="39">
        <f t="shared" si="46"/>
        <v>1.7988767936695887E-2</v>
      </c>
      <c r="O415" s="39">
        <f t="shared" si="47"/>
        <v>-1.4121404313623815E-3</v>
      </c>
      <c r="P415" s="39">
        <f t="shared" si="48"/>
        <v>2.4309365784465501E-3</v>
      </c>
      <c r="AC415" s="14"/>
    </row>
    <row r="416" spans="3:29" x14ac:dyDescent="0.75">
      <c r="C416" s="4">
        <v>1</v>
      </c>
      <c r="D416" s="58">
        <v>41701</v>
      </c>
      <c r="E416" s="5">
        <f>+VLOOKUP(D416,'Prezzi Trade'!$I$9:$J$468,2,0)</f>
        <v>19.795000000000002</v>
      </c>
      <c r="F416" s="5">
        <f>+VLOOKUP(D416,'Prezzi Trade'!$K$9:$L$468,2,0)</f>
        <v>120.1</v>
      </c>
      <c r="G416" s="5">
        <f>+VLOOKUP(D416,'Prezzi Trade'!$M$9:$N$468,2,0)/VLOOKUP(D416,'Prezzi Trade'!$O$9:$P$468,2,0)</f>
        <v>908.53720693170249</v>
      </c>
      <c r="H416" s="5">
        <f>+(VLOOKUP(D416,'Prezzi FI'!$C$8:$D$468,2,0)+VLOOKUP(D416,'Prezzi FI'!$H$8:$I$467,2,0))/100</f>
        <v>1.0992674</v>
      </c>
      <c r="I416" s="5">
        <f>+IF(VLOOKUP(D416,'Prezzi FI'!$H$8:$I$467,2,0)&lt;VLOOKUP(D417,'Prezzi FI'!$H$8:$I$467,2,0),4.25/2,0)/100</f>
        <v>0</v>
      </c>
      <c r="K416" s="4" t="str">
        <f t="shared" si="43"/>
        <v>201410</v>
      </c>
      <c r="L416" s="14">
        <f t="shared" si="44"/>
        <v>41701</v>
      </c>
      <c r="M416" s="39">
        <f t="shared" si="45"/>
        <v>-3.4019419613212983E-2</v>
      </c>
      <c r="N416" s="39">
        <f t="shared" si="46"/>
        <v>-1.3398595942832518E-2</v>
      </c>
      <c r="O416" s="39">
        <f t="shared" si="47"/>
        <v>1.8677113714863757E-2</v>
      </c>
      <c r="P416" s="39">
        <f t="shared" si="48"/>
        <v>9.969786568245285E-4</v>
      </c>
      <c r="AC416" s="14"/>
    </row>
    <row r="417" spans="3:29" x14ac:dyDescent="0.75">
      <c r="C417" s="4">
        <v>5</v>
      </c>
      <c r="D417" s="58">
        <v>41698</v>
      </c>
      <c r="E417" s="5">
        <f>+VLOOKUP(D417,'Prezzi Trade'!$I$9:$J$468,2,0)</f>
        <v>20.48</v>
      </c>
      <c r="F417" s="5">
        <f>+VLOOKUP(D417,'Prezzi Trade'!$K$9:$L$468,2,0)</f>
        <v>121.72</v>
      </c>
      <c r="G417" s="5">
        <f>+VLOOKUP(D417,'Prezzi Trade'!$M$9:$N$468,2,0)/VLOOKUP(D417,'Prezzi Trade'!$O$9:$P$468,2,0)</f>
        <v>891.72583683524124</v>
      </c>
      <c r="H417" s="5">
        <f>+(VLOOKUP(D417,'Prezzi FI'!$C$8:$D$468,2,0)+VLOOKUP(D417,'Prezzi FI'!$H$8:$I$467,2,0))/100</f>
        <v>1.0981719999999999</v>
      </c>
      <c r="I417" s="5">
        <f>+IF(VLOOKUP(D417,'Prezzi FI'!$H$8:$I$467,2,0)&lt;VLOOKUP(D418,'Prezzi FI'!$H$8:$I$467,2,0),4.25/2,0)/100</f>
        <v>0</v>
      </c>
      <c r="K417" s="4" t="str">
        <f t="shared" si="43"/>
        <v>20149</v>
      </c>
      <c r="L417" s="14">
        <f t="shared" si="44"/>
        <v>41698</v>
      </c>
      <c r="M417" s="39">
        <f t="shared" si="45"/>
        <v>6.3678882827030159E-3</v>
      </c>
      <c r="N417" s="39">
        <f t="shared" si="46"/>
        <v>1.2330964610677705E-3</v>
      </c>
      <c r="O417" s="39">
        <f t="shared" si="47"/>
        <v>-9.2846680152733341E-3</v>
      </c>
      <c r="P417" s="39">
        <f t="shared" si="48"/>
        <v>-3.5006602220217115E-4</v>
      </c>
      <c r="AC417" s="14"/>
    </row>
    <row r="418" spans="3:29" x14ac:dyDescent="0.75">
      <c r="C418" s="4">
        <v>4</v>
      </c>
      <c r="D418" s="58">
        <v>41697</v>
      </c>
      <c r="E418" s="5">
        <f>+VLOOKUP(D418,'Prezzi Trade'!$I$9:$J$468,2,0)</f>
        <v>20.350000000000001</v>
      </c>
      <c r="F418" s="5">
        <f>+VLOOKUP(D418,'Prezzi Trade'!$K$9:$L$468,2,0)</f>
        <v>121.57</v>
      </c>
      <c r="G418" s="5">
        <f>+VLOOKUP(D418,'Prezzi Trade'!$M$9:$N$468,2,0)/VLOOKUP(D418,'Prezzi Trade'!$O$9:$P$468,2,0)</f>
        <v>900.04377006127811</v>
      </c>
      <c r="H418" s="5">
        <f>+(VLOOKUP(D418,'Prezzi FI'!$C$8:$D$468,2,0)+VLOOKUP(D418,'Prezzi FI'!$H$8:$I$467,2,0))/100</f>
        <v>1.0985564999999999</v>
      </c>
      <c r="I418" s="5">
        <f>+IF(VLOOKUP(D418,'Prezzi FI'!$H$8:$I$467,2,0)&lt;VLOOKUP(D419,'Prezzi FI'!$H$8:$I$467,2,0),4.25/2,0)/100</f>
        <v>0</v>
      </c>
      <c r="K418" s="4" t="str">
        <f t="shared" si="43"/>
        <v>20149</v>
      </c>
      <c r="L418" s="14">
        <f t="shared" si="44"/>
        <v>41697</v>
      </c>
      <c r="M418" s="39">
        <f t="shared" si="45"/>
        <v>-3.4339008479155396E-3</v>
      </c>
      <c r="N418" s="39">
        <f t="shared" si="46"/>
        <v>-3.7766875760456443E-3</v>
      </c>
      <c r="O418" s="39">
        <f t="shared" si="47"/>
        <v>-2.2734180887100535E-4</v>
      </c>
      <c r="P418" s="39">
        <f t="shared" si="48"/>
        <v>2.830894674650843E-3</v>
      </c>
      <c r="AC418" s="14"/>
    </row>
    <row r="419" spans="3:29" x14ac:dyDescent="0.75">
      <c r="C419" s="4">
        <v>3</v>
      </c>
      <c r="D419" s="58">
        <v>41696</v>
      </c>
      <c r="E419" s="5">
        <f>+VLOOKUP(D419,'Prezzi Trade'!$I$9:$J$468,2,0)</f>
        <v>20.420000000000002</v>
      </c>
      <c r="F419" s="5">
        <f>+VLOOKUP(D419,'Prezzi Trade'!$K$9:$L$468,2,0)</f>
        <v>122.03</v>
      </c>
      <c r="G419" s="5">
        <f>+VLOOKUP(D419,'Prezzi Trade'!$M$9:$N$468,2,0)/VLOOKUP(D419,'Prezzi Trade'!$O$9:$P$468,2,0)</f>
        <v>900.24841090085488</v>
      </c>
      <c r="H419" s="5">
        <f>+(VLOOKUP(D419,'Prezzi FI'!$C$8:$D$468,2,0)+VLOOKUP(D419,'Prezzi FI'!$H$8:$I$467,2,0))/100</f>
        <v>1.095451</v>
      </c>
      <c r="I419" s="5">
        <f>+IF(VLOOKUP(D419,'Prezzi FI'!$H$8:$I$467,2,0)&lt;VLOOKUP(D420,'Prezzi FI'!$H$8:$I$467,2,0),4.25/2,0)/100</f>
        <v>2.1250000000000002E-2</v>
      </c>
      <c r="K419" s="4" t="str">
        <f t="shared" si="43"/>
        <v>20149</v>
      </c>
      <c r="L419" s="14">
        <f t="shared" si="44"/>
        <v>41696</v>
      </c>
      <c r="M419" s="39">
        <f t="shared" si="45"/>
        <v>-4.3977593477697481E-3</v>
      </c>
      <c r="N419" s="39">
        <f t="shared" si="46"/>
        <v>2.7900887950394302E-3</v>
      </c>
      <c r="O419" s="39">
        <f t="shared" si="47"/>
        <v>3.2876587173486576E-3</v>
      </c>
      <c r="P419" s="39">
        <f t="shared" si="48"/>
        <v>1.8360161073724811E-3</v>
      </c>
      <c r="AC419" s="14"/>
    </row>
    <row r="420" spans="3:29" x14ac:dyDescent="0.75">
      <c r="C420" s="4">
        <v>2</v>
      </c>
      <c r="D420" s="58">
        <v>41695</v>
      </c>
      <c r="E420" s="5">
        <f>+VLOOKUP(D420,'Prezzi Trade'!$I$9:$J$468,2,0)</f>
        <v>20.51</v>
      </c>
      <c r="F420" s="5">
        <f>+VLOOKUP(D420,'Prezzi Trade'!$K$9:$L$468,2,0)</f>
        <v>121.69</v>
      </c>
      <c r="G420" s="5">
        <f>+VLOOKUP(D420,'Prezzi Trade'!$M$9:$N$468,2,0)/VLOOKUP(D420,'Prezzi Trade'!$O$9:$P$468,2,0)</f>
        <v>897.29356129501627</v>
      </c>
      <c r="H420" s="5">
        <f>+(VLOOKUP(D420,'Prezzi FI'!$C$8:$D$468,2,0)+VLOOKUP(D420,'Prezzi FI'!$H$8:$I$467,2,0))/100</f>
        <v>1.1146526000000001</v>
      </c>
      <c r="I420" s="5">
        <f>+IF(VLOOKUP(D420,'Prezzi FI'!$H$8:$I$467,2,0)&lt;VLOOKUP(D421,'Prezzi FI'!$H$8:$I$467,2,0),4.25/2,0)/100</f>
        <v>0</v>
      </c>
      <c r="K420" s="4" t="str">
        <f t="shared" si="43"/>
        <v>20149</v>
      </c>
      <c r="L420" s="14">
        <f t="shared" si="44"/>
        <v>41695</v>
      </c>
      <c r="M420" s="39">
        <f t="shared" si="45"/>
        <v>0</v>
      </c>
      <c r="N420" s="39">
        <f t="shared" si="46"/>
        <v>-2.380269519601636E-3</v>
      </c>
      <c r="O420" s="39">
        <f t="shared" si="47"/>
        <v>-3.9577929804213976E-3</v>
      </c>
      <c r="P420" s="39">
        <f t="shared" si="48"/>
        <v>6.3483866290991531E-4</v>
      </c>
      <c r="AC420" s="14"/>
    </row>
    <row r="421" spans="3:29" x14ac:dyDescent="0.75">
      <c r="C421" s="4">
        <v>1</v>
      </c>
      <c r="D421" s="58">
        <v>41694</v>
      </c>
      <c r="E421" s="5">
        <f>+VLOOKUP(D421,'Prezzi Trade'!$I$9:$J$468,2,0)</f>
        <v>20.51</v>
      </c>
      <c r="F421" s="5">
        <f>+VLOOKUP(D421,'Prezzi Trade'!$K$9:$L$468,2,0)</f>
        <v>121.98</v>
      </c>
      <c r="G421" s="5">
        <f>+VLOOKUP(D421,'Prezzi Trade'!$M$9:$N$468,2,0)/VLOOKUP(D421,'Prezzi Trade'!$O$9:$P$468,2,0)</f>
        <v>900.85190039318479</v>
      </c>
      <c r="H421" s="5">
        <f>+(VLOOKUP(D421,'Prezzi FI'!$C$8:$D$468,2,0)+VLOOKUP(D421,'Prezzi FI'!$H$8:$I$467,2,0))/100</f>
        <v>1.1139452000000001</v>
      </c>
      <c r="I421" s="5">
        <f>+IF(VLOOKUP(D421,'Prezzi FI'!$H$8:$I$467,2,0)&lt;VLOOKUP(D422,'Prezzi FI'!$H$8:$I$467,2,0),4.25/2,0)/100</f>
        <v>0</v>
      </c>
      <c r="K421" s="4" t="str">
        <f t="shared" si="43"/>
        <v>20149</v>
      </c>
      <c r="L421" s="14">
        <f t="shared" si="44"/>
        <v>41694</v>
      </c>
      <c r="M421" s="39">
        <f t="shared" si="45"/>
        <v>4.1529313382226906E-3</v>
      </c>
      <c r="N421" s="39">
        <f t="shared" si="46"/>
        <v>6.1675291098182063E-3</v>
      </c>
      <c r="O421" s="39">
        <f t="shared" si="47"/>
        <v>7.1936944956297938E-3</v>
      </c>
      <c r="P421" s="39">
        <f t="shared" si="48"/>
        <v>-7.1127211309575541E-4</v>
      </c>
      <c r="AC421" s="14"/>
    </row>
    <row r="422" spans="3:29" x14ac:dyDescent="0.75">
      <c r="C422" s="4">
        <v>5</v>
      </c>
      <c r="D422" s="58">
        <v>41691</v>
      </c>
      <c r="E422" s="5">
        <f>+VLOOKUP(D422,'Prezzi Trade'!$I$9:$J$468,2,0)</f>
        <v>20.425000000000001</v>
      </c>
      <c r="F422" s="5">
        <f>+VLOOKUP(D422,'Prezzi Trade'!$K$9:$L$468,2,0)</f>
        <v>121.23</v>
      </c>
      <c r="G422" s="5">
        <f>+VLOOKUP(D422,'Prezzi Trade'!$M$9:$N$468,2,0)/VLOOKUP(D422,'Prezzi Trade'!$O$9:$P$468,2,0)</f>
        <v>894.3947004440563</v>
      </c>
      <c r="H422" s="5">
        <f>+(VLOOKUP(D422,'Prezzi FI'!$C$8:$D$468,2,0)+VLOOKUP(D422,'Prezzi FI'!$H$8:$I$467,2,0))/100</f>
        <v>1.1147378000000001</v>
      </c>
      <c r="I422" s="5">
        <f>+IF(VLOOKUP(D422,'Prezzi FI'!$H$8:$I$467,2,0)&lt;VLOOKUP(D423,'Prezzi FI'!$H$8:$I$467,2,0),4.25/2,0)/100</f>
        <v>0</v>
      </c>
      <c r="K422" s="4" t="str">
        <f t="shared" si="43"/>
        <v>20148</v>
      </c>
      <c r="L422" s="14">
        <f t="shared" si="44"/>
        <v>41691</v>
      </c>
      <c r="M422" s="39">
        <f t="shared" si="45"/>
        <v>-3.6652453982959172E-3</v>
      </c>
      <c r="N422" s="39">
        <f t="shared" si="46"/>
        <v>3.6360671413049601E-3</v>
      </c>
      <c r="O422" s="39">
        <f t="shared" si="47"/>
        <v>-1.5875412383271105E-3</v>
      </c>
      <c r="P422" s="39">
        <f t="shared" si="48"/>
        <v>2.1169966465409739E-3</v>
      </c>
      <c r="AC422" s="14"/>
    </row>
    <row r="423" spans="3:29" x14ac:dyDescent="0.75">
      <c r="C423" s="4">
        <v>4</v>
      </c>
      <c r="D423" s="58">
        <v>41690</v>
      </c>
      <c r="E423" s="5">
        <f>+VLOOKUP(D423,'Prezzi Trade'!$I$9:$J$468,2,0)</f>
        <v>20.5</v>
      </c>
      <c r="F423" s="5">
        <f>+VLOOKUP(D423,'Prezzi Trade'!$K$9:$L$468,2,0)</f>
        <v>120.79</v>
      </c>
      <c r="G423" s="5">
        <f>+VLOOKUP(D423,'Prezzi Trade'!$M$9:$N$468,2,0)/VLOOKUP(D423,'Prezzi Trade'!$O$9:$P$468,2,0)</f>
        <v>895.81571657676056</v>
      </c>
      <c r="H423" s="5">
        <f>+(VLOOKUP(D423,'Prezzi FI'!$C$8:$D$468,2,0)+VLOOKUP(D423,'Prezzi FI'!$H$8:$I$467,2,0))/100</f>
        <v>1.1123803999999999</v>
      </c>
      <c r="I423" s="5">
        <f>+IF(VLOOKUP(D423,'Prezzi FI'!$H$8:$I$467,2,0)&lt;VLOOKUP(D424,'Prezzi FI'!$H$8:$I$467,2,0),4.25/2,0)/100</f>
        <v>0</v>
      </c>
      <c r="K423" s="4" t="str">
        <f t="shared" si="43"/>
        <v>20148</v>
      </c>
      <c r="L423" s="14">
        <f t="shared" si="44"/>
        <v>41690</v>
      </c>
      <c r="M423" s="39">
        <f t="shared" si="45"/>
        <v>1.7087761999961218E-3</v>
      </c>
      <c r="N423" s="39">
        <f t="shared" si="46"/>
        <v>-1.406411814035716E-3</v>
      </c>
      <c r="O423" s="39">
        <f t="shared" si="47"/>
        <v>-1.9214049576389744E-3</v>
      </c>
      <c r="P423" s="39">
        <f t="shared" si="48"/>
        <v>-3.0452145904541544E-3</v>
      </c>
      <c r="AC423" s="14"/>
    </row>
    <row r="424" spans="3:29" x14ac:dyDescent="0.75">
      <c r="C424" s="4">
        <v>3</v>
      </c>
      <c r="D424" s="58">
        <v>41689</v>
      </c>
      <c r="E424" s="5">
        <f>+VLOOKUP(D424,'Prezzi Trade'!$I$9:$J$468,2,0)</f>
        <v>20.465</v>
      </c>
      <c r="F424" s="5">
        <f>+VLOOKUP(D424,'Prezzi Trade'!$K$9:$L$468,2,0)</f>
        <v>120.96</v>
      </c>
      <c r="G424" s="5">
        <f>+VLOOKUP(D424,'Prezzi Trade'!$M$9:$N$468,2,0)/VLOOKUP(D424,'Prezzi Trade'!$O$9:$P$468,2,0)</f>
        <v>897.53859598019221</v>
      </c>
      <c r="H424" s="5">
        <f>+(VLOOKUP(D424,'Prezzi FI'!$C$8:$D$468,2,0)+VLOOKUP(D424,'Prezzi FI'!$H$8:$I$467,2,0))/100</f>
        <v>1.1157729999999999</v>
      </c>
      <c r="I424" s="5">
        <f>+IF(VLOOKUP(D424,'Prezzi FI'!$H$8:$I$467,2,0)&lt;VLOOKUP(D425,'Prezzi FI'!$H$8:$I$467,2,0),4.25/2,0)/100</f>
        <v>0</v>
      </c>
      <c r="K424" s="4" t="str">
        <f t="shared" si="43"/>
        <v>20148</v>
      </c>
      <c r="L424" s="14">
        <f t="shared" si="44"/>
        <v>41689</v>
      </c>
      <c r="M424" s="39">
        <f t="shared" si="45"/>
        <v>-1.4648440119345812E-3</v>
      </c>
      <c r="N424" s="39">
        <f t="shared" si="46"/>
        <v>1.8204390629428275E-3</v>
      </c>
      <c r="O424" s="39">
        <f t="shared" si="47"/>
        <v>6.4829134747978077E-3</v>
      </c>
      <c r="P424" s="39">
        <f t="shared" si="48"/>
        <v>-7.8640986110157206E-4</v>
      </c>
      <c r="AC424" s="14"/>
    </row>
    <row r="425" spans="3:29" x14ac:dyDescent="0.75">
      <c r="C425" s="4">
        <v>2</v>
      </c>
      <c r="D425" s="58">
        <v>41688</v>
      </c>
      <c r="E425" s="5">
        <f>+VLOOKUP(D425,'Prezzi Trade'!$I$9:$J$468,2,0)</f>
        <v>20.495000000000001</v>
      </c>
      <c r="F425" s="5">
        <f>+VLOOKUP(D425,'Prezzi Trade'!$K$9:$L$468,2,0)</f>
        <v>120.74</v>
      </c>
      <c r="G425" s="5">
        <f>+VLOOKUP(D425,'Prezzi Trade'!$M$9:$N$468,2,0)/VLOOKUP(D425,'Prezzi Trade'!$O$9:$P$468,2,0)</f>
        <v>891.73875118121691</v>
      </c>
      <c r="H425" s="5">
        <f>+(VLOOKUP(D425,'Prezzi FI'!$C$8:$D$468,2,0)+VLOOKUP(D425,'Prezzi FI'!$H$8:$I$467,2,0))/100</f>
        <v>1.1166507999999999</v>
      </c>
      <c r="I425" s="5">
        <f>+IF(VLOOKUP(D425,'Prezzi FI'!$H$8:$I$467,2,0)&lt;VLOOKUP(D426,'Prezzi FI'!$H$8:$I$467,2,0),4.25/2,0)/100</f>
        <v>0</v>
      </c>
      <c r="K425" s="4" t="str">
        <f t="shared" si="43"/>
        <v>20148</v>
      </c>
      <c r="L425" s="14">
        <f t="shared" si="44"/>
        <v>41688</v>
      </c>
      <c r="M425" s="39">
        <f t="shared" si="45"/>
        <v>-7.3161812798843437E-4</v>
      </c>
      <c r="N425" s="39">
        <f t="shared" si="46"/>
        <v>3.3134526479418927E-4</v>
      </c>
      <c r="O425" s="39">
        <f t="shared" si="47"/>
        <v>6.1776308232828706E-3</v>
      </c>
      <c r="P425" s="39">
        <f t="shared" si="48"/>
        <v>3.0291635765355108E-3</v>
      </c>
      <c r="AC425" s="14"/>
    </row>
    <row r="426" spans="3:29" x14ac:dyDescent="0.75">
      <c r="C426" s="4">
        <v>1</v>
      </c>
      <c r="D426" s="58">
        <v>41687</v>
      </c>
      <c r="E426" s="5">
        <f>+VLOOKUP(D426,'Prezzi Trade'!$I$9:$J$468,2,0)</f>
        <v>20.51</v>
      </c>
      <c r="F426" s="5">
        <f>+VLOOKUP(D426,'Prezzi Trade'!$K$9:$L$468,2,0)</f>
        <v>120.7</v>
      </c>
      <c r="G426" s="5">
        <f>+VLOOKUP(D426,'Prezzi Trade'!$M$9:$N$468,2,0)/VLOOKUP(D426,'Prezzi Trade'!$O$9:$P$468,2,0)</f>
        <v>886.24689916824752</v>
      </c>
      <c r="H426" s="5">
        <f>+(VLOOKUP(D426,'Prezzi FI'!$C$8:$D$468,2,0)+VLOOKUP(D426,'Prezzi FI'!$H$8:$I$467,2,0))/100</f>
        <v>1.1132734</v>
      </c>
      <c r="I426" s="5">
        <f>+IF(VLOOKUP(D426,'Prezzi FI'!$H$8:$I$467,2,0)&lt;VLOOKUP(D427,'Prezzi FI'!$H$8:$I$467,2,0),4.25/2,0)/100</f>
        <v>0</v>
      </c>
      <c r="K426" s="4" t="str">
        <f t="shared" si="43"/>
        <v>20148</v>
      </c>
      <c r="L426" s="14">
        <f t="shared" si="44"/>
        <v>41687</v>
      </c>
      <c r="M426" s="39">
        <f t="shared" si="45"/>
        <v>1.2196610854548404E-3</v>
      </c>
      <c r="N426" s="39">
        <f t="shared" si="46"/>
        <v>1.9903804879109178E-3</v>
      </c>
      <c r="O426" s="39">
        <f t="shared" si="47"/>
        <v>3.1137952735944456E-3</v>
      </c>
      <c r="P426" s="39">
        <f t="shared" si="48"/>
        <v>2.8762030873051431E-3</v>
      </c>
      <c r="AC426" s="14"/>
    </row>
    <row r="427" spans="3:29" x14ac:dyDescent="0.75">
      <c r="C427" s="4">
        <v>5</v>
      </c>
      <c r="D427" s="58">
        <v>41684</v>
      </c>
      <c r="E427" s="5">
        <f>+VLOOKUP(D427,'Prezzi Trade'!$I$9:$J$468,2,0)</f>
        <v>20.484999999999999</v>
      </c>
      <c r="F427" s="5">
        <f>+VLOOKUP(D427,'Prezzi Trade'!$K$9:$L$468,2,0)</f>
        <v>120.46</v>
      </c>
      <c r="G427" s="5">
        <f>+VLOOKUP(D427,'Prezzi Trade'!$M$9:$N$468,2,0)/VLOOKUP(D427,'Prezzi Trade'!$O$9:$P$468,2,0)</f>
        <v>883.49159970781591</v>
      </c>
      <c r="H427" s="5">
        <f>+(VLOOKUP(D427,'Prezzi FI'!$C$8:$D$468,2,0)+VLOOKUP(D427,'Prezzi FI'!$H$8:$I$467,2,0))/100</f>
        <v>1.1100760000000001</v>
      </c>
      <c r="I427" s="5">
        <f>+IF(VLOOKUP(D427,'Prezzi FI'!$H$8:$I$467,2,0)&lt;VLOOKUP(D428,'Prezzi FI'!$H$8:$I$467,2,0),4.25/2,0)/100</f>
        <v>0</v>
      </c>
      <c r="K427" s="4" t="str">
        <f t="shared" si="43"/>
        <v>20147</v>
      </c>
      <c r="L427" s="14">
        <f t="shared" si="44"/>
        <v>41684</v>
      </c>
      <c r="M427" s="39">
        <f t="shared" si="45"/>
        <v>1.7481671347134332E-2</v>
      </c>
      <c r="N427" s="39">
        <f t="shared" si="46"/>
        <v>3.5760360783215171E-3</v>
      </c>
      <c r="O427" s="39">
        <f t="shared" si="47"/>
        <v>2.4880651679708076E-3</v>
      </c>
      <c r="P427" s="39">
        <f t="shared" si="48"/>
        <v>2.5502820222499524E-3</v>
      </c>
      <c r="AC427" s="14"/>
    </row>
    <row r="428" spans="3:29" x14ac:dyDescent="0.75">
      <c r="C428" s="4">
        <v>4</v>
      </c>
      <c r="D428" s="58">
        <v>41683</v>
      </c>
      <c r="E428" s="5">
        <f>+VLOOKUP(D428,'Prezzi Trade'!$I$9:$J$468,2,0)</f>
        <v>20.13</v>
      </c>
      <c r="F428" s="5">
        <f>+VLOOKUP(D428,'Prezzi Trade'!$K$9:$L$468,2,0)</f>
        <v>120.03</v>
      </c>
      <c r="G428" s="5">
        <f>+VLOOKUP(D428,'Prezzi Trade'!$M$9:$N$468,2,0)/VLOOKUP(D428,'Prezzi Trade'!$O$9:$P$468,2,0)</f>
        <v>881.29614737919451</v>
      </c>
      <c r="H428" s="5">
        <f>+(VLOOKUP(D428,'Prezzi FI'!$C$8:$D$468,2,0)+VLOOKUP(D428,'Prezzi FI'!$H$8:$I$467,2,0))/100</f>
        <v>1.1072485999999999</v>
      </c>
      <c r="I428" s="5">
        <f>+IF(VLOOKUP(D428,'Prezzi FI'!$H$8:$I$467,2,0)&lt;VLOOKUP(D429,'Prezzi FI'!$H$8:$I$467,2,0),4.25/2,0)/100</f>
        <v>0</v>
      </c>
      <c r="K428" s="4" t="str">
        <f t="shared" si="43"/>
        <v>20147</v>
      </c>
      <c r="L428" s="14">
        <f t="shared" si="44"/>
        <v>41683</v>
      </c>
      <c r="M428" s="39">
        <f t="shared" si="45"/>
        <v>-2.2329745043124525E-3</v>
      </c>
      <c r="N428" s="39">
        <f t="shared" si="46"/>
        <v>-3.4099920762797071E-3</v>
      </c>
      <c r="O428" s="39">
        <f t="shared" si="47"/>
        <v>-7.7854646281072517E-3</v>
      </c>
      <c r="P428" s="39">
        <f t="shared" si="48"/>
        <v>7.2042291776702055E-4</v>
      </c>
      <c r="AC428" s="14"/>
    </row>
    <row r="429" spans="3:29" x14ac:dyDescent="0.75">
      <c r="C429" s="4">
        <v>3</v>
      </c>
      <c r="D429" s="58">
        <v>41682</v>
      </c>
      <c r="E429" s="5">
        <f>+VLOOKUP(D429,'Prezzi Trade'!$I$9:$J$468,2,0)</f>
        <v>20.175000000000001</v>
      </c>
      <c r="F429" s="5">
        <f>+VLOOKUP(D429,'Prezzi Trade'!$K$9:$L$468,2,0)</f>
        <v>120.44</v>
      </c>
      <c r="G429" s="5">
        <f>+VLOOKUP(D429,'Prezzi Trade'!$M$9:$N$468,2,0)/VLOOKUP(D429,'Prezzi Trade'!$O$9:$P$468,2,0)</f>
        <v>888.18422601530312</v>
      </c>
      <c r="H429" s="5">
        <f>+(VLOOKUP(D429,'Prezzi FI'!$C$8:$D$468,2,0)+VLOOKUP(D429,'Prezzi FI'!$H$8:$I$467,2,0))/100</f>
        <v>1.1064512</v>
      </c>
      <c r="I429" s="5">
        <f>+IF(VLOOKUP(D429,'Prezzi FI'!$H$8:$I$467,2,0)&lt;VLOOKUP(D430,'Prezzi FI'!$H$8:$I$467,2,0),4.25/2,0)/100</f>
        <v>0</v>
      </c>
      <c r="K429" s="4" t="str">
        <f t="shared" si="43"/>
        <v>20147</v>
      </c>
      <c r="L429" s="14">
        <f t="shared" si="44"/>
        <v>41682</v>
      </c>
      <c r="M429" s="39">
        <f t="shared" si="45"/>
        <v>1.2218079931309139E-2</v>
      </c>
      <c r="N429" s="39">
        <f t="shared" si="46"/>
        <v>8.1701163093731866E-3</v>
      </c>
      <c r="O429" s="39">
        <f t="shared" si="47"/>
        <v>1.0690006445776652E-2</v>
      </c>
      <c r="P429" s="39">
        <f t="shared" si="48"/>
        <v>-5.0400726591581075E-4</v>
      </c>
      <c r="AC429" s="14"/>
    </row>
    <row r="430" spans="3:29" x14ac:dyDescent="0.75">
      <c r="C430" s="4">
        <v>2</v>
      </c>
      <c r="D430" s="58">
        <v>41681</v>
      </c>
      <c r="E430" s="5">
        <f>+VLOOKUP(D430,'Prezzi Trade'!$I$9:$J$468,2,0)</f>
        <v>19.93</v>
      </c>
      <c r="F430" s="5">
        <f>+VLOOKUP(D430,'Prezzi Trade'!$K$9:$L$468,2,0)</f>
        <v>119.46</v>
      </c>
      <c r="G430" s="5">
        <f>+VLOOKUP(D430,'Prezzi Trade'!$M$9:$N$468,2,0)/VLOOKUP(D430,'Prezzi Trade'!$O$9:$P$468,2,0)</f>
        <v>878.740099735993</v>
      </c>
      <c r="H430" s="5">
        <f>+(VLOOKUP(D430,'Prezzi FI'!$C$8:$D$468,2,0)+VLOOKUP(D430,'Prezzi FI'!$H$8:$I$467,2,0))/100</f>
        <v>1.1070089999999999</v>
      </c>
      <c r="I430" s="5">
        <f>+IF(VLOOKUP(D430,'Prezzi FI'!$H$8:$I$467,2,0)&lt;VLOOKUP(D431,'Prezzi FI'!$H$8:$I$467,2,0),4.25/2,0)/100</f>
        <v>0</v>
      </c>
      <c r="K430" s="4" t="str">
        <f t="shared" si="43"/>
        <v>20147</v>
      </c>
      <c r="L430" s="14">
        <f t="shared" si="44"/>
        <v>41681</v>
      </c>
      <c r="M430" s="39">
        <f t="shared" si="45"/>
        <v>1.0592785050214023E-2</v>
      </c>
      <c r="N430" s="39">
        <f t="shared" si="46"/>
        <v>1.0180559932117523E-2</v>
      </c>
      <c r="O430" s="39">
        <f t="shared" si="47"/>
        <v>1.0372690656500825E-3</v>
      </c>
      <c r="P430" s="39">
        <f t="shared" si="48"/>
        <v>-4.357641893829839E-4</v>
      </c>
      <c r="AC430" s="14"/>
    </row>
    <row r="431" spans="3:29" x14ac:dyDescent="0.75">
      <c r="C431" s="4">
        <v>1</v>
      </c>
      <c r="D431" s="58">
        <v>41680</v>
      </c>
      <c r="E431" s="5">
        <f>+VLOOKUP(D431,'Prezzi Trade'!$I$9:$J$468,2,0)</f>
        <v>19.72</v>
      </c>
      <c r="F431" s="5">
        <f>+VLOOKUP(D431,'Prezzi Trade'!$K$9:$L$468,2,0)</f>
        <v>118.25</v>
      </c>
      <c r="G431" s="5">
        <f>+VLOOKUP(D431,'Prezzi Trade'!$M$9:$N$468,2,0)/VLOOKUP(D431,'Prezzi Trade'!$O$9:$P$468,2,0)</f>
        <v>877.82908238053358</v>
      </c>
      <c r="H431" s="5">
        <f>+(VLOOKUP(D431,'Prezzi FI'!$C$8:$D$468,2,0)+VLOOKUP(D431,'Prezzi FI'!$H$8:$I$467,2,0))/100</f>
        <v>1.1074915000000001</v>
      </c>
      <c r="I431" s="5">
        <f>+IF(VLOOKUP(D431,'Prezzi FI'!$H$8:$I$467,2,0)&lt;VLOOKUP(D432,'Prezzi FI'!$H$8:$I$467,2,0),4.25/2,0)/100</f>
        <v>0</v>
      </c>
      <c r="K431" s="4" t="str">
        <f t="shared" si="43"/>
        <v>20147</v>
      </c>
      <c r="L431" s="14">
        <f t="shared" si="44"/>
        <v>41680</v>
      </c>
      <c r="M431" s="39">
        <f t="shared" si="45"/>
        <v>0</v>
      </c>
      <c r="N431" s="39">
        <f t="shared" si="46"/>
        <v>1.2693041687258215E-3</v>
      </c>
      <c r="O431" s="39">
        <f t="shared" si="47"/>
        <v>3.0034983806876797E-4</v>
      </c>
      <c r="P431" s="39">
        <f t="shared" si="48"/>
        <v>-1.0166604104742151E-4</v>
      </c>
      <c r="AC431" s="14"/>
    </row>
    <row r="432" spans="3:29" x14ac:dyDescent="0.75">
      <c r="C432" s="4">
        <v>5</v>
      </c>
      <c r="D432" s="58">
        <v>41677</v>
      </c>
      <c r="E432" s="5">
        <f>+VLOOKUP(D432,'Prezzi Trade'!$I$9:$J$468,2,0)</f>
        <v>19.72</v>
      </c>
      <c r="F432" s="5">
        <f>+VLOOKUP(D432,'Prezzi Trade'!$K$9:$L$468,2,0)</f>
        <v>118.1</v>
      </c>
      <c r="G432" s="5">
        <f>+VLOOKUP(D432,'Prezzi Trade'!$M$9:$N$468,2,0)/VLOOKUP(D432,'Prezzi Trade'!$O$9:$P$468,2,0)</f>
        <v>877.56546614831666</v>
      </c>
      <c r="H432" s="5">
        <f>+(VLOOKUP(D432,'Prezzi FI'!$C$8:$D$468,2,0)+VLOOKUP(D432,'Prezzi FI'!$H$8:$I$467,2,0))/100</f>
        <v>1.1076040999999999</v>
      </c>
      <c r="I432" s="5">
        <f>+IF(VLOOKUP(D432,'Prezzi FI'!$H$8:$I$467,2,0)&lt;VLOOKUP(D433,'Prezzi FI'!$H$8:$I$467,2,0),4.25/2,0)/100</f>
        <v>0</v>
      </c>
      <c r="K432" s="4" t="str">
        <f t="shared" si="43"/>
        <v>20146</v>
      </c>
      <c r="L432" s="14">
        <f t="shared" si="44"/>
        <v>41677</v>
      </c>
      <c r="M432" s="39">
        <f t="shared" si="45"/>
        <v>8.6580627431145311E-3</v>
      </c>
      <c r="N432" s="39">
        <f t="shared" si="46"/>
        <v>8.5034525996448892E-3</v>
      </c>
      <c r="O432" s="39">
        <f t="shared" si="47"/>
        <v>7.0549036731815411E-4</v>
      </c>
      <c r="P432" s="39">
        <f t="shared" si="48"/>
        <v>3.4524913388020825E-3</v>
      </c>
      <c r="AC432" s="14"/>
    </row>
    <row r="433" spans="3:29" x14ac:dyDescent="0.75">
      <c r="C433" s="4">
        <v>4</v>
      </c>
      <c r="D433" s="58">
        <v>41676</v>
      </c>
      <c r="E433" s="5">
        <f>+VLOOKUP(D433,'Prezzi Trade'!$I$9:$J$468,2,0)</f>
        <v>19.55</v>
      </c>
      <c r="F433" s="5">
        <f>+VLOOKUP(D433,'Prezzi Trade'!$K$9:$L$468,2,0)</f>
        <v>117.1</v>
      </c>
      <c r="G433" s="5">
        <f>+VLOOKUP(D433,'Prezzi Trade'!$M$9:$N$468,2,0)/VLOOKUP(D433,'Prezzi Trade'!$O$9:$P$468,2,0)</f>
        <v>876.94657050338537</v>
      </c>
      <c r="H433" s="5">
        <f>+(VLOOKUP(D433,'Prezzi FI'!$C$8:$D$468,2,0)+VLOOKUP(D433,'Prezzi FI'!$H$8:$I$467,2,0))/100</f>
        <v>1.1037866999999999</v>
      </c>
      <c r="I433" s="5">
        <f>+IF(VLOOKUP(D433,'Prezzi FI'!$H$8:$I$467,2,0)&lt;VLOOKUP(D434,'Prezzi FI'!$H$8:$I$467,2,0),4.25/2,0)/100</f>
        <v>0</v>
      </c>
      <c r="K433" s="4" t="str">
        <f t="shared" si="43"/>
        <v>20146</v>
      </c>
      <c r="L433" s="14">
        <f t="shared" si="44"/>
        <v>41676</v>
      </c>
      <c r="M433" s="39">
        <f t="shared" si="45"/>
        <v>2.3025205532511424E-2</v>
      </c>
      <c r="N433" s="39">
        <f t="shared" si="46"/>
        <v>1.1250064979489896E-2</v>
      </c>
      <c r="O433" s="39">
        <f t="shared" si="47"/>
        <v>3.5913034149460967E-3</v>
      </c>
      <c r="P433" s="39">
        <f t="shared" si="48"/>
        <v>-9.6222291222821646E-4</v>
      </c>
      <c r="AC433" s="14"/>
    </row>
    <row r="434" spans="3:29" x14ac:dyDescent="0.75">
      <c r="C434" s="4">
        <v>3</v>
      </c>
      <c r="D434" s="58">
        <v>41675</v>
      </c>
      <c r="E434" s="5">
        <f>+VLOOKUP(D434,'Prezzi Trade'!$I$9:$J$468,2,0)</f>
        <v>19.105</v>
      </c>
      <c r="F434" s="5">
        <f>+VLOOKUP(D434,'Prezzi Trade'!$K$9:$L$468,2,0)</f>
        <v>115.79</v>
      </c>
      <c r="G434" s="5">
        <f>+VLOOKUP(D434,'Prezzi Trade'!$M$9:$N$468,2,0)/VLOOKUP(D434,'Prezzi Trade'!$O$9:$P$468,2,0)</f>
        <v>873.8028377180018</v>
      </c>
      <c r="H434" s="5">
        <f>+(VLOOKUP(D434,'Prezzi FI'!$C$8:$D$468,2,0)+VLOOKUP(D434,'Prezzi FI'!$H$8:$I$467,2,0))/100</f>
        <v>1.1048492999999999</v>
      </c>
      <c r="I434" s="5">
        <f>+IF(VLOOKUP(D434,'Prezzi FI'!$H$8:$I$467,2,0)&lt;VLOOKUP(D435,'Prezzi FI'!$H$8:$I$467,2,0),4.25/2,0)/100</f>
        <v>0</v>
      </c>
      <c r="K434" s="4" t="str">
        <f t="shared" si="43"/>
        <v>20146</v>
      </c>
      <c r="L434" s="14">
        <f t="shared" si="44"/>
        <v>41675</v>
      </c>
      <c r="M434" s="39">
        <f t="shared" si="45"/>
        <v>2.8829793261532671E-3</v>
      </c>
      <c r="N434" s="39">
        <f t="shared" si="46"/>
        <v>-2.2429270962642592E-3</v>
      </c>
      <c r="O434" s="39">
        <f t="shared" si="47"/>
        <v>-3.8370677699813525E-4</v>
      </c>
      <c r="P434" s="39">
        <f t="shared" si="48"/>
        <v>1.8591750844923621E-3</v>
      </c>
      <c r="AC434" s="14"/>
    </row>
    <row r="435" spans="3:29" x14ac:dyDescent="0.75">
      <c r="C435" s="4">
        <v>2</v>
      </c>
      <c r="D435" s="58">
        <v>41674</v>
      </c>
      <c r="E435" s="5">
        <f>+VLOOKUP(D435,'Prezzi Trade'!$I$9:$J$468,2,0)</f>
        <v>19.05</v>
      </c>
      <c r="F435" s="5">
        <f>+VLOOKUP(D435,'Prezzi Trade'!$K$9:$L$468,2,0)</f>
        <v>116.05</v>
      </c>
      <c r="G435" s="5">
        <f>+VLOOKUP(D435,'Prezzi Trade'!$M$9:$N$468,2,0)/VLOOKUP(D435,'Prezzi Trade'!$O$9:$P$468,2,0)</f>
        <v>874.13818612220757</v>
      </c>
      <c r="H435" s="5">
        <f>+(VLOOKUP(D435,'Prezzi FI'!$C$8:$D$468,2,0)+VLOOKUP(D435,'Prezzi FI'!$H$8:$I$467,2,0))/100</f>
        <v>1.1027970999999999</v>
      </c>
      <c r="I435" s="5">
        <f>+IF(VLOOKUP(D435,'Prezzi FI'!$H$8:$I$467,2,0)&lt;VLOOKUP(D436,'Prezzi FI'!$H$8:$I$467,2,0),4.25/2,0)/100</f>
        <v>0</v>
      </c>
      <c r="K435" s="4" t="str">
        <f t="shared" si="43"/>
        <v>20146</v>
      </c>
      <c r="L435" s="14">
        <f t="shared" si="44"/>
        <v>41674</v>
      </c>
      <c r="M435" s="39">
        <f t="shared" si="45"/>
        <v>4.9993526044118889E-3</v>
      </c>
      <c r="N435" s="39">
        <f t="shared" si="46"/>
        <v>-2.4958057621694693E-3</v>
      </c>
      <c r="O435" s="39">
        <f t="shared" si="47"/>
        <v>8.7418870209303636E-3</v>
      </c>
      <c r="P435" s="39">
        <f t="shared" si="48"/>
        <v>-5.825304139355867E-4</v>
      </c>
      <c r="AC435" s="14"/>
    </row>
    <row r="436" spans="3:29" x14ac:dyDescent="0.75">
      <c r="C436" s="4">
        <v>1</v>
      </c>
      <c r="D436" s="58">
        <v>41673</v>
      </c>
      <c r="E436" s="5">
        <f>+VLOOKUP(D436,'Prezzi Trade'!$I$9:$J$468,2,0)</f>
        <v>18.954999999999998</v>
      </c>
      <c r="F436" s="5">
        <f>+VLOOKUP(D436,'Prezzi Trade'!$K$9:$L$468,2,0)</f>
        <v>116.34</v>
      </c>
      <c r="G436" s="5">
        <f>+VLOOKUP(D436,'Prezzi Trade'!$M$9:$N$468,2,0)/VLOOKUP(D436,'Prezzi Trade'!$O$9:$P$468,2,0)</f>
        <v>866.52987281869264</v>
      </c>
      <c r="H436" s="5">
        <f>+(VLOOKUP(D436,'Prezzi FI'!$C$8:$D$468,2,0)+VLOOKUP(D436,'Prezzi FI'!$H$8:$I$467,2,0))/100</f>
        <v>1.1034397</v>
      </c>
      <c r="I436" s="5">
        <f>+IF(VLOOKUP(D436,'Prezzi FI'!$H$8:$I$467,2,0)&lt;VLOOKUP(D437,'Prezzi FI'!$H$8:$I$467,2,0),4.25/2,0)/100</f>
        <v>0</v>
      </c>
      <c r="K436" s="4" t="str">
        <f t="shared" si="43"/>
        <v>20146</v>
      </c>
      <c r="L436" s="14">
        <f t="shared" si="44"/>
        <v>41673</v>
      </c>
      <c r="M436" s="39">
        <f t="shared" si="45"/>
        <v>-2.6293327789560953E-2</v>
      </c>
      <c r="N436" s="39">
        <f t="shared" si="46"/>
        <v>-1.6537756501660957E-2</v>
      </c>
      <c r="O436" s="39">
        <f t="shared" si="47"/>
        <v>-4.1756101783460937E-3</v>
      </c>
      <c r="P436" s="39">
        <f t="shared" si="48"/>
        <v>1.4305526127576791E-3</v>
      </c>
      <c r="AC436" s="14"/>
    </row>
    <row r="437" spans="3:29" x14ac:dyDescent="0.75">
      <c r="C437" s="4">
        <v>5</v>
      </c>
      <c r="D437" s="58">
        <v>41670</v>
      </c>
      <c r="E437" s="5">
        <f>+VLOOKUP(D437,'Prezzi Trade'!$I$9:$J$468,2,0)</f>
        <v>19.46</v>
      </c>
      <c r="F437" s="5">
        <f>+VLOOKUP(D437,'Prezzi Trade'!$K$9:$L$468,2,0)</f>
        <v>118.28</v>
      </c>
      <c r="G437" s="5">
        <f>+VLOOKUP(D437,'Prezzi Trade'!$M$9:$N$468,2,0)/VLOOKUP(D437,'Prezzi Trade'!$O$9:$P$468,2,0)</f>
        <v>870.15572858731923</v>
      </c>
      <c r="H437" s="5">
        <f>+(VLOOKUP(D437,'Prezzi FI'!$C$8:$D$468,2,0)+VLOOKUP(D437,'Prezzi FI'!$H$8:$I$467,2,0))/100</f>
        <v>1.1018623000000001</v>
      </c>
      <c r="I437" s="5">
        <f>+IF(VLOOKUP(D437,'Prezzi FI'!$H$8:$I$467,2,0)&lt;VLOOKUP(D438,'Prezzi FI'!$H$8:$I$467,2,0),4.25/2,0)/100</f>
        <v>0</v>
      </c>
      <c r="K437" s="4" t="str">
        <f t="shared" si="43"/>
        <v>20145</v>
      </c>
      <c r="L437" s="14">
        <f t="shared" si="44"/>
        <v>41670</v>
      </c>
      <c r="M437" s="39">
        <f t="shared" si="45"/>
        <v>-2.5690430455996326E-4</v>
      </c>
      <c r="N437" s="39">
        <f t="shared" si="46"/>
        <v>-1.858265590909403E-3</v>
      </c>
      <c r="O437" s="39">
        <f t="shared" si="47"/>
        <v>2.3776436736997388E-3</v>
      </c>
      <c r="P437" s="39">
        <f t="shared" si="48"/>
        <v>4.0717625431036754E-3</v>
      </c>
      <c r="AC437" s="14"/>
    </row>
    <row r="438" spans="3:29" x14ac:dyDescent="0.75">
      <c r="C438" s="4">
        <v>4</v>
      </c>
      <c r="D438" s="58">
        <v>41669</v>
      </c>
      <c r="E438" s="5">
        <f>+VLOOKUP(D438,'Prezzi Trade'!$I$9:$J$468,2,0)</f>
        <v>19.465</v>
      </c>
      <c r="F438" s="5">
        <f>+VLOOKUP(D438,'Prezzi Trade'!$K$9:$L$468,2,0)</f>
        <v>118.5</v>
      </c>
      <c r="G438" s="5">
        <f>+VLOOKUP(D438,'Prezzi Trade'!$M$9:$N$468,2,0)/VLOOKUP(D438,'Prezzi Trade'!$O$9:$P$468,2,0)</f>
        <v>868.08926595352273</v>
      </c>
      <c r="H438" s="5">
        <f>+(VLOOKUP(D438,'Prezzi FI'!$C$8:$D$468,2,0)+VLOOKUP(D438,'Prezzi FI'!$H$8:$I$467,2,0))/100</f>
        <v>1.0973849</v>
      </c>
      <c r="I438" s="5">
        <f>+IF(VLOOKUP(D438,'Prezzi FI'!$H$8:$I$467,2,0)&lt;VLOOKUP(D439,'Prezzi FI'!$H$8:$I$467,2,0),4.25/2,0)/100</f>
        <v>0</v>
      </c>
      <c r="K438" s="4" t="str">
        <f t="shared" si="43"/>
        <v>20145</v>
      </c>
      <c r="L438" s="14">
        <f t="shared" si="44"/>
        <v>41669</v>
      </c>
      <c r="M438" s="39">
        <f t="shared" si="45"/>
        <v>5.1506680957036722E-3</v>
      </c>
      <c r="N438" s="39">
        <f t="shared" si="46"/>
        <v>9.4112356847550396E-3</v>
      </c>
      <c r="O438" s="39">
        <f t="shared" si="47"/>
        <v>8.4110690869201726E-3</v>
      </c>
      <c r="P438" s="39">
        <f t="shared" si="48"/>
        <v>2.0865853517583661E-3</v>
      </c>
      <c r="AC438" s="14"/>
    </row>
    <row r="439" spans="3:29" x14ac:dyDescent="0.75">
      <c r="C439" s="4">
        <v>3</v>
      </c>
      <c r="D439" s="58">
        <v>41668</v>
      </c>
      <c r="E439" s="5">
        <f>+VLOOKUP(D439,'Prezzi Trade'!$I$9:$J$468,2,0)</f>
        <v>19.364999999999998</v>
      </c>
      <c r="F439" s="5">
        <f>+VLOOKUP(D439,'Prezzi Trade'!$K$9:$L$468,2,0)</f>
        <v>117.39</v>
      </c>
      <c r="G439" s="5">
        <f>+VLOOKUP(D439,'Prezzi Trade'!$M$9:$N$468,2,0)/VLOOKUP(D439,'Prezzi Trade'!$O$9:$P$468,2,0)</f>
        <v>860.81832820963245</v>
      </c>
      <c r="H439" s="5">
        <f>+(VLOOKUP(D439,'Prezzi FI'!$C$8:$D$468,2,0)+VLOOKUP(D439,'Prezzi FI'!$H$8:$I$467,2,0))/100</f>
        <v>1.0950975000000001</v>
      </c>
      <c r="I439" s="5">
        <f>+IF(VLOOKUP(D439,'Prezzi FI'!$H$8:$I$467,2,0)&lt;VLOOKUP(D440,'Prezzi FI'!$H$8:$I$467,2,0),4.25/2,0)/100</f>
        <v>0</v>
      </c>
      <c r="K439" s="4" t="str">
        <f t="shared" si="43"/>
        <v>20145</v>
      </c>
      <c r="L439" s="14">
        <f t="shared" si="44"/>
        <v>41668</v>
      </c>
      <c r="M439" s="39">
        <f t="shared" si="45"/>
        <v>-5.9209852476736508E-3</v>
      </c>
      <c r="N439" s="39">
        <f t="shared" si="46"/>
        <v>-2.1273887953635125E-3</v>
      </c>
      <c r="O439" s="39">
        <f t="shared" si="47"/>
        <v>-2.2697196573954284E-3</v>
      </c>
      <c r="P439" s="39">
        <f t="shared" si="48"/>
        <v>9.2472869066014289E-4</v>
      </c>
      <c r="AC439" s="14"/>
    </row>
    <row r="440" spans="3:29" x14ac:dyDescent="0.75">
      <c r="C440" s="4">
        <v>2</v>
      </c>
      <c r="D440" s="58">
        <v>41667</v>
      </c>
      <c r="E440" s="5">
        <f>+VLOOKUP(D440,'Prezzi Trade'!$I$9:$J$468,2,0)</f>
        <v>19.48</v>
      </c>
      <c r="F440" s="5">
        <f>+VLOOKUP(D440,'Prezzi Trade'!$K$9:$L$468,2,0)</f>
        <v>117.64</v>
      </c>
      <c r="G440" s="5">
        <f>+VLOOKUP(D440,'Prezzi Trade'!$M$9:$N$468,2,0)/VLOOKUP(D440,'Prezzi Trade'!$O$9:$P$468,2,0)</f>
        <v>862.77436347673392</v>
      </c>
      <c r="H440" s="5">
        <f>+(VLOOKUP(D440,'Prezzi FI'!$C$8:$D$468,2,0)+VLOOKUP(D440,'Prezzi FI'!$H$8:$I$467,2,0))/100</f>
        <v>1.0940852999999999</v>
      </c>
      <c r="I440" s="5">
        <f>+IF(VLOOKUP(D440,'Prezzi FI'!$H$8:$I$467,2,0)&lt;VLOOKUP(D441,'Prezzi FI'!$H$8:$I$467,2,0),4.25/2,0)/100</f>
        <v>0</v>
      </c>
      <c r="K440" s="4" t="str">
        <f t="shared" si="43"/>
        <v>20145</v>
      </c>
      <c r="L440" s="14">
        <f t="shared" si="44"/>
        <v>41667</v>
      </c>
      <c r="M440" s="39">
        <f t="shared" si="45"/>
        <v>1.0838815788114043E-2</v>
      </c>
      <c r="N440" s="39">
        <f t="shared" si="46"/>
        <v>4.3446846040111134E-3</v>
      </c>
      <c r="O440" s="39">
        <f t="shared" si="47"/>
        <v>3.3016233454501169E-3</v>
      </c>
      <c r="P440" s="39">
        <f t="shared" si="48"/>
        <v>2.3493753860814679E-3</v>
      </c>
      <c r="AC440" s="14"/>
    </row>
    <row r="441" spans="3:29" x14ac:dyDescent="0.75">
      <c r="C441" s="4">
        <v>1</v>
      </c>
      <c r="D441" s="58">
        <v>41666</v>
      </c>
      <c r="E441" s="5">
        <f>+VLOOKUP(D441,'Prezzi Trade'!$I$9:$J$468,2,0)</f>
        <v>19.27</v>
      </c>
      <c r="F441" s="5">
        <f>+VLOOKUP(D441,'Prezzi Trade'!$K$9:$L$468,2,0)</f>
        <v>117.13</v>
      </c>
      <c r="G441" s="5">
        <f>+VLOOKUP(D441,'Prezzi Trade'!$M$9:$N$468,2,0)/VLOOKUP(D441,'Prezzi Trade'!$O$9:$P$468,2,0)</f>
        <v>859.93050475493794</v>
      </c>
      <c r="H441" s="5">
        <f>+(VLOOKUP(D441,'Prezzi FI'!$C$8:$D$468,2,0)+VLOOKUP(D441,'Prezzi FI'!$H$8:$I$467,2,0))/100</f>
        <v>1.0915179000000002</v>
      </c>
      <c r="I441" s="5">
        <f>+IF(VLOOKUP(D441,'Prezzi FI'!$H$8:$I$467,2,0)&lt;VLOOKUP(D442,'Prezzi FI'!$H$8:$I$467,2,0),4.25/2,0)/100</f>
        <v>0</v>
      </c>
      <c r="K441" s="4" t="str">
        <f t="shared" si="43"/>
        <v>20145</v>
      </c>
      <c r="L441" s="14">
        <f t="shared" si="44"/>
        <v>41666</v>
      </c>
      <c r="M441" s="39">
        <f t="shared" si="45"/>
        <v>-6.7235836430074008E-3</v>
      </c>
      <c r="N441" s="39">
        <f t="shared" si="46"/>
        <v>-9.0936758902146267E-3</v>
      </c>
      <c r="O441" s="39" t="e">
        <f t="shared" si="47"/>
        <v>#N/A</v>
      </c>
      <c r="P441" s="39">
        <f t="shared" si="48"/>
        <v>-1.6592459374802509E-3</v>
      </c>
      <c r="AC441" s="14"/>
    </row>
    <row r="442" spans="3:29" x14ac:dyDescent="0.75">
      <c r="C442" s="4">
        <v>5</v>
      </c>
      <c r="D442" s="58">
        <v>41663</v>
      </c>
      <c r="E442" s="5">
        <f>+VLOOKUP(D442,'Prezzi Trade'!$I$9:$J$468,2,0)</f>
        <v>19.399999999999999</v>
      </c>
      <c r="F442" s="5">
        <f>+VLOOKUP(D442,'Prezzi Trade'!$K$9:$L$468,2,0)</f>
        <v>118.2</v>
      </c>
      <c r="G442" s="5" t="e">
        <f>+VLOOKUP(D442,'Prezzi Trade'!$M$9:$N$468,2,0)/VLOOKUP(D442,'Prezzi Trade'!$O$9:$P$468,2,0)</f>
        <v>#N/A</v>
      </c>
      <c r="H442" s="5">
        <f>+(VLOOKUP(D442,'Prezzi FI'!$C$8:$D$468,2,0)+VLOOKUP(D442,'Prezzi FI'!$H$8:$I$467,2,0))/100</f>
        <v>1.0933305</v>
      </c>
      <c r="I442" s="5">
        <f>+IF(VLOOKUP(D442,'Prezzi FI'!$H$8:$I$467,2,0)&lt;VLOOKUP(D443,'Prezzi FI'!$H$8:$I$467,2,0),4.25/2,0)/100</f>
        <v>0</v>
      </c>
      <c r="L442" s="14"/>
      <c r="AC442" s="14"/>
    </row>
    <row r="443" spans="3:29" x14ac:dyDescent="0.75">
      <c r="C443" s="4">
        <v>4</v>
      </c>
      <c r="D443" s="58">
        <v>41662</v>
      </c>
      <c r="E443" s="5">
        <f>+VLOOKUP(D443,'Prezzi Trade'!$I$9:$J$468,2,0)</f>
        <v>19.875</v>
      </c>
      <c r="F443" s="5">
        <f>+VLOOKUP(D443,'Prezzi Trade'!$K$9:$L$468,2,0)</f>
        <v>120.44</v>
      </c>
      <c r="G443" s="5" t="e">
        <f>+VLOOKUP(D443,'Prezzi Trade'!$M$9:$N$468,2,0)/VLOOKUP(D443,'Prezzi Trade'!$O$9:$P$468,2,0)</f>
        <v>#N/A</v>
      </c>
      <c r="H443" s="5">
        <f>+(VLOOKUP(D443,'Prezzi FI'!$C$8:$D$468,2,0)+VLOOKUP(D443,'Prezzi FI'!$H$8:$I$467,2,0))/100</f>
        <v>1.0951431</v>
      </c>
      <c r="I443" s="5">
        <f>+IF(VLOOKUP(D443,'Prezzi FI'!$H$8:$I$467,2,0)&lt;VLOOKUP(D444,'Prezzi FI'!$H$8:$I$467,2,0),4.25/2,0)/100</f>
        <v>0</v>
      </c>
      <c r="L443" s="14"/>
      <c r="AC443" s="14"/>
    </row>
    <row r="444" spans="3:29" x14ac:dyDescent="0.75">
      <c r="C444" s="4">
        <v>3</v>
      </c>
      <c r="D444" s="58">
        <v>41661</v>
      </c>
      <c r="E444" s="5">
        <f>+VLOOKUP(D444,'Prezzi Trade'!$I$9:$J$468,2,0)</f>
        <v>20.004999999999999</v>
      </c>
      <c r="F444" s="5">
        <f>+VLOOKUP(D444,'Prezzi Trade'!$K$9:$L$468,2,0)</f>
        <v>122.3</v>
      </c>
      <c r="G444" s="5" t="e">
        <f>+VLOOKUP(D444,'Prezzi Trade'!$M$9:$N$468,2,0)/VLOOKUP(D444,'Prezzi Trade'!$O$9:$P$468,2,0)</f>
        <v>#N/A</v>
      </c>
      <c r="H444" s="5">
        <f>+(VLOOKUP(D444,'Prezzi FI'!$C$8:$D$468,2,0)+VLOOKUP(D444,'Prezzi FI'!$H$8:$I$467,2,0))/100</f>
        <v>1.0971356999999999</v>
      </c>
      <c r="I444" s="5">
        <f>+IF(VLOOKUP(D444,'Prezzi FI'!$H$8:$I$467,2,0)&lt;VLOOKUP(D445,'Prezzi FI'!$H$8:$I$467,2,0),4.25/2,0)/100</f>
        <v>0</v>
      </c>
      <c r="L444" s="14"/>
      <c r="AC444" s="14"/>
    </row>
    <row r="445" spans="3:29" x14ac:dyDescent="0.75">
      <c r="C445" s="4">
        <v>2</v>
      </c>
      <c r="D445" s="58">
        <v>41660</v>
      </c>
      <c r="E445" s="5">
        <f>+VLOOKUP(D445,'Prezzi Trade'!$I$9:$J$468,2,0)</f>
        <v>20.024999999999999</v>
      </c>
      <c r="F445" s="5">
        <f>+VLOOKUP(D445,'Prezzi Trade'!$K$9:$L$468,2,0)</f>
        <v>122.04</v>
      </c>
      <c r="G445" s="5" t="e">
        <f>+VLOOKUP(D445,'Prezzi Trade'!$M$9:$N$468,2,0)/VLOOKUP(D445,'Prezzi Trade'!$O$9:$P$468,2,0)</f>
        <v>#N/A</v>
      </c>
      <c r="H445" s="5">
        <f>+(VLOOKUP(D445,'Prezzi FI'!$C$8:$D$468,2,0)+VLOOKUP(D445,'Prezzi FI'!$H$8:$I$467,2,0))/100</f>
        <v>1.0972035</v>
      </c>
      <c r="I445" s="5">
        <f>+IF(VLOOKUP(D445,'Prezzi FI'!$H$8:$I$467,2,0)&lt;VLOOKUP(D446,'Prezzi FI'!$H$8:$I$467,2,0),4.25/2,0)/100</f>
        <v>0</v>
      </c>
      <c r="L445" s="14"/>
      <c r="AC445" s="14"/>
    </row>
    <row r="446" spans="3:29" x14ac:dyDescent="0.75">
      <c r="C446" s="4">
        <v>1</v>
      </c>
      <c r="D446" s="58">
        <v>41659</v>
      </c>
      <c r="E446" s="5">
        <f>+VLOOKUP(D446,'Prezzi Trade'!$I$9:$J$468,2,0)</f>
        <v>20.02</v>
      </c>
      <c r="F446" s="5">
        <f>+VLOOKUP(D446,'Prezzi Trade'!$K$9:$L$468,2,0)</f>
        <v>122.33</v>
      </c>
      <c r="G446" s="5" t="e">
        <f>+VLOOKUP(D446,'Prezzi Trade'!$M$9:$N$468,2,0)/VLOOKUP(D446,'Prezzi Trade'!$O$9:$P$468,2,0)</f>
        <v>#N/A</v>
      </c>
      <c r="H446" s="5">
        <f>+(VLOOKUP(D446,'Prezzi FI'!$C$8:$D$468,2,0)+VLOOKUP(D446,'Prezzi FI'!$H$8:$I$467,2,0))/100</f>
        <v>1.0982961</v>
      </c>
      <c r="I446" s="5">
        <f>+IF(VLOOKUP(D446,'Prezzi FI'!$H$8:$I$467,2,0)&lt;VLOOKUP(D447,'Prezzi FI'!$H$8:$I$467,2,0),4.25/2,0)/100</f>
        <v>0</v>
      </c>
      <c r="L446" s="14"/>
    </row>
    <row r="447" spans="3:29" x14ac:dyDescent="0.75">
      <c r="D447" s="58">
        <v>41656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U94"/>
  <sheetViews>
    <sheetView topLeftCell="J1" workbookViewId="0">
      <selection activeCell="P7" sqref="P7"/>
    </sheetView>
  </sheetViews>
  <sheetFormatPr defaultColWidth="8.86328125" defaultRowHeight="14.75" x14ac:dyDescent="0.75"/>
  <cols>
    <col min="1" max="16384" width="8.86328125" style="4"/>
  </cols>
  <sheetData>
    <row r="1" spans="2:21" ht="15.5" thickBot="1" x14ac:dyDescent="0.9">
      <c r="B1" s="4" t="s">
        <v>119</v>
      </c>
      <c r="I1" s="4" t="s">
        <v>118</v>
      </c>
    </row>
    <row r="2" spans="2:21" ht="15.5" thickBot="1" x14ac:dyDescent="0.9">
      <c r="B2" s="4">
        <f>'Prezzi-Rend EUR'!S4</f>
        <v>0</v>
      </c>
      <c r="C2" s="60" t="str">
        <f>'Prezzi-Rend EUR'!T4</f>
        <v>LYMIB.PA</v>
      </c>
      <c r="D2" s="61" t="str">
        <f>'Prezzi-Rend EUR'!U4</f>
        <v>WLD.PA</v>
      </c>
      <c r="E2" s="61" t="str">
        <f>'Prezzi-Rend EUR'!V4</f>
        <v>CMCIL.L EUR</v>
      </c>
      <c r="F2" s="62" t="str">
        <f>'Prezzi-Rend EUR'!W4</f>
        <v>IT510770=</v>
      </c>
      <c r="G2" s="38"/>
      <c r="H2" s="38"/>
      <c r="I2" s="60" t="s">
        <v>0</v>
      </c>
      <c r="J2" s="61" t="s">
        <v>2</v>
      </c>
      <c r="K2" s="61" t="s">
        <v>17</v>
      </c>
      <c r="L2" s="62" t="s">
        <v>4</v>
      </c>
      <c r="M2" s="38"/>
      <c r="N2" s="38"/>
      <c r="O2" s="38"/>
      <c r="P2" s="56" t="s">
        <v>117</v>
      </c>
      <c r="S2" s="4" t="s">
        <v>120</v>
      </c>
      <c r="U2" s="39">
        <f>+AVERAGE(P3:P95)</f>
        <v>1.2717707857518314E-3</v>
      </c>
    </row>
    <row r="3" spans="2:21" x14ac:dyDescent="0.75">
      <c r="B3" s="4" t="str">
        <f>'Prezzi-Rend EUR'!S5</f>
        <v>201543</v>
      </c>
      <c r="C3" s="39">
        <f>EXP('Prezzi-Rend EUR'!T5)-1</f>
        <v>1.9204699502937128E-2</v>
      </c>
      <c r="D3" s="39">
        <f>EXP('Prezzi-Rend EUR'!U5)-1</f>
        <v>4.5995670995671034E-2</v>
      </c>
      <c r="E3" s="39">
        <f>EXP('Prezzi-Rend EUR'!V5)-1</f>
        <v>6.9269307802237723E-3</v>
      </c>
      <c r="F3" s="39">
        <f>EXP('Prezzi-Rend EUR'!W5)-1</f>
        <v>5.5155552530179452E-3</v>
      </c>
      <c r="I3" s="39">
        <v>0</v>
      </c>
      <c r="J3" s="39">
        <v>0</v>
      </c>
      <c r="K3" s="39">
        <v>6.2848618856699803E-2</v>
      </c>
      <c r="L3" s="39">
        <v>0.93715138131058096</v>
      </c>
      <c r="M3" s="39">
        <f>+SUM(I3:L3)</f>
        <v>1.0000000001672809</v>
      </c>
      <c r="O3" s="4" t="str">
        <f>+B3</f>
        <v>201543</v>
      </c>
      <c r="P3" s="39">
        <f>+SUMPRODUCT($I$3:$L$3,C3:F3)</f>
        <v>5.6042582565136237E-3</v>
      </c>
      <c r="S3" s="4" t="s">
        <v>121</v>
      </c>
      <c r="U3" s="39">
        <f>+_xlfn.STDEV.P($P$3:$P$95)</f>
        <v>4.9250574412806735E-3</v>
      </c>
    </row>
    <row r="4" spans="2:21" x14ac:dyDescent="0.75">
      <c r="B4" s="4" t="str">
        <f>'Prezzi-Rend EUR'!S6</f>
        <v>201542</v>
      </c>
      <c r="C4" s="39">
        <f>EXP('Prezzi-Rend EUR'!T6)-1</f>
        <v>1.3574660633484115E-3</v>
      </c>
      <c r="D4" s="39">
        <f>EXP('Prezzi-Rend EUR'!U6)-1</f>
        <v>5.0305914343984348E-3</v>
      </c>
      <c r="E4" s="39">
        <f>EXP('Prezzi-Rend EUR'!V6)-1</f>
        <v>-2.0788792858800642E-2</v>
      </c>
      <c r="F4" s="39">
        <f>EXP('Prezzi-Rend EUR'!W6)-1</f>
        <v>1.2800302374227357E-3</v>
      </c>
      <c r="O4" s="4" t="str">
        <f t="shared" ref="O4:O67" si="0">+B4</f>
        <v>201542</v>
      </c>
      <c r="P4" s="39">
        <f t="shared" ref="P4:P67" si="1">+SUMPRODUCT($I$3:$L$3,C4:F4)</f>
        <v>-1.0696481375361655E-4</v>
      </c>
    </row>
    <row r="5" spans="2:21" x14ac:dyDescent="0.75">
      <c r="B5" s="4" t="str">
        <f>'Prezzi-Rend EUR'!S7</f>
        <v>201541</v>
      </c>
      <c r="C5" s="39">
        <f>EXP('Prezzi-Rend EUR'!T7)-1</f>
        <v>4.0734636213797915E-2</v>
      </c>
      <c r="D5" s="39">
        <f>EXP('Prezzi-Rend EUR'!U7)-1</f>
        <v>4.6304858098015655E-2</v>
      </c>
      <c r="E5" s="39">
        <f>EXP('Prezzi-Rend EUR'!V7)-1</f>
        <v>4.1562512945558128E-2</v>
      </c>
      <c r="F5" s="39">
        <f>EXP('Prezzi-Rend EUR'!W7)-1</f>
        <v>-4.2382923303430076E-4</v>
      </c>
      <c r="O5" s="4" t="str">
        <f t="shared" si="0"/>
        <v>201541</v>
      </c>
      <c r="P5" s="39">
        <f t="shared" si="1"/>
        <v>2.2149543836641351E-3</v>
      </c>
    </row>
    <row r="6" spans="2:21" x14ac:dyDescent="0.75">
      <c r="B6" s="4" t="str">
        <f>'Prezzi-Rend EUR'!S8</f>
        <v>201540</v>
      </c>
      <c r="C6" s="39">
        <f>EXP('Prezzi-Rend EUR'!T8)-1</f>
        <v>5.2071005917160296E-3</v>
      </c>
      <c r="D6" s="39">
        <f>EXP('Prezzi-Rend EUR'!U8)-1</f>
        <v>-1.6027435610302176E-2</v>
      </c>
      <c r="E6" s="39">
        <f>EXP('Prezzi-Rend EUR'!V8)-1</f>
        <v>-1.0309105529991536E-2</v>
      </c>
      <c r="F6" s="39">
        <f>EXP('Prezzi-Rend EUR'!W8)-1</f>
        <v>4.4561698074339073E-3</v>
      </c>
      <c r="O6" s="4" t="str">
        <f t="shared" si="0"/>
        <v>201540</v>
      </c>
      <c r="P6" s="39">
        <f t="shared" si="1"/>
        <v>3.5281926461832574E-3</v>
      </c>
    </row>
    <row r="7" spans="2:21" x14ac:dyDescent="0.75">
      <c r="B7" s="4" t="str">
        <f>'Prezzi-Rend EUR'!S9</f>
        <v>201539</v>
      </c>
      <c r="C7" s="39">
        <f>EXP('Prezzi-Rend EUR'!T9)-1</f>
        <v>-8.681370248709519E-3</v>
      </c>
      <c r="D7" s="39">
        <f>EXP('Prezzi-Rend EUR'!U9)-1</f>
        <v>-3.9040713887340539E-3</v>
      </c>
      <c r="E7" s="39">
        <f>EXP('Prezzi-Rend EUR'!V9)-1</f>
        <v>1.1986097278975816E-2</v>
      </c>
      <c r="F7" s="39">
        <f>EXP('Prezzi-Rend EUR'!W9)-1</f>
        <v>-4.1690349785228342E-4</v>
      </c>
      <c r="O7" s="4" t="str">
        <f t="shared" si="0"/>
        <v>201539</v>
      </c>
      <c r="P7" s="39">
        <f t="shared" si="1"/>
        <v>3.6260797058019746E-4</v>
      </c>
    </row>
    <row r="8" spans="2:21" x14ac:dyDescent="0.75">
      <c r="B8" s="4" t="str">
        <f>'Prezzi-Rend EUR'!S10</f>
        <v>201538</v>
      </c>
      <c r="C8" s="39">
        <f>EXP('Prezzi-Rend EUR'!T10)-1</f>
        <v>-9.5282361143389505E-3</v>
      </c>
      <c r="D8" s="39">
        <f>EXP('Prezzi-Rend EUR'!U10)-1</f>
        <v>8.2946717278222781E-3</v>
      </c>
      <c r="E8" s="39">
        <f>EXP('Prezzi-Rend EUR'!V10)-1</f>
        <v>-6.9212764544627214E-3</v>
      </c>
      <c r="F8" s="39">
        <f>EXP('Prezzi-Rend EUR'!W10)-1</f>
        <v>1.1044105000361792E-3</v>
      </c>
      <c r="O8" s="4" t="str">
        <f t="shared" si="0"/>
        <v>201538</v>
      </c>
      <c r="P8" s="39">
        <f t="shared" si="1"/>
        <v>6.0000715975443652E-4</v>
      </c>
    </row>
    <row r="9" spans="2:21" x14ac:dyDescent="0.75">
      <c r="B9" s="4" t="str">
        <f>'Prezzi-Rend EUR'!S11</f>
        <v>201537</v>
      </c>
      <c r="C9" s="39">
        <f>EXP('Prezzi-Rend EUR'!T11)-1</f>
        <v>1.3424399434762035E-2</v>
      </c>
      <c r="D9" s="39">
        <f>EXP('Prezzi-Rend EUR'!U11)-1</f>
        <v>-4.3393057110862054E-3</v>
      </c>
      <c r="E9" s="39">
        <f>EXP('Prezzi-Rend EUR'!V11)-1</f>
        <v>-2.0667710190807598E-2</v>
      </c>
      <c r="F9" s="39">
        <f>EXP('Prezzi-Rend EUR'!W11)-1</f>
        <v>1.9382187048455624E-3</v>
      </c>
      <c r="O9" s="4" t="str">
        <f t="shared" si="0"/>
        <v>201537</v>
      </c>
      <c r="P9" s="39">
        <f t="shared" si="1"/>
        <v>5.174672961052269E-4</v>
      </c>
    </row>
    <row r="10" spans="2:21" x14ac:dyDescent="0.75">
      <c r="B10" s="4" t="str">
        <f>'Prezzi-Rend EUR'!S12</f>
        <v>201536</v>
      </c>
      <c r="C10" s="39">
        <f>EXP('Prezzi-Rend EUR'!T12)-1</f>
        <v>-2.748511223087502E-2</v>
      </c>
      <c r="D10" s="39">
        <f>EXP('Prezzi-Rend EUR'!U12)-1</f>
        <v>-3.3288227334235532E-2</v>
      </c>
      <c r="E10" s="39">
        <f>EXP('Prezzi-Rend EUR'!V12)-1</f>
        <v>-7.341710927273315E-4</v>
      </c>
      <c r="F10" s="39">
        <f>EXP('Prezzi-Rend EUR'!W12)-1</f>
        <v>2.6991834607366094E-3</v>
      </c>
      <c r="O10" s="4" t="str">
        <f t="shared" si="0"/>
        <v>201536</v>
      </c>
      <c r="P10" s="39">
        <f t="shared" si="1"/>
        <v>2.4834018694575607E-3</v>
      </c>
    </row>
    <row r="11" spans="2:21" x14ac:dyDescent="0.75">
      <c r="B11" s="4" t="str">
        <f>'Prezzi-Rend EUR'!S13</f>
        <v>201535</v>
      </c>
      <c r="C11" s="39">
        <f>EXP('Prezzi-Rend EUR'!T13)-1</f>
        <v>1.6530849825378002E-2</v>
      </c>
      <c r="D11" s="39">
        <f>EXP('Prezzi-Rend EUR'!U13)-1</f>
        <v>1.6226622662266266E-2</v>
      </c>
      <c r="E11" s="39">
        <f>EXP('Prezzi-Rend EUR'!V13)-1</f>
        <v>4.9957899829736974E-2</v>
      </c>
      <c r="F11" s="39">
        <f>EXP('Prezzi-Rend EUR'!W13)-1</f>
        <v>-8.450356626185096E-4</v>
      </c>
      <c r="O11" s="4" t="str">
        <f t="shared" si="0"/>
        <v>201535</v>
      </c>
      <c r="P11" s="39">
        <f t="shared" si="1"/>
        <v>2.3478586668006889E-3</v>
      </c>
    </row>
    <row r="12" spans="2:21" x14ac:dyDescent="0.75">
      <c r="B12" s="4" t="str">
        <f>'Prezzi-Rend EUR'!S14</f>
        <v>201534</v>
      </c>
      <c r="C12" s="39">
        <f>EXP('Prezzi-Rend EUR'!T14)-1</f>
        <v>-6.5695018490319446E-2</v>
      </c>
      <c r="D12" s="39">
        <f>EXP('Prezzi-Rend EUR'!U14)-1</f>
        <v>-6.6255778120184905E-2</v>
      </c>
      <c r="E12" s="39">
        <f>EXP('Prezzi-Rend EUR'!V14)-1</f>
        <v>-6.2223344966941041E-2</v>
      </c>
      <c r="F12" s="39">
        <f>EXP('Prezzi-Rend EUR'!W14)-1</f>
        <v>-3.1191562544704565E-3</v>
      </c>
      <c r="O12" s="4" t="str">
        <f t="shared" si="0"/>
        <v>201534</v>
      </c>
      <c r="P12" s="39">
        <f t="shared" si="1"/>
        <v>-6.8337728842167537E-3</v>
      </c>
    </row>
    <row r="13" spans="2:21" x14ac:dyDescent="0.75">
      <c r="B13" s="4" t="str">
        <f>'Prezzi-Rend EUR'!S15</f>
        <v>201533</v>
      </c>
      <c r="C13" s="39">
        <f>EXP('Prezzi-Rend EUR'!T15)-1</f>
        <v>-1.8992744344857093E-2</v>
      </c>
      <c r="D13" s="39">
        <f>EXP('Prezzi-Rend EUR'!U15)-1</f>
        <v>-1.5547971179370568E-2</v>
      </c>
      <c r="E13" s="39">
        <f>EXP('Prezzi-Rend EUR'!V15)-1</f>
        <v>-1.5472999341699212E-2</v>
      </c>
      <c r="F13" s="39">
        <f>EXP('Prezzi-Rend EUR'!W15)-1</f>
        <v>4.6618770731443604E-4</v>
      </c>
      <c r="O13" s="4" t="str">
        <f t="shared" si="0"/>
        <v>201533</v>
      </c>
      <c r="P13" s="39">
        <f t="shared" si="1"/>
        <v>-5.355681843366842E-4</v>
      </c>
    </row>
    <row r="14" spans="2:21" x14ac:dyDescent="0.75">
      <c r="B14" s="4" t="str">
        <f>'Prezzi-Rend EUR'!S16</f>
        <v>201532</v>
      </c>
      <c r="C14" s="39">
        <f>EXP('Prezzi-Rend EUR'!T16)-1</f>
        <v>6.6595059076264285E-3</v>
      </c>
      <c r="D14" s="39">
        <f>EXP('Prezzi-Rend EUR'!U16)-1</f>
        <v>-7.4650272881250368E-3</v>
      </c>
      <c r="E14" s="39">
        <f>EXP('Prezzi-Rend EUR'!V16)-1</f>
        <v>-2.5228694861865741E-2</v>
      </c>
      <c r="F14" s="39">
        <f>EXP('Prezzi-Rend EUR'!W16)-1</f>
        <v>1.601528354486792E-4</v>
      </c>
      <c r="O14" s="4" t="str">
        <f t="shared" si="0"/>
        <v>201532</v>
      </c>
      <c r="P14" s="39">
        <f t="shared" si="1"/>
        <v>-1.4355011766638448E-3</v>
      </c>
    </row>
    <row r="15" spans="2:21" x14ac:dyDescent="0.75">
      <c r="B15" s="4" t="str">
        <f>'Prezzi-Rend EUR'!S17</f>
        <v>201531</v>
      </c>
      <c r="C15" s="39">
        <f>EXP('Prezzi-Rend EUR'!T17)-1</f>
        <v>-6.4405324173477663E-4</v>
      </c>
      <c r="D15" s="39">
        <f>EXP('Prezzi-Rend EUR'!U17)-1</f>
        <v>4.4105601411379425E-3</v>
      </c>
      <c r="E15" s="39">
        <f>EXP('Prezzi-Rend EUR'!V17)-1</f>
        <v>-1.2451844986605676E-2</v>
      </c>
      <c r="F15" s="39">
        <f>EXP('Prezzi-Rend EUR'!W17)-1</f>
        <v>2.9741972783590143E-3</v>
      </c>
      <c r="O15" s="4" t="str">
        <f t="shared" si="0"/>
        <v>201531</v>
      </c>
      <c r="P15" s="39">
        <f t="shared" si="1"/>
        <v>2.0046918280784325E-3</v>
      </c>
    </row>
    <row r="16" spans="2:21" x14ac:dyDescent="0.75">
      <c r="B16" s="4" t="str">
        <f>'Prezzi-Rend EUR'!S18</f>
        <v>201530</v>
      </c>
      <c r="C16" s="39">
        <f>EXP('Prezzi-Rend EUR'!T18)-1</f>
        <v>-8.7252606937646693E-3</v>
      </c>
      <c r="D16" s="39">
        <f>EXP('Prezzi-Rend EUR'!U18)-1</f>
        <v>-2.5781106132220177E-2</v>
      </c>
      <c r="E16" s="39">
        <f>EXP('Prezzi-Rend EUR'!V18)-1</f>
        <v>-5.0783993715987519E-2</v>
      </c>
      <c r="F16" s="39">
        <f>EXP('Prezzi-Rend EUR'!W18)-1</f>
        <v>2.8973077799518965E-3</v>
      </c>
      <c r="O16" s="4" t="str">
        <f t="shared" si="0"/>
        <v>201530</v>
      </c>
      <c r="P16" s="39">
        <f t="shared" si="1"/>
        <v>-4.7648787701332507E-4</v>
      </c>
    </row>
    <row r="17" spans="2:16" x14ac:dyDescent="0.75">
      <c r="B17" s="4" t="str">
        <f>'Prezzi-Rend EUR'!S19</f>
        <v>201529</v>
      </c>
      <c r="C17" s="39">
        <f>EXP('Prezzi-Rend EUR'!T19)-1</f>
        <v>3.799425668212919E-2</v>
      </c>
      <c r="D17" s="39">
        <f>EXP('Prezzi-Rend EUR'!U19)-1</f>
        <v>4.7450652607214039E-2</v>
      </c>
      <c r="E17" s="39">
        <f>EXP('Prezzi-Rend EUR'!V19)-1</f>
        <v>1.3786079773030258E-2</v>
      </c>
      <c r="F17" s="39">
        <f>EXP('Prezzi-Rend EUR'!W19)-1</f>
        <v>7.9798076434118848E-3</v>
      </c>
      <c r="O17" s="4" t="str">
        <f t="shared" si="0"/>
        <v>201529</v>
      </c>
      <c r="P17" s="39">
        <f t="shared" si="1"/>
        <v>8.3447238287994163E-3</v>
      </c>
    </row>
    <row r="18" spans="2:16" x14ac:dyDescent="0.75">
      <c r="B18" s="4" t="str">
        <f>'Prezzi-Rend EUR'!S20</f>
        <v>201528</v>
      </c>
      <c r="C18" s="39">
        <f>EXP('Prezzi-Rend EUR'!T20)-1</f>
        <v>-1.0275470048098034E-2</v>
      </c>
      <c r="D18" s="39">
        <f>EXP('Prezzi-Rend EUR'!U20)-1</f>
        <v>-1.8676257177108857E-2</v>
      </c>
      <c r="E18" s="39">
        <f>EXP('Prezzi-Rend EUR'!V20)-1</f>
        <v>-2.7065746483445063E-2</v>
      </c>
      <c r="F18" s="39">
        <f>EXP('Prezzi-Rend EUR'!W20)-1</f>
        <v>5.4320180565812226E-3</v>
      </c>
      <c r="O18" s="4" t="str">
        <f t="shared" si="0"/>
        <v>201528</v>
      </c>
      <c r="P18" s="39">
        <f t="shared" si="1"/>
        <v>3.3895784402190087E-3</v>
      </c>
    </row>
    <row r="19" spans="2:16" x14ac:dyDescent="0.75">
      <c r="B19" s="4" t="str">
        <f>'Prezzi-Rend EUR'!S21</f>
        <v>201527</v>
      </c>
      <c r="C19" s="39">
        <f>EXP('Prezzi-Rend EUR'!T21)-1</f>
        <v>-5.3981385729059084E-2</v>
      </c>
      <c r="D19" s="39">
        <f>EXP('Prezzi-Rend EUR'!U21)-1</f>
        <v>-1.6628404789973183E-2</v>
      </c>
      <c r="E19" s="39">
        <f>EXP('Prezzi-Rend EUR'!V21)-1</f>
        <v>-3.86640907361957E-4</v>
      </c>
      <c r="F19" s="39">
        <f>EXP('Prezzi-Rend EUR'!W21)-1</f>
        <v>-7.5011985094618483E-3</v>
      </c>
      <c r="O19" s="4" t="str">
        <f t="shared" si="0"/>
        <v>201527</v>
      </c>
      <c r="P19" s="39">
        <f t="shared" si="1"/>
        <v>-7.0540583916482418E-3</v>
      </c>
    </row>
    <row r="20" spans="2:16" x14ac:dyDescent="0.75">
      <c r="B20" s="4" t="str">
        <f>'Prezzi-Rend EUR'!S22</f>
        <v>201526</v>
      </c>
      <c r="C20" s="39">
        <f>EXP('Prezzi-Rend EUR'!T22)-1</f>
        <v>5.4755671902268821E-2</v>
      </c>
      <c r="D20" s="39">
        <f>EXP('Prezzi-Rend EUR'!U22)-1</f>
        <v>1.7294704285804485E-2</v>
      </c>
      <c r="E20" s="39">
        <f>EXP('Prezzi-Rend EUR'!V22)-1</f>
        <v>3.4938554464627458E-2</v>
      </c>
      <c r="F20" s="39">
        <f>EXP('Prezzi-Rend EUR'!W22)-1</f>
        <v>9.2517958209283879E-3</v>
      </c>
      <c r="O20" s="4" t="str">
        <f t="shared" si="0"/>
        <v>201526</v>
      </c>
      <c r="P20" s="39">
        <f t="shared" si="1"/>
        <v>1.0866173126137916E-2</v>
      </c>
    </row>
    <row r="21" spans="2:16" x14ac:dyDescent="0.75">
      <c r="B21" s="4" t="str">
        <f>'Prezzi-Rend EUR'!S23</f>
        <v>201525</v>
      </c>
      <c r="C21" s="39">
        <f>EXP('Prezzi-Rend EUR'!T23)-1</f>
        <v>-9.9352051835850386E-3</v>
      </c>
      <c r="D21" s="39">
        <f>EXP('Prezzi-Rend EUR'!U23)-1</f>
        <v>-5.047000189261075E-4</v>
      </c>
      <c r="E21" s="39">
        <f>EXP('Prezzi-Rend EUR'!V23)-1</f>
        <v>-2.5765633815278521E-2</v>
      </c>
      <c r="F21" s="39">
        <f>EXP('Prezzi-Rend EUR'!W23)-1</f>
        <v>-1.4920815668946208E-3</v>
      </c>
      <c r="O21" s="4" t="str">
        <f t="shared" si="0"/>
        <v>201525</v>
      </c>
      <c r="P21" s="39">
        <f t="shared" si="1"/>
        <v>-3.0176408007010855E-3</v>
      </c>
    </row>
    <row r="22" spans="2:16" x14ac:dyDescent="0.75">
      <c r="B22" s="4" t="str">
        <f>'Prezzi-Rend EUR'!S24</f>
        <v>201524</v>
      </c>
      <c r="C22" s="39">
        <f>EXP('Prezzi-Rend EUR'!T24)-1</f>
        <v>3.250270855904791E-3</v>
      </c>
      <c r="D22" s="39">
        <f>EXP('Prezzi-Rend EUR'!U24)-1</f>
        <v>-7.1406201064831976E-3</v>
      </c>
      <c r="E22" s="39">
        <f>EXP('Prezzi-Rend EUR'!V24)-1</f>
        <v>-6.0968499378535324E-3</v>
      </c>
      <c r="F22" s="39">
        <f>EXP('Prezzi-Rend EUR'!W24)-1</f>
        <v>-4.7887150698142644E-3</v>
      </c>
      <c r="O22" s="4" t="str">
        <f t="shared" si="0"/>
        <v>201524</v>
      </c>
      <c r="P22" s="39">
        <f t="shared" si="1"/>
        <v>-4.8709295403498842E-3</v>
      </c>
    </row>
    <row r="23" spans="2:16" x14ac:dyDescent="0.75">
      <c r="B23" s="4" t="str">
        <f>'Prezzi-Rend EUR'!S25</f>
        <v>201523</v>
      </c>
      <c r="C23" s="39">
        <f>EXP('Prezzi-Rend EUR'!T25)-1</f>
        <v>-2.9238535969709822E-2</v>
      </c>
      <c r="D23" s="39">
        <f>EXP('Prezzi-Rend EUR'!U25)-1</f>
        <v>-2.1752450980392135E-2</v>
      </c>
      <c r="E23" s="39">
        <f>EXP('Prezzi-Rend EUR'!V25)-1</f>
        <v>-1.9056910206183941E-2</v>
      </c>
      <c r="F23" s="39">
        <f>EXP('Prezzi-Rend EUR'!W25)-1</f>
        <v>-8.6297209553102272E-3</v>
      </c>
      <c r="O23" s="4" t="str">
        <f t="shared" si="0"/>
        <v>201523</v>
      </c>
      <c r="P23" s="39">
        <f t="shared" si="1"/>
        <v>-9.2850553997286533E-3</v>
      </c>
    </row>
    <row r="24" spans="2:16" x14ac:dyDescent="0.75">
      <c r="B24" s="4" t="str">
        <f>'Prezzi-Rend EUR'!S26</f>
        <v>201522</v>
      </c>
      <c r="C24" s="39">
        <f>EXP('Prezzi-Rend EUR'!T26)-1</f>
        <v>-1.2463647694225255E-2</v>
      </c>
      <c r="D24" s="39">
        <f>EXP('Prezzi-Rend EUR'!U26)-1</f>
        <v>-9.8289042591916953E-3</v>
      </c>
      <c r="E24" s="39">
        <f>EXP('Prezzi-Rend EUR'!V26)-1</f>
        <v>-1.4689314145398202E-2</v>
      </c>
      <c r="F24" s="39">
        <f>EXP('Prezzi-Rend EUR'!W26)-1</f>
        <v>-2.9939157418531481E-3</v>
      </c>
      <c r="O24" s="4" t="str">
        <f t="shared" si="0"/>
        <v>201522</v>
      </c>
      <c r="P24" s="39">
        <f t="shared" si="1"/>
        <v>-3.7289553789956308E-3</v>
      </c>
    </row>
    <row r="25" spans="2:16" x14ac:dyDescent="0.75">
      <c r="B25" s="4" t="str">
        <f>'Prezzi-Rend EUR'!S27</f>
        <v>201521</v>
      </c>
      <c r="C25" s="39">
        <f>EXP('Prezzi-Rend EUR'!T27)-1</f>
        <v>2.8632478632478753E-2</v>
      </c>
      <c r="D25" s="39">
        <f>EXP('Prezzi-Rend EUR'!U27)-1</f>
        <v>3.7386706948640436E-2</v>
      </c>
      <c r="E25" s="39">
        <f>EXP('Prezzi-Rend EUR'!V27)-1</f>
        <v>1.5069708809422711E-2</v>
      </c>
      <c r="F25" s="39">
        <f>EXP('Prezzi-Rend EUR'!W27)-1</f>
        <v>-7.8503460797163527E-4</v>
      </c>
      <c r="O25" s="4" t="str">
        <f t="shared" si="0"/>
        <v>201521</v>
      </c>
      <c r="P25" s="39">
        <f t="shared" si="1"/>
        <v>2.1141411800763084E-4</v>
      </c>
    </row>
    <row r="26" spans="2:16" x14ac:dyDescent="0.75">
      <c r="B26" s="4" t="str">
        <f>'Prezzi-Rend EUR'!S28</f>
        <v>201520</v>
      </c>
      <c r="C26" s="39">
        <f>EXP('Prezzi-Rend EUR'!T28)-1</f>
        <v>4.7230571060541404E-3</v>
      </c>
      <c r="D26" s="39">
        <f>EXP('Prezzi-Rend EUR'!U28)-1</f>
        <v>-1.4330913828401459E-2</v>
      </c>
      <c r="E26" s="39">
        <f>EXP('Prezzi-Rend EUR'!V28)-1</f>
        <v>-1.7277866493085159E-2</v>
      </c>
      <c r="F26" s="39">
        <f>EXP('Prezzi-Rend EUR'!W28)-1</f>
        <v>3.9066787844177497E-4</v>
      </c>
      <c r="O26" s="4" t="str">
        <f t="shared" si="0"/>
        <v>201520</v>
      </c>
      <c r="P26" s="39">
        <f t="shared" si="1"/>
        <v>-7.1977510396546999E-4</v>
      </c>
    </row>
    <row r="27" spans="2:16" x14ac:dyDescent="0.75">
      <c r="B27" s="4" t="str">
        <f>'Prezzi-Rend EUR'!S29</f>
        <v>201519</v>
      </c>
      <c r="C27" s="39">
        <f>EXP('Prezzi-Rend EUR'!T29)-1</f>
        <v>1.2388611171484598E-2</v>
      </c>
      <c r="D27" s="39">
        <f>EXP('Prezzi-Rend EUR'!U29)-1</f>
        <v>5.050505050504972E-3</v>
      </c>
      <c r="E27" s="39">
        <f>EXP('Prezzi-Rend EUR'!V29)-1</f>
        <v>2.0962285168018013E-3</v>
      </c>
      <c r="F27" s="39">
        <f>EXP('Prezzi-Rend EUR'!W29)-1</f>
        <v>-2.9414443871912388E-3</v>
      </c>
      <c r="O27" s="4" t="str">
        <f t="shared" si="0"/>
        <v>201519</v>
      </c>
      <c r="P27" s="39">
        <f t="shared" si="1"/>
        <v>-2.6248336034155034E-3</v>
      </c>
    </row>
    <row r="28" spans="2:16" x14ac:dyDescent="0.75">
      <c r="B28" s="4" t="str">
        <f>'Prezzi-Rend EUR'!S30</f>
        <v>201518</v>
      </c>
      <c r="C28" s="39">
        <f>EXP('Prezzi-Rend EUR'!T30)-1</f>
        <v>-1.6249732734659128E-2</v>
      </c>
      <c r="D28" s="39">
        <f>EXP('Prezzi-Rend EUR'!U30)-1</f>
        <v>-3.6177884615384626E-2</v>
      </c>
      <c r="E28" s="39">
        <f>EXP('Prezzi-Rend EUR'!V30)-1</f>
        <v>-1.6013082986910621E-2</v>
      </c>
      <c r="F28" s="39">
        <f>EXP('Prezzi-Rend EUR'!W30)-1</f>
        <v>-1.274336811903698E-3</v>
      </c>
      <c r="O28" s="4" t="str">
        <f t="shared" si="0"/>
        <v>201518</v>
      </c>
      <c r="P28" s="39">
        <f t="shared" si="1"/>
        <v>-2.200646652895522E-3</v>
      </c>
    </row>
    <row r="29" spans="2:16" x14ac:dyDescent="0.75">
      <c r="B29" s="4" t="str">
        <f>'Prezzi-Rend EUR'!S31</f>
        <v>201517</v>
      </c>
      <c r="C29" s="39">
        <f>EXP('Prezzi-Rend EUR'!T31)-1</f>
        <v>1.7402653904720733E-2</v>
      </c>
      <c r="D29" s="39">
        <f>EXP('Prezzi-Rend EUR'!U31)-1</f>
        <v>1.0076484156853249E-2</v>
      </c>
      <c r="E29" s="39">
        <f>EXP('Prezzi-Rend EUR'!V31)-1</f>
        <v>-3.5735030139948387E-3</v>
      </c>
      <c r="F29" s="39">
        <f>EXP('Prezzi-Rend EUR'!W31)-1</f>
        <v>1.9033247090660677E-3</v>
      </c>
      <c r="O29" s="4" t="str">
        <f t="shared" si="0"/>
        <v>201517</v>
      </c>
      <c r="P29" s="39">
        <f t="shared" si="1"/>
        <v>1.5591136512739952E-3</v>
      </c>
    </row>
    <row r="30" spans="2:16" x14ac:dyDescent="0.75">
      <c r="B30" s="4" t="str">
        <f>'Prezzi-Rend EUR'!S32</f>
        <v>201516</v>
      </c>
      <c r="C30" s="39">
        <f>EXP('Prezzi-Rend EUR'!T32)-1</f>
        <v>-3.5257082896117398E-2</v>
      </c>
      <c r="D30" s="39">
        <f>EXP('Prezzi-Rend EUR'!U32)-1</f>
        <v>-2.1327154993168507E-2</v>
      </c>
      <c r="E30" s="39">
        <f>EXP('Prezzi-Rend EUR'!V32)-1</f>
        <v>1.1117574840463496E-2</v>
      </c>
      <c r="F30" s="39">
        <f>EXP('Prezzi-Rend EUR'!W32)-1</f>
        <v>-6.5813463480397516E-3</v>
      </c>
      <c r="O30" s="4" t="str">
        <f t="shared" si="0"/>
        <v>201516</v>
      </c>
      <c r="P30" s="39">
        <f t="shared" si="1"/>
        <v>-5.4689935971896754E-3</v>
      </c>
    </row>
    <row r="31" spans="2:16" x14ac:dyDescent="0.75">
      <c r="B31" s="4" t="str">
        <f>'Prezzi-Rend EUR'!S33</f>
        <v>201515</v>
      </c>
      <c r="C31" s="39">
        <f>EXP('Prezzi-Rend EUR'!T33)-1</f>
        <v>2.3410652920962116E-2</v>
      </c>
      <c r="D31" s="39">
        <f>EXP('Prezzi-Rend EUR'!U33)-1</f>
        <v>4.287218883588384E-2</v>
      </c>
      <c r="E31" s="39">
        <f>EXP('Prezzi-Rend EUR'!V33)-1</f>
        <v>3.5040606557746656E-2</v>
      </c>
      <c r="F31" s="39">
        <f>EXP('Prezzi-Rend EUR'!W33)-1</f>
        <v>1.6353364660994796E-3</v>
      </c>
      <c r="O31" s="4" t="str">
        <f t="shared" si="0"/>
        <v>201515</v>
      </c>
      <c r="P31" s="39">
        <f t="shared" si="1"/>
        <v>3.7348115541680866E-3</v>
      </c>
    </row>
    <row r="32" spans="2:16" x14ac:dyDescent="0.75">
      <c r="B32" s="4" t="str">
        <f>'Prezzi-Rend EUR'!S34</f>
        <v>201514</v>
      </c>
      <c r="C32" s="39">
        <f>EXP('Prezzi-Rend EUR'!T34)-1</f>
        <v>1.460013074743971E-2</v>
      </c>
      <c r="D32" s="39">
        <f>EXP('Prezzi-Rend EUR'!U34)-1</f>
        <v>7.9935052769624093E-3</v>
      </c>
      <c r="E32" s="39">
        <f>EXP('Prezzi-Rend EUR'!V34)-1</f>
        <v>-8.0177154501884784E-3</v>
      </c>
      <c r="F32" s="39">
        <f>EXP('Prezzi-Rend EUR'!W34)-1</f>
        <v>3.5779401087525642E-3</v>
      </c>
      <c r="O32" s="4" t="str">
        <f t="shared" si="0"/>
        <v>201514</v>
      </c>
      <c r="P32" s="39">
        <f t="shared" si="1"/>
        <v>2.8491691727336268E-3</v>
      </c>
    </row>
    <row r="33" spans="2:16" x14ac:dyDescent="0.75">
      <c r="B33" s="4" t="str">
        <f>'Prezzi-Rend EUR'!S35</f>
        <v>201513</v>
      </c>
      <c r="C33" s="39">
        <f>EXP('Prezzi-Rend EUR'!T35)-1</f>
        <v>-7.3545316893790513E-3</v>
      </c>
      <c r="D33" s="39">
        <f>EXP('Prezzi-Rend EUR'!U35)-1</f>
        <v>-2.6624521305695703E-2</v>
      </c>
      <c r="E33" s="39">
        <f>EXP('Prezzi-Rend EUR'!V35)-1</f>
        <v>-8.9934028914051556E-4</v>
      </c>
      <c r="F33" s="39">
        <f>EXP('Prezzi-Rend EUR'!W35)-1</f>
        <v>-3.234350878152159E-3</v>
      </c>
      <c r="O33" s="4" t="str">
        <f t="shared" si="0"/>
        <v>201513</v>
      </c>
      <c r="P33" s="39">
        <f t="shared" si="1"/>
        <v>-3.0875986881580527E-3</v>
      </c>
    </row>
    <row r="34" spans="2:16" x14ac:dyDescent="0.75">
      <c r="B34" s="4" t="str">
        <f>'Prezzi-Rend EUR'!S36</f>
        <v>201512</v>
      </c>
      <c r="C34" s="39">
        <f>EXP('Prezzi-Rend EUR'!T36)-1</f>
        <v>1.7833553500660626E-2</v>
      </c>
      <c r="D34" s="39">
        <f>EXP('Prezzi-Rend EUR'!U36)-1</f>
        <v>7.2863090864561109E-3</v>
      </c>
      <c r="E34" s="39">
        <f>EXP('Prezzi-Rend EUR'!V36)-1</f>
        <v>-1.6467505110303815E-2</v>
      </c>
      <c r="F34" s="39">
        <f>EXP('Prezzi-Rend EUR'!W36)-1</f>
        <v>-2.6769636285766119E-3</v>
      </c>
      <c r="O34" s="4" t="str">
        <f t="shared" si="0"/>
        <v>201512</v>
      </c>
      <c r="P34" s="39">
        <f t="shared" si="1"/>
        <v>-3.5436801144369972E-3</v>
      </c>
    </row>
    <row r="35" spans="2:16" x14ac:dyDescent="0.75">
      <c r="B35" s="4" t="str">
        <f>'Prezzi-Rend EUR'!S37</f>
        <v>201511</v>
      </c>
      <c r="C35" s="39">
        <f>EXP('Prezzi-Rend EUR'!T37)-1</f>
        <v>1.293487957181072E-2</v>
      </c>
      <c r="D35" s="39">
        <f>EXP('Prezzi-Rend EUR'!U37)-1</f>
        <v>1.333995160389656E-2</v>
      </c>
      <c r="E35" s="39">
        <f>EXP('Prezzi-Rend EUR'!V37)-1</f>
        <v>-5.1075123908084219E-4</v>
      </c>
      <c r="F35" s="39">
        <f>EXP('Prezzi-Rend EUR'!W37)-1</f>
        <v>1.6642297306643794E-3</v>
      </c>
      <c r="O35" s="4" t="str">
        <f t="shared" si="0"/>
        <v>201511</v>
      </c>
      <c r="P35" s="39">
        <f t="shared" si="1"/>
        <v>1.5275351809546803E-3</v>
      </c>
    </row>
    <row r="36" spans="2:16" x14ac:dyDescent="0.75">
      <c r="B36" s="4" t="str">
        <f>'Prezzi-Rend EUR'!S38</f>
        <v>201510</v>
      </c>
      <c r="C36" s="39">
        <f>EXP('Prezzi-Rend EUR'!T38)-1</f>
        <v>4.93052442850761E-3</v>
      </c>
      <c r="D36" s="39">
        <f>EXP('Prezzi-Rend EUR'!U38)-1</f>
        <v>1.6204287515763083E-2</v>
      </c>
      <c r="E36" s="39">
        <f>EXP('Prezzi-Rend EUR'!V38)-1</f>
        <v>1.2373853095930087E-2</v>
      </c>
      <c r="F36" s="39">
        <f>EXP('Prezzi-Rend EUR'!W38)-1</f>
        <v>2.2611623920327784E-3</v>
      </c>
      <c r="O36" s="4" t="str">
        <f t="shared" si="0"/>
        <v>201510</v>
      </c>
      <c r="P36" s="39">
        <f t="shared" si="1"/>
        <v>2.8967310360759604E-3</v>
      </c>
    </row>
    <row r="37" spans="2:16" x14ac:dyDescent="0.75">
      <c r="B37" s="4" t="str">
        <f>'Prezzi-Rend EUR'!S39</f>
        <v>20159</v>
      </c>
      <c r="C37" s="39">
        <f>EXP('Prezzi-Rend EUR'!T39)-1</f>
        <v>2.4334251606978663E-2</v>
      </c>
      <c r="D37" s="39">
        <f>EXP('Prezzi-Rend EUR'!U39)-1</f>
        <v>2.1512301945124213E-2</v>
      </c>
      <c r="E37" s="39">
        <f>EXP('Prezzi-Rend EUR'!V39)-1</f>
        <v>2.4588420951825674E-2</v>
      </c>
      <c r="F37" s="39">
        <f>EXP('Prezzi-Rend EUR'!W39)-1</f>
        <v>8.6456199764952668E-3</v>
      </c>
      <c r="O37" s="4" t="str">
        <f t="shared" si="0"/>
        <v>20159</v>
      </c>
      <c r="P37" s="39">
        <f t="shared" si="1"/>
        <v>9.6476029999482751E-3</v>
      </c>
    </row>
    <row r="38" spans="2:16" x14ac:dyDescent="0.75">
      <c r="B38" s="4" t="str">
        <f>'Prezzi-Rend EUR'!S40</f>
        <v>20158</v>
      </c>
      <c r="C38" s="39">
        <f>EXP('Prezzi-Rend EUR'!T40)-1</f>
        <v>3.0030740127689803E-2</v>
      </c>
      <c r="D38" s="39">
        <f>EXP('Prezzi-Rend EUR'!U40)-1</f>
        <v>1.0675693269105446E-2</v>
      </c>
      <c r="E38" s="39">
        <f>EXP('Prezzi-Rend EUR'!V40)-1</f>
        <v>-1.5239949943405384E-2</v>
      </c>
      <c r="F38" s="39">
        <f>EXP('Prezzi-Rend EUR'!W40)-1</f>
        <v>3.5148671178359958E-3</v>
      </c>
      <c r="O38" s="4" t="str">
        <f t="shared" si="0"/>
        <v>20158</v>
      </c>
      <c r="P38" s="39">
        <f t="shared" si="1"/>
        <v>2.3361527692148751E-3</v>
      </c>
    </row>
    <row r="39" spans="2:16" x14ac:dyDescent="0.75">
      <c r="B39" s="4" t="str">
        <f>'Prezzi-Rend EUR'!S41</f>
        <v>20157</v>
      </c>
      <c r="C39" s="39">
        <f>EXP('Prezzi-Rend EUR'!T41)-1</f>
        <v>2.1004345726702178E-2</v>
      </c>
      <c r="D39" s="39">
        <f>EXP('Prezzi-Rend EUR'!U41)-1</f>
        <v>6.552221202987818E-3</v>
      </c>
      <c r="E39" s="39">
        <f>EXP('Prezzi-Rend EUR'!V41)-1</f>
        <v>1.0301968379906379E-2</v>
      </c>
      <c r="F39" s="39">
        <f>EXP('Prezzi-Rend EUR'!W41)-1</f>
        <v>-4.1106989931594118E-4</v>
      </c>
      <c r="O39" s="4" t="str">
        <f t="shared" si="0"/>
        <v>20157</v>
      </c>
      <c r="P39" s="39">
        <f t="shared" si="1"/>
        <v>2.622297602233734E-4</v>
      </c>
    </row>
    <row r="40" spans="2:16" x14ac:dyDescent="0.75">
      <c r="B40" s="4" t="str">
        <f>'Prezzi-Rend EUR'!S42</f>
        <v>20156</v>
      </c>
      <c r="C40" s="39">
        <f>EXP('Prezzi-Rend EUR'!T42)-1</f>
        <v>1.0490363503293354E-2</v>
      </c>
      <c r="D40" s="39">
        <f>EXP('Prezzi-Rend EUR'!U42)-1</f>
        <v>2.4983210208193496E-2</v>
      </c>
      <c r="E40" s="39">
        <f>EXP('Prezzi-Rend EUR'!V42)-1</f>
        <v>4.8325786151593553E-2</v>
      </c>
      <c r="F40" s="39">
        <f>EXP('Prezzi-Rend EUR'!W42)-1</f>
        <v>2.5175456926778139E-3</v>
      </c>
      <c r="O40" s="4" t="str">
        <f t="shared" si="0"/>
        <v>20156</v>
      </c>
      <c r="P40" s="39">
        <f t="shared" si="1"/>
        <v>5.3965303381974007E-3</v>
      </c>
    </row>
    <row r="41" spans="2:16" x14ac:dyDescent="0.75">
      <c r="B41" s="4" t="str">
        <f>'Prezzi-Rend EUR'!S43</f>
        <v>20155</v>
      </c>
      <c r="C41" s="39">
        <f>EXP('Prezzi-Rend EUR'!T43)-1</f>
        <v>1.9555120997312159E-3</v>
      </c>
      <c r="D41" s="39">
        <f>EXP('Prezzi-Rend EUR'!U43)-1</f>
        <v>-1.6902152383467595E-2</v>
      </c>
      <c r="E41" s="39">
        <f>EXP('Prezzi-Rend EUR'!V43)-1</f>
        <v>-1.799309178500641E-2</v>
      </c>
      <c r="F41" s="39">
        <f>EXP('Prezzi-Rend EUR'!W43)-1</f>
        <v>-3.4817340216707349E-3</v>
      </c>
      <c r="O41" s="4" t="str">
        <f t="shared" si="0"/>
        <v>20155</v>
      </c>
      <c r="P41" s="39">
        <f t="shared" si="1"/>
        <v>-4.3937528154142577E-3</v>
      </c>
    </row>
    <row r="42" spans="2:16" x14ac:dyDescent="0.75">
      <c r="B42" s="4" t="str">
        <f>'Prezzi-Rend EUR'!S44</f>
        <v>20154</v>
      </c>
      <c r="C42" s="39">
        <f>EXP('Prezzi-Rend EUR'!T44)-1</f>
        <v>6.7588726513569952E-2</v>
      </c>
      <c r="D42" s="39">
        <f>EXP('Prezzi-Rend EUR'!U44)-1</f>
        <v>4.6862040364943125E-2</v>
      </c>
      <c r="E42" s="39">
        <f>EXP('Prezzi-Rend EUR'!V44)-1</f>
        <v>2.0275739292773931E-2</v>
      </c>
      <c r="F42" s="39">
        <f>EXP('Prezzi-Rend EUR'!W44)-1</f>
        <v>3.3783467206238704E-3</v>
      </c>
      <c r="O42" s="4" t="str">
        <f t="shared" si="0"/>
        <v>20154</v>
      </c>
      <c r="P42" s="39">
        <f t="shared" si="1"/>
        <v>4.4403245066280926E-3</v>
      </c>
    </row>
    <row r="43" spans="2:16" x14ac:dyDescent="0.75">
      <c r="B43" s="4" t="str">
        <f>'Prezzi-Rend EUR'!S45</f>
        <v>20153</v>
      </c>
      <c r="C43" s="39">
        <f>EXP('Prezzi-Rend EUR'!T45)-1</f>
        <v>5.3036548502335856E-2</v>
      </c>
      <c r="D43" s="39">
        <f>EXP('Prezzi-Rend EUR'!U45)-1</f>
        <v>1.9950652097285859E-2</v>
      </c>
      <c r="E43" s="39">
        <f>EXP('Prezzi-Rend EUR'!V45)-1</f>
        <v>5.2583876457932277E-3</v>
      </c>
      <c r="F43" s="39">
        <f>EXP('Prezzi-Rend EUR'!W45)-1</f>
        <v>9.5125883983220305E-3</v>
      </c>
      <c r="O43" s="4" t="str">
        <f t="shared" si="0"/>
        <v>20153</v>
      </c>
      <c r="P43" s="39">
        <f t="shared" si="1"/>
        <v>9.2452177582777358E-3</v>
      </c>
    </row>
    <row r="44" spans="2:16" x14ac:dyDescent="0.75">
      <c r="B44" s="4" t="str">
        <f>'Prezzi-Rend EUR'!S46</f>
        <v>20152</v>
      </c>
      <c r="C44" s="39">
        <f>EXP('Prezzi-Rend EUR'!T46)-1</f>
        <v>-4.8129741041067264E-2</v>
      </c>
      <c r="D44" s="39">
        <f>EXP('Prezzi-Rend EUR'!U46)-1</f>
        <v>4.5322569223142928E-3</v>
      </c>
      <c r="E44" s="39">
        <f>EXP('Prezzi-Rend EUR'!V46)-1</f>
        <v>-1.7487546985924585E-2</v>
      </c>
      <c r="F44" s="39">
        <f>EXP('Prezzi-Rend EUR'!W46)-1</f>
        <v>-9.3864061821179456E-3</v>
      </c>
      <c r="O44" s="4" t="str">
        <f t="shared" si="0"/>
        <v>20152</v>
      </c>
      <c r="P44" s="39">
        <f t="shared" si="1"/>
        <v>-9.8955516943710128E-3</v>
      </c>
    </row>
    <row r="45" spans="2:16" x14ac:dyDescent="0.75">
      <c r="B45" s="4" t="str">
        <f>'Prezzi-Rend EUR'!S47</f>
        <v>20151</v>
      </c>
      <c r="C45" s="39">
        <f>EXP('Prezzi-Rend EUR'!T47)-1</f>
        <v>6.8475111930470511E-3</v>
      </c>
      <c r="D45" s="39">
        <f>EXP('Prezzi-Rend EUR'!U47)-1</f>
        <v>-4.9546998867489034E-4</v>
      </c>
      <c r="E45" s="39">
        <f>EXP('Prezzi-Rend EUR'!V47)-1</f>
        <v>-8.1984026557502254E-4</v>
      </c>
      <c r="F45" s="39">
        <f>EXP('Prezzi-Rend EUR'!W47)-1</f>
        <v>5.7565436148436788E-3</v>
      </c>
      <c r="O45" s="4" t="str">
        <f t="shared" si="0"/>
        <v>20151</v>
      </c>
      <c r="P45" s="39">
        <f t="shared" si="1"/>
        <v>5.343226971850858E-3</v>
      </c>
    </row>
    <row r="46" spans="2:16" x14ac:dyDescent="0.75">
      <c r="B46" s="4" t="str">
        <f>'Prezzi-Rend EUR'!S48</f>
        <v>201453</v>
      </c>
      <c r="C46" s="39">
        <f>EXP('Prezzi-Rend EUR'!T48)-1</f>
        <v>-1.810188776829591E-2</v>
      </c>
      <c r="D46" s="39">
        <f>EXP('Prezzi-Rend EUR'!U48)-1</f>
        <v>-2.4007908487501117E-3</v>
      </c>
      <c r="E46" s="39">
        <f>EXP('Prezzi-Rend EUR'!V48)-1</f>
        <v>-1.418960886920817E-2</v>
      </c>
      <c r="F46" s="39">
        <f>EXP('Prezzi-Rend EUR'!W48)-1</f>
        <v>2.092811724374366E-3</v>
      </c>
      <c r="O46" s="4" t="str">
        <f t="shared" si="0"/>
        <v>201453</v>
      </c>
      <c r="P46" s="39">
        <f t="shared" si="1"/>
        <v>1.0694840787739044E-3</v>
      </c>
    </row>
    <row r="47" spans="2:16" x14ac:dyDescent="0.75">
      <c r="B47" s="4" t="str">
        <f>'Prezzi-Rend EUR'!S49</f>
        <v>201452</v>
      </c>
      <c r="C47" s="39">
        <f>EXP('Prezzi-Rend EUR'!T49)-1</f>
        <v>1.8435607058203907E-2</v>
      </c>
      <c r="D47" s="39">
        <f>EXP('Prezzi-Rend EUR'!U49)-1</f>
        <v>1.2511617930935914E-2</v>
      </c>
      <c r="E47" s="39">
        <f>EXP('Prezzi-Rend EUR'!V49)-1</f>
        <v>3.051697146536192E-3</v>
      </c>
      <c r="F47" s="39">
        <f>EXP('Prezzi-Rend EUR'!W49)-1</f>
        <v>2.1611175187805642E-3</v>
      </c>
      <c r="O47" s="4" t="str">
        <f t="shared" si="0"/>
        <v>201452</v>
      </c>
      <c r="P47" s="39">
        <f t="shared" si="1"/>
        <v>2.2170892187284327E-3</v>
      </c>
    </row>
    <row r="48" spans="2:16" x14ac:dyDescent="0.75">
      <c r="B48" s="4" t="str">
        <f>'Prezzi-Rend EUR'!S50</f>
        <v>201451</v>
      </c>
      <c r="C48" s="39">
        <f>EXP('Prezzi-Rend EUR'!T50)-1</f>
        <v>2.0424617038430348E-2</v>
      </c>
      <c r="D48" s="39">
        <f>EXP('Prezzi-Rend EUR'!U50)-1</f>
        <v>4.1474311243484996E-2</v>
      </c>
      <c r="E48" s="39">
        <f>EXP('Prezzi-Rend EUR'!V50)-1</f>
        <v>-5.6297668275295809E-4</v>
      </c>
      <c r="F48" s="39">
        <f>EXP('Prezzi-Rend EUR'!W50)-1</f>
        <v>6.3603414287711768E-3</v>
      </c>
      <c r="O48" s="4" t="str">
        <f t="shared" si="0"/>
        <v>201451</v>
      </c>
      <c r="P48" s="39">
        <f t="shared" si="1"/>
        <v>5.9252204486202721E-3</v>
      </c>
    </row>
    <row r="49" spans="2:16" x14ac:dyDescent="0.75">
      <c r="B49" s="4" t="str">
        <f>'Prezzi-Rend EUR'!S51</f>
        <v>201450</v>
      </c>
      <c r="C49" s="39">
        <f>EXP('Prezzi-Rend EUR'!T51)-1</f>
        <v>-7.6216484607745771E-2</v>
      </c>
      <c r="D49" s="39">
        <f>EXP('Prezzi-Rend EUR'!U51)-1</f>
        <v>-5.4425121453213876E-2</v>
      </c>
      <c r="E49" s="39">
        <f>EXP('Prezzi-Rend EUR'!V51)-1</f>
        <v>-3.7849561812592136E-2</v>
      </c>
      <c r="F49" s="39">
        <f>EXP('Prezzi-Rend EUR'!W51)-1</f>
        <v>-9.6274749118869796E-3</v>
      </c>
      <c r="O49" s="4" t="str">
        <f t="shared" si="0"/>
        <v>201450</v>
      </c>
      <c r="P49" s="39">
        <f t="shared" si="1"/>
        <v>-1.140119409646055E-2</v>
      </c>
    </row>
    <row r="50" spans="2:16" x14ac:dyDescent="0.75">
      <c r="B50" s="4" t="str">
        <f>'Prezzi-Rend EUR'!S52</f>
        <v>201449</v>
      </c>
      <c r="C50" s="39">
        <f>EXP('Prezzi-Rend EUR'!T52)-1</f>
        <v>1.4917951268027529E-3</v>
      </c>
      <c r="D50" s="39">
        <f>EXP('Prezzi-Rend EUR'!U52)-1</f>
        <v>9.4527363184078173E-3</v>
      </c>
      <c r="E50" s="39">
        <f>EXP('Prezzi-Rend EUR'!V52)-1</f>
        <v>-5.9172468015800117E-3</v>
      </c>
      <c r="F50" s="39">
        <f>EXP('Prezzi-Rend EUR'!W52)-1</f>
        <v>1.6530162438768148E-3</v>
      </c>
      <c r="O50" s="4" t="str">
        <f t="shared" si="0"/>
        <v>201449</v>
      </c>
      <c r="P50" s="39">
        <f t="shared" si="1"/>
        <v>1.1772356673644569E-3</v>
      </c>
    </row>
    <row r="51" spans="2:16" x14ac:dyDescent="0.75">
      <c r="B51" s="4" t="str">
        <f>'Prezzi-Rend EUR'!S53</f>
        <v>201448</v>
      </c>
      <c r="C51" s="39">
        <f>EXP('Prezzi-Rend EUR'!T53)-1</f>
        <v>7.5150300601203313E-3</v>
      </c>
      <c r="D51" s="39">
        <f>EXP('Prezzi-Rend EUR'!U53)-1</f>
        <v>-1.0649627263045192E-3</v>
      </c>
      <c r="E51" s="39">
        <f>EXP('Prezzi-Rend EUR'!V53)-1</f>
        <v>-4.4339726774865196E-2</v>
      </c>
      <c r="F51" s="39">
        <f>EXP('Prezzi-Rend EUR'!W53)-1</f>
        <v>3.5897501177488689E-3</v>
      </c>
      <c r="O51" s="4" t="str">
        <f t="shared" si="0"/>
        <v>201448</v>
      </c>
      <c r="P51" s="39">
        <f t="shared" si="1"/>
        <v>5.7744869312446314E-4</v>
      </c>
    </row>
    <row r="52" spans="2:16" x14ac:dyDescent="0.75">
      <c r="B52" s="4" t="str">
        <f>'Prezzi-Rend EUR'!S54</f>
        <v>201447</v>
      </c>
      <c r="C52" s="39">
        <f>EXP('Prezzi-Rend EUR'!T54)-1</f>
        <v>5.0249934227834858E-2</v>
      </c>
      <c r="D52" s="39">
        <f>EXP('Prezzi-Rend EUR'!U54)-1</f>
        <v>2.0800115958834686E-2</v>
      </c>
      <c r="E52" s="39">
        <f>EXP('Prezzi-Rend EUR'!V54)-1</f>
        <v>2.297670499307225E-2</v>
      </c>
      <c r="F52" s="39">
        <f>EXP('Prezzi-Rend EUR'!W54)-1</f>
        <v>7.2905331414274688E-3</v>
      </c>
      <c r="O52" s="4" t="str">
        <f t="shared" si="0"/>
        <v>201447</v>
      </c>
      <c r="P52" s="39">
        <f t="shared" si="1"/>
        <v>8.2763873786717498E-3</v>
      </c>
    </row>
    <row r="53" spans="2:16" x14ac:dyDescent="0.75">
      <c r="B53" s="4" t="str">
        <f>'Prezzi-Rend EUR'!S55</f>
        <v>201446</v>
      </c>
      <c r="C53" s="39">
        <f>EXP('Prezzi-Rend EUR'!T55)-1</f>
        <v>-9.124087591240948E-3</v>
      </c>
      <c r="D53" s="39">
        <f>EXP('Prezzi-Rend EUR'!U55)-1</f>
        <v>2.8998115122513823E-4</v>
      </c>
      <c r="E53" s="39">
        <f>EXP('Prezzi-Rend EUR'!V55)-1</f>
        <v>-2.0692306663618543E-2</v>
      </c>
      <c r="F53" s="39">
        <f>EXP('Prezzi-Rend EUR'!W55)-1</f>
        <v>1.3804417965268545E-3</v>
      </c>
      <c r="O53" s="4" t="str">
        <f t="shared" si="0"/>
        <v>201446</v>
      </c>
      <c r="P53" s="39">
        <f t="shared" si="1"/>
        <v>-6.7999583337095219E-6</v>
      </c>
    </row>
    <row r="54" spans="2:16" x14ac:dyDescent="0.75">
      <c r="B54" s="4" t="str">
        <f>'Prezzi-Rend EUR'!S56</f>
        <v>201445</v>
      </c>
      <c r="C54" s="39">
        <f>EXP('Prezzi-Rend EUR'!T56)-1</f>
        <v>-3.1802120141342649E-2</v>
      </c>
      <c r="D54" s="39">
        <f>EXP('Prezzi-Rend EUR'!U56)-1</f>
        <v>8.4070472987793909E-3</v>
      </c>
      <c r="E54" s="39">
        <f>EXP('Prezzi-Rend EUR'!V56)-1</f>
        <v>1.3183647944183807E-3</v>
      </c>
      <c r="F54" s="39">
        <f>EXP('Prezzi-Rend EUR'!W56)-1</f>
        <v>-2.5690866336991469E-4</v>
      </c>
      <c r="O54" s="4" t="str">
        <f t="shared" si="0"/>
        <v>201445</v>
      </c>
      <c r="P54" s="39">
        <f t="shared" si="1"/>
        <v>-1.5790490226927839E-4</v>
      </c>
    </row>
    <row r="55" spans="2:16" x14ac:dyDescent="0.75">
      <c r="B55" s="4" t="str">
        <f>'Prezzi-Rend EUR'!S57</f>
        <v>201444</v>
      </c>
      <c r="C55" s="39">
        <f>EXP('Prezzi-Rend EUR'!T57)-1</f>
        <v>1.4336917562723706E-2</v>
      </c>
      <c r="D55" s="39">
        <f>EXP('Prezzi-Rend EUR'!U57)-1</f>
        <v>3.78603945371776E-2</v>
      </c>
      <c r="E55" s="39">
        <f>EXP('Prezzi-Rend EUR'!V57)-1</f>
        <v>1.7194166107429965E-2</v>
      </c>
      <c r="F55" s="39">
        <f>EXP('Prezzi-Rend EUR'!W57)-1</f>
        <v>4.5364618401670942E-3</v>
      </c>
      <c r="O55" s="4" t="str">
        <f t="shared" si="0"/>
        <v>201444</v>
      </c>
      <c r="P55" s="39">
        <f t="shared" si="1"/>
        <v>5.3319810720199833E-3</v>
      </c>
    </row>
    <row r="56" spans="2:16" x14ac:dyDescent="0.75">
      <c r="B56" s="4" t="str">
        <f>'Prezzi-Rend EUR'!S58</f>
        <v>201443</v>
      </c>
      <c r="C56" s="39">
        <f>EXP('Prezzi-Rend EUR'!T58)-1</f>
        <v>4.2155816435432314E-2</v>
      </c>
      <c r="D56" s="39">
        <f>EXP('Prezzi-Rend EUR'!U58)-1</f>
        <v>3.4861809045226178E-2</v>
      </c>
      <c r="E56" s="39">
        <f>EXP('Prezzi-Rend EUR'!V58)-1</f>
        <v>7.3740012649543552E-3</v>
      </c>
      <c r="F56" s="39">
        <f>EXP('Prezzi-Rend EUR'!W58)-1</f>
        <v>-5.3472873718019009E-4</v>
      </c>
      <c r="O56" s="4" t="str">
        <f t="shared" si="0"/>
        <v>201443</v>
      </c>
      <c r="P56" s="39">
        <f t="shared" si="1"/>
        <v>-3.7675979724939232E-5</v>
      </c>
    </row>
    <row r="57" spans="2:16" x14ac:dyDescent="0.75">
      <c r="B57" s="4" t="str">
        <f>'Prezzi-Rend EUR'!S59</f>
        <v>201442</v>
      </c>
      <c r="C57" s="39">
        <f>EXP('Prezzi-Rend EUR'!T59)-1</f>
        <v>-2.7756160830090915E-2</v>
      </c>
      <c r="D57" s="39">
        <f>EXP('Prezzi-Rend EUR'!U59)-1</f>
        <v>-1.5460729746444191E-2</v>
      </c>
      <c r="E57" s="39">
        <f>EXP('Prezzi-Rend EUR'!V59)-1</f>
        <v>-1.9550514277488107E-2</v>
      </c>
      <c r="F57" s="39">
        <f>EXP('Prezzi-Rend EUR'!W59)-1</f>
        <v>-7.7230393349640991E-3</v>
      </c>
      <c r="O57" s="4" t="str">
        <f t="shared" si="0"/>
        <v>201442</v>
      </c>
      <c r="P57" s="39">
        <f t="shared" si="1"/>
        <v>-8.4663798009558741E-3</v>
      </c>
    </row>
    <row r="58" spans="2:16" x14ac:dyDescent="0.75">
      <c r="B58" s="4" t="str">
        <f>'Prezzi-Rend EUR'!S60</f>
        <v>201441</v>
      </c>
      <c r="C58" s="39">
        <f>EXP('Prezzi-Rend EUR'!T60)-1</f>
        <v>-4.7677865612648196E-2</v>
      </c>
      <c r="D58" s="39">
        <f>EXP('Prezzi-Rend EUR'!U60)-1</f>
        <v>-3.5058928837833792E-2</v>
      </c>
      <c r="E58" s="39">
        <f>EXP('Prezzi-Rend EUR'!V60)-1</f>
        <v>-7.9666831954183781E-3</v>
      </c>
      <c r="F58" s="39">
        <f>EXP('Prezzi-Rend EUR'!W60)-1</f>
        <v>-4.4234201393800188E-4</v>
      </c>
      <c r="O58" s="4" t="str">
        <f t="shared" si="0"/>
        <v>201441</v>
      </c>
      <c r="P58" s="39">
        <f t="shared" si="1"/>
        <v>-9.1523646507462772E-4</v>
      </c>
    </row>
    <row r="59" spans="2:16" x14ac:dyDescent="0.75">
      <c r="B59" s="4" t="str">
        <f>'Prezzi-Rend EUR'!S61</f>
        <v>201440</v>
      </c>
      <c r="C59" s="39">
        <f>EXP('Prezzi-Rend EUR'!T61)-1</f>
        <v>-3.0419161676646933E-2</v>
      </c>
      <c r="D59" s="39">
        <f>EXP('Prezzi-Rend EUR'!U61)-1</f>
        <v>-6.7089079388749084E-4</v>
      </c>
      <c r="E59" s="39">
        <f>EXP('Prezzi-Rend EUR'!V61)-1</f>
        <v>-6.33481097822719E-3</v>
      </c>
      <c r="F59" s="39">
        <f>EXP('Prezzi-Rend EUR'!W61)-1</f>
        <v>1.3072848789197344E-3</v>
      </c>
      <c r="O59" s="4" t="str">
        <f t="shared" si="0"/>
        <v>201440</v>
      </c>
      <c r="P59" s="39">
        <f t="shared" si="1"/>
        <v>8.2698970934622648E-4</v>
      </c>
    </row>
    <row r="60" spans="2:16" x14ac:dyDescent="0.75">
      <c r="B60" s="4" t="str">
        <f>'Prezzi-Rend EUR'!S62</f>
        <v>201439</v>
      </c>
      <c r="C60" s="39">
        <f>EXP('Prezzi-Rend EUR'!T62)-1</f>
        <v>-2.1510516252389866E-3</v>
      </c>
      <c r="D60" s="39">
        <f>EXP('Prezzi-Rend EUR'!U62)-1</f>
        <v>-1.1713570060409628E-2</v>
      </c>
      <c r="E60" s="39">
        <f>EXP('Prezzi-Rend EUR'!V62)-1</f>
        <v>2.4132174571978027E-3</v>
      </c>
      <c r="F60" s="39">
        <f>EXP('Prezzi-Rend EUR'!W62)-1</f>
        <v>2.4213568139042074E-4</v>
      </c>
      <c r="O60" s="4" t="str">
        <f t="shared" si="0"/>
        <v>201439</v>
      </c>
      <c r="P60" s="39">
        <f t="shared" si="1"/>
        <v>3.7858517246537051E-4</v>
      </c>
    </row>
    <row r="61" spans="2:16" x14ac:dyDescent="0.75">
      <c r="B61" s="4" t="str">
        <f>'Prezzi-Rend EUR'!S63</f>
        <v>201438</v>
      </c>
      <c r="C61" s="39">
        <f>EXP('Prezzi-Rend EUR'!T63)-1</f>
        <v>-5.9396531242575934E-3</v>
      </c>
      <c r="D61" s="39">
        <f>EXP('Prezzi-Rend EUR'!U63)-1</f>
        <v>1.343885321785887E-2</v>
      </c>
      <c r="E61" s="39">
        <f>EXP('Prezzi-Rend EUR'!V63)-1</f>
        <v>-2.4841372944933715E-3</v>
      </c>
      <c r="F61" s="39">
        <f>EXP('Prezzi-Rend EUR'!W63)-1</f>
        <v>6.6270033650526194E-3</v>
      </c>
      <c r="O61" s="4" t="str">
        <f t="shared" si="0"/>
        <v>201438</v>
      </c>
      <c r="P61" s="39">
        <f t="shared" si="1"/>
        <v>6.0543807594996028E-3</v>
      </c>
    </row>
    <row r="62" spans="2:16" x14ac:dyDescent="0.75">
      <c r="B62" s="4" t="str">
        <f>'Prezzi-Rend EUR'!S64</f>
        <v>201437</v>
      </c>
      <c r="C62" s="39">
        <f>EXP('Prezzi-Rend EUR'!T64)-1</f>
        <v>-1.4747191011235894E-2</v>
      </c>
      <c r="D62" s="39">
        <f>EXP('Prezzi-Rend EUR'!U64)-1</f>
        <v>-5.199049316696458E-3</v>
      </c>
      <c r="E62" s="39">
        <f>EXP('Prezzi-Rend EUR'!V64)-1</f>
        <v>-2.6034338490475317E-2</v>
      </c>
      <c r="F62" s="39">
        <f>EXP('Prezzi-Rend EUR'!W64)-1</f>
        <v>-9.1429107196450143E-3</v>
      </c>
      <c r="O62" s="4" t="str">
        <f t="shared" si="0"/>
        <v>201437</v>
      </c>
      <c r="P62" s="39">
        <f t="shared" si="1"/>
        <v>-1.0204513627088834E-2</v>
      </c>
    </row>
    <row r="63" spans="2:16" x14ac:dyDescent="0.75">
      <c r="B63" s="4" t="str">
        <f>'Prezzi-Rend EUR'!S65</f>
        <v>201436</v>
      </c>
      <c r="C63" s="39">
        <f>EXP('Prezzi-Rend EUR'!T65)-1</f>
        <v>4.4243461256416428E-2</v>
      </c>
      <c r="D63" s="39">
        <f>EXP('Prezzi-Rend EUR'!U65)-1</f>
        <v>1.3092550790067436E-2</v>
      </c>
      <c r="E63" s="39">
        <f>EXP('Prezzi-Rend EUR'!V65)-1</f>
        <v>2.401214191179335E-3</v>
      </c>
      <c r="F63" s="39">
        <f>EXP('Prezzi-Rend EUR'!W65)-1</f>
        <v>8.4280500106821421E-3</v>
      </c>
      <c r="O63" s="4" t="str">
        <f t="shared" si="0"/>
        <v>201436</v>
      </c>
      <c r="P63" s="39">
        <f t="shared" si="1"/>
        <v>8.0492717047601532E-3</v>
      </c>
    </row>
    <row r="64" spans="2:16" x14ac:dyDescent="0.75">
      <c r="B64" s="4" t="str">
        <f>'Prezzi-Rend EUR'!S66</f>
        <v>201435</v>
      </c>
      <c r="C64" s="39">
        <f>EXP('Prezzi-Rend EUR'!T66)-1</f>
        <v>2.6857429718875281E-2</v>
      </c>
      <c r="D64" s="39">
        <f>EXP('Prezzi-Rend EUR'!U66)-1</f>
        <v>1.3111754840676948E-2</v>
      </c>
      <c r="E64" s="39">
        <f>EXP('Prezzi-Rend EUR'!V66)-1</f>
        <v>8.6740128090152524E-3</v>
      </c>
      <c r="F64" s="39">
        <f>EXP('Prezzi-Rend EUR'!W66)-1</f>
        <v>1.9905662712902394E-3</v>
      </c>
      <c r="O64" s="4" t="str">
        <f t="shared" si="0"/>
        <v>201435</v>
      </c>
      <c r="P64" s="39">
        <f t="shared" si="1"/>
        <v>2.4106116557218323E-3</v>
      </c>
    </row>
    <row r="65" spans="2:16" x14ac:dyDescent="0.75">
      <c r="B65" s="4" t="str">
        <f>'Prezzi-Rend EUR'!S67</f>
        <v>201434</v>
      </c>
      <c r="C65" s="39">
        <f>EXP('Prezzi-Rend EUR'!T67)-1</f>
        <v>2.4164524421594002E-2</v>
      </c>
      <c r="D65" s="39">
        <f>EXP('Prezzi-Rend EUR'!U67)-1</f>
        <v>2.5244236029699163E-2</v>
      </c>
      <c r="E65" s="39">
        <f>EXP('Prezzi-Rend EUR'!V67)-1</f>
        <v>1.3653661083191659E-2</v>
      </c>
      <c r="F65" s="39">
        <f>EXP('Prezzi-Rend EUR'!W67)-1</f>
        <v>4.8057343416711973E-3</v>
      </c>
      <c r="O65" s="4" t="str">
        <f t="shared" si="0"/>
        <v>201434</v>
      </c>
      <c r="P65" s="39">
        <f t="shared" si="1"/>
        <v>5.3618143179249254E-3</v>
      </c>
    </row>
    <row r="66" spans="2:16" x14ac:dyDescent="0.75">
      <c r="B66" s="4" t="str">
        <f>'Prezzi-Rend EUR'!S68</f>
        <v>201433</v>
      </c>
      <c r="C66" s="39">
        <f>EXP('Prezzi-Rend EUR'!T68)-1</f>
        <v>1.2757094506639088E-2</v>
      </c>
      <c r="D66" s="39">
        <f>EXP('Prezzi-Rend EUR'!U68)-1</f>
        <v>2.0986275135653099E-2</v>
      </c>
      <c r="E66" s="39">
        <f>EXP('Prezzi-Rend EUR'!V68)-1</f>
        <v>-1.0167902752946212E-2</v>
      </c>
      <c r="F66" s="39">
        <f>EXP('Prezzi-Rend EUR'!W68)-1</f>
        <v>7.4403484702518785E-3</v>
      </c>
      <c r="O66" s="4" t="str">
        <f t="shared" si="0"/>
        <v>201433</v>
      </c>
      <c r="P66" s="39">
        <f t="shared" si="1"/>
        <v>6.3336942016367116E-3</v>
      </c>
    </row>
    <row r="67" spans="2:16" x14ac:dyDescent="0.75">
      <c r="B67" s="4" t="str">
        <f>'Prezzi-Rend EUR'!S69</f>
        <v>201432</v>
      </c>
      <c r="C67" s="39">
        <f>EXP('Prezzi-Rend EUR'!T69)-1</f>
        <v>-5.6728880157170924E-2</v>
      </c>
      <c r="D67" s="39">
        <f>EXP('Prezzi-Rend EUR'!U69)-1</f>
        <v>-1.1047979797979779E-2</v>
      </c>
      <c r="E67" s="39">
        <f>EXP('Prezzi-Rend EUR'!V69)-1</f>
        <v>1.7385682711157369E-3</v>
      </c>
      <c r="F67" s="39">
        <f>EXP('Prezzi-Rend EUR'!W69)-1</f>
        <v>-3.0994545059618295E-3</v>
      </c>
      <c r="O67" s="4" t="str">
        <f t="shared" si="0"/>
        <v>201432</v>
      </c>
      <c r="P67" s="39">
        <f t="shared" si="1"/>
        <v>-2.7953914569437284E-3</v>
      </c>
    </row>
    <row r="68" spans="2:16" x14ac:dyDescent="0.75">
      <c r="B68" s="4" t="str">
        <f>'Prezzi-Rend EUR'!S70</f>
        <v>201431</v>
      </c>
      <c r="C68" s="39">
        <f>EXP('Prezzi-Rend EUR'!T70)-1</f>
        <v>-3.4613560929350307E-2</v>
      </c>
      <c r="D68" s="39">
        <f>EXP('Prezzi-Rend EUR'!U70)-1</f>
        <v>-2.3804021261844555E-2</v>
      </c>
      <c r="E68" s="39">
        <f>EXP('Prezzi-Rend EUR'!V70)-1</f>
        <v>-1.5226243976832143E-2</v>
      </c>
      <c r="F68" s="39">
        <f>EXP('Prezzi-Rend EUR'!W70)-1</f>
        <v>-6.1888973959534077E-4</v>
      </c>
      <c r="O68" s="4" t="str">
        <f t="shared" ref="O68:O93" si="2">+B68</f>
        <v>201431</v>
      </c>
      <c r="P68" s="39">
        <f t="shared" ref="P68:P93" si="3">+SUMPRODUCT($I$3:$L$3,C68:F68)</f>
        <v>-1.5369417786597638E-3</v>
      </c>
    </row>
    <row r="69" spans="2:16" x14ac:dyDescent="0.75">
      <c r="B69" s="4" t="str">
        <f>'Prezzi-Rend EUR'!S71</f>
        <v>201430</v>
      </c>
      <c r="C69" s="39">
        <f>EXP('Prezzi-Rend EUR'!T71)-1</f>
        <v>1.5895953757225412E-2</v>
      </c>
      <c r="D69" s="39">
        <f>EXP('Prezzi-Rend EUR'!U71)-1</f>
        <v>7.9981363565773123E-3</v>
      </c>
      <c r="E69" s="39">
        <f>EXP('Prezzi-Rend EUR'!V71)-1</f>
        <v>1.0751595936490554E-2</v>
      </c>
      <c r="F69" s="39">
        <f>EXP('Prezzi-Rend EUR'!W71)-1</f>
        <v>4.3660452356224511E-3</v>
      </c>
      <c r="O69" s="4" t="str">
        <f t="shared" si="2"/>
        <v>201430</v>
      </c>
      <c r="P69" s="39">
        <f t="shared" si="3"/>
        <v>4.7673682785417983E-3</v>
      </c>
    </row>
    <row r="70" spans="2:16" x14ac:dyDescent="0.75">
      <c r="B70" s="4" t="str">
        <f>'Prezzi-Rend EUR'!S72</f>
        <v>201429</v>
      </c>
      <c r="C70" s="39">
        <f>EXP('Prezzi-Rend EUR'!T72)-1</f>
        <v>5.8139534883723254E-3</v>
      </c>
      <c r="D70" s="39">
        <f>EXP('Prezzi-Rend EUR'!U72)-1</f>
        <v>1.1626080125687555E-2</v>
      </c>
      <c r="E70" s="39">
        <f>EXP('Prezzi-Rend EUR'!V72)-1</f>
        <v>-1.1808242297191018E-3</v>
      </c>
      <c r="F70" s="39">
        <f>EXP('Prezzi-Rend EUR'!W72)-1</f>
        <v>4.6023960428254185E-3</v>
      </c>
      <c r="O70" s="4" t="str">
        <f t="shared" si="2"/>
        <v>201429</v>
      </c>
      <c r="P70" s="39">
        <f t="shared" si="3"/>
        <v>4.2389286369218203E-3</v>
      </c>
    </row>
    <row r="71" spans="2:16" x14ac:dyDescent="0.75">
      <c r="B71" s="4" t="str">
        <f>'Prezzi-Rend EUR'!S73</f>
        <v>201428</v>
      </c>
      <c r="C71" s="39">
        <f>EXP('Prezzi-Rend EUR'!T73)-1</f>
        <v>-5.9252506836827701E-2</v>
      </c>
      <c r="D71" s="39">
        <f>EXP('Prezzi-Rend EUR'!U73)-1</f>
        <v>-2.6981579148513513E-2</v>
      </c>
      <c r="E71" s="39">
        <f>EXP('Prezzi-Rend EUR'!V73)-1</f>
        <v>-2.108262034389996E-2</v>
      </c>
      <c r="F71" s="39">
        <f>EXP('Prezzi-Rend EUR'!W73)-1</f>
        <v>-3.1758365900267371E-3</v>
      </c>
      <c r="O71" s="4" t="str">
        <f t="shared" si="2"/>
        <v>201428</v>
      </c>
      <c r="P71" s="39">
        <f t="shared" si="3"/>
        <v>-4.3012532176545156E-3</v>
      </c>
    </row>
    <row r="72" spans="2:16" x14ac:dyDescent="0.75">
      <c r="B72" s="4" t="str">
        <f>'Prezzi-Rend EUR'!S74</f>
        <v>201427</v>
      </c>
      <c r="C72" s="39">
        <f>EXP('Prezzi-Rend EUR'!T74)-1</f>
        <v>1.1526048870446948E-2</v>
      </c>
      <c r="D72" s="39">
        <f>EXP('Prezzi-Rend EUR'!U74)-1</f>
        <v>1.6945200155460638E-2</v>
      </c>
      <c r="E72" s="39">
        <f>EXP('Prezzi-Rend EUR'!V74)-1</f>
        <v>-8.912447163227033E-3</v>
      </c>
      <c r="F72" s="39">
        <f>EXP('Prezzi-Rend EUR'!W74)-1</f>
        <v>1.752813540528031E-3</v>
      </c>
      <c r="O72" s="4" t="str">
        <f t="shared" si="2"/>
        <v>201427</v>
      </c>
      <c r="P72" s="39">
        <f t="shared" si="3"/>
        <v>1.082516635843603E-3</v>
      </c>
    </row>
    <row r="73" spans="2:16" x14ac:dyDescent="0.75">
      <c r="B73" s="4" t="str">
        <f>'Prezzi-Rend EUR'!S75</f>
        <v>201426</v>
      </c>
      <c r="C73" s="39">
        <f>EXP('Prezzi-Rend EUR'!T75)-1</f>
        <v>-2.7136129176945634E-2</v>
      </c>
      <c r="D73" s="39">
        <f>EXP('Prezzi-Rend EUR'!U75)-1</f>
        <v>-9.5465393794748055E-3</v>
      </c>
      <c r="E73" s="39">
        <f>EXP('Prezzi-Rend EUR'!V75)-1</f>
        <v>-2.5775536843337665E-3</v>
      </c>
      <c r="F73" s="39">
        <f>EXP('Prezzi-Rend EUR'!W75)-1</f>
        <v>7.6087080503413063E-3</v>
      </c>
      <c r="O73" s="4" t="str">
        <f t="shared" si="2"/>
        <v>201426</v>
      </c>
      <c r="P73" s="39">
        <f t="shared" si="3"/>
        <v>6.9685155702769175E-3</v>
      </c>
    </row>
    <row r="74" spans="2:16" x14ac:dyDescent="0.75">
      <c r="B74" s="4" t="str">
        <f>'Prezzi-Rend EUR'!S76</f>
        <v>201425</v>
      </c>
      <c r="C74" s="39">
        <f>EXP('Prezzi-Rend EUR'!T76)-1</f>
        <v>-8.008898776418194E-3</v>
      </c>
      <c r="D74" s="39">
        <f>EXP('Prezzi-Rend EUR'!U76)-1</f>
        <v>9.1678968223136703E-3</v>
      </c>
      <c r="E74" s="39">
        <f>EXP('Prezzi-Rend EUR'!V76)-1</f>
        <v>1.0598024776544701E-2</v>
      </c>
      <c r="F74" s="39">
        <f>EXP('Prezzi-Rend EUR'!W76)-1</f>
        <v>-4.1288593271716634E-3</v>
      </c>
      <c r="O74" s="4" t="str">
        <f t="shared" si="2"/>
        <v>201425</v>
      </c>
      <c r="P74" s="39">
        <f t="shared" si="3"/>
        <v>-3.2032950018810809E-3</v>
      </c>
    </row>
    <row r="75" spans="2:16" x14ac:dyDescent="0.75">
      <c r="B75" s="4" t="str">
        <f>'Prezzi-Rend EUR'!S77</f>
        <v>201424</v>
      </c>
      <c r="C75" s="39">
        <f>EXP('Prezzi-Rend EUR'!T77)-1</f>
        <v>-4.8704892627849938E-3</v>
      </c>
      <c r="D75" s="39">
        <f>EXP('Prezzi-Rend EUR'!U77)-1</f>
        <v>3.5867446393762492E-3</v>
      </c>
      <c r="E75" s="39">
        <f>EXP('Prezzi-Rend EUR'!V77)-1</f>
        <v>1.9385896957931692E-2</v>
      </c>
      <c r="F75" s="39">
        <f>EXP('Prezzi-Rend EUR'!W77)-1</f>
        <v>-4.6074645606153375E-4</v>
      </c>
      <c r="O75" s="4" t="str">
        <f t="shared" si="2"/>
        <v>201424</v>
      </c>
      <c r="P75" s="39">
        <f t="shared" si="3"/>
        <v>7.8658767137228377E-4</v>
      </c>
    </row>
    <row r="76" spans="2:16" x14ac:dyDescent="0.75">
      <c r="B76" s="4" t="str">
        <f>'Prezzi-Rend EUR'!S78</f>
        <v>201423</v>
      </c>
      <c r="C76" s="39">
        <f>EXP('Prezzi-Rend EUR'!T78)-1</f>
        <v>3.0102622576966942E-2</v>
      </c>
      <c r="D76" s="39">
        <f>EXP('Prezzi-Rend EUR'!U78)-1</f>
        <v>1.1914154962916035E-2</v>
      </c>
      <c r="E76" s="39">
        <f>EXP('Prezzi-Rend EUR'!V78)-1</f>
        <v>-6.2615131656846845E-3</v>
      </c>
      <c r="F76" s="39">
        <f>EXP('Prezzi-Rend EUR'!W78)-1</f>
        <v>1.5060244408735546E-2</v>
      </c>
      <c r="O76" s="4" t="str">
        <f t="shared" si="2"/>
        <v>201423</v>
      </c>
      <c r="P76" s="39">
        <f t="shared" si="3"/>
        <v>1.3720201396105145E-2</v>
      </c>
    </row>
    <row r="77" spans="2:16" x14ac:dyDescent="0.75">
      <c r="B77" s="4" t="str">
        <f>'Prezzi-Rend EUR'!S79</f>
        <v>201422</v>
      </c>
      <c r="C77" s="39">
        <f>EXP('Prezzi-Rend EUR'!T79)-1</f>
        <v>4.3799095453463499E-2</v>
      </c>
      <c r="D77" s="39">
        <f>EXP('Prezzi-Rend EUR'!U79)-1</f>
        <v>1.0363520408163351E-2</v>
      </c>
      <c r="E77" s="39">
        <f>EXP('Prezzi-Rend EUR'!V79)-1</f>
        <v>-1.1817941743211269E-2</v>
      </c>
      <c r="F77" s="39">
        <f>EXP('Prezzi-Rend EUR'!W79)-1</f>
        <v>9.546474727621046E-3</v>
      </c>
      <c r="O77" s="4" t="str">
        <f t="shared" si="2"/>
        <v>201422</v>
      </c>
      <c r="P77" s="39">
        <f t="shared" si="3"/>
        <v>8.203750661346848E-3</v>
      </c>
    </row>
    <row r="78" spans="2:16" x14ac:dyDescent="0.75">
      <c r="B78" s="4" t="str">
        <f>'Prezzi-Rend EUR'!S80</f>
        <v>201421</v>
      </c>
      <c r="C78" s="39">
        <f>EXP('Prezzi-Rend EUR'!T80)-1</f>
        <v>1.5715667311411829E-2</v>
      </c>
      <c r="D78" s="39">
        <f>EXP('Prezzi-Rend EUR'!U80)-1</f>
        <v>1.4558395341313313E-2</v>
      </c>
      <c r="E78" s="39">
        <f>EXP('Prezzi-Rend EUR'!V80)-1</f>
        <v>9.4256219406640973E-3</v>
      </c>
      <c r="F78" s="39">
        <f>EXP('Prezzi-Rend EUR'!W80)-1</f>
        <v>-3.973444552508143E-3</v>
      </c>
      <c r="O78" s="4" t="str">
        <f t="shared" si="2"/>
        <v>201421</v>
      </c>
      <c r="P78" s="39">
        <f t="shared" si="3"/>
        <v>-3.1313317301078641E-3</v>
      </c>
    </row>
    <row r="79" spans="2:16" x14ac:dyDescent="0.75">
      <c r="B79" s="4" t="str">
        <f>'Prezzi-Rend EUR'!S81</f>
        <v>201420</v>
      </c>
      <c r="C79" s="39">
        <f>EXP('Prezzi-Rend EUR'!T81)-1</f>
        <v>-3.5447761194029925E-2</v>
      </c>
      <c r="D79" s="39">
        <f>EXP('Prezzi-Rend EUR'!U81)-1</f>
        <v>7.3325729183644217E-3</v>
      </c>
      <c r="E79" s="39">
        <f>EXP('Prezzi-Rend EUR'!V81)-1</f>
        <v>8.8150032621590046E-3</v>
      </c>
      <c r="F79" s="39">
        <f>EXP('Prezzi-Rend EUR'!W81)-1</f>
        <v>-4.1683103754421857E-3</v>
      </c>
      <c r="O79" s="4" t="str">
        <f t="shared" si="2"/>
        <v>201420</v>
      </c>
      <c r="P79" s="39">
        <f t="shared" si="3"/>
        <v>-3.3523270458328735E-3</v>
      </c>
    </row>
    <row r="80" spans="2:16" x14ac:dyDescent="0.75">
      <c r="B80" s="4" t="str">
        <f>'Prezzi-Rend EUR'!S82</f>
        <v>201419</v>
      </c>
      <c r="C80" s="39">
        <f>EXP('Prezzi-Rend EUR'!T82)-1</f>
        <v>-1.898878975062912E-2</v>
      </c>
      <c r="D80" s="39">
        <f>EXP('Prezzi-Rend EUR'!U82)-1</f>
        <v>1.1419249592168335E-3</v>
      </c>
      <c r="E80" s="39">
        <f>EXP('Prezzi-Rend EUR'!V82)-1</f>
        <v>7.5676036002232383E-3</v>
      </c>
      <c r="F80" s="39">
        <f>EXP('Prezzi-Rend EUR'!W82)-1</f>
        <v>4.6272802081728237E-3</v>
      </c>
      <c r="O80" s="4" t="str">
        <f t="shared" si="2"/>
        <v>201419</v>
      </c>
      <c r="P80" s="39">
        <f t="shared" si="3"/>
        <v>4.8120754731292943E-3</v>
      </c>
    </row>
    <row r="81" spans="2:16" x14ac:dyDescent="0.75">
      <c r="B81" s="4" t="str">
        <f>'Prezzi-Rend EUR'!S83</f>
        <v>201418</v>
      </c>
      <c r="C81" s="39">
        <f>EXP('Prezzi-Rend EUR'!T83)-1</f>
        <v>1.7694994179278334E-2</v>
      </c>
      <c r="D81" s="39">
        <f>EXP('Prezzi-Rend EUR'!U83)-1</f>
        <v>1.1551155115511635E-2</v>
      </c>
      <c r="E81" s="39">
        <f>EXP('Prezzi-Rend EUR'!V83)-1</f>
        <v>-1.2937198018619922E-2</v>
      </c>
      <c r="F81" s="39">
        <f>EXP('Prezzi-Rend EUR'!W83)-1</f>
        <v>3.7563984697950303E-3</v>
      </c>
      <c r="O81" s="4" t="str">
        <f t="shared" si="2"/>
        <v>201418</v>
      </c>
      <c r="P81" s="39">
        <f t="shared" si="3"/>
        <v>2.7072289873754699E-3</v>
      </c>
    </row>
    <row r="82" spans="2:16" x14ac:dyDescent="0.75">
      <c r="B82" s="4" t="str">
        <f>'Prezzi-Rend EUR'!S84</f>
        <v>201417</v>
      </c>
      <c r="C82" s="39">
        <f>EXP('Prezzi-Rend EUR'!T84)-1</f>
        <v>-6.4769835762201744E-3</v>
      </c>
      <c r="D82" s="39">
        <f>EXP('Prezzi-Rend EUR'!U84)-1</f>
        <v>-9.8911968348158741E-4</v>
      </c>
      <c r="E82" s="39">
        <f>EXP('Prezzi-Rend EUR'!V84)-1</f>
        <v>2.100745275583904E-3</v>
      </c>
      <c r="F82" s="39">
        <f>EXP('Prezzi-Rend EUR'!W84)-1</f>
        <v>-1.2838843984134263E-3</v>
      </c>
      <c r="O82" s="4" t="str">
        <f t="shared" si="2"/>
        <v>201417</v>
      </c>
      <c r="P82" s="39">
        <f t="shared" si="3"/>
        <v>-1.0711650982760611E-3</v>
      </c>
    </row>
    <row r="83" spans="2:16" x14ac:dyDescent="0.75">
      <c r="B83" s="4" t="str">
        <f>'Prezzi-Rend EUR'!S85</f>
        <v>201416</v>
      </c>
      <c r="C83" s="39">
        <f>EXP('Prezzi-Rend EUR'!T85)-1</f>
        <v>1.7176470588235127E-2</v>
      </c>
      <c r="D83" s="39">
        <f>EXP('Prezzi-Rend EUR'!U85)-1</f>
        <v>2.0696617869762735E-2</v>
      </c>
      <c r="E83" s="39">
        <f>EXP('Prezzi-Rend EUR'!V85)-1</f>
        <v>8.7530416309136161E-3</v>
      </c>
      <c r="F83" s="39">
        <f>EXP('Prezzi-Rend EUR'!W85)-1</f>
        <v>4.9070877233650112E-3</v>
      </c>
      <c r="O83" s="4" t="str">
        <f t="shared" si="2"/>
        <v>201416</v>
      </c>
      <c r="P83" s="39">
        <f t="shared" si="3"/>
        <v>5.1488006154618302E-3</v>
      </c>
    </row>
    <row r="84" spans="2:16" x14ac:dyDescent="0.75">
      <c r="B84" s="4" t="str">
        <f>'Prezzi-Rend EUR'!S86</f>
        <v>201415</v>
      </c>
      <c r="C84" s="39">
        <f>EXP('Prezzi-Rend EUR'!T86)-1</f>
        <v>-4.2361424064894182E-2</v>
      </c>
      <c r="D84" s="39">
        <f>EXP('Prezzi-Rend EUR'!U86)-1</f>
        <v>-3.8038200064745897E-2</v>
      </c>
      <c r="E84" s="39">
        <f>EXP('Prezzi-Rend EUR'!V86)-1</f>
        <v>2.5553902695638619E-3</v>
      </c>
      <c r="F84" s="39">
        <f>EXP('Prezzi-Rend EUR'!W86)-1</f>
        <v>-3.4399114131296038E-3</v>
      </c>
      <c r="O84" s="4" t="str">
        <f t="shared" si="2"/>
        <v>201415</v>
      </c>
      <c r="P84" s="39">
        <f t="shared" si="3"/>
        <v>-3.0631149833185022E-3</v>
      </c>
    </row>
    <row r="85" spans="2:16" x14ac:dyDescent="0.75">
      <c r="B85" s="4" t="str">
        <f>'Prezzi-Rend EUR'!S87</f>
        <v>201414</v>
      </c>
      <c r="C85" s="39">
        <f>EXP('Prezzi-Rend EUR'!T87)-1</f>
        <v>3.0176415970287751E-2</v>
      </c>
      <c r="D85" s="39">
        <f>EXP('Prezzi-Rend EUR'!U87)-1</f>
        <v>1.6536404771699154E-2</v>
      </c>
      <c r="E85" s="39">
        <f>EXP('Prezzi-Rend EUR'!V87)-1</f>
        <v>2.3234060194385897E-3</v>
      </c>
      <c r="F85" s="39">
        <f>EXP('Prezzi-Rend EUR'!W87)-1</f>
        <v>1.1247684922501167E-2</v>
      </c>
      <c r="O85" s="4" t="str">
        <f t="shared" si="2"/>
        <v>201414</v>
      </c>
      <c r="P85" s="39">
        <f t="shared" si="3"/>
        <v>1.0686806321033221E-2</v>
      </c>
    </row>
    <row r="86" spans="2:16" x14ac:dyDescent="0.75">
      <c r="B86" s="4" t="str">
        <f>'Prezzi-Rend EUR'!S88</f>
        <v>201413</v>
      </c>
      <c r="C86" s="39">
        <f>EXP('Prezzi-Rend EUR'!T88)-1</f>
        <v>2.5958561562276605E-2</v>
      </c>
      <c r="D86" s="39">
        <f>EXP('Prezzi-Rend EUR'!U88)-1</f>
        <v>7.2926162260709138E-3</v>
      </c>
      <c r="E86" s="39">
        <f>EXP('Prezzi-Rend EUR'!V88)-1</f>
        <v>1.7052237851448604E-2</v>
      </c>
      <c r="F86" s="39">
        <f>EXP('Prezzi-Rend EUR'!W88)-1</f>
        <v>8.2514454637294676E-3</v>
      </c>
      <c r="O86" s="4" t="str">
        <f t="shared" si="2"/>
        <v>201413</v>
      </c>
      <c r="P86" s="39">
        <f t="shared" si="3"/>
        <v>8.8045631115224801E-3</v>
      </c>
    </row>
    <row r="87" spans="2:16" x14ac:dyDescent="0.75">
      <c r="B87" s="4" t="str">
        <f>'Prezzi-Rend EUR'!S89</f>
        <v>201412</v>
      </c>
      <c r="C87" s="39">
        <f>EXP('Prezzi-Rend EUR'!T89)-1</f>
        <v>2.9923963698798239E-2</v>
      </c>
      <c r="D87" s="39">
        <f>EXP('Prezzi-Rend EUR'!U89)-1</f>
        <v>2.0551420838971879E-2</v>
      </c>
      <c r="E87" s="39">
        <f>EXP('Prezzi-Rend EUR'!V89)-1</f>
        <v>5.0603321671531809E-3</v>
      </c>
      <c r="F87" s="39">
        <f>EXP('Prezzi-Rend EUR'!W89)-1</f>
        <v>3.2478218569709227E-4</v>
      </c>
      <c r="O87" s="4" t="str">
        <f t="shared" si="2"/>
        <v>201412</v>
      </c>
      <c r="P87" s="39">
        <f t="shared" si="3"/>
        <v>6.2240496161280762E-4</v>
      </c>
    </row>
    <row r="88" spans="2:16" x14ac:dyDescent="0.75">
      <c r="B88" s="4" t="str">
        <f>'Prezzi-Rend EUR'!S90</f>
        <v>201411</v>
      </c>
      <c r="C88" s="39">
        <f>EXP('Prezzi-Rend EUR'!T90)-1</f>
        <v>-1.3788098693759188E-2</v>
      </c>
      <c r="D88" s="39">
        <f>EXP('Prezzi-Rend EUR'!U90)-1</f>
        <v>-2.4824742268041322E-2</v>
      </c>
      <c r="E88" s="39">
        <f>EXP('Prezzi-Rend EUR'!V90)-1</f>
        <v>-1.6661645585637097E-2</v>
      </c>
      <c r="F88" s="39">
        <f>EXP('Prezzi-Rend EUR'!W90)-1</f>
        <v>8.3294757509211337E-4</v>
      </c>
      <c r="O88" s="4" t="str">
        <f t="shared" si="2"/>
        <v>201411</v>
      </c>
      <c r="P88" s="39">
        <f t="shared" si="3"/>
        <v>-2.6656344238024782E-4</v>
      </c>
    </row>
    <row r="89" spans="2:16" x14ac:dyDescent="0.75">
      <c r="B89" s="4" t="str">
        <f>'Prezzi-Rend EUR'!S91</f>
        <v>201410</v>
      </c>
      <c r="C89" s="39">
        <f>EXP('Prezzi-Rend EUR'!T91)-1</f>
        <v>9.27734375E-3</v>
      </c>
      <c r="D89" s="39">
        <f>EXP('Prezzi-Rend EUR'!U91)-1</f>
        <v>-3.8613210647387985E-3</v>
      </c>
      <c r="E89" s="39">
        <f>EXP('Prezzi-Rend EUR'!V91)-1</f>
        <v>7.2705095861151925E-3</v>
      </c>
      <c r="F89" s="39">
        <f>EXP('Prezzi-Rend EUR'!W91)-1</f>
        <v>4.0234134543586375E-3</v>
      </c>
      <c r="O89" s="4" t="str">
        <f t="shared" si="2"/>
        <v>201410</v>
      </c>
      <c r="P89" s="39">
        <f t="shared" si="3"/>
        <v>4.2274889622075096E-3</v>
      </c>
    </row>
    <row r="90" spans="2:16" x14ac:dyDescent="0.75">
      <c r="B90" s="4" t="str">
        <f>'Prezzi-Rend EUR'!S92</f>
        <v>20149</v>
      </c>
      <c r="C90" s="39">
        <f>EXP('Prezzi-Rend EUR'!T92)-1</f>
        <v>2.6927784577723823E-3</v>
      </c>
      <c r="D90" s="39">
        <f>EXP('Prezzi-Rend EUR'!U92)-1</f>
        <v>4.0419038191865653E-3</v>
      </c>
      <c r="E90" s="39">
        <f>EXP('Prezzi-Rend EUR'!V92)-1</f>
        <v>-2.9839886210082378E-3</v>
      </c>
      <c r="F90" s="39">
        <f>EXP('Prezzi-Rend EUR'!W92)-1</f>
        <v>4.2494145750240353E-3</v>
      </c>
      <c r="O90" s="4" t="str">
        <f t="shared" si="2"/>
        <v>20149</v>
      </c>
      <c r="P90" s="39">
        <f t="shared" si="3"/>
        <v>3.7948051752306139E-3</v>
      </c>
    </row>
    <row r="91" spans="2:16" x14ac:dyDescent="0.75">
      <c r="B91" s="4" t="str">
        <f>'Prezzi-Rend EUR'!S93</f>
        <v>20148</v>
      </c>
      <c r="C91" s="39">
        <f>EXP('Prezzi-Rend EUR'!T93)-1</f>
        <v>-2.9289724188431565E-3</v>
      </c>
      <c r="D91" s="39">
        <f>EXP('Prezzi-Rend EUR'!U93)-1</f>
        <v>6.392163373734272E-3</v>
      </c>
      <c r="E91" s="39">
        <f>EXP('Prezzi-Rend EUR'!V93)-1</f>
        <v>1.2340921792404425E-2</v>
      </c>
      <c r="F91" s="39">
        <f>EXP('Prezzi-Rend EUR'!W93)-1</f>
        <v>4.199532284276275E-3</v>
      </c>
      <c r="O91" s="4" t="str">
        <f t="shared" si="2"/>
        <v>20148</v>
      </c>
      <c r="P91" s="39">
        <f t="shared" si="3"/>
        <v>4.7112073711390564E-3</v>
      </c>
    </row>
    <row r="92" spans="2:16" x14ac:dyDescent="0.75">
      <c r="B92" s="4" t="str">
        <f>'Prezzi-Rend EUR'!S94</f>
        <v>20147</v>
      </c>
      <c r="C92" s="39">
        <f>EXP('Prezzi-Rend EUR'!T94)-1</f>
        <v>3.8793103448275801E-2</v>
      </c>
      <c r="D92" s="39">
        <f>EXP('Prezzi-Rend EUR'!U94)-1</f>
        <v>1.9983065198983851E-2</v>
      </c>
      <c r="E92" s="39">
        <f>EXP('Prezzi-Rend EUR'!V94)-1</f>
        <v>6.7529247538755666E-3</v>
      </c>
      <c r="F92" s="39">
        <f>EXP('Prezzi-Rend EUR'!W94)-1</f>
        <v>2.2317541078082925E-3</v>
      </c>
      <c r="O92" s="4" t="str">
        <f t="shared" si="2"/>
        <v>20147</v>
      </c>
      <c r="P92" s="39">
        <f t="shared" si="3"/>
        <v>2.515903438902403E-3</v>
      </c>
    </row>
    <row r="93" spans="2:16" x14ac:dyDescent="0.75">
      <c r="B93" s="4" t="str">
        <f>'Prezzi-Rend EUR'!S95</f>
        <v>20146</v>
      </c>
      <c r="C93" s="39">
        <f>EXP('Prezzi-Rend EUR'!T95)-1</f>
        <v>1.3360739979444869E-2</v>
      </c>
      <c r="D93" s="39">
        <f>EXP('Prezzi-Rend EUR'!U95)-1</f>
        <v>-1.521812647954035E-3</v>
      </c>
      <c r="E93" s="39">
        <f>EXP('Prezzi-Rend EUR'!V95)-1</f>
        <v>8.5154154797404402E-3</v>
      </c>
      <c r="F93" s="39">
        <f>EXP('Prezzi-Rend EUR'!W95)-1</f>
        <v>5.2109959656481131E-3</v>
      </c>
      <c r="O93" s="4" t="str">
        <f t="shared" si="2"/>
        <v>20146</v>
      </c>
      <c r="P93" s="39">
        <f t="shared" si="3"/>
        <v>5.4186741691036417E-3</v>
      </c>
    </row>
    <row r="94" spans="2:16" x14ac:dyDescent="0.75">
      <c r="C94" s="39"/>
      <c r="D94" s="39"/>
      <c r="E94" s="39"/>
      <c r="F94" s="39"/>
      <c r="P94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7"/>
  <sheetViews>
    <sheetView topLeftCell="L15" zoomScale="90" zoomScaleNormal="90" workbookViewId="0">
      <selection activeCell="N32" sqref="N32"/>
    </sheetView>
  </sheetViews>
  <sheetFormatPr defaultColWidth="8.86328125" defaultRowHeight="14.75" x14ac:dyDescent="0.75"/>
  <cols>
    <col min="1" max="1" width="16.36328125" style="4" bestFit="1" customWidth="1"/>
    <col min="2" max="2" width="21.86328125" style="4" bestFit="1" customWidth="1"/>
    <col min="3" max="3" width="11.36328125" style="4" bestFit="1" customWidth="1"/>
    <col min="4" max="4" width="11.6328125" style="4" bestFit="1" customWidth="1"/>
    <col min="5" max="5" width="13.36328125" style="4" bestFit="1" customWidth="1"/>
    <col min="6" max="8" width="8.86328125" style="4"/>
    <col min="9" max="9" width="10.36328125" style="4" bestFit="1" customWidth="1"/>
    <col min="10" max="10" width="8.86328125" style="70"/>
    <col min="11" max="11" width="8.86328125" style="4"/>
    <col min="12" max="12" width="44.54296875" style="4" bestFit="1" customWidth="1"/>
    <col min="13" max="13" width="23" style="4" customWidth="1"/>
    <col min="14" max="14" width="11.36328125" style="4" bestFit="1" customWidth="1"/>
    <col min="15" max="16" width="13.36328125" style="4" bestFit="1" customWidth="1"/>
    <col min="17" max="17" width="7.86328125" style="4" bestFit="1" customWidth="1"/>
    <col min="18" max="18" width="18.36328125" style="4" bestFit="1" customWidth="1"/>
    <col min="19" max="19" width="8.86328125" style="4"/>
    <col min="20" max="20" width="9.36328125" style="4" bestFit="1" customWidth="1"/>
    <col min="21" max="16384" width="8.86328125" style="4"/>
  </cols>
  <sheetData>
    <row r="1" spans="1:18" x14ac:dyDescent="0.75">
      <c r="A1" s="38" t="s">
        <v>208</v>
      </c>
      <c r="K1" s="38" t="s">
        <v>209</v>
      </c>
    </row>
    <row r="2" spans="1:18" x14ac:dyDescent="0.75">
      <c r="L2" s="74" t="s">
        <v>135</v>
      </c>
      <c r="M2" s="73">
        <v>42286</v>
      </c>
    </row>
    <row r="3" spans="1:18" x14ac:dyDescent="0.75">
      <c r="B3" s="4" t="str">
        <f>optim!I2</f>
        <v>LYMIB.PA</v>
      </c>
      <c r="C3" s="4" t="str">
        <f>optim!J2</f>
        <v>WLD.PA</v>
      </c>
      <c r="D3" s="4" t="str">
        <f>optim!K2</f>
        <v>CMCIL.L EUR</v>
      </c>
      <c r="E3" s="4" t="str">
        <f>optim!L2</f>
        <v>IT510770=</v>
      </c>
      <c r="L3" s="75"/>
    </row>
    <row r="4" spans="1:18" x14ac:dyDescent="0.75">
      <c r="A4" s="38" t="s">
        <v>122</v>
      </c>
      <c r="B4" s="39">
        <f>optim!I3</f>
        <v>0</v>
      </c>
      <c r="C4" s="39">
        <f>optim!J3</f>
        <v>0</v>
      </c>
      <c r="D4" s="39">
        <f>optim!K3</f>
        <v>6.2848618856699803E-2</v>
      </c>
      <c r="E4" s="39">
        <f>optim!L3</f>
        <v>0.93715138131058096</v>
      </c>
      <c r="L4" s="75"/>
      <c r="M4" s="4" t="s">
        <v>0</v>
      </c>
      <c r="N4" s="4" t="s">
        <v>2</v>
      </c>
      <c r="O4" s="4" t="s">
        <v>17</v>
      </c>
      <c r="P4" s="4" t="s">
        <v>4</v>
      </c>
      <c r="Q4" s="4" t="s">
        <v>132</v>
      </c>
      <c r="R4" s="4" t="s">
        <v>134</v>
      </c>
    </row>
    <row r="5" spans="1:18" x14ac:dyDescent="0.75">
      <c r="A5" s="38" t="s">
        <v>123</v>
      </c>
      <c r="B5" s="71">
        <v>2.5000000000000001E-2</v>
      </c>
      <c r="C5" s="71">
        <v>2.5000000000000001E-2</v>
      </c>
      <c r="D5" s="71">
        <v>0.05</v>
      </c>
      <c r="E5" s="71">
        <v>0.9</v>
      </c>
      <c r="L5" s="74" t="s">
        <v>146</v>
      </c>
      <c r="M5" s="5">
        <f>+INDEX(Valorizzazione!$C$4:$H$25,MATCH(implementazione!$M$2,Valorizzazione!$C$5:$C$25,0),MATCH(implementazione!M4,Valorizzazione!$C$4:$H$4,0))</f>
        <v>5899</v>
      </c>
      <c r="N5" s="5">
        <f>+INDEX(Valorizzazione!$C$4:$H$25,MATCH(implementazione!$M$2,Valorizzazione!$C$5:$C$25,0),MATCH(implementazione!N4,Valorizzazione!$C$4:$H$4,0))</f>
        <v>872</v>
      </c>
      <c r="O5" s="5">
        <f>+INDEX(Valorizzazione!$C$4:$H$25,MATCH(implementazione!$M$2,Valorizzazione!$C$5:$C$25,0),MATCH(implementazione!O4,Valorizzazione!$C$4:$H$4,0))</f>
        <v>277</v>
      </c>
      <c r="P5" s="5">
        <f>+INDEX(Valorizzazione!$C$4:$H$25,MATCH(implementazione!$M$2,Valorizzazione!$C$5:$C$25,0),MATCH(implementazione!P4,Valorizzazione!$C$4:$H$4,0))</f>
        <v>3876599</v>
      </c>
      <c r="Q5" s="67">
        <f>+INDEX(Valorizzazione!$C$4:$H$25,MATCH(implementazione!$M$2,Valorizzazione!$C$5:$C$25,0),MATCH(implementazione!Q4,Valorizzazione!$C$4:$H$4,0))</f>
        <v>66.394907280802727</v>
      </c>
    </row>
    <row r="6" spans="1:18" x14ac:dyDescent="0.75">
      <c r="L6" s="74" t="s">
        <v>136</v>
      </c>
      <c r="M6" s="5">
        <f>+INDEX(Valorizzazione!$R$4:$W$25,MATCH(implementazione!$M$2,Valorizzazione!$R$4:$R$25,0),MATCH(implementazione!M4,Valorizzazione!$R$4:$W$4,0))</f>
        <v>130367.90000000001</v>
      </c>
      <c r="N6" s="5">
        <f>+INDEX(Valorizzazione!$R$4:$W$25,MATCH(implementazione!$M$2,Valorizzazione!$R$4:$R$25,0),MATCH(implementazione!N4,Valorizzazione!$R$4:$W$4,0))</f>
        <v>128271.2</v>
      </c>
      <c r="O6" s="5">
        <f>+INDEX(Valorizzazione!$R$4:$W$25,MATCH(implementazione!$M$2,Valorizzazione!$R$4:$R$25,0),MATCH(implementazione!O4,Valorizzazione!$R$4:$W$4,0))</f>
        <v>203885.56455874583</v>
      </c>
      <c r="P6" s="5">
        <f>+INDEX(Valorizzazione!$R$4:$W$25,MATCH(implementazione!$M$2,Valorizzazione!$R$4:$R$25,0),MATCH(implementazione!P4,Valorizzazione!$R$4:$W$4,0))</f>
        <v>4504622.7690761993</v>
      </c>
      <c r="Q6" s="67">
        <f>+INDEX(Valorizzazione!$R$4:$W$25,MATCH(implementazione!$M$2,Valorizzazione!$R$4:$R$25,0),MATCH(implementazione!Q4,Valorizzazione!$R$4:$W$4,0))</f>
        <v>66.394907280802727</v>
      </c>
      <c r="R6" s="65">
        <f>+SUM(M6:Q6)</f>
        <v>4967213.828542226</v>
      </c>
    </row>
    <row r="7" spans="1:18" x14ac:dyDescent="0.75">
      <c r="B7" s="38" t="s">
        <v>124</v>
      </c>
      <c r="L7" s="74" t="s">
        <v>137</v>
      </c>
      <c r="M7" s="39">
        <f>+M6/$R$6</f>
        <v>2.6245679066781845E-2</v>
      </c>
      <c r="N7" s="39">
        <f>+N6/$R$6</f>
        <v>2.582357120664663E-2</v>
      </c>
      <c r="O7" s="39">
        <f>+O6/$R$6</f>
        <v>4.1046262874208095E-2</v>
      </c>
      <c r="P7" s="39">
        <f>+P6/$R$6</f>
        <v>0.90687112022278538</v>
      </c>
      <c r="Q7" s="39">
        <f>+Q6/$R$6</f>
        <v>1.3366629577991864E-5</v>
      </c>
    </row>
    <row r="8" spans="1:18" x14ac:dyDescent="0.75">
      <c r="B8" s="72">
        <v>5000000</v>
      </c>
      <c r="L8" s="75"/>
    </row>
    <row r="9" spans="1:18" x14ac:dyDescent="0.75">
      <c r="L9" s="75"/>
    </row>
    <row r="10" spans="1:18" x14ac:dyDescent="0.75">
      <c r="B10" s="38" t="s">
        <v>125</v>
      </c>
      <c r="L10" s="75"/>
    </row>
    <row r="11" spans="1:18" x14ac:dyDescent="0.75">
      <c r="B11" s="5">
        <f>+$B$8*B5</f>
        <v>125000</v>
      </c>
      <c r="C11" s="5">
        <f>+$B$8*C5</f>
        <v>125000</v>
      </c>
      <c r="D11" s="5">
        <f>+$B$8*D5</f>
        <v>250000</v>
      </c>
      <c r="E11" s="5">
        <f>+$B$8*E5</f>
        <v>4500000</v>
      </c>
      <c r="L11" s="75"/>
      <c r="M11" s="38" t="s">
        <v>147</v>
      </c>
    </row>
    <row r="12" spans="1:18" x14ac:dyDescent="0.75">
      <c r="L12" s="75"/>
      <c r="M12" s="71">
        <v>0.05</v>
      </c>
      <c r="N12" s="71">
        <v>0.05</v>
      </c>
      <c r="O12" s="71">
        <v>0.05</v>
      </c>
      <c r="P12" s="71">
        <v>0.85</v>
      </c>
    </row>
    <row r="13" spans="1:18" x14ac:dyDescent="0.75">
      <c r="A13" s="58">
        <v>42272</v>
      </c>
      <c r="B13" s="38" t="str">
        <f>+"Prezzo strumenti al " &amp; TEXT('Prezzi-Rend EUR'!D25,"aaaa-mm-gg") &amp; " con costi di transazione"</f>
        <v>Prezzo strumenti al Friday-09- con costi di transazione</v>
      </c>
      <c r="G13" s="38" t="s">
        <v>126</v>
      </c>
      <c r="L13" s="75"/>
    </row>
    <row r="14" spans="1:18" x14ac:dyDescent="0.75">
      <c r="B14" s="4" t="s">
        <v>0</v>
      </c>
      <c r="C14" s="4" t="s">
        <v>2</v>
      </c>
      <c r="D14" s="4" t="s">
        <v>17</v>
      </c>
      <c r="E14" s="4" t="s">
        <v>4</v>
      </c>
      <c r="G14" s="39">
        <v>3.0000000000000001E-3</v>
      </c>
      <c r="L14" s="75"/>
      <c r="M14" s="38" t="s">
        <v>124</v>
      </c>
    </row>
    <row r="15" spans="1:18" x14ac:dyDescent="0.75">
      <c r="A15" s="38" t="s">
        <v>127</v>
      </c>
      <c r="B15" s="5">
        <f>+INDEX('Prezzi-Rend EUR'!$D$4:$I$447,MATCH(implementazione!$A$13,'Prezzi-Rend EUR'!$D$4:$D$447,0),MATCH(implementazione!B14,'Prezzi-Rend EUR'!$D$4:$I$4,0))</f>
        <v>21.125</v>
      </c>
      <c r="C15" s="5">
        <f>+INDEX('Prezzi-Rend EUR'!$D$4:$I$447,MATCH(implementazione!$A$13,'Prezzi-Rend EUR'!$D$4:$D$447,0),MATCH(implementazione!C14,'Prezzi-Rend EUR'!$D$4:$I$4,0))</f>
        <v>142.88</v>
      </c>
      <c r="D15" s="5">
        <f>+INDEX('Prezzi-Rend EUR'!$D$4:$I$447,MATCH(implementazione!$A$13,'Prezzi-Rend EUR'!$D$4:$D$447,0),MATCH(implementazione!D14,'Prezzi-Rend EUR'!$D$4:$I$4,0))</f>
        <v>714.03877077005541</v>
      </c>
      <c r="E15" s="5">
        <f>+INDEX('Prezzi-Rend EUR'!$D$4:$I$447,MATCH(implementazione!$A$13,'Prezzi-Rend EUR'!$D$4:$D$447,0),MATCH(implementazione!E14,'Prezzi-Rend EUR'!$D$4:$I$4,0))</f>
        <v>1.1573392</v>
      </c>
      <c r="I15" s="65"/>
      <c r="L15" s="75"/>
      <c r="M15" s="5">
        <f>+R6</f>
        <v>4967213.828542226</v>
      </c>
    </row>
    <row r="16" spans="1:18" x14ac:dyDescent="0.75">
      <c r="A16" s="38" t="s">
        <v>128</v>
      </c>
      <c r="B16" s="5">
        <f>+B15*(1+$G$14)</f>
        <v>21.188374999999997</v>
      </c>
      <c r="C16" s="5">
        <f>+C15*(1+$G$14)</f>
        <v>143.30863999999997</v>
      </c>
      <c r="D16" s="5">
        <f>+D15*(1+$G$14)^2</f>
        <v>718.32942974361242</v>
      </c>
      <c r="E16" s="5">
        <f>+E15*(1+$G$14)</f>
        <v>1.1608112175999998</v>
      </c>
      <c r="L16" s="75"/>
    </row>
    <row r="17" spans="1:20" x14ac:dyDescent="0.75">
      <c r="A17" s="38" t="s">
        <v>139</v>
      </c>
      <c r="B17" s="63">
        <f>+_xlfn.FLOOR.MATH(B11/B16)</f>
        <v>5899</v>
      </c>
      <c r="C17" s="63">
        <f>+_xlfn.FLOOR.MATH(C11/C16)</f>
        <v>872</v>
      </c>
      <c r="D17" s="63">
        <f>+_xlfn.FLOOR.MATH(D11/D16)</f>
        <v>348</v>
      </c>
      <c r="E17" s="63">
        <f>+_xlfn.FLOOR.MATH(E11/E16)</f>
        <v>3876599</v>
      </c>
      <c r="L17" s="75"/>
      <c r="M17" s="4" t="s">
        <v>0</v>
      </c>
      <c r="N17" s="4" t="s">
        <v>2</v>
      </c>
      <c r="O17" s="4" t="s">
        <v>17</v>
      </c>
      <c r="P17" s="4" t="s">
        <v>4</v>
      </c>
    </row>
    <row r="18" spans="1:20" x14ac:dyDescent="0.75">
      <c r="L18" s="74" t="s">
        <v>125</v>
      </c>
      <c r="M18" s="5">
        <f>+$M$15*M12</f>
        <v>248360.69142711131</v>
      </c>
      <c r="N18" s="5">
        <f t="shared" ref="N18:P18" si="0">+$M$15*N12</f>
        <v>248360.69142711131</v>
      </c>
      <c r="O18" s="5">
        <f t="shared" si="0"/>
        <v>248360.69142711131</v>
      </c>
      <c r="P18" s="5">
        <f t="shared" si="0"/>
        <v>4222131.754260892</v>
      </c>
    </row>
    <row r="19" spans="1:20" x14ac:dyDescent="0.75">
      <c r="B19" s="38" t="s">
        <v>129</v>
      </c>
      <c r="C19" s="38" t="s">
        <v>132</v>
      </c>
      <c r="L19" s="76" t="s">
        <v>142</v>
      </c>
      <c r="M19" s="5">
        <f>+M18-M6</f>
        <v>117992.7914271113</v>
      </c>
      <c r="N19" s="5">
        <f>+N18-N6</f>
        <v>120089.49142711131</v>
      </c>
      <c r="O19" s="5">
        <f>+O18-O6</f>
        <v>44475.126868365478</v>
      </c>
      <c r="P19" s="5">
        <f>+P18-P6</f>
        <v>-282491.01481530722</v>
      </c>
    </row>
    <row r="20" spans="1:20" x14ac:dyDescent="0.75">
      <c r="B20" s="5">
        <f>+SUMPRODUCT(B17:E17,B15:E15)</f>
        <v>4984233.2126087798</v>
      </c>
      <c r="C20" s="5">
        <f>+B8-SUMPRODUCT(B17:E17,B16:E16)</f>
        <v>66.394907280802727</v>
      </c>
      <c r="D20" s="65"/>
      <c r="E20" s="65"/>
      <c r="L20" s="75"/>
      <c r="M20" s="5"/>
      <c r="N20" s="5"/>
      <c r="O20" s="5"/>
      <c r="P20" s="5"/>
    </row>
    <row r="21" spans="1:20" x14ac:dyDescent="0.75">
      <c r="L21" s="84">
        <f>+M2</f>
        <v>42286</v>
      </c>
      <c r="M21" s="38" t="str">
        <f>+"Prezzo strumenti al " &amp; TEXT('Prezzi-Rend EUR'!D15,"aaaa-mm-gg") &amp; " con costi di transazione"</f>
        <v>Prezzo strumenti al Friday-10- con costi di transazione</v>
      </c>
    </row>
    <row r="22" spans="1:20" x14ac:dyDescent="0.75">
      <c r="L22" s="75"/>
      <c r="M22" s="4" t="s">
        <v>0</v>
      </c>
      <c r="N22" s="4" t="s">
        <v>2</v>
      </c>
      <c r="O22" s="4" t="s">
        <v>17</v>
      </c>
      <c r="P22" s="4" t="s">
        <v>4</v>
      </c>
      <c r="R22" s="38" t="s">
        <v>126</v>
      </c>
    </row>
    <row r="23" spans="1:20" x14ac:dyDescent="0.75">
      <c r="L23" s="74" t="s">
        <v>127</v>
      </c>
      <c r="M23" s="5">
        <f>+INDEX('Prezzi-Rend EUR'!$D$4:$I$447,MATCH(implementazione!$L$21,'Prezzi-Rend EUR'!$D$4:$D$447,0),MATCH(implementazione!M22,'Prezzi-Rend EUR'!$D$4:$I$4,0))</f>
        <v>22.1</v>
      </c>
      <c r="N23" s="5">
        <f>+INDEX('Prezzi-Rend EUR'!$D$4:$I$447,MATCH(implementazione!$L$21,'Prezzi-Rend EUR'!$D$4:$D$447,0),MATCH(implementazione!N22,'Prezzi-Rend EUR'!$D$4:$I$4,0))</f>
        <v>147.1</v>
      </c>
      <c r="O23" s="5">
        <f>+INDEX('Prezzi-Rend EUR'!$D$4:$I$447,MATCH(implementazione!$L$21,'Prezzi-Rend EUR'!$D$4:$D$447,0),MATCH(implementazione!O22,'Prezzi-Rend EUR'!$D$4:$I$4,0))</f>
        <v>736.0489695261582</v>
      </c>
      <c r="P23" s="5">
        <f>+INDEX('Prezzi-Rend EUR'!$D$4:$I$447,MATCH(implementazione!$L$21,'Prezzi-Rend EUR'!$D$4:$D$447,0),MATCH(implementazione!P22,'Prezzi-Rend EUR'!$D$4:$I$4,0))</f>
        <v>1.1620037999999999</v>
      </c>
      <c r="R23" s="39">
        <v>3.0000000000000001E-3</v>
      </c>
    </row>
    <row r="24" spans="1:20" x14ac:dyDescent="0.75">
      <c r="L24" s="74" t="s">
        <v>140</v>
      </c>
      <c r="M24" s="5">
        <f>+M23*IF(M19&gt;0,(1+$R$23),(1-$R$23))</f>
        <v>22.1663</v>
      </c>
      <c r="N24" s="5">
        <f t="shared" ref="N24:P24" si="1">+N23*IF(N19&gt;0,(1+$R$23),(1-$R$23))</f>
        <v>147.54129999999998</v>
      </c>
      <c r="O24" s="5">
        <f>+O23*IF(O19&gt;0,(1+$R$23)^2,(1-$R$23)^2)</f>
        <v>740.47188778404063</v>
      </c>
      <c r="P24" s="5">
        <f t="shared" si="1"/>
        <v>1.1585177886</v>
      </c>
    </row>
    <row r="25" spans="1:20" x14ac:dyDescent="0.75">
      <c r="L25" s="75"/>
    </row>
    <row r="26" spans="1:20" x14ac:dyDescent="0.75">
      <c r="L26" s="74" t="s">
        <v>143</v>
      </c>
      <c r="M26" s="63">
        <f>+ROUND(M19/M23,0)</f>
        <v>5339</v>
      </c>
      <c r="N26" s="63">
        <f t="shared" ref="N26:P26" si="2">+ROUND(N19/N23,0)</f>
        <v>816</v>
      </c>
      <c r="O26" s="63">
        <f t="shared" si="2"/>
        <v>60</v>
      </c>
      <c r="P26" s="63">
        <f t="shared" si="2"/>
        <v>-243107</v>
      </c>
      <c r="R26" s="38" t="s">
        <v>150</v>
      </c>
    </row>
    <row r="27" spans="1:20" x14ac:dyDescent="0.75">
      <c r="L27" s="74" t="s">
        <v>148</v>
      </c>
      <c r="M27" s="67">
        <f>+M26*M24</f>
        <v>118345.8757</v>
      </c>
      <c r="N27" s="67">
        <f>+N26*N24</f>
        <v>120393.70079999998</v>
      </c>
      <c r="O27" s="67">
        <f>+O26*O24</f>
        <v>44428.313267042438</v>
      </c>
      <c r="P27" s="67">
        <f>+P26*P24</f>
        <v>-281643.78403318021</v>
      </c>
      <c r="Q27" s="65"/>
      <c r="R27" s="65">
        <f>+SUM(M27:P27)</f>
        <v>1524.1057338622049</v>
      </c>
      <c r="S27" s="4" t="s">
        <v>141</v>
      </c>
    </row>
    <row r="28" spans="1:20" x14ac:dyDescent="0.75">
      <c r="L28" s="75"/>
      <c r="O28" s="65"/>
      <c r="P28" s="65"/>
    </row>
    <row r="29" spans="1:20" x14ac:dyDescent="0.75">
      <c r="L29" s="74" t="s">
        <v>210</v>
      </c>
      <c r="M29" s="63">
        <f>+M26-30</f>
        <v>5309</v>
      </c>
      <c r="N29" s="63">
        <f>+N26-3</f>
        <v>813</v>
      </c>
      <c r="O29" s="63">
        <f>+O26</f>
        <v>60</v>
      </c>
      <c r="P29" s="63">
        <f>+P26-500</f>
        <v>-243607</v>
      </c>
      <c r="R29" s="38" t="s">
        <v>150</v>
      </c>
      <c r="S29" s="38"/>
      <c r="T29" s="38" t="s">
        <v>151</v>
      </c>
    </row>
    <row r="30" spans="1:20" x14ac:dyDescent="0.75">
      <c r="L30" s="74" t="s">
        <v>149</v>
      </c>
      <c r="M30" s="5">
        <f>+M29*M24</f>
        <v>117680.8867</v>
      </c>
      <c r="N30" s="5">
        <f>+N29*N24</f>
        <v>119951.07689999999</v>
      </c>
      <c r="O30" s="5">
        <f>+O29*O24</f>
        <v>44428.313267042438</v>
      </c>
      <c r="P30" s="5">
        <f>+P29*P24</f>
        <v>-282223.04292748019</v>
      </c>
      <c r="R30" s="65">
        <f>+SUM(M30:P30)</f>
        <v>-162.76606043777429</v>
      </c>
      <c r="S30" s="4" t="s">
        <v>144</v>
      </c>
      <c r="T30" s="4">
        <f t="array" ref="T30">+SUM((M29:P29)*(M24:P24-M23:P23))</f>
        <v>1825.3554745927072</v>
      </c>
    </row>
    <row r="31" spans="1:20" x14ac:dyDescent="0.75">
      <c r="L31" s="75"/>
      <c r="M31" s="63"/>
      <c r="N31" s="63"/>
      <c r="O31" s="63"/>
      <c r="P31" s="63"/>
    </row>
    <row r="32" spans="1:20" x14ac:dyDescent="0.75">
      <c r="L32" s="74" t="s">
        <v>182</v>
      </c>
      <c r="M32" s="5">
        <f>+M29*M23</f>
        <v>117328.90000000001</v>
      </c>
      <c r="N32" s="5">
        <f>+N29*N23</f>
        <v>119592.29999999999</v>
      </c>
      <c r="O32" s="5">
        <f>+O29*O23</f>
        <v>44162.938171569491</v>
      </c>
      <c r="P32" s="5">
        <f>+P29*P23</f>
        <v>-283072.25970659999</v>
      </c>
      <c r="R32" s="65"/>
      <c r="T32" s="31"/>
    </row>
    <row r="33" spans="12:17" x14ac:dyDescent="0.75">
      <c r="L33" s="74" t="s">
        <v>145</v>
      </c>
      <c r="M33" s="68">
        <f>+M29+M5</f>
        <v>11208</v>
      </c>
      <c r="N33" s="68">
        <f>+N29+N5</f>
        <v>1685</v>
      </c>
      <c r="O33" s="68">
        <f>+O29+O5</f>
        <v>337</v>
      </c>
      <c r="P33" s="68">
        <f>+P29+P5</f>
        <v>3632992</v>
      </c>
    </row>
    <row r="34" spans="12:17" x14ac:dyDescent="0.75">
      <c r="L34" s="75"/>
    </row>
    <row r="35" spans="12:17" x14ac:dyDescent="0.75">
      <c r="L35" s="75"/>
    </row>
    <row r="36" spans="12:17" x14ac:dyDescent="0.75">
      <c r="L36" s="75"/>
      <c r="M36" s="38" t="s">
        <v>129</v>
      </c>
      <c r="N36" s="38" t="s">
        <v>132</v>
      </c>
      <c r="O36" s="38" t="s">
        <v>152</v>
      </c>
      <c r="P36" s="38" t="s">
        <v>151</v>
      </c>
      <c r="Q36" s="38" t="s">
        <v>153</v>
      </c>
    </row>
    <row r="37" spans="12:17" x14ac:dyDescent="0.75">
      <c r="L37" s="75"/>
      <c r="M37" s="5">
        <f>+SUMPRODUCT(M33:P33,M23:P23)</f>
        <v>4965159.312099915</v>
      </c>
      <c r="N37" s="5">
        <f>+Q5-R30</f>
        <v>229.16096771857701</v>
      </c>
      <c r="O37" s="65">
        <f>+N37+M37</f>
        <v>4965388.4730676338</v>
      </c>
      <c r="P37" s="69">
        <f>-O37+R6</f>
        <v>1825.3554745921865</v>
      </c>
      <c r="Q37" s="4" t="b">
        <f>+ABS(P37-T30)&lt;10^(-6)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C25"/>
  <sheetViews>
    <sheetView workbookViewId="0">
      <selection activeCell="L15" sqref="L15"/>
    </sheetView>
  </sheetViews>
  <sheetFormatPr defaultColWidth="8.86328125" defaultRowHeight="14.75" x14ac:dyDescent="0.75"/>
  <cols>
    <col min="1" max="2" width="8.86328125" style="4"/>
    <col min="3" max="3" width="10.54296875" style="4" bestFit="1" customWidth="1"/>
    <col min="4" max="8" width="11" style="4" customWidth="1"/>
    <col min="9" max="9" width="8.86328125" style="4"/>
    <col min="10" max="10" width="10.54296875" style="4" bestFit="1" customWidth="1"/>
    <col min="11" max="17" width="8.86328125" style="4"/>
    <col min="18" max="18" width="10.54296875" style="4" bestFit="1" customWidth="1"/>
    <col min="19" max="21" width="11.36328125" style="4" bestFit="1" customWidth="1"/>
    <col min="22" max="22" width="12.6328125" style="4" bestFit="1" customWidth="1"/>
    <col min="23" max="23" width="9" style="4" bestFit="1" customWidth="1"/>
    <col min="24" max="24" width="13.36328125" style="4" bestFit="1" customWidth="1"/>
    <col min="25" max="25" width="10.86328125" style="4" bestFit="1" customWidth="1"/>
    <col min="26" max="16384" width="8.86328125" style="4"/>
  </cols>
  <sheetData>
    <row r="1" spans="1:16383" x14ac:dyDescent="0.75">
      <c r="C1" s="38" t="s">
        <v>130</v>
      </c>
      <c r="K1" s="38" t="s">
        <v>21</v>
      </c>
      <c r="S1" s="38" t="s">
        <v>131</v>
      </c>
    </row>
    <row r="2" spans="1:16383" x14ac:dyDescent="0.7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133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</row>
    <row r="3" spans="1:16383" ht="15.5" thickBot="1" x14ac:dyDescent="0.9">
      <c r="K3" s="4">
        <f>+MATCH(K4,'Prezzi-Rend EUR'!$D$4:$I$4,0)</f>
        <v>2</v>
      </c>
      <c r="L3" s="4">
        <f>+MATCH(L4,'Prezzi-Rend EUR'!$D$4:$I$4,0)</f>
        <v>3</v>
      </c>
      <c r="M3" s="4">
        <f>+MATCH(M4,'Prezzi-Rend EUR'!$D$4:$I$4,0)</f>
        <v>4</v>
      </c>
      <c r="N3" s="4">
        <f>+MATCH(N4,'Prezzi-Rend EUR'!$D$4:$I$4,0)</f>
        <v>5</v>
      </c>
      <c r="O3" s="4">
        <f>+MATCH(O4,'Prezzi-Rend EUR'!$D$4:$I$4,0)</f>
        <v>6</v>
      </c>
    </row>
    <row r="4" spans="1:16383" ht="15.5" thickBot="1" x14ac:dyDescent="0.9">
      <c r="D4" s="24" t="s">
        <v>0</v>
      </c>
      <c r="E4" s="25" t="s">
        <v>2</v>
      </c>
      <c r="F4" s="25" t="s">
        <v>17</v>
      </c>
      <c r="G4" s="25" t="s">
        <v>4</v>
      </c>
      <c r="H4" s="26" t="s">
        <v>132</v>
      </c>
      <c r="K4" s="24" t="s">
        <v>0</v>
      </c>
      <c r="L4" s="25" t="s">
        <v>2</v>
      </c>
      <c r="M4" s="25" t="s">
        <v>17</v>
      </c>
      <c r="N4" s="25" t="s">
        <v>4</v>
      </c>
      <c r="O4" s="26" t="s">
        <v>18</v>
      </c>
      <c r="S4" s="24" t="s">
        <v>0</v>
      </c>
      <c r="T4" s="25" t="s">
        <v>2</v>
      </c>
      <c r="U4" s="25" t="s">
        <v>17</v>
      </c>
      <c r="V4" s="25" t="s">
        <v>4</v>
      </c>
      <c r="W4" s="25" t="s">
        <v>132</v>
      </c>
      <c r="X4" s="25" t="s">
        <v>134</v>
      </c>
      <c r="Y4" s="26" t="s">
        <v>154</v>
      </c>
    </row>
    <row r="5" spans="1:16383" x14ac:dyDescent="0.75">
      <c r="C5" s="58">
        <v>42272</v>
      </c>
      <c r="D5" s="81">
        <v>5899</v>
      </c>
      <c r="E5" s="81">
        <v>872</v>
      </c>
      <c r="F5" s="81">
        <v>277</v>
      </c>
      <c r="G5" s="81">
        <v>3876599</v>
      </c>
      <c r="H5" s="85">
        <f>implementazione!$C$20</f>
        <v>66.394907280802727</v>
      </c>
      <c r="J5" s="14">
        <f>+C5</f>
        <v>42272</v>
      </c>
      <c r="K5" s="5">
        <f>+VLOOKUP($J5,'Prezzi-Rend EUR'!$D$4:$I$447,K$3,0)</f>
        <v>21.125</v>
      </c>
      <c r="L5" s="5">
        <f>+VLOOKUP($J5,'Prezzi-Rend EUR'!$D$4:$I$447,L$3,0)</f>
        <v>142.88</v>
      </c>
      <c r="M5" s="5">
        <f>+VLOOKUP($J5,'Prezzi-Rend EUR'!$D$4:$I$447,M$3,0)</f>
        <v>714.03877077005541</v>
      </c>
      <c r="N5" s="5">
        <f>+VLOOKUP($J5,'Prezzi-Rend EUR'!$D$4:$I$447,N$3,0)</f>
        <v>1.1573392</v>
      </c>
      <c r="O5" s="5">
        <f>+VLOOKUP($J5,'Prezzi-Rend EUR'!$D$4:$I$447,O$3,0)</f>
        <v>0</v>
      </c>
      <c r="R5" s="14">
        <f>+J5</f>
        <v>42272</v>
      </c>
      <c r="S5" s="5">
        <f t="shared" ref="S5:S17" si="0">+D5*K5</f>
        <v>124616.375</v>
      </c>
      <c r="T5" s="5">
        <f t="shared" ref="T5:T17" si="1">+E5*L5</f>
        <v>124591.36</v>
      </c>
      <c r="U5" s="5">
        <f t="shared" ref="U5:U17" si="2">+F5*M5</f>
        <v>197788.73950330535</v>
      </c>
      <c r="V5" s="5">
        <f t="shared" ref="V5:V17" si="3">+G5*N5</f>
        <v>4486539.9853808004</v>
      </c>
      <c r="W5" s="5">
        <f>+H5+SUM($O$5:O5)</f>
        <v>66.394907280802727</v>
      </c>
      <c r="X5" s="5">
        <f>+SUM(S5:W5)</f>
        <v>4933602.854791387</v>
      </c>
    </row>
    <row r="6" spans="1:16383" x14ac:dyDescent="0.75">
      <c r="C6" s="58">
        <v>42275</v>
      </c>
      <c r="D6" s="81">
        <v>5899</v>
      </c>
      <c r="E6" s="81">
        <v>872</v>
      </c>
      <c r="F6" s="81">
        <v>277</v>
      </c>
      <c r="G6" s="81">
        <v>3876599</v>
      </c>
      <c r="H6" s="85">
        <f>implementazione!$C$20</f>
        <v>66.394907280802727</v>
      </c>
      <c r="J6" s="14">
        <f t="shared" ref="J6:J25" si="4">+C6</f>
        <v>42275</v>
      </c>
      <c r="K6" s="5">
        <f>+VLOOKUP($J6,'Prezzi-Rend EUR'!$D$4:$I$447,K$3,0)</f>
        <v>20.59</v>
      </c>
      <c r="L6" s="5">
        <f>+VLOOKUP($J6,'Prezzi-Rend EUR'!$D$4:$I$447,L$3,0)</f>
        <v>139.21</v>
      </c>
      <c r="M6" s="5">
        <f>+VLOOKUP($J6,'Prezzi-Rend EUR'!$D$4:$I$447,M$3,0)</f>
        <v>701.25856088232672</v>
      </c>
      <c r="N6" s="5">
        <f>+VLOOKUP($J6,'Prezzi-Rend EUR'!$D$4:$I$447,N$3,0)</f>
        <v>1.1581059999999999</v>
      </c>
      <c r="O6" s="5">
        <f>+VLOOKUP($J6,'Prezzi-Rend EUR'!$D$4:$I$447,O$3,0)</f>
        <v>0</v>
      </c>
      <c r="R6" s="14">
        <f t="shared" ref="R6:R25" si="5">+J6</f>
        <v>42275</v>
      </c>
      <c r="S6" s="5">
        <f t="shared" si="0"/>
        <v>121460.41</v>
      </c>
      <c r="T6" s="5">
        <f t="shared" si="1"/>
        <v>121391.12000000001</v>
      </c>
      <c r="U6" s="5">
        <f t="shared" si="2"/>
        <v>194248.62136440451</v>
      </c>
      <c r="V6" s="5">
        <f t="shared" si="3"/>
        <v>4489512.5614939993</v>
      </c>
      <c r="W6" s="5">
        <f>+H6+SUM($O$5:O6)</f>
        <v>66.394907280802727</v>
      </c>
      <c r="X6" s="5">
        <f t="shared" ref="X6:X17" si="6">+SUM(S6:W6)</f>
        <v>4926679.1077656848</v>
      </c>
      <c r="Y6" s="39">
        <f>+X6/X5-1</f>
        <v>-1.4033855641578663E-3</v>
      </c>
    </row>
    <row r="7" spans="1:16383" x14ac:dyDescent="0.75">
      <c r="C7" s="58">
        <v>42276</v>
      </c>
      <c r="D7" s="81">
        <v>5899</v>
      </c>
      <c r="E7" s="81">
        <v>872</v>
      </c>
      <c r="F7" s="81">
        <v>277</v>
      </c>
      <c r="G7" s="81">
        <v>3876599</v>
      </c>
      <c r="H7" s="85">
        <f>implementazione!$C$20</f>
        <v>66.394907280802727</v>
      </c>
      <c r="J7" s="14">
        <f t="shared" si="4"/>
        <v>42276</v>
      </c>
      <c r="K7" s="5">
        <f>+VLOOKUP($J7,'Prezzi-Rend EUR'!$D$4:$I$447,K$3,0)</f>
        <v>20.515000000000001</v>
      </c>
      <c r="L7" s="5">
        <f>+VLOOKUP($J7,'Prezzi-Rend EUR'!$D$4:$I$447,L$3,0)</f>
        <v>137.85</v>
      </c>
      <c r="M7" s="5">
        <f>+VLOOKUP($J7,'Prezzi-Rend EUR'!$D$4:$I$447,M$3,0)</f>
        <v>707.5544686527345</v>
      </c>
      <c r="N7" s="5">
        <f>+VLOOKUP($J7,'Prezzi-Rend EUR'!$D$4:$I$447,N$3,0)</f>
        <v>1.1587426999999999</v>
      </c>
      <c r="O7" s="5">
        <f>+VLOOKUP($J7,'Prezzi-Rend EUR'!$D$4:$I$447,O$3,0)</f>
        <v>0</v>
      </c>
      <c r="R7" s="14">
        <f t="shared" si="5"/>
        <v>42276</v>
      </c>
      <c r="S7" s="5">
        <f t="shared" si="0"/>
        <v>121017.985</v>
      </c>
      <c r="T7" s="5">
        <f t="shared" si="1"/>
        <v>120205.2</v>
      </c>
      <c r="U7" s="5">
        <f t="shared" si="2"/>
        <v>195992.58781680747</v>
      </c>
      <c r="V7" s="5">
        <f t="shared" si="3"/>
        <v>4491980.7920772992</v>
      </c>
      <c r="W7" s="5">
        <f>+H7+SUM($O$5:O7)</f>
        <v>66.394907280802727</v>
      </c>
      <c r="X7" s="5">
        <f t="shared" si="6"/>
        <v>4929262.959801387</v>
      </c>
      <c r="Y7" s="39">
        <f t="shared" ref="Y7:Y25" si="7">+X7/X6-1</f>
        <v>5.2446119976212735E-4</v>
      </c>
    </row>
    <row r="8" spans="1:16383" x14ac:dyDescent="0.75">
      <c r="C8" s="58">
        <v>42277</v>
      </c>
      <c r="D8" s="81">
        <v>5899</v>
      </c>
      <c r="E8" s="81">
        <v>872</v>
      </c>
      <c r="F8" s="81">
        <v>277</v>
      </c>
      <c r="G8" s="81">
        <v>3876599</v>
      </c>
      <c r="H8" s="85">
        <f>implementazione!$C$20</f>
        <v>66.394907280802727</v>
      </c>
      <c r="J8" s="14">
        <f t="shared" si="4"/>
        <v>42277</v>
      </c>
      <c r="K8" s="5">
        <f>+VLOOKUP($J8,'Prezzi-Rend EUR'!$D$4:$I$447,K$3,0)</f>
        <v>21.105</v>
      </c>
      <c r="L8" s="5">
        <f>+VLOOKUP($J8,'Prezzi-Rend EUR'!$D$4:$I$447,L$3,0)</f>
        <v>141</v>
      </c>
      <c r="M8" s="5">
        <f>+VLOOKUP($J8,'Prezzi-Rend EUR'!$D$4:$I$447,M$3,0)</f>
        <v>717.1975662133143</v>
      </c>
      <c r="N8" s="5">
        <f>+VLOOKUP($J8,'Prezzi-Rend EUR'!$D$4:$I$447,N$3,0)</f>
        <v>1.1588695</v>
      </c>
      <c r="O8" s="5">
        <f>+VLOOKUP($J8,'Prezzi-Rend EUR'!$D$4:$I$447,O$3,0)</f>
        <v>0</v>
      </c>
      <c r="R8" s="14">
        <f t="shared" si="5"/>
        <v>42277</v>
      </c>
      <c r="S8" s="5">
        <f t="shared" si="0"/>
        <v>124498.395</v>
      </c>
      <c r="T8" s="5">
        <f t="shared" si="1"/>
        <v>122952</v>
      </c>
      <c r="U8" s="5">
        <f t="shared" si="2"/>
        <v>198663.72584108807</v>
      </c>
      <c r="V8" s="5">
        <f t="shared" si="3"/>
        <v>4492472.3448305</v>
      </c>
      <c r="W8" s="5">
        <f>+H8+SUM($O$5:O8)</f>
        <v>66.394907280802727</v>
      </c>
      <c r="X8" s="5">
        <f t="shared" si="6"/>
        <v>4938652.8605788685</v>
      </c>
      <c r="Y8" s="39">
        <f t="shared" si="7"/>
        <v>1.9049299771705108E-3</v>
      </c>
    </row>
    <row r="9" spans="1:16383" x14ac:dyDescent="0.75">
      <c r="C9" s="58">
        <v>42278</v>
      </c>
      <c r="D9" s="81">
        <v>5899</v>
      </c>
      <c r="E9" s="81">
        <v>872</v>
      </c>
      <c r="F9" s="81">
        <v>277</v>
      </c>
      <c r="G9" s="81">
        <v>3876599</v>
      </c>
      <c r="H9" s="85">
        <f>implementazione!$C$20</f>
        <v>66.394907280802727</v>
      </c>
      <c r="J9" s="14">
        <f t="shared" si="4"/>
        <v>42278</v>
      </c>
      <c r="K9" s="5">
        <f>+VLOOKUP($J9,'Prezzi-Rend EUR'!$D$4:$I$447,K$3,0)</f>
        <v>20.984999999999999</v>
      </c>
      <c r="L9" s="5">
        <f>+VLOOKUP($J9,'Prezzi-Rend EUR'!$D$4:$I$447,L$3,0)</f>
        <v>140.82</v>
      </c>
      <c r="M9" s="5">
        <f>+VLOOKUP($J9,'Prezzi-Rend EUR'!$D$4:$I$447,M$3,0)</f>
        <v>717.51831338216914</v>
      </c>
      <c r="N9" s="5">
        <f>+VLOOKUP($J9,'Prezzi-Rend EUR'!$D$4:$I$447,N$3,0)</f>
        <v>1.1601298</v>
      </c>
      <c r="O9" s="5">
        <f>+VLOOKUP($J9,'Prezzi-Rend EUR'!$D$4:$I$447,O$3,0)</f>
        <v>0</v>
      </c>
      <c r="R9" s="14">
        <f t="shared" si="5"/>
        <v>42278</v>
      </c>
      <c r="S9" s="5">
        <f t="shared" si="0"/>
        <v>123790.515</v>
      </c>
      <c r="T9" s="5">
        <f t="shared" si="1"/>
        <v>122795.04</v>
      </c>
      <c r="U9" s="5">
        <f t="shared" si="2"/>
        <v>198752.57280686084</v>
      </c>
      <c r="V9" s="5">
        <f t="shared" si="3"/>
        <v>4497358.0225502001</v>
      </c>
      <c r="W9" s="5">
        <f>+H9+SUM($O$5:O9)</f>
        <v>66.394907280802727</v>
      </c>
      <c r="X9" s="5">
        <f t="shared" si="6"/>
        <v>4942762.5452643419</v>
      </c>
      <c r="Y9" s="39">
        <f t="shared" si="7"/>
        <v>8.3214690351640641E-4</v>
      </c>
    </row>
    <row r="10" spans="1:16383" x14ac:dyDescent="0.75">
      <c r="C10" s="58">
        <v>42279</v>
      </c>
      <c r="D10" s="81">
        <v>5899</v>
      </c>
      <c r="E10" s="81">
        <v>872</v>
      </c>
      <c r="F10" s="81">
        <v>277</v>
      </c>
      <c r="G10" s="81">
        <v>3876599</v>
      </c>
      <c r="H10" s="85">
        <f>implementazione!$C$20</f>
        <v>66.394907280802727</v>
      </c>
      <c r="J10" s="14">
        <f t="shared" si="4"/>
        <v>42279</v>
      </c>
      <c r="K10" s="5">
        <f>+VLOOKUP($J10,'Prezzi-Rend EUR'!$D$4:$I$447,K$3,0)</f>
        <v>21.234999999999999</v>
      </c>
      <c r="L10" s="5">
        <f>+VLOOKUP($J10,'Prezzi-Rend EUR'!$D$4:$I$447,L$3,0)</f>
        <v>140.59</v>
      </c>
      <c r="M10" s="5">
        <f>+VLOOKUP($J10,'Prezzi-Rend EUR'!$D$4:$I$447,M$3,0)</f>
        <v>706.6776697296815</v>
      </c>
      <c r="N10" s="5">
        <f>+VLOOKUP($J10,'Prezzi-Rend EUR'!$D$4:$I$447,N$3,0)</f>
        <v>1.1624964999999998</v>
      </c>
      <c r="O10" s="5">
        <f>+VLOOKUP($J10,'Prezzi-Rend EUR'!$D$4:$I$447,O$3,0)</f>
        <v>0</v>
      </c>
      <c r="R10" s="14">
        <f t="shared" si="5"/>
        <v>42279</v>
      </c>
      <c r="S10" s="5">
        <f t="shared" si="0"/>
        <v>125265.265</v>
      </c>
      <c r="T10" s="5">
        <f t="shared" si="1"/>
        <v>122594.48</v>
      </c>
      <c r="U10" s="5">
        <f t="shared" si="2"/>
        <v>195749.71451512177</v>
      </c>
      <c r="V10" s="5">
        <f t="shared" si="3"/>
        <v>4506532.7694034996</v>
      </c>
      <c r="W10" s="5">
        <f>+H10+SUM($O$5:O10)</f>
        <v>66.394907280802727</v>
      </c>
      <c r="X10" s="5">
        <f t="shared" si="6"/>
        <v>4950208.6238259021</v>
      </c>
      <c r="Y10" s="39">
        <f t="shared" si="7"/>
        <v>1.5064609099408877E-3</v>
      </c>
    </row>
    <row r="11" spans="1:16383" x14ac:dyDescent="0.75">
      <c r="C11" s="58">
        <v>42282</v>
      </c>
      <c r="D11" s="81">
        <v>5899</v>
      </c>
      <c r="E11" s="81">
        <v>872</v>
      </c>
      <c r="F11" s="81">
        <v>277</v>
      </c>
      <c r="G11" s="81">
        <v>3876599</v>
      </c>
      <c r="H11" s="85">
        <f>implementazione!$C$20</f>
        <v>66.394907280802727</v>
      </c>
      <c r="J11" s="14">
        <f t="shared" si="4"/>
        <v>42282</v>
      </c>
      <c r="K11" s="5">
        <f>+VLOOKUP($J11,'Prezzi-Rend EUR'!$D$4:$I$447,K$3,0)</f>
        <v>21.785</v>
      </c>
      <c r="L11" s="5">
        <f>+VLOOKUP($J11,'Prezzi-Rend EUR'!$D$4:$I$447,L$3,0)</f>
        <v>145.49</v>
      </c>
      <c r="M11" s="5">
        <f>+VLOOKUP($J11,'Prezzi-Rend EUR'!$D$4:$I$447,M$3,0)</f>
        <v>725.11399195350907</v>
      </c>
      <c r="N11" s="5">
        <f>+VLOOKUP($J11,'Prezzi-Rend EUR'!$D$4:$I$447,N$3,0)</f>
        <v>1.1621933000000002</v>
      </c>
      <c r="O11" s="5">
        <f>+VLOOKUP($J11,'Prezzi-Rend EUR'!$D$4:$I$447,O$3,0)</f>
        <v>0</v>
      </c>
      <c r="R11" s="14">
        <f t="shared" si="5"/>
        <v>42282</v>
      </c>
      <c r="S11" s="5">
        <f t="shared" si="0"/>
        <v>128509.715</v>
      </c>
      <c r="T11" s="5">
        <f t="shared" si="1"/>
        <v>126867.28000000001</v>
      </c>
      <c r="U11" s="5">
        <f t="shared" si="2"/>
        <v>200856.57577112201</v>
      </c>
      <c r="V11" s="5">
        <f t="shared" si="3"/>
        <v>4505357.3845867012</v>
      </c>
      <c r="W11" s="5">
        <f>+H11+SUM($O$5:O11)</f>
        <v>66.394907280802727</v>
      </c>
      <c r="X11" s="5">
        <f t="shared" si="6"/>
        <v>4961657.3502651043</v>
      </c>
      <c r="Y11" s="39">
        <f t="shared" si="7"/>
        <v>2.3127765533150768E-3</v>
      </c>
    </row>
    <row r="12" spans="1:16383" x14ac:dyDescent="0.75">
      <c r="C12" s="58">
        <v>42283</v>
      </c>
      <c r="D12" s="81">
        <v>5899</v>
      </c>
      <c r="E12" s="81">
        <v>872</v>
      </c>
      <c r="F12" s="81">
        <v>277</v>
      </c>
      <c r="G12" s="81">
        <v>3876599</v>
      </c>
      <c r="H12" s="85">
        <f>implementazione!$C$20</f>
        <v>66.394907280802727</v>
      </c>
      <c r="J12" s="14">
        <f t="shared" si="4"/>
        <v>42283</v>
      </c>
      <c r="K12" s="5">
        <f>+VLOOKUP($J12,'Prezzi-Rend EUR'!$D$4:$I$447,K$3,0)</f>
        <v>21.925000000000001</v>
      </c>
      <c r="L12" s="5">
        <f>+VLOOKUP($J12,'Prezzi-Rend EUR'!$D$4:$I$447,L$3,0)</f>
        <v>145.59</v>
      </c>
      <c r="M12" s="5">
        <f>+VLOOKUP($J12,'Prezzi-Rend EUR'!$D$4:$I$447,M$3,0)</f>
        <v>730.62655307064244</v>
      </c>
      <c r="N12" s="5">
        <f>+VLOOKUP($J12,'Prezzi-Rend EUR'!$D$4:$I$447,N$3,0)</f>
        <v>1.1612800999999999</v>
      </c>
      <c r="O12" s="5">
        <f>+VLOOKUP($J12,'Prezzi-Rend EUR'!$D$4:$I$447,O$3,0)</f>
        <v>0</v>
      </c>
      <c r="R12" s="14">
        <f t="shared" si="5"/>
        <v>42283</v>
      </c>
      <c r="S12" s="5">
        <f t="shared" si="0"/>
        <v>129335.575</v>
      </c>
      <c r="T12" s="5">
        <f t="shared" si="1"/>
        <v>126954.48</v>
      </c>
      <c r="U12" s="5">
        <f t="shared" si="2"/>
        <v>202383.55520056796</v>
      </c>
      <c r="V12" s="5">
        <f t="shared" si="3"/>
        <v>4501817.2743798997</v>
      </c>
      <c r="W12" s="5">
        <f>+H12+SUM($O$5:O12)</f>
        <v>66.394907280802727</v>
      </c>
      <c r="X12" s="5">
        <f t="shared" si="6"/>
        <v>4960557.2794877486</v>
      </c>
      <c r="Y12" s="39">
        <f t="shared" si="7"/>
        <v>-2.2171437882478884E-4</v>
      </c>
    </row>
    <row r="13" spans="1:16383" x14ac:dyDescent="0.75">
      <c r="C13" s="58">
        <v>42284</v>
      </c>
      <c r="D13" s="81">
        <v>5899</v>
      </c>
      <c r="E13" s="81">
        <v>872</v>
      </c>
      <c r="F13" s="81">
        <v>277</v>
      </c>
      <c r="G13" s="81">
        <v>3876599</v>
      </c>
      <c r="H13" s="85">
        <f>implementazione!$C$20</f>
        <v>66.394907280802727</v>
      </c>
      <c r="J13" s="14">
        <f t="shared" si="4"/>
        <v>42284</v>
      </c>
      <c r="K13" s="5">
        <f>+VLOOKUP($J13,'Prezzi-Rend EUR'!$D$4:$I$447,K$3,0)</f>
        <v>21.87</v>
      </c>
      <c r="L13" s="5">
        <f>+VLOOKUP($J13,'Prezzi-Rend EUR'!$D$4:$I$447,L$3,0)</f>
        <v>146</v>
      </c>
      <c r="M13" s="5">
        <f>+VLOOKUP($J13,'Prezzi-Rend EUR'!$D$4:$I$447,M$3,0)</f>
        <v>733.68936359590566</v>
      </c>
      <c r="N13" s="5">
        <f>+VLOOKUP($J13,'Prezzi-Rend EUR'!$D$4:$I$447,N$3,0)</f>
        <v>1.1608468000000001</v>
      </c>
      <c r="O13" s="5">
        <f>+VLOOKUP($J13,'Prezzi-Rend EUR'!$D$4:$I$447,O$3,0)</f>
        <v>0</v>
      </c>
      <c r="R13" s="14">
        <f t="shared" si="5"/>
        <v>42284</v>
      </c>
      <c r="S13" s="5">
        <f t="shared" si="0"/>
        <v>129011.13</v>
      </c>
      <c r="T13" s="5">
        <f t="shared" si="1"/>
        <v>127312</v>
      </c>
      <c r="U13" s="5">
        <f t="shared" si="2"/>
        <v>203231.95371606588</v>
      </c>
      <c r="V13" s="5">
        <f t="shared" si="3"/>
        <v>4500137.5440332005</v>
      </c>
      <c r="W13" s="5">
        <f>+H13+SUM($O$5:O13)</f>
        <v>66.394907280802727</v>
      </c>
      <c r="X13" s="5">
        <f t="shared" si="6"/>
        <v>4959759.0226565469</v>
      </c>
      <c r="Y13" s="39">
        <f t="shared" si="7"/>
        <v>-1.6092079704488338E-4</v>
      </c>
    </row>
    <row r="14" spans="1:16383" x14ac:dyDescent="0.75">
      <c r="C14" s="58">
        <v>42285</v>
      </c>
      <c r="D14" s="81">
        <v>5899</v>
      </c>
      <c r="E14" s="81">
        <v>872</v>
      </c>
      <c r="F14" s="81">
        <v>277</v>
      </c>
      <c r="G14" s="81">
        <v>3876599</v>
      </c>
      <c r="H14" s="85">
        <f>implementazione!$C$20</f>
        <v>66.394907280802727</v>
      </c>
      <c r="J14" s="14">
        <f t="shared" si="4"/>
        <v>42285</v>
      </c>
      <c r="K14" s="5">
        <f>+VLOOKUP($J14,'Prezzi-Rend EUR'!$D$4:$I$447,K$3,0)</f>
        <v>21.975000000000001</v>
      </c>
      <c r="L14" s="5">
        <f>+VLOOKUP($J14,'Prezzi-Rend EUR'!$D$4:$I$447,L$3,0)</f>
        <v>146.74</v>
      </c>
      <c r="M14" s="5">
        <f>+VLOOKUP($J14,'Prezzi-Rend EUR'!$D$4:$I$447,M$3,0)</f>
        <v>730.39546018797671</v>
      </c>
      <c r="N14" s="5">
        <f>+VLOOKUP($J14,'Prezzi-Rend EUR'!$D$4:$I$447,N$3,0)</f>
        <v>1.1616071000000001</v>
      </c>
      <c r="O14" s="5">
        <f>+VLOOKUP($J14,'Prezzi-Rend EUR'!$D$4:$I$447,O$3,0)</f>
        <v>0</v>
      </c>
      <c r="R14" s="14">
        <f t="shared" si="5"/>
        <v>42285</v>
      </c>
      <c r="S14" s="5">
        <f t="shared" si="0"/>
        <v>129630.52500000001</v>
      </c>
      <c r="T14" s="5">
        <f t="shared" si="1"/>
        <v>127957.28000000001</v>
      </c>
      <c r="U14" s="5">
        <f t="shared" si="2"/>
        <v>202319.54247206956</v>
      </c>
      <c r="V14" s="5">
        <f t="shared" si="3"/>
        <v>4503084.9222529009</v>
      </c>
      <c r="W14" s="5">
        <f>+H14+SUM($O$5:O14)</f>
        <v>66.394907280802727</v>
      </c>
      <c r="X14" s="5">
        <f t="shared" si="6"/>
        <v>4963058.6646322515</v>
      </c>
      <c r="Y14" s="39">
        <f t="shared" si="7"/>
        <v>6.6528272051757931E-4</v>
      </c>
    </row>
    <row r="15" spans="1:16383" s="77" customFormat="1" x14ac:dyDescent="0.75">
      <c r="C15" s="82">
        <v>42286</v>
      </c>
      <c r="D15" s="83">
        <v>5899</v>
      </c>
      <c r="E15" s="83">
        <v>872</v>
      </c>
      <c r="F15" s="83">
        <v>277</v>
      </c>
      <c r="G15" s="83">
        <v>3876599</v>
      </c>
      <c r="H15" s="86">
        <f>implementazione!$C$20</f>
        <v>66.394907280802727</v>
      </c>
      <c r="J15" s="78">
        <f t="shared" si="4"/>
        <v>42286</v>
      </c>
      <c r="K15" s="79">
        <f>+VLOOKUP($J15,'Prezzi-Rend EUR'!$D$4:$I$447,K$3,0)</f>
        <v>22.1</v>
      </c>
      <c r="L15" s="79">
        <f>+VLOOKUP($J15,'Prezzi-Rend EUR'!$D$4:$I$447,L$3,0)</f>
        <v>147.1</v>
      </c>
      <c r="M15" s="79">
        <f>+VLOOKUP($J15,'Prezzi-Rend EUR'!$D$4:$I$447,M$3,0)</f>
        <v>736.0489695261582</v>
      </c>
      <c r="N15" s="79">
        <f>+VLOOKUP($J15,'Prezzi-Rend EUR'!$D$4:$I$447,N$3,0)</f>
        <v>1.1620037999999999</v>
      </c>
      <c r="O15" s="79">
        <f>+VLOOKUP($J15,'Prezzi-Rend EUR'!$D$4:$I$447,O$3,0)</f>
        <v>0</v>
      </c>
      <c r="R15" s="78">
        <f t="shared" si="5"/>
        <v>42286</v>
      </c>
      <c r="S15" s="79">
        <f t="shared" si="0"/>
        <v>130367.90000000001</v>
      </c>
      <c r="T15" s="79">
        <f t="shared" si="1"/>
        <v>128271.2</v>
      </c>
      <c r="U15" s="79">
        <f t="shared" si="2"/>
        <v>203885.56455874583</v>
      </c>
      <c r="V15" s="79">
        <f t="shared" si="3"/>
        <v>4504622.7690761993</v>
      </c>
      <c r="W15" s="79">
        <f>+H15+SUM($O$5:O15)</f>
        <v>66.394907280802727</v>
      </c>
      <c r="X15" s="79">
        <f t="shared" si="6"/>
        <v>4967213.828542226</v>
      </c>
      <c r="Y15" s="80">
        <f t="shared" si="7"/>
        <v>8.3721837494787898E-4</v>
      </c>
    </row>
    <row r="16" spans="1:16383" x14ac:dyDescent="0.75">
      <c r="C16" s="58">
        <v>42289</v>
      </c>
      <c r="D16" s="81">
        <v>11343</v>
      </c>
      <c r="E16" s="81">
        <v>1706</v>
      </c>
      <c r="F16" s="81">
        <v>265</v>
      </c>
      <c r="G16" s="81">
        <v>3676589</v>
      </c>
      <c r="H16" s="72">
        <v>25.852588963403832</v>
      </c>
      <c r="J16" s="14">
        <f t="shared" si="4"/>
        <v>42289</v>
      </c>
      <c r="K16" s="5">
        <f>+VLOOKUP($J16,'Prezzi-Rend EUR'!$D$4:$I$447,K$3,0)</f>
        <v>21.88</v>
      </c>
      <c r="L16" s="5">
        <f>+VLOOKUP($J16,'Prezzi-Rend EUR'!$D$4:$I$447,L$3,0)</f>
        <v>146.66</v>
      </c>
      <c r="M16" s="5">
        <f>+VLOOKUP($J16,'Prezzi-Rend EUR'!$D$4:$I$447,M$3,0)</f>
        <v>731.734918538089</v>
      </c>
      <c r="N16" s="5">
        <f>+VLOOKUP($J16,'Prezzi-Rend EUR'!$D$4:$I$447,N$3,0)</f>
        <v>1.1621106000000001</v>
      </c>
      <c r="O16" s="5">
        <f>+VLOOKUP($J16,'Prezzi-Rend EUR'!$D$4:$I$447,O$3,0)</f>
        <v>0</v>
      </c>
      <c r="R16" s="14">
        <f t="shared" si="5"/>
        <v>42289</v>
      </c>
      <c r="S16" s="5">
        <f t="shared" si="0"/>
        <v>248184.84</v>
      </c>
      <c r="T16" s="5">
        <f t="shared" si="1"/>
        <v>250201.96</v>
      </c>
      <c r="U16" s="5">
        <f t="shared" si="2"/>
        <v>193909.75341259359</v>
      </c>
      <c r="V16" s="5">
        <f t="shared" si="3"/>
        <v>4272603.0487434007</v>
      </c>
      <c r="W16" s="5">
        <f>+H16+SUM($O$16:O16)</f>
        <v>25.852588963403832</v>
      </c>
      <c r="X16" s="5">
        <f t="shared" si="6"/>
        <v>4964925.4547449583</v>
      </c>
      <c r="Y16" s="39">
        <f t="shared" si="7"/>
        <v>-4.6069564875950153E-4</v>
      </c>
    </row>
    <row r="17" spans="3:25" x14ac:dyDescent="0.75">
      <c r="C17" s="58">
        <v>42290</v>
      </c>
      <c r="D17" s="81">
        <v>11343</v>
      </c>
      <c r="E17" s="81">
        <v>1706</v>
      </c>
      <c r="F17" s="81">
        <v>265</v>
      </c>
      <c r="G17" s="81">
        <v>3676589</v>
      </c>
      <c r="H17" s="72">
        <v>25.852588963403832</v>
      </c>
      <c r="J17" s="14">
        <f t="shared" si="4"/>
        <v>42290</v>
      </c>
      <c r="K17" s="5">
        <f>+VLOOKUP($J17,'Prezzi-Rend EUR'!$D$4:$I$447,K$3,0)</f>
        <v>21.864999999999998</v>
      </c>
      <c r="L17" s="5">
        <f>+VLOOKUP($J17,'Prezzi-Rend EUR'!$D$4:$I$447,L$3,0)</f>
        <v>146.19999999999999</v>
      </c>
      <c r="M17" s="5">
        <f>+VLOOKUP($J17,'Prezzi-Rend EUR'!$D$4:$I$447,M$3,0)</f>
        <v>724.65717299578068</v>
      </c>
      <c r="N17" s="5">
        <f>+VLOOKUP($J17,'Prezzi-Rend EUR'!$D$4:$I$447,N$3,0)</f>
        <v>1.1618974</v>
      </c>
      <c r="O17" s="5">
        <f>+VLOOKUP($J17,'Prezzi-Rend EUR'!$D$4:$I$447,O$3,0)</f>
        <v>0</v>
      </c>
      <c r="R17" s="14">
        <f t="shared" si="5"/>
        <v>42290</v>
      </c>
      <c r="S17" s="5">
        <f t="shared" si="0"/>
        <v>248014.69499999998</v>
      </c>
      <c r="T17" s="5">
        <f t="shared" si="1"/>
        <v>249417.19999999998</v>
      </c>
      <c r="U17" s="5">
        <f t="shared" si="2"/>
        <v>192034.15084388189</v>
      </c>
      <c r="V17" s="5">
        <f t="shared" si="3"/>
        <v>4271819.1999685997</v>
      </c>
      <c r="W17" s="5">
        <f>+H17+SUM($O$16:O17)</f>
        <v>25.852588963403832</v>
      </c>
      <c r="X17" s="5">
        <f t="shared" si="6"/>
        <v>4961311.098401445</v>
      </c>
      <c r="Y17" s="39">
        <f t="shared" si="7"/>
        <v>-7.2797796793888647E-4</v>
      </c>
    </row>
    <row r="18" spans="3:25" x14ac:dyDescent="0.75">
      <c r="C18" s="58">
        <v>42291</v>
      </c>
      <c r="D18" s="81">
        <v>11343</v>
      </c>
      <c r="E18" s="81">
        <v>1706</v>
      </c>
      <c r="F18" s="81">
        <v>265</v>
      </c>
      <c r="G18" s="81">
        <v>3676589</v>
      </c>
      <c r="H18" s="72">
        <v>25.852588963403832</v>
      </c>
      <c r="J18" s="14">
        <f t="shared" si="4"/>
        <v>42291</v>
      </c>
      <c r="K18" s="5">
        <f>+VLOOKUP($J18,'Prezzi-Rend EUR'!$D$4:$I$447,K$3,0)</f>
        <v>21.65</v>
      </c>
      <c r="L18" s="5">
        <f>+VLOOKUP($J18,'Prezzi-Rend EUR'!$D$4:$I$447,L$3,0)</f>
        <v>144.36000000000001</v>
      </c>
      <c r="M18" s="5">
        <f>+VLOOKUP($J18,'Prezzi-Rend EUR'!$D$4:$I$447,M$3,0)</f>
        <v>715.24012899851834</v>
      </c>
      <c r="N18" s="5">
        <f>+VLOOKUP($J18,'Prezzi-Rend EUR'!$D$4:$I$447,N$3,0)</f>
        <v>1.1623741000000001</v>
      </c>
      <c r="O18" s="5">
        <f>+VLOOKUP($J18,'Prezzi-Rend EUR'!$D$4:$I$447,O$3,0)</f>
        <v>0</v>
      </c>
      <c r="R18" s="14">
        <f t="shared" si="5"/>
        <v>42291</v>
      </c>
      <c r="S18" s="5">
        <f t="shared" ref="S18:S25" si="8">+D18*K18</f>
        <v>245575.94999999998</v>
      </c>
      <c r="T18" s="5">
        <f t="shared" ref="T18:T25" si="9">+E18*L18</f>
        <v>246278.16000000003</v>
      </c>
      <c r="U18" s="5">
        <f t="shared" ref="U18:U25" si="10">+F18*M18</f>
        <v>189538.63418460736</v>
      </c>
      <c r="V18" s="5">
        <f t="shared" ref="V18:V25" si="11">+G18*N18</f>
        <v>4273571.8299449002</v>
      </c>
      <c r="W18" s="5">
        <f>+H18+SUM($O$16:O18)</f>
        <v>25.852588963403832</v>
      </c>
      <c r="X18" s="5">
        <f t="shared" ref="X18:X25" si="12">+SUM(S18:W18)</f>
        <v>4954990.4267184716</v>
      </c>
      <c r="Y18" s="39">
        <f t="shared" si="7"/>
        <v>-1.2739922084326061E-3</v>
      </c>
    </row>
    <row r="19" spans="3:25" x14ac:dyDescent="0.75">
      <c r="C19" s="58">
        <v>42292</v>
      </c>
      <c r="D19" s="81">
        <v>11343</v>
      </c>
      <c r="E19" s="81">
        <v>1706</v>
      </c>
      <c r="F19" s="81">
        <v>265</v>
      </c>
      <c r="G19" s="81">
        <v>3676589</v>
      </c>
      <c r="H19" s="72">
        <v>25.852588963403832</v>
      </c>
      <c r="J19" s="14">
        <f t="shared" si="4"/>
        <v>42292</v>
      </c>
      <c r="K19" s="5">
        <f>+VLOOKUP($J19,'Prezzi-Rend EUR'!$D$4:$I$447,K$3,0)</f>
        <v>22.03</v>
      </c>
      <c r="L19" s="5">
        <f>+VLOOKUP($J19,'Prezzi-Rend EUR'!$D$4:$I$447,L$3,0)</f>
        <v>145.75</v>
      </c>
      <c r="M19" s="5">
        <f>+VLOOKUP($J19,'Prezzi-Rend EUR'!$D$4:$I$447,M$3,0)</f>
        <v>716.77648919346336</v>
      </c>
      <c r="N19" s="5">
        <f>+VLOOKUP($J19,'Prezzi-Rend EUR'!$D$4:$I$447,N$3,0)</f>
        <v>1.1627144</v>
      </c>
      <c r="O19" s="5">
        <f>+VLOOKUP($J19,'Prezzi-Rend EUR'!$D$4:$I$447,O$3,0)</f>
        <v>0</v>
      </c>
      <c r="R19" s="14">
        <f t="shared" si="5"/>
        <v>42292</v>
      </c>
      <c r="S19" s="5">
        <f t="shared" si="8"/>
        <v>249886.29</v>
      </c>
      <c r="T19" s="5">
        <f t="shared" si="9"/>
        <v>248649.5</v>
      </c>
      <c r="U19" s="5">
        <f t="shared" si="10"/>
        <v>189945.7696362678</v>
      </c>
      <c r="V19" s="5">
        <f t="shared" si="11"/>
        <v>4274822.9731815998</v>
      </c>
      <c r="W19" s="5">
        <f>+H19+SUM($O$16:O19)</f>
        <v>25.852588963403832</v>
      </c>
      <c r="X19" s="5">
        <f t="shared" si="12"/>
        <v>4963330.3854068313</v>
      </c>
      <c r="Y19" s="39">
        <f t="shared" si="7"/>
        <v>1.6831432495587606E-3</v>
      </c>
    </row>
    <row r="20" spans="3:25" x14ac:dyDescent="0.75">
      <c r="C20" s="58">
        <v>42293</v>
      </c>
      <c r="D20" s="81">
        <v>11343</v>
      </c>
      <c r="E20" s="81">
        <v>1706</v>
      </c>
      <c r="F20" s="81">
        <v>265</v>
      </c>
      <c r="G20" s="81">
        <v>3676589</v>
      </c>
      <c r="H20" s="72">
        <v>25.852588963403832</v>
      </c>
      <c r="J20" s="14">
        <f t="shared" si="4"/>
        <v>42293</v>
      </c>
      <c r="K20" s="5">
        <f>+VLOOKUP($J20,'Prezzi-Rend EUR'!$D$4:$I$447,K$3,0)</f>
        <v>22.13</v>
      </c>
      <c r="L20" s="5">
        <f>+VLOOKUP($J20,'Prezzi-Rend EUR'!$D$4:$I$447,L$3,0)</f>
        <v>147.84</v>
      </c>
      <c r="M20" s="5">
        <f>+VLOOKUP($J20,'Prezzi-Rend EUR'!$D$4:$I$447,M$3,0)</f>
        <v>720.74739996474523</v>
      </c>
      <c r="N20" s="5">
        <f>+VLOOKUP($J20,'Prezzi-Rend EUR'!$D$4:$I$447,N$3,0)</f>
        <v>1.1634911999999999</v>
      </c>
      <c r="O20" s="5">
        <f>+VLOOKUP($J20,'Prezzi-Rend EUR'!$D$4:$I$447,O$3,0)</f>
        <v>0</v>
      </c>
      <c r="R20" s="14">
        <f t="shared" si="5"/>
        <v>42293</v>
      </c>
      <c r="S20" s="5">
        <f t="shared" si="8"/>
        <v>251020.59</v>
      </c>
      <c r="T20" s="5">
        <f t="shared" si="9"/>
        <v>252215.04000000001</v>
      </c>
      <c r="U20" s="5">
        <f t="shared" si="10"/>
        <v>190998.06099065748</v>
      </c>
      <c r="V20" s="5">
        <f t="shared" si="11"/>
        <v>4277678.9475167999</v>
      </c>
      <c r="W20" s="5">
        <f>+H20+SUM($O$16:O20)</f>
        <v>25.852588963403832</v>
      </c>
      <c r="X20" s="5">
        <f t="shared" si="12"/>
        <v>4971938.4910964211</v>
      </c>
      <c r="Y20" s="39">
        <f t="shared" si="7"/>
        <v>1.7343406586229904E-3</v>
      </c>
    </row>
    <row r="21" spans="3:25" x14ac:dyDescent="0.75">
      <c r="C21" s="58">
        <v>42296</v>
      </c>
      <c r="D21" s="81">
        <v>11343</v>
      </c>
      <c r="E21" s="81">
        <v>1706</v>
      </c>
      <c r="F21" s="81">
        <v>265</v>
      </c>
      <c r="G21" s="81">
        <v>3676589</v>
      </c>
      <c r="H21" s="72">
        <v>25.852588963403832</v>
      </c>
      <c r="J21" s="14">
        <f t="shared" si="4"/>
        <v>42296</v>
      </c>
      <c r="K21" s="5">
        <f>+VLOOKUP($J21,'Prezzi-Rend EUR'!$D$4:$I$447,K$3,0)</f>
        <v>22.23</v>
      </c>
      <c r="L21" s="5">
        <f>+VLOOKUP($J21,'Prezzi-Rend EUR'!$D$4:$I$447,L$3,0)</f>
        <v>148.12</v>
      </c>
      <c r="M21" s="5">
        <f>+VLOOKUP($J21,'Prezzi-Rend EUR'!$D$4:$I$447,M$3,0)</f>
        <v>714.64146944542563</v>
      </c>
      <c r="N21" s="5">
        <f>+VLOOKUP($J21,'Prezzi-Rend EUR'!$D$4:$I$447,N$3,0)</f>
        <v>1.1641078999999999</v>
      </c>
      <c r="O21" s="5">
        <f>+VLOOKUP($J21,'Prezzi-Rend EUR'!$D$4:$I$447,O$3,0)</f>
        <v>0</v>
      </c>
      <c r="R21" s="14">
        <f t="shared" si="5"/>
        <v>42296</v>
      </c>
      <c r="S21" s="5">
        <f t="shared" si="8"/>
        <v>252154.89</v>
      </c>
      <c r="T21" s="5">
        <f t="shared" si="9"/>
        <v>252692.72</v>
      </c>
      <c r="U21" s="5">
        <f t="shared" si="10"/>
        <v>189379.98940303779</v>
      </c>
      <c r="V21" s="5">
        <f t="shared" si="11"/>
        <v>4279946.2999530993</v>
      </c>
      <c r="W21" s="5">
        <f>+H21+SUM($O$16:O21)</f>
        <v>25.852588963403832</v>
      </c>
      <c r="X21" s="5">
        <f t="shared" si="12"/>
        <v>4974199.7519451007</v>
      </c>
      <c r="Y21" s="39">
        <f t="shared" si="7"/>
        <v>4.5480467079972442E-4</v>
      </c>
    </row>
    <row r="22" spans="3:25" x14ac:dyDescent="0.75">
      <c r="C22" s="58">
        <v>42297</v>
      </c>
      <c r="D22" s="81">
        <v>11343</v>
      </c>
      <c r="E22" s="81">
        <v>1706</v>
      </c>
      <c r="F22" s="81">
        <v>265</v>
      </c>
      <c r="G22" s="81">
        <v>3676589</v>
      </c>
      <c r="H22" s="72">
        <v>25.852588963403832</v>
      </c>
      <c r="J22" s="14">
        <f t="shared" si="4"/>
        <v>42297</v>
      </c>
      <c r="K22" s="5">
        <f>+VLOOKUP($J22,'Prezzi-Rend EUR'!$D$4:$I$447,K$3,0)</f>
        <v>22.085000000000001</v>
      </c>
      <c r="L22" s="5">
        <f>+VLOOKUP($J22,'Prezzi-Rend EUR'!$D$4:$I$447,L$3,0)</f>
        <v>147.66</v>
      </c>
      <c r="M22" s="5">
        <f>+VLOOKUP($J22,'Prezzi-Rend EUR'!$D$4:$I$447,M$3,0)</f>
        <v>713.12588152327214</v>
      </c>
      <c r="N22" s="5">
        <f>+VLOOKUP($J22,'Prezzi-Rend EUR'!$D$4:$I$447,N$3,0)</f>
        <v>1.1623347000000002</v>
      </c>
      <c r="O22" s="5">
        <f>+VLOOKUP($J22,'Prezzi-Rend EUR'!$D$4:$I$447,O$3,0)</f>
        <v>0</v>
      </c>
      <c r="R22" s="14">
        <f t="shared" si="5"/>
        <v>42297</v>
      </c>
      <c r="S22" s="5">
        <f t="shared" si="8"/>
        <v>250510.155</v>
      </c>
      <c r="T22" s="5">
        <f t="shared" si="9"/>
        <v>251907.96</v>
      </c>
      <c r="U22" s="5">
        <f t="shared" si="10"/>
        <v>188978.35860366712</v>
      </c>
      <c r="V22" s="5">
        <f t="shared" si="11"/>
        <v>4273426.9723383002</v>
      </c>
      <c r="W22" s="5">
        <f>+H22+SUM($O$16:O22)</f>
        <v>25.852588963403832</v>
      </c>
      <c r="X22" s="5">
        <f t="shared" si="12"/>
        <v>4964849.2985309307</v>
      </c>
      <c r="Y22" s="39">
        <f t="shared" si="7"/>
        <v>-1.8797904950467181E-3</v>
      </c>
    </row>
    <row r="23" spans="3:25" x14ac:dyDescent="0.75">
      <c r="C23" s="58">
        <v>42298</v>
      </c>
      <c r="D23" s="81">
        <v>11343</v>
      </c>
      <c r="E23" s="81">
        <v>1706</v>
      </c>
      <c r="F23" s="81">
        <v>265</v>
      </c>
      <c r="G23" s="81">
        <v>3676589</v>
      </c>
      <c r="H23" s="72">
        <v>25.852588963403832</v>
      </c>
      <c r="J23" s="14">
        <f t="shared" si="4"/>
        <v>42298</v>
      </c>
      <c r="K23" s="5">
        <f>+VLOOKUP($J23,'Prezzi-Rend EUR'!$D$4:$I$447,K$3,0)</f>
        <v>22.01</v>
      </c>
      <c r="L23" s="5">
        <f>+VLOOKUP($J23,'Prezzi-Rend EUR'!$D$4:$I$447,L$3,0)</f>
        <v>147.99</v>
      </c>
      <c r="M23" s="5">
        <f>+VLOOKUP($J23,'Prezzi-Rend EUR'!$D$4:$I$447,M$3,0)</f>
        <v>710.35197600564572</v>
      </c>
      <c r="N23" s="5">
        <f>+VLOOKUP($J23,'Prezzi-Rend EUR'!$D$4:$I$447,N$3,0)</f>
        <v>1.1635313999999999</v>
      </c>
      <c r="O23" s="5">
        <f>+VLOOKUP($J23,'Prezzi-Rend EUR'!$D$4:$I$447,O$3,0)</f>
        <v>0</v>
      </c>
      <c r="R23" s="14">
        <f t="shared" si="5"/>
        <v>42298</v>
      </c>
      <c r="S23" s="5">
        <f t="shared" si="8"/>
        <v>249659.43000000002</v>
      </c>
      <c r="T23" s="5">
        <f t="shared" si="9"/>
        <v>252470.94</v>
      </c>
      <c r="U23" s="5">
        <f t="shared" si="10"/>
        <v>188243.27364149611</v>
      </c>
      <c r="V23" s="5">
        <f t="shared" si="11"/>
        <v>4277826.7463945998</v>
      </c>
      <c r="W23" s="5">
        <f>+H23+SUM($O$16:O23)</f>
        <v>25.852588963403832</v>
      </c>
      <c r="X23" s="5">
        <f t="shared" si="12"/>
        <v>4968226.2426250596</v>
      </c>
      <c r="Y23" s="39">
        <f t="shared" si="7"/>
        <v>6.8017051295554687E-4</v>
      </c>
    </row>
    <row r="24" spans="3:25" x14ac:dyDescent="0.75">
      <c r="C24" s="58">
        <v>42299</v>
      </c>
      <c r="D24" s="81">
        <v>11343</v>
      </c>
      <c r="E24" s="81">
        <v>1706</v>
      </c>
      <c r="F24" s="81">
        <v>265</v>
      </c>
      <c r="G24" s="81">
        <v>3676589</v>
      </c>
      <c r="H24" s="72">
        <v>25.852588963403832</v>
      </c>
      <c r="J24" s="14">
        <f t="shared" si="4"/>
        <v>42299</v>
      </c>
      <c r="K24" s="5">
        <f>+VLOOKUP($J24,'Prezzi-Rend EUR'!$D$4:$I$447,K$3,0)</f>
        <v>22.4</v>
      </c>
      <c r="L24" s="5">
        <f>+VLOOKUP($J24,'Prezzi-Rend EUR'!$D$4:$I$447,L$3,0)</f>
        <v>151.11000000000001</v>
      </c>
      <c r="M24" s="5">
        <f>+VLOOKUP($J24,'Prezzi-Rend EUR'!$D$4:$I$447,M$3,0)</f>
        <v>725.91842247433817</v>
      </c>
      <c r="N24" s="5">
        <f>+VLOOKUP($J24,'Prezzi-Rend EUR'!$D$4:$I$447,N$3,0)</f>
        <v>1.1700317</v>
      </c>
      <c r="O24" s="5">
        <f>+VLOOKUP($J24,'Prezzi-Rend EUR'!$D$4:$I$447,O$3,0)</f>
        <v>0</v>
      </c>
      <c r="R24" s="14">
        <f t="shared" si="5"/>
        <v>42299</v>
      </c>
      <c r="S24" s="5">
        <f t="shared" si="8"/>
        <v>254083.19999999998</v>
      </c>
      <c r="T24" s="5">
        <f t="shared" si="9"/>
        <v>257793.66000000003</v>
      </c>
      <c r="U24" s="5">
        <f t="shared" si="10"/>
        <v>192368.38195569962</v>
      </c>
      <c r="V24" s="5">
        <f t="shared" si="11"/>
        <v>4301725.6778712999</v>
      </c>
      <c r="W24" s="5">
        <f>+H24+SUM($O$16:O24)</f>
        <v>25.852588963403832</v>
      </c>
      <c r="X24" s="5">
        <f t="shared" si="12"/>
        <v>5005996.772415963</v>
      </c>
      <c r="Y24" s="39">
        <f t="shared" si="7"/>
        <v>7.6024174315674209E-3</v>
      </c>
    </row>
    <row r="25" spans="3:25" x14ac:dyDescent="0.75">
      <c r="C25" s="58">
        <v>42300</v>
      </c>
      <c r="D25" s="81">
        <v>11343</v>
      </c>
      <c r="E25" s="81">
        <v>1706</v>
      </c>
      <c r="F25" s="81">
        <v>265</v>
      </c>
      <c r="G25" s="81">
        <v>3676589</v>
      </c>
      <c r="H25" s="72">
        <v>25.852588963403832</v>
      </c>
      <c r="J25" s="14">
        <f t="shared" si="4"/>
        <v>42300</v>
      </c>
      <c r="K25" s="5">
        <f>+VLOOKUP($J25,'Prezzi-Rend EUR'!$D$4:$I$447,K$3,0)</f>
        <v>22.555</v>
      </c>
      <c r="L25" s="5">
        <f>+VLOOKUP($J25,'Prezzi-Rend EUR'!$D$4:$I$447,L$3,0)</f>
        <v>154.63999999999999</v>
      </c>
      <c r="M25" s="5">
        <f>+VLOOKUP($J25,'Prezzi-Rend EUR'!$D$4:$I$447,M$3,0)</f>
        <v>725.73996731432726</v>
      </c>
      <c r="N25" s="5">
        <f>+VLOOKUP($J25,'Prezzi-Rend EUR'!$D$4:$I$447,N$3,0)</f>
        <v>1.1699085</v>
      </c>
      <c r="O25" s="5">
        <f>+VLOOKUP($J25,'Prezzi-Rend EUR'!$D$4:$I$447,O$3,0)</f>
        <v>0</v>
      </c>
      <c r="R25" s="14">
        <f t="shared" si="5"/>
        <v>42300</v>
      </c>
      <c r="S25" s="5">
        <f t="shared" si="8"/>
        <v>255841.36499999999</v>
      </c>
      <c r="T25" s="5">
        <f t="shared" si="9"/>
        <v>263815.83999999997</v>
      </c>
      <c r="U25" s="5">
        <f t="shared" si="10"/>
        <v>192321.09133829671</v>
      </c>
      <c r="V25" s="5">
        <f t="shared" si="11"/>
        <v>4301272.7221065005</v>
      </c>
      <c r="W25" s="5">
        <f>+H25+SUM($O$16:O25)</f>
        <v>25.852588963403832</v>
      </c>
      <c r="X25" s="5">
        <f t="shared" si="12"/>
        <v>5013276.8710337607</v>
      </c>
      <c r="Y25" s="39">
        <f t="shared" si="7"/>
        <v>1.4542755316808709E-3</v>
      </c>
    </row>
  </sheetData>
  <sortState xmlns:xlrd2="http://schemas.microsoft.com/office/spreadsheetml/2017/richdata2" ref="C3:C23">
    <sortCondition ref="C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1:AU45"/>
  <sheetViews>
    <sheetView tabSelected="1" topLeftCell="V1" zoomScale="80" zoomScaleNormal="80" workbookViewId="0">
      <selection activeCell="AC20" sqref="AC20"/>
    </sheetView>
  </sheetViews>
  <sheetFormatPr defaultColWidth="8.86328125" defaultRowHeight="14.75" x14ac:dyDescent="0.75"/>
  <cols>
    <col min="1" max="2" width="8.86328125" style="4"/>
    <col min="3" max="3" width="10.54296875" style="4" bestFit="1" customWidth="1"/>
    <col min="4" max="4" width="10.1328125" style="4" bestFit="1" customWidth="1"/>
    <col min="5" max="5" width="12.6328125" style="4" bestFit="1" customWidth="1"/>
    <col min="6" max="6" width="11.36328125" style="4" customWidth="1"/>
    <col min="7" max="7" width="10" style="4" bestFit="1" customWidth="1"/>
    <col min="8" max="17" width="8.86328125" style="4"/>
    <col min="18" max="18" width="15.31640625" style="4" bestFit="1" customWidth="1"/>
    <col min="19" max="19" width="19.953125" style="4" bestFit="1" customWidth="1"/>
    <col min="20" max="20" width="12.6328125" style="4" bestFit="1" customWidth="1"/>
    <col min="21" max="21" width="11.36328125" style="4" bestFit="1" customWidth="1"/>
    <col min="22" max="22" width="16.76953125" style="4" bestFit="1" customWidth="1"/>
    <col min="23" max="23" width="10.86328125" style="4" bestFit="1" customWidth="1"/>
    <col min="24" max="24" width="12.6328125" style="4" bestFit="1" customWidth="1"/>
    <col min="25" max="25" width="14.36328125" style="4" bestFit="1" customWidth="1"/>
    <col min="26" max="26" width="12.6328125" style="4" bestFit="1" customWidth="1"/>
    <col min="27" max="27" width="10.36328125" style="4" bestFit="1" customWidth="1"/>
    <col min="28" max="28" width="8.86328125" style="4"/>
    <col min="29" max="29" width="13.36328125" style="4" customWidth="1"/>
    <col min="30" max="30" width="12.86328125" style="4" bestFit="1" customWidth="1"/>
    <col min="31" max="31" width="11.36328125" style="4" bestFit="1" customWidth="1"/>
    <col min="32" max="32" width="9" style="4" bestFit="1" customWidth="1"/>
    <col min="33" max="33" width="10.40625" style="4" bestFit="1" customWidth="1"/>
    <col min="34" max="34" width="10.86328125" style="4" bestFit="1" customWidth="1"/>
    <col min="35" max="35" width="10.86328125" style="4" customWidth="1"/>
    <col min="36" max="36" width="8.86328125" style="40"/>
    <col min="37" max="37" width="22.6328125" style="4" bestFit="1" customWidth="1"/>
    <col min="38" max="38" width="15.76953125" style="4" bestFit="1" customWidth="1"/>
    <col min="39" max="40" width="8.86328125" style="4"/>
    <col min="41" max="41" width="13.2265625" style="4" customWidth="1"/>
    <col min="42" max="42" width="10" style="4" customWidth="1"/>
    <col min="43" max="43" width="8.86328125" style="4"/>
    <col min="44" max="44" width="12.6328125" style="4" bestFit="1" customWidth="1"/>
    <col min="45" max="45" width="10.36328125" style="4" bestFit="1" customWidth="1"/>
    <col min="46" max="46" width="8.86328125" style="4"/>
    <col min="47" max="47" width="10.36328125" style="4" bestFit="1" customWidth="1"/>
    <col min="48" max="16384" width="8.86328125" style="4"/>
  </cols>
  <sheetData>
    <row r="1" spans="3:47" ht="15.5" thickBot="1" x14ac:dyDescent="0.9">
      <c r="C1" s="60" t="s">
        <v>176</v>
      </c>
      <c r="D1" s="25"/>
      <c r="E1" s="26"/>
      <c r="F1" s="60" t="s">
        <v>179</v>
      </c>
      <c r="G1" s="26"/>
      <c r="R1" s="38" t="s">
        <v>177</v>
      </c>
      <c r="AK1" s="4" t="s">
        <v>211</v>
      </c>
    </row>
    <row r="2" spans="3:47" ht="15.5" thickBot="1" x14ac:dyDescent="0.9">
      <c r="C2" s="21"/>
      <c r="D2" s="24" t="s">
        <v>177</v>
      </c>
      <c r="E2" s="26" t="s">
        <v>178</v>
      </c>
      <c r="F2" s="24" t="s">
        <v>177</v>
      </c>
      <c r="G2" s="26" t="s">
        <v>178</v>
      </c>
      <c r="S2" s="96" t="s">
        <v>180</v>
      </c>
      <c r="T2" s="97"/>
      <c r="U2" s="97"/>
      <c r="V2" s="97"/>
      <c r="W2" s="98"/>
      <c r="X2" s="96" t="s">
        <v>183</v>
      </c>
      <c r="Y2" s="97"/>
      <c r="Z2" s="97"/>
      <c r="AA2" s="97"/>
      <c r="AB2" s="98"/>
      <c r="AC2" s="96" t="s">
        <v>193</v>
      </c>
      <c r="AD2" s="19"/>
      <c r="AE2" s="19"/>
      <c r="AF2" s="19"/>
      <c r="AG2" s="19"/>
      <c r="AH2" s="20"/>
      <c r="AI2" s="36"/>
      <c r="AJ2" s="110"/>
      <c r="AK2" s="36" t="s">
        <v>199</v>
      </c>
      <c r="AL2" s="36" t="s">
        <v>200</v>
      </c>
      <c r="AM2" s="36"/>
      <c r="AO2" s="4" t="s">
        <v>212</v>
      </c>
      <c r="AP2" s="4" t="s">
        <v>213</v>
      </c>
    </row>
    <row r="3" spans="3:47" x14ac:dyDescent="0.75">
      <c r="F3" s="39">
        <v>0</v>
      </c>
      <c r="G3" s="39">
        <v>0</v>
      </c>
      <c r="S3" s="87" t="s">
        <v>191</v>
      </c>
      <c r="T3" s="36" t="s">
        <v>136</v>
      </c>
      <c r="U3" s="36" t="s">
        <v>138</v>
      </c>
      <c r="V3" s="36" t="s">
        <v>181</v>
      </c>
      <c r="W3" s="37" t="s">
        <v>154</v>
      </c>
      <c r="X3" s="87" t="s">
        <v>191</v>
      </c>
      <c r="Y3" s="36" t="s">
        <v>136</v>
      </c>
      <c r="Z3" s="36" t="s">
        <v>138</v>
      </c>
      <c r="AA3" s="36" t="s">
        <v>181</v>
      </c>
      <c r="AB3" s="37" t="s">
        <v>154</v>
      </c>
      <c r="AC3" s="87" t="s">
        <v>191</v>
      </c>
      <c r="AD3" s="36" t="s">
        <v>136</v>
      </c>
      <c r="AE3" s="36" t="s">
        <v>138</v>
      </c>
      <c r="AF3" s="36" t="s">
        <v>18</v>
      </c>
      <c r="AG3" s="36" t="s">
        <v>181</v>
      </c>
      <c r="AH3" s="37" t="s">
        <v>154</v>
      </c>
      <c r="AI3" s="36"/>
      <c r="AJ3" s="110"/>
      <c r="AK3" s="36"/>
      <c r="AL3" s="36"/>
      <c r="AM3" s="36"/>
      <c r="AR3" s="4" t="s">
        <v>190</v>
      </c>
    </row>
    <row r="4" spans="3:47" x14ac:dyDescent="0.75">
      <c r="C4" s="14">
        <f>+Valorizzazione!R6</f>
        <v>42275</v>
      </c>
      <c r="D4" s="88">
        <f>+Valorizzazione!Y6</f>
        <v>-1.4033855641578663E-3</v>
      </c>
      <c r="E4" s="39">
        <f>+VLOOKUP(C4,'Prezzi-Rend EUR'!$AZ$4:$BA$24,2,0)</f>
        <v>-5.7157253891805867E-3</v>
      </c>
      <c r="F4" s="88">
        <f>+D4</f>
        <v>-1.4033855641578663E-3</v>
      </c>
      <c r="G4" s="88">
        <f>+E4</f>
        <v>-5.7157253891805867E-3</v>
      </c>
      <c r="R4" s="14">
        <f>+Valorizzazione!R5</f>
        <v>42272</v>
      </c>
      <c r="S4" s="89"/>
      <c r="T4" s="64">
        <f>+Valorizzazione!S5+Valorizzazione!T5</f>
        <v>249207.73499999999</v>
      </c>
      <c r="U4" s="64"/>
      <c r="V4" s="64"/>
      <c r="W4" s="99"/>
      <c r="X4" s="89"/>
      <c r="Y4" s="64">
        <f>+Valorizzazione!U5</f>
        <v>197788.73950330535</v>
      </c>
      <c r="Z4" s="64"/>
      <c r="AA4" s="64"/>
      <c r="AB4" s="37"/>
      <c r="AC4" s="89"/>
      <c r="AD4" s="64">
        <f>+Valorizzazione!V5</f>
        <v>4486539.9853808004</v>
      </c>
      <c r="AE4" s="64"/>
      <c r="AF4" s="64"/>
      <c r="AG4" s="64"/>
      <c r="AH4" s="37"/>
      <c r="AI4" s="36"/>
      <c r="AJ4" s="110"/>
      <c r="AK4" s="36"/>
      <c r="AL4" s="36"/>
      <c r="AM4" s="36"/>
      <c r="AN4" s="4" t="s">
        <v>215</v>
      </c>
      <c r="AR4" s="65">
        <f>+Valorizzazione!X5</f>
        <v>4933602.854791387</v>
      </c>
    </row>
    <row r="5" spans="3:47" x14ac:dyDescent="0.75">
      <c r="C5" s="14">
        <f>+Valorizzazione!R7</f>
        <v>42276</v>
      </c>
      <c r="D5" s="88">
        <f>+Valorizzazione!Y7</f>
        <v>5.2446119976212735E-4</v>
      </c>
      <c r="E5" s="39">
        <f>+VLOOKUP(C5,'Prezzi-Rend EUR'!$AZ$4:$BA$24,2,0)</f>
        <v>6.6043492286405612E-4</v>
      </c>
      <c r="F5" s="39">
        <f>+(1+F4)*(1+D5)-1</f>
        <v>-8.7966038567244276E-4</v>
      </c>
      <c r="G5" s="39">
        <f>+(1+G4)*(1+E5)-1</f>
        <v>-5.0590653309731115E-3</v>
      </c>
      <c r="R5" s="14">
        <f>+Valorizzazione!R15</f>
        <v>42286</v>
      </c>
      <c r="S5" s="89">
        <f>+T4/$AR4</f>
        <v>5.0512321792982567E-2</v>
      </c>
      <c r="T5" s="64">
        <f>+Valorizzazione!S15+Valorizzazione!T15</f>
        <v>258639.1</v>
      </c>
      <c r="U5" s="64"/>
      <c r="V5" s="64">
        <f>+T5-T4-U5</f>
        <v>9431.3650000000198</v>
      </c>
      <c r="W5" s="90">
        <f>+V5/T4</f>
        <v>3.7845394325340745E-2</v>
      </c>
      <c r="X5" s="89">
        <f>+Y4/$AR4</f>
        <v>4.0090121828760102E-2</v>
      </c>
      <c r="Y5" s="64">
        <f>+Valorizzazione!U15</f>
        <v>203885.56455874583</v>
      </c>
      <c r="Z5" s="64"/>
      <c r="AA5" s="64">
        <f>+Y5-Y4-Z5</f>
        <v>6096.8250554404804</v>
      </c>
      <c r="AB5" s="90">
        <f>+AA5/Y4</f>
        <v>3.0824935083519217E-2</v>
      </c>
      <c r="AC5" s="89">
        <f>+AD4/$AR4</f>
        <v>0.90938409868633618</v>
      </c>
      <c r="AD5" s="64">
        <f>+Valorizzazione!V15</f>
        <v>4504622.7690761993</v>
      </c>
      <c r="AE5" s="64"/>
      <c r="AF5" s="64">
        <f>+SUM(Valorizzazione!O5:O15)</f>
        <v>0</v>
      </c>
      <c r="AG5" s="64">
        <f>+AD5-AD4-AE5+AF5</f>
        <v>18082.78369539883</v>
      </c>
      <c r="AH5" s="90">
        <f>+AG5/AD4</f>
        <v>4.0304519193678891E-3</v>
      </c>
      <c r="AI5" s="91"/>
      <c r="AJ5" s="111"/>
      <c r="AK5" s="112">
        <f>+S5*W5+X5*AB5+AC5*AH5</f>
        <v>6.8126630253988168E-3</v>
      </c>
      <c r="AL5" s="117">
        <f>+AK5-AK13</f>
        <v>-2.339515223400231E-3</v>
      </c>
      <c r="AM5" s="91"/>
      <c r="AN5" s="4" t="b">
        <f>+ABS(AL5-S45)&lt;10^-8</f>
        <v>1</v>
      </c>
      <c r="AO5" s="113">
        <f t="array" ref="AO5">+PRODUCT(1+D4:D13)-1</f>
        <v>6.8126630253986242E-3</v>
      </c>
      <c r="AP5" s="113" t="b">
        <f>+ABS(AO5-AK5)&lt;10^-8</f>
        <v>1</v>
      </c>
      <c r="AR5" s="65">
        <f>+Valorizzazione!X15</f>
        <v>4967213.828542226</v>
      </c>
      <c r="AT5" s="4" t="s">
        <v>189</v>
      </c>
      <c r="AU5" s="65">
        <f>+SUM(V5:V6,AA5:AA6,AG5:AG6)</f>
        <v>79877.324621129184</v>
      </c>
    </row>
    <row r="6" spans="3:47" ht="15.5" thickBot="1" x14ac:dyDescent="0.9">
      <c r="C6" s="14">
        <f>+Valorizzazione!R8</f>
        <v>42277</v>
      </c>
      <c r="D6" s="88">
        <f>+Valorizzazione!Y8</f>
        <v>1.9049299771705108E-3</v>
      </c>
      <c r="E6" s="39">
        <f>+VLOOKUP(C6,'Prezzi-Rend EUR'!$AZ$4:$BA$24,2,0)</f>
        <v>4.971868030369731E-3</v>
      </c>
      <c r="F6" s="39">
        <f t="shared" ref="F6:G23" si="0">+(1+F5)*(1+D6)-1</f>
        <v>1.0235939000595717E-3</v>
      </c>
      <c r="G6" s="39">
        <f t="shared" si="0"/>
        <v>-1.1235030578604643E-4</v>
      </c>
      <c r="R6" s="14">
        <f>+Valorizzazione!R25</f>
        <v>42300</v>
      </c>
      <c r="S6" s="92">
        <f>+(T5+U6)/$AR5</f>
        <v>9.9909341681319416E-2</v>
      </c>
      <c r="T6" s="100">
        <f>+Valorizzazione!S25+Valorizzazione!T25</f>
        <v>519657.20499999996</v>
      </c>
      <c r="U6" s="100">
        <f>+implementazione!M30+implementazione!N30</f>
        <v>237631.96359999999</v>
      </c>
      <c r="V6" s="100">
        <f>+T6-T5-U6</f>
        <v>23386.141399999964</v>
      </c>
      <c r="W6" s="93">
        <f>+V6/(T5+U6)</f>
        <v>4.712372555102156E-2</v>
      </c>
      <c r="X6" s="92">
        <f>+(Y5+Z6)/$AR5</f>
        <v>4.9990575480955937E-2</v>
      </c>
      <c r="Y6" s="100">
        <f>+Valorizzazione!U25</f>
        <v>192321.09133829671</v>
      </c>
      <c r="Z6" s="100">
        <f>+implementazione!O30</f>
        <v>44428.313267042438</v>
      </c>
      <c r="AA6" s="100">
        <f>+Y6-Y5-Z6</f>
        <v>-55992.786487491554</v>
      </c>
      <c r="AB6" s="93">
        <f>+AA6/(Y5+Z6)</f>
        <v>-0.22549197401997362</v>
      </c>
      <c r="AC6" s="92">
        <f>+(AD5+AE6)/$AR5</f>
        <v>0.85005394812808077</v>
      </c>
      <c r="AD6" s="100">
        <f>+Valorizzazione!V25</f>
        <v>4301272.7221065005</v>
      </c>
      <c r="AE6" s="100">
        <f>+implementazione!P30</f>
        <v>-282223.04292748019</v>
      </c>
      <c r="AF6" s="100">
        <f>+SUM(Valorizzazione!O16:O25)</f>
        <v>0</v>
      </c>
      <c r="AG6" s="100">
        <f>+AD6-AD5-AE6+AF6</f>
        <v>78872.995957781444</v>
      </c>
      <c r="AH6" s="93">
        <f>+AG6/(AD5+AE6)</f>
        <v>1.8679661110560481E-2</v>
      </c>
      <c r="AI6" s="91"/>
      <c r="AJ6" s="111"/>
      <c r="AK6" s="112">
        <f>+S6*W6+X6*AB6+AC6*AH6</f>
        <v>9.314346526504997E-3</v>
      </c>
      <c r="AL6" s="117">
        <f>+AK6-AK14</f>
        <v>-2.0164315255460467E-3</v>
      </c>
      <c r="AM6" s="91"/>
      <c r="AN6" s="4" t="b">
        <f>+ABS(AL6-T45)&lt;10^-8</f>
        <v>1</v>
      </c>
      <c r="AO6" s="113">
        <f t="array" ref="AO6">+PRODUCT(1+D14:D23)-1</f>
        <v>9.2734164627361615E-3</v>
      </c>
      <c r="AP6" s="113" t="b">
        <f>+ABS(AO6-AK6)&lt;10^-8</f>
        <v>0</v>
      </c>
      <c r="AR6" s="65">
        <f>+Valorizzazione!X25</f>
        <v>5013276.8710337607</v>
      </c>
      <c r="AU6" s="65">
        <f>+AR6-AR4</f>
        <v>79674.016242373735</v>
      </c>
    </row>
    <row r="7" spans="3:47" x14ac:dyDescent="0.75">
      <c r="C7" s="14">
        <f>+Valorizzazione!R9</f>
        <v>42278</v>
      </c>
      <c r="D7" s="88">
        <f>+Valorizzazione!Y9</f>
        <v>8.3214690351640641E-4</v>
      </c>
      <c r="E7" s="39">
        <f>+VLOOKUP(C7,'Prezzi-Rend EUR'!$AZ$4:$BA$24,2,0)</f>
        <v>1.9458554002585063E-3</v>
      </c>
      <c r="F7" s="39">
        <f t="shared" si="0"/>
        <v>1.8565925840703379E-3</v>
      </c>
      <c r="G7" s="39">
        <f t="shared" si="0"/>
        <v>1.8332864770231883E-3</v>
      </c>
      <c r="AK7" s="39">
        <f>+(1+AK5)*(1+AK6)-1</f>
        <v>1.6190465056090897E-2</v>
      </c>
      <c r="AL7" s="117">
        <f>+AK7-AK15</f>
        <v>-4.3961925451891926E-3</v>
      </c>
      <c r="AN7" s="4" t="b">
        <f>+ABS(AL7-V45)&lt;10^-8</f>
        <v>1</v>
      </c>
      <c r="AU7" s="4" t="b">
        <f>+ABS(AU6-AU5)&lt;10^-6</f>
        <v>0</v>
      </c>
    </row>
    <row r="8" spans="3:47" x14ac:dyDescent="0.75">
      <c r="C8" s="14">
        <f>+Valorizzazione!R10</f>
        <v>42279</v>
      </c>
      <c r="D8" s="88">
        <f>+Valorizzazione!Y10</f>
        <v>1.5064609099408877E-3</v>
      </c>
      <c r="E8" s="39">
        <f>+VLOOKUP(C8,'Prezzi-Rend EUR'!$AZ$4:$BA$24,2,0)</f>
        <v>6.7377272480465553E-4</v>
      </c>
      <c r="F8" s="39">
        <f t="shared" si="0"/>
        <v>3.3658503781648363E-3</v>
      </c>
      <c r="G8" s="39">
        <f t="shared" si="0"/>
        <v>2.508294420252799E-3</v>
      </c>
    </row>
    <row r="9" spans="3:47" ht="15.5" thickBot="1" x14ac:dyDescent="0.9">
      <c r="C9" s="14">
        <f>+Valorizzazione!R11</f>
        <v>42282</v>
      </c>
      <c r="D9" s="88">
        <f>+Valorizzazione!Y11</f>
        <v>2.3127765533150768E-3</v>
      </c>
      <c r="E9" s="39">
        <f>+VLOOKUP(C9,'Prezzi-Rend EUR'!$AZ$4:$BA$24,2,0)</f>
        <v>5.4234370451817452E-3</v>
      </c>
      <c r="F9" s="39">
        <f t="shared" si="0"/>
        <v>5.686411391316426E-3</v>
      </c>
      <c r="G9" s="39">
        <f t="shared" si="0"/>
        <v>7.9453350423135394E-3</v>
      </c>
      <c r="R9" s="38" t="s">
        <v>178</v>
      </c>
    </row>
    <row r="10" spans="3:47" x14ac:dyDescent="0.75">
      <c r="C10" s="14">
        <f>+Valorizzazione!R12</f>
        <v>42283</v>
      </c>
      <c r="D10" s="88">
        <f>+Valorizzazione!Y12</f>
        <v>-2.2171437882478884E-4</v>
      </c>
      <c r="E10" s="39">
        <f>+VLOOKUP(C10,'Prezzi-Rend EUR'!$AZ$4:$BA$24,2,0)</f>
        <v>-1.2994773762578847E-3</v>
      </c>
      <c r="F10" s="39">
        <f t="shared" si="0"/>
        <v>5.4634362533223513E-3</v>
      </c>
      <c r="G10" s="39">
        <f t="shared" si="0"/>
        <v>6.6355328829212912E-3</v>
      </c>
      <c r="S10" s="96" t="s">
        <v>184</v>
      </c>
      <c r="T10" s="97"/>
      <c r="U10" s="98"/>
      <c r="V10" s="96" t="s">
        <v>186</v>
      </c>
      <c r="W10" s="97"/>
      <c r="X10" s="98"/>
      <c r="Y10" s="96" t="s">
        <v>185</v>
      </c>
      <c r="Z10" s="97"/>
      <c r="AA10" s="98"/>
      <c r="AB10" s="96" t="s">
        <v>187</v>
      </c>
      <c r="AC10" s="97"/>
      <c r="AD10" s="98"/>
      <c r="AE10" s="96" t="s">
        <v>188</v>
      </c>
      <c r="AF10" s="19"/>
      <c r="AG10" s="20"/>
      <c r="AK10" s="4" t="s">
        <v>214</v>
      </c>
    </row>
    <row r="11" spans="3:47" x14ac:dyDescent="0.75">
      <c r="C11" s="14">
        <f>+Valorizzazione!R13</f>
        <v>42284</v>
      </c>
      <c r="D11" s="88">
        <f>+Valorizzazione!Y13</f>
        <v>-1.6092079704488338E-4</v>
      </c>
      <c r="E11" s="39">
        <f>+VLOOKUP(C11,'Prezzi-Rend EUR'!$AZ$4:$BA$24,2,0)</f>
        <v>2.4137004388082085E-3</v>
      </c>
      <c r="F11" s="39">
        <f t="shared" si="0"/>
        <v>5.3016362757609681E-3</v>
      </c>
      <c r="G11" s="39">
        <f t="shared" si="0"/>
        <v>9.0652495103609176E-3</v>
      </c>
      <c r="S11" s="87" t="s">
        <v>173</v>
      </c>
      <c r="T11" s="36" t="s">
        <v>198</v>
      </c>
      <c r="U11" s="37" t="s">
        <v>154</v>
      </c>
      <c r="V11" s="87" t="s">
        <v>173</v>
      </c>
      <c r="W11" s="36" t="s">
        <v>198</v>
      </c>
      <c r="X11" s="37" t="s">
        <v>154</v>
      </c>
      <c r="Y11" s="87" t="s">
        <v>173</v>
      </c>
      <c r="Z11" s="36" t="s">
        <v>198</v>
      </c>
      <c r="AA11" s="37" t="s">
        <v>154</v>
      </c>
      <c r="AB11" s="87" t="s">
        <v>173</v>
      </c>
      <c r="AC11" s="36" t="s">
        <v>198</v>
      </c>
      <c r="AD11" s="37" t="s">
        <v>154</v>
      </c>
      <c r="AE11" s="87" t="s">
        <v>173</v>
      </c>
      <c r="AF11" s="36" t="s">
        <v>198</v>
      </c>
      <c r="AG11" s="37" t="s">
        <v>154</v>
      </c>
    </row>
    <row r="12" spans="3:47" x14ac:dyDescent="0.75">
      <c r="C12" s="14">
        <f>+Valorizzazione!R14</f>
        <v>42285</v>
      </c>
      <c r="D12" s="88">
        <f>+Valorizzazione!Y14</f>
        <v>6.6528272051757931E-4</v>
      </c>
      <c r="E12" s="39">
        <f>+VLOOKUP(C12,'Prezzi-Rend EUR'!$AZ$4:$BA$24,2,0)</f>
        <v>2.115231072011592E-3</v>
      </c>
      <c r="F12" s="39">
        <f t="shared" si="0"/>
        <v>5.9704460832832318E-3</v>
      </c>
      <c r="G12" s="39">
        <f t="shared" si="0"/>
        <v>1.1199655679812404E-2</v>
      </c>
      <c r="R12" s="14">
        <f>+R4</f>
        <v>42272</v>
      </c>
      <c r="S12" s="35"/>
      <c r="T12" s="66">
        <f>+'Prezzi-Rend EUR'!AD25</f>
        <v>148.19</v>
      </c>
      <c r="U12" s="37"/>
      <c r="V12" s="35"/>
      <c r="W12" s="66">
        <f>+'Prezzi-Rend EUR'!AE25</f>
        <v>1102.3399999999999</v>
      </c>
      <c r="X12" s="37"/>
      <c r="Y12" s="35"/>
      <c r="Z12" s="66">
        <f>+'Prezzi-Rend EUR'!AF25</f>
        <v>17.059999999999999</v>
      </c>
      <c r="AA12" s="37"/>
      <c r="AB12" s="35"/>
      <c r="AC12" s="66">
        <f>+'Prezzi-Rend EUR'!AG25</f>
        <v>991.88499999999999</v>
      </c>
      <c r="AD12" s="37"/>
      <c r="AE12" s="35"/>
      <c r="AF12" s="66">
        <f>+'Prezzi-Rend EUR'!AH25</f>
        <v>58.8</v>
      </c>
      <c r="AG12" s="37"/>
    </row>
    <row r="13" spans="3:47" x14ac:dyDescent="0.75">
      <c r="C13" s="14">
        <f>+Valorizzazione!R15</f>
        <v>42286</v>
      </c>
      <c r="D13" s="88">
        <f>+Valorizzazione!Y15</f>
        <v>8.3721837494787898E-4</v>
      </c>
      <c r="E13" s="39">
        <f>+VLOOKUP(C13,'Prezzi-Rend EUR'!$AZ$4:$BA$24,2,0)</f>
        <v>-1.9709782799398668E-3</v>
      </c>
      <c r="F13" s="39">
        <f t="shared" si="0"/>
        <v>6.8126630253986242E-3</v>
      </c>
      <c r="G13" s="39">
        <f t="shared" si="0"/>
        <v>9.2066031217847843E-3</v>
      </c>
      <c r="R13" s="14">
        <f t="shared" ref="R13:R14" si="1">+R5</f>
        <v>42286</v>
      </c>
      <c r="S13" s="94">
        <v>0.15</v>
      </c>
      <c r="T13" s="66">
        <f>+'Prezzi-Rend EUR'!AD15</f>
        <v>153.78</v>
      </c>
      <c r="U13" s="90">
        <f>+T13/T12-1</f>
        <v>3.7721843579188841E-2</v>
      </c>
      <c r="V13" s="94">
        <v>0.15</v>
      </c>
      <c r="W13" s="66">
        <f>+'Prezzi-Rend EUR'!AE15</f>
        <v>1102.71</v>
      </c>
      <c r="X13" s="90">
        <f>+W13/W12-1</f>
        <v>3.3564961808529858E-4</v>
      </c>
      <c r="Y13" s="94">
        <v>0.6</v>
      </c>
      <c r="Z13" s="66">
        <f>+'Prezzi-Rend EUR'!AF15</f>
        <v>17.07</v>
      </c>
      <c r="AA13" s="90">
        <f>+Z13/Z12-1</f>
        <v>5.8616647127784915E-4</v>
      </c>
      <c r="AB13" s="94">
        <v>0.05</v>
      </c>
      <c r="AC13" s="66">
        <f>+'Prezzi-Rend EUR'!AG15</f>
        <v>1016.615</v>
      </c>
      <c r="AD13" s="90">
        <f>+AC13/AC12-1</f>
        <v>2.4932325824062351E-2</v>
      </c>
      <c r="AE13" s="94">
        <v>0.05</v>
      </c>
      <c r="AF13" s="66">
        <f>+'Prezzi-Rend EUR'!AH15</f>
        <v>60.97</v>
      </c>
      <c r="AG13" s="90">
        <f>+AF13/AF12-1</f>
        <v>3.6904761904761996E-2</v>
      </c>
      <c r="AK13" s="109">
        <f>+S13*U13+V13*X13+Y13*AA13+AB13*AD13+AE13*AG13</f>
        <v>9.1521782487990477E-3</v>
      </c>
      <c r="AL13" s="109">
        <f t="array" ref="AL13">+PRODUCT(1+E3:E13)-1</f>
        <v>9.2066031217847843E-3</v>
      </c>
      <c r="AM13" s="4" t="b">
        <f>+ABS(AL13-AK13)&lt;10^-4</f>
        <v>1</v>
      </c>
    </row>
    <row r="14" spans="3:47" ht="15.5" thickBot="1" x14ac:dyDescent="0.9">
      <c r="C14" s="14">
        <f>+Valorizzazione!R16</f>
        <v>42289</v>
      </c>
      <c r="D14" s="88">
        <f>+Valorizzazione!Y16</f>
        <v>-4.6069564875950153E-4</v>
      </c>
      <c r="E14" s="39">
        <f>+VLOOKUP(C14,'Prezzi-Rend EUR'!$AZ$4:$BA$24,2,0)</f>
        <v>2.0894494890661757E-3</v>
      </c>
      <c r="F14" s="39">
        <f t="shared" si="0"/>
        <v>6.3488288124269321E-3</v>
      </c>
      <c r="G14" s="39">
        <f t="shared" si="0"/>
        <v>1.1315289343039936E-2</v>
      </c>
      <c r="R14" s="14">
        <f t="shared" si="1"/>
        <v>42300</v>
      </c>
      <c r="S14" s="95">
        <v>0.15</v>
      </c>
      <c r="T14" s="22">
        <f>+'Prezzi-Rend EUR'!AD5</f>
        <v>161.29</v>
      </c>
      <c r="U14" s="93">
        <f>+T14/T13-1</f>
        <v>4.8835999479776238E-2</v>
      </c>
      <c r="V14" s="95">
        <v>0.15</v>
      </c>
      <c r="W14" s="22">
        <f>+'Prezzi-Rend EUR'!AE5</f>
        <v>1106.3800000000001</v>
      </c>
      <c r="X14" s="93">
        <f>+W14/W13-1</f>
        <v>3.3281642498934616E-3</v>
      </c>
      <c r="Y14" s="95">
        <v>0.6</v>
      </c>
      <c r="Z14" s="22">
        <f>+'Prezzi-Rend EUR'!AF5</f>
        <v>17.16</v>
      </c>
      <c r="AA14" s="93">
        <f>+Z14/Z13-1</f>
        <v>5.2724077328647478E-3</v>
      </c>
      <c r="AB14" s="95">
        <v>0.05</v>
      </c>
      <c r="AC14" s="22">
        <f>+'Prezzi-Rend EUR'!AG5</f>
        <v>1007.576</v>
      </c>
      <c r="AD14" s="93">
        <f>+AC14/AC13-1</f>
        <v>-8.8912715236347806E-3</v>
      </c>
      <c r="AE14" s="95">
        <v>0.05</v>
      </c>
      <c r="AF14" s="22">
        <f>+'Prezzi-Rend EUR'!AH5</f>
        <v>61.93</v>
      </c>
      <c r="AG14" s="93">
        <f>+AF14/AF13-1</f>
        <v>1.5745448581269583E-2</v>
      </c>
      <c r="AK14" s="109">
        <f>+S14*U14+V14*X14+Y14*AA14+AB14*AD14+AE14*AG14</f>
        <v>1.1330778052051044E-2</v>
      </c>
      <c r="AL14" s="109">
        <f t="array" ref="AL14">+PRODUCT(E14:E23+1)-1</f>
        <v>1.1373971463279675E-2</v>
      </c>
      <c r="AM14" s="4" t="b">
        <f t="shared" ref="AM14:AM15" si="2">+ABS(AL14-AK14)&lt;10^-4</f>
        <v>1</v>
      </c>
    </row>
    <row r="15" spans="3:47" x14ac:dyDescent="0.75">
      <c r="C15" s="14">
        <f>+Valorizzazione!R17</f>
        <v>42290</v>
      </c>
      <c r="D15" s="88">
        <f>+Valorizzazione!Y17</f>
        <v>-7.2797796793888647E-4</v>
      </c>
      <c r="E15" s="39">
        <f>+VLOOKUP(C15,'Prezzi-Rend EUR'!$AZ$4:$BA$24,2,0)</f>
        <v>-3.0379249946524637E-3</v>
      </c>
      <c r="F15" s="39">
        <f t="shared" si="0"/>
        <v>5.6162290369903278E-3</v>
      </c>
      <c r="G15" s="39">
        <f t="shared" si="0"/>
        <v>8.2429893480704397E-3</v>
      </c>
      <c r="AK15" s="109">
        <f>+(1+AK13)*(1+AK14)-1</f>
        <v>2.0586657601280089E-2</v>
      </c>
      <c r="AL15" s="109">
        <f>+(1+AL13)*(1+AL14)-1</f>
        <v>2.0685290226245323E-2</v>
      </c>
      <c r="AM15" s="4" t="b">
        <f t="shared" si="2"/>
        <v>1</v>
      </c>
    </row>
    <row r="16" spans="3:47" x14ac:dyDescent="0.75">
      <c r="C16" s="14">
        <f>+Valorizzazione!R18</f>
        <v>42291</v>
      </c>
      <c r="D16" s="88">
        <f>+Valorizzazione!Y18</f>
        <v>-1.2739922084326061E-3</v>
      </c>
      <c r="E16" s="39">
        <f>+VLOOKUP(C16,'Prezzi-Rend EUR'!$AZ$4:$BA$24,2,0)</f>
        <v>-2.9818896290935697E-4</v>
      </c>
      <c r="F16" s="39">
        <f t="shared" si="0"/>
        <v>4.3350817965237542E-3</v>
      </c>
      <c r="G16" s="39">
        <f t="shared" si="0"/>
        <v>7.9423424167162082E-3</v>
      </c>
    </row>
    <row r="17" spans="3:30" x14ac:dyDescent="0.75">
      <c r="C17" s="14">
        <f>+Valorizzazione!R19</f>
        <v>42292</v>
      </c>
      <c r="D17" s="88">
        <f>+Valorizzazione!Y19</f>
        <v>1.6831432495587606E-3</v>
      </c>
      <c r="E17" s="39">
        <f>+VLOOKUP(C17,'Prezzi-Rend EUR'!$AZ$4:$BA$24,2,0)</f>
        <v>2.9478709465322163E-3</v>
      </c>
      <c r="F17" s="39">
        <f t="shared" si="0"/>
        <v>6.0255216097446773E-3</v>
      </c>
      <c r="G17" s="39">
        <f t="shared" si="0"/>
        <v>1.0913626363706186E-2</v>
      </c>
      <c r="Z17" s="109"/>
      <c r="AA17" s="109"/>
      <c r="AB17" s="109"/>
      <c r="AC17" s="109"/>
      <c r="AD17" s="109"/>
    </row>
    <row r="18" spans="3:30" ht="15.5" thickBot="1" x14ac:dyDescent="0.9">
      <c r="C18" s="14">
        <f>+Valorizzazione!R20</f>
        <v>42293</v>
      </c>
      <c r="D18" s="88">
        <f>+Valorizzazione!Y20</f>
        <v>1.7343406586229904E-3</v>
      </c>
      <c r="E18" s="39">
        <f>+VLOOKUP(C18,'Prezzi-Rend EUR'!$AZ$4:$BA$24,2,0)</f>
        <v>1.8141044220706946E-3</v>
      </c>
      <c r="F18" s="39">
        <f t="shared" si="0"/>
        <v>7.7703125754848834E-3</v>
      </c>
      <c r="G18" s="39">
        <f t="shared" si="0"/>
        <v>1.2747529243624101E-2</v>
      </c>
      <c r="R18" s="38" t="s">
        <v>192</v>
      </c>
      <c r="X18" s="38" t="s">
        <v>216</v>
      </c>
    </row>
    <row r="19" spans="3:30" ht="15.5" thickBot="1" x14ac:dyDescent="0.9">
      <c r="C19" s="14">
        <f>+Valorizzazione!R21</f>
        <v>42296</v>
      </c>
      <c r="D19" s="88">
        <f>+Valorizzazione!Y21</f>
        <v>4.5480467079972442E-4</v>
      </c>
      <c r="E19" s="39">
        <f>+VLOOKUP(C19,'Prezzi-Rend EUR'!$AZ$4:$BA$24,2,0)</f>
        <v>-5.9037855648648137E-4</v>
      </c>
      <c r="F19" s="39">
        <f t="shared" si="0"/>
        <v>8.2286512207374596E-3</v>
      </c>
      <c r="G19" s="39">
        <f t="shared" si="0"/>
        <v>1.2149624819224103E-2</v>
      </c>
      <c r="R19" s="24"/>
      <c r="S19" s="105" t="s">
        <v>194</v>
      </c>
      <c r="T19" s="105" t="s">
        <v>195</v>
      </c>
      <c r="U19" s="25"/>
      <c r="V19" s="26" t="s">
        <v>201</v>
      </c>
      <c r="X19" s="116" t="s">
        <v>194</v>
      </c>
      <c r="Y19" s="105" t="s">
        <v>195</v>
      </c>
      <c r="Z19" s="25"/>
      <c r="AA19" s="26" t="s">
        <v>201</v>
      </c>
    </row>
    <row r="20" spans="3:30" x14ac:dyDescent="0.75">
      <c r="C20" s="14">
        <f>+Valorizzazione!R22</f>
        <v>42297</v>
      </c>
      <c r="D20" s="88">
        <f>+Valorizzazione!Y22</f>
        <v>-1.8797904950467181E-3</v>
      </c>
      <c r="E20" s="39">
        <f>+VLOOKUP(C20,'Prezzi-Rend EUR'!$AZ$4:$BA$24,2,0)</f>
        <v>-3.4136383876306461E-4</v>
      </c>
      <c r="F20" s="39">
        <f t="shared" si="0"/>
        <v>6.3333925853390483E-3</v>
      </c>
      <c r="G20" s="39">
        <f t="shared" si="0"/>
        <v>1.1804113537893235E-2</v>
      </c>
      <c r="R20" s="4" t="s">
        <v>184</v>
      </c>
      <c r="S20" s="106">
        <f>+(S5-S13)*(U13-AK13)</f>
        <v>-2.8423296708720018E-3</v>
      </c>
      <c r="T20" s="106">
        <f>+(S6-S14)*(U14-AK14)</f>
        <v>-1.8786612317026402E-3</v>
      </c>
      <c r="V20" s="101">
        <f t="shared" ref="V20:V24" si="3">+S20*(1+$AK$14)+T20*(1+$AK$5)</f>
        <v>-4.7659953951365228E-3</v>
      </c>
      <c r="X20" s="113">
        <f>+((S5+X5+AC5)-(S13+V13+Y13+AB13+AE13))*AK13</f>
        <v>-1.2316719528007613E-7</v>
      </c>
      <c r="Y20" s="113">
        <f>+((S6+X6+AC6)-(S14+V14+Y14+AB14+AE14))*AK14</f>
        <v>-5.2274215547056271E-7</v>
      </c>
      <c r="Z20" s="101"/>
      <c r="AA20" s="101">
        <f>+X20*(1+$AK$14)+Y20*(1+$AK$5)</f>
        <v>-6.5086619705804259E-7</v>
      </c>
    </row>
    <row r="21" spans="3:30" x14ac:dyDescent="0.75">
      <c r="C21" s="14">
        <f>+Valorizzazione!R23</f>
        <v>42298</v>
      </c>
      <c r="D21" s="88">
        <f>+Valorizzazione!Y23</f>
        <v>6.8017051295554687E-4</v>
      </c>
      <c r="E21" s="39">
        <f>+VLOOKUP(C21,'Prezzi-Rend EUR'!$AZ$4:$BA$24,2,0)</f>
        <v>5.1382642829598244E-4</v>
      </c>
      <c r="F21" s="39">
        <f t="shared" si="0"/>
        <v>7.0178708851780236E-3</v>
      </c>
      <c r="G21" s="39">
        <f t="shared" si="0"/>
        <v>1.2324005231687529E-2</v>
      </c>
      <c r="R21" s="4" t="s">
        <v>186</v>
      </c>
      <c r="S21" s="106">
        <f>-V13*(X13-AK13)</f>
        <v>1.3224792946070624E-3</v>
      </c>
      <c r="T21" s="106">
        <f>-V14*(X14-AK14)</f>
        <v>1.2003920703236373E-3</v>
      </c>
      <c r="V21" s="101">
        <f t="shared" si="3"/>
        <v>2.5460339509698012E-3</v>
      </c>
    </row>
    <row r="22" spans="3:30" x14ac:dyDescent="0.75">
      <c r="C22" s="14">
        <f>+Valorizzazione!R24</f>
        <v>42299</v>
      </c>
      <c r="D22" s="88">
        <f>+Valorizzazione!Y24</f>
        <v>7.6024174315674209E-3</v>
      </c>
      <c r="E22" s="39">
        <f>+VLOOKUP(C22,'Prezzi-Rend EUR'!$AZ$4:$BA$24,2,0)</f>
        <v>4.0399576305139408E-3</v>
      </c>
      <c r="F22" s="39">
        <f t="shared" si="0"/>
        <v>1.4673641100695356E-2</v>
      </c>
      <c r="G22" s="39">
        <f t="shared" si="0"/>
        <v>1.6413751321175729E-2</v>
      </c>
      <c r="R22" s="4" t="s">
        <v>185</v>
      </c>
      <c r="S22" s="106">
        <f>+(AC5-Y13)*(AA13-AK13)</f>
        <v>-2.6501878331249367E-3</v>
      </c>
      <c r="T22" s="106">
        <f>+(AC6-Y14)*(AA14-AK14)</f>
        <v>-1.5149194175345143E-3</v>
      </c>
      <c r="V22" s="101">
        <f t="shared" si="3"/>
        <v>-4.2054565762951321E-3</v>
      </c>
    </row>
    <row r="23" spans="3:30" x14ac:dyDescent="0.75">
      <c r="C23" s="14">
        <f>+Valorizzazione!R25</f>
        <v>42300</v>
      </c>
      <c r="D23" s="88">
        <f>+Valorizzazione!Y25</f>
        <v>1.4542755316808709E-3</v>
      </c>
      <c r="E23" s="39">
        <f>+VLOOKUP(C23,'Prezzi-Rend EUR'!$AZ$4:$BA$24,2,0)</f>
        <v>4.2025591443618166E-3</v>
      </c>
      <c r="F23" s="39">
        <f t="shared" si="0"/>
        <v>1.614925614958973E-2</v>
      </c>
      <c r="G23" s="39">
        <f t="shared" si="0"/>
        <v>2.0685290226245545E-2</v>
      </c>
      <c r="I23" s="88"/>
      <c r="R23" s="4" t="s">
        <v>187</v>
      </c>
      <c r="S23" s="106">
        <f>+(X5-AB13)*(AD13-AK13)</f>
        <v>-1.5637933999504606E-4</v>
      </c>
      <c r="T23" s="106">
        <f>+(X6-AB14)*(AD14-AK14)</f>
        <v>1.9058309133608983E-7</v>
      </c>
      <c r="V23" s="101">
        <f t="shared" si="3"/>
        <v>-1.5795935811874044E-4</v>
      </c>
    </row>
    <row r="24" spans="3:30" x14ac:dyDescent="0.75">
      <c r="C24" s="14"/>
      <c r="D24" s="88"/>
      <c r="R24" s="77" t="s">
        <v>188</v>
      </c>
      <c r="S24" s="107">
        <f>-AE13*(AG13-AK13)</f>
        <v>-1.3876291827981475E-3</v>
      </c>
      <c r="T24" s="107">
        <f>-AE14*(AG14-AK14)</f>
        <v>-2.2073352646092699E-4</v>
      </c>
      <c r="U24" s="77"/>
      <c r="V24" s="102">
        <f t="shared" si="3"/>
        <v>-1.6255894106820957E-3</v>
      </c>
    </row>
    <row r="25" spans="3:30" x14ac:dyDescent="0.75">
      <c r="C25" s="14"/>
      <c r="D25" s="88"/>
      <c r="S25" s="108">
        <f>+SUM(S20:S24)</f>
        <v>-5.7140467321830698E-3</v>
      </c>
      <c r="T25" s="108">
        <f>+SUM(T20:T24)</f>
        <v>-2.4137315222831079E-3</v>
      </c>
      <c r="V25" s="101">
        <f>+S25*(1+$AK$14)+T25*(1+$AK$5)</f>
        <v>-8.2089667892626898E-3</v>
      </c>
    </row>
    <row r="26" spans="3:30" x14ac:dyDescent="0.75">
      <c r="C26" s="14"/>
      <c r="D26" s="88"/>
      <c r="S26" s="75"/>
      <c r="T26" s="75"/>
      <c r="V26" s="103"/>
    </row>
    <row r="27" spans="3:30" ht="15.5" thickBot="1" x14ac:dyDescent="0.9">
      <c r="C27" s="14"/>
      <c r="D27" s="88"/>
      <c r="R27" s="38" t="s">
        <v>196</v>
      </c>
      <c r="S27" s="75"/>
      <c r="T27" s="75"/>
      <c r="V27" s="103"/>
    </row>
    <row r="28" spans="3:30" ht="15.5" thickBot="1" x14ac:dyDescent="0.9">
      <c r="C28" s="14"/>
      <c r="D28" s="88"/>
      <c r="R28" s="24"/>
      <c r="S28" s="105" t="s">
        <v>194</v>
      </c>
      <c r="T28" s="105" t="s">
        <v>195</v>
      </c>
      <c r="U28" s="25"/>
      <c r="V28" s="104" t="s">
        <v>201</v>
      </c>
    </row>
    <row r="29" spans="3:30" x14ac:dyDescent="0.75">
      <c r="R29" s="4" t="s">
        <v>184</v>
      </c>
      <c r="S29" s="106">
        <f>+(W5-U13)*S13</f>
        <v>1.8532611922785631E-5</v>
      </c>
      <c r="T29" s="106">
        <f>+(W6-U14)*S14</f>
        <v>-2.5684108931320164E-4</v>
      </c>
      <c r="V29" s="101">
        <f t="shared" ref="V29:V33" si="4">+S29*(1+$AK$14)+T29*(1+$AK$5)</f>
        <v>-2.3984826027056131E-4</v>
      </c>
    </row>
    <row r="30" spans="3:30" x14ac:dyDescent="0.75">
      <c r="R30" s="4" t="s">
        <v>186</v>
      </c>
      <c r="S30" s="106">
        <v>0</v>
      </c>
      <c r="T30" s="106">
        <v>0</v>
      </c>
      <c r="V30" s="101">
        <f t="shared" si="4"/>
        <v>0</v>
      </c>
    </row>
    <row r="31" spans="3:30" x14ac:dyDescent="0.75">
      <c r="R31" s="4" t="s">
        <v>185</v>
      </c>
      <c r="S31" s="106">
        <f>+(AH5-AA13)*Y13</f>
        <v>2.0665712688540238E-3</v>
      </c>
      <c r="T31" s="106">
        <f>+(AH6-AA14)*Y14</f>
        <v>8.0443520266174403E-3</v>
      </c>
      <c r="V31" s="101">
        <f t="shared" si="4"/>
        <v>1.0189142615462624E-2</v>
      </c>
    </row>
    <row r="32" spans="3:30" x14ac:dyDescent="0.75">
      <c r="R32" s="4" t="s">
        <v>187</v>
      </c>
      <c r="S32" s="106">
        <f>+(AB5-AD13)*AB13</f>
        <v>2.9463046297284332E-4</v>
      </c>
      <c r="T32" s="106">
        <f>+(AB6-AD14)*AB14</f>
        <v>-1.0830035124816943E-2</v>
      </c>
      <c r="V32" s="101">
        <f t="shared" si="4"/>
        <v>-1.0605847649319393E-2</v>
      </c>
    </row>
    <row r="33" spans="18:22" x14ac:dyDescent="0.75">
      <c r="R33" s="77" t="s">
        <v>188</v>
      </c>
      <c r="S33" s="107">
        <v>0</v>
      </c>
      <c r="T33" s="107">
        <v>0</v>
      </c>
      <c r="U33" s="77"/>
      <c r="V33" s="102">
        <f t="shared" si="4"/>
        <v>0</v>
      </c>
    </row>
    <row r="34" spans="18:22" x14ac:dyDescent="0.75">
      <c r="S34" s="108">
        <f>+SUM(S29:S33)</f>
        <v>2.379734343749653E-3</v>
      </c>
      <c r="T34" s="108">
        <f>+SUM(T29:T33)</f>
        <v>-3.0425241875127046E-3</v>
      </c>
      <c r="V34" s="101">
        <f>+S34*(1+$AK$14)+T34*(1+$AK$5)</f>
        <v>-6.5655329412733039E-4</v>
      </c>
    </row>
    <row r="35" spans="18:22" x14ac:dyDescent="0.75">
      <c r="S35" s="75"/>
      <c r="T35" s="75"/>
      <c r="V35" s="103"/>
    </row>
    <row r="36" spans="18:22" ht="15.5" thickBot="1" x14ac:dyDescent="0.9">
      <c r="R36" s="38" t="s">
        <v>197</v>
      </c>
      <c r="S36" s="75"/>
      <c r="T36" s="75"/>
      <c r="V36" s="103"/>
    </row>
    <row r="37" spans="18:22" ht="15.5" thickBot="1" x14ac:dyDescent="0.9">
      <c r="R37" s="24"/>
      <c r="S37" s="105" t="s">
        <v>194</v>
      </c>
      <c r="T37" s="105" t="s">
        <v>195</v>
      </c>
      <c r="U37" s="25"/>
      <c r="V37" s="104" t="s">
        <v>201</v>
      </c>
    </row>
    <row r="38" spans="18:22" x14ac:dyDescent="0.75">
      <c r="R38" s="4" t="s">
        <v>184</v>
      </c>
      <c r="S38" s="106">
        <f>+(S5-S13)*(W5-U13)</f>
        <v>-1.2291776875397542E-5</v>
      </c>
      <c r="T38" s="106">
        <f>+(S6-S14)*(W6-U14)</f>
        <v>8.5768928313235374E-5</v>
      </c>
      <c r="V38" s="101">
        <f t="shared" ref="V38:V42" si="5">+S38*(1+$AK$14)+T38*(1+$AK$5)</f>
        <v>7.392219084884503E-5</v>
      </c>
    </row>
    <row r="39" spans="18:22" x14ac:dyDescent="0.75">
      <c r="R39" s="4" t="s">
        <v>186</v>
      </c>
      <c r="S39" s="106">
        <v>0</v>
      </c>
      <c r="T39" s="106">
        <v>0</v>
      </c>
      <c r="V39" s="101">
        <f t="shared" si="5"/>
        <v>0</v>
      </c>
    </row>
    <row r="40" spans="18:22" x14ac:dyDescent="0.75">
      <c r="R40" s="4" t="s">
        <v>185</v>
      </c>
      <c r="S40" s="106">
        <f>+(AC5-Y13)*(AH5-AA13)</f>
        <v>1.0656071489758005E-3</v>
      </c>
      <c r="T40" s="106">
        <f>+(AC6-Y14)*(AH6-AA14)</f>
        <v>3.3525366406463651E-3</v>
      </c>
      <c r="V40" s="101">
        <f t="shared" si="5"/>
        <v>4.453057650130916E-3</v>
      </c>
    </row>
    <row r="41" spans="18:22" x14ac:dyDescent="0.75">
      <c r="R41" s="4" t="s">
        <v>187</v>
      </c>
      <c r="S41" s="106">
        <f>+(X5-AB13)*(AB5-AD13)</f>
        <v>-5.8395039871937714E-5</v>
      </c>
      <c r="T41" s="106">
        <f>+(X6-AB14)*(AB6-AD14)</f>
        <v>2.0413574456347336E-6</v>
      </c>
      <c r="V41" s="101">
        <f t="shared" si="5"/>
        <v>-5.700143658204108E-5</v>
      </c>
    </row>
    <row r="42" spans="18:22" x14ac:dyDescent="0.75">
      <c r="R42" s="77" t="s">
        <v>188</v>
      </c>
      <c r="S42" s="107">
        <v>0</v>
      </c>
      <c r="T42" s="107">
        <v>0</v>
      </c>
      <c r="U42" s="77"/>
      <c r="V42" s="102">
        <f t="shared" si="5"/>
        <v>0</v>
      </c>
    </row>
    <row r="43" spans="18:22" x14ac:dyDescent="0.75">
      <c r="S43" s="108">
        <f>+SUM(S38:S42)</f>
        <v>9.9492033222846527E-4</v>
      </c>
      <c r="T43" s="108">
        <f>+SUM(T38:T42)</f>
        <v>3.440346926405235E-3</v>
      </c>
      <c r="V43" s="101">
        <f>+S43*(1+$AK$14)+T43*(1+$AK$5)</f>
        <v>4.4699784043977196E-3</v>
      </c>
    </row>
    <row r="44" spans="18:22" x14ac:dyDescent="0.75">
      <c r="S44" s="75"/>
      <c r="T44" s="75"/>
    </row>
    <row r="45" spans="18:22" x14ac:dyDescent="0.75">
      <c r="R45" s="38" t="s">
        <v>201</v>
      </c>
      <c r="S45" s="114">
        <f>+S43+S34+S25+X20</f>
        <v>-2.3395152234002314E-3</v>
      </c>
      <c r="T45" s="114">
        <f>+T43+T34+T25+Y20</f>
        <v>-2.016431525546048E-3</v>
      </c>
      <c r="U45" s="52"/>
      <c r="V45" s="115">
        <f>+V43+V34+V25+AA20</f>
        <v>-4.3961925451893591E-3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workflow</vt:lpstr>
      <vt:lpstr>Prezzi Trade</vt:lpstr>
      <vt:lpstr>Prezzi FI</vt:lpstr>
      <vt:lpstr>benchmark</vt:lpstr>
      <vt:lpstr>Prezzi-Rend EUR</vt:lpstr>
      <vt:lpstr>optim</vt:lpstr>
      <vt:lpstr>implementazione</vt:lpstr>
      <vt:lpstr>Valorizzazione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Sebastian Castellano</cp:lastModifiedBy>
  <dcterms:created xsi:type="dcterms:W3CDTF">2015-10-25T07:49:37Z</dcterms:created>
  <dcterms:modified xsi:type="dcterms:W3CDTF">2021-11-05T10:08:46Z</dcterms:modified>
</cp:coreProperties>
</file>