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Econometrics ^0 Insurance/Project Insurance/Final Project Insurance - Group 8/"/>
    </mc:Choice>
  </mc:AlternateContent>
  <xr:revisionPtr revIDLastSave="1121" documentId="11_F25DC773A252ABDACC10486DF95B47945BDE58F7" xr6:coauthVersionLast="47" xr6:coauthVersionMax="47" xr10:uidLastSave="{FE715E0B-CF43-4458-822F-D0A09F973927}"/>
  <bookViews>
    <workbookView xWindow="-90" yWindow="-90" windowWidth="19380" windowHeight="10380" firstSheet="6" activeTab="11" xr2:uid="{00000000-000D-0000-FFFF-FFFF00000000}"/>
  </bookViews>
  <sheets>
    <sheet name="Data" sheetId="6" r:id="rId1"/>
    <sheet name="Caso base" sheetId="1" r:id="rId2"/>
    <sheet name="ir risk (up)" sheetId="11" r:id="rId3"/>
    <sheet name="ir risk (down)" sheetId="12" r:id="rId4"/>
    <sheet name="equity risk" sheetId="13" r:id="rId5"/>
    <sheet name="mortality risk" sheetId="14" r:id="rId6"/>
    <sheet name="lapse risk (up)" sheetId="15" r:id="rId7"/>
    <sheet name="lapse risk (down)" sheetId="16" r:id="rId8"/>
    <sheet name="lapse risk (mass)" sheetId="17" r:id="rId9"/>
    <sheet name="cat risk" sheetId="18" r:id="rId10"/>
    <sheet name="expenses risk" sheetId="20" r:id="rId11"/>
    <sheet name="SCR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9" i="17" l="1"/>
  <c r="L58" i="17"/>
  <c r="U11" i="17"/>
  <c r="U12" i="17"/>
  <c r="U13" i="17"/>
  <c r="U14" i="17"/>
  <c r="U15" i="17"/>
  <c r="U16" i="17"/>
  <c r="U17" i="17"/>
  <c r="U18" i="17"/>
  <c r="U19" i="17"/>
  <c r="U20" i="17"/>
  <c r="U21" i="17"/>
  <c r="U22" i="17"/>
  <c r="U23" i="17"/>
  <c r="U24" i="17"/>
  <c r="U25" i="17"/>
  <c r="U26" i="17"/>
  <c r="U27" i="17"/>
  <c r="U28" i="17"/>
  <c r="U29" i="17"/>
  <c r="U30" i="17"/>
  <c r="U31" i="17"/>
  <c r="U32" i="17"/>
  <c r="U33" i="17"/>
  <c r="U34" i="17"/>
  <c r="U35" i="17"/>
  <c r="U36" i="17"/>
  <c r="U37" i="17"/>
  <c r="U38" i="17"/>
  <c r="U39" i="17"/>
  <c r="U40" i="17"/>
  <c r="U41" i="17"/>
  <c r="U42" i="17"/>
  <c r="U43" i="17"/>
  <c r="U44" i="17"/>
  <c r="U45" i="17"/>
  <c r="U46" i="17"/>
  <c r="U47" i="17"/>
  <c r="U48" i="17"/>
  <c r="U49" i="17"/>
  <c r="U50" i="17"/>
  <c r="U51" i="17"/>
  <c r="U52" i="17"/>
  <c r="U53" i="17"/>
  <c r="U54" i="17"/>
  <c r="U55" i="17"/>
  <c r="U56" i="17"/>
  <c r="U57" i="17"/>
  <c r="U58" i="17"/>
  <c r="U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10" i="17"/>
  <c r="O11" i="17"/>
  <c r="O12" i="17"/>
  <c r="O13" i="17"/>
  <c r="O14" i="17"/>
  <c r="O15" i="17"/>
  <c r="O16" i="17"/>
  <c r="O17" i="17"/>
  <c r="O18" i="17"/>
  <c r="O19" i="17"/>
  <c r="O20" i="17"/>
  <c r="O21" i="17"/>
  <c r="O22" i="17"/>
  <c r="O23" i="17"/>
  <c r="O24" i="17"/>
  <c r="O25" i="17"/>
  <c r="O26" i="17"/>
  <c r="O27" i="17"/>
  <c r="O28" i="17"/>
  <c r="O29" i="17"/>
  <c r="O30" i="17"/>
  <c r="O31" i="17"/>
  <c r="O32" i="17"/>
  <c r="O33" i="17"/>
  <c r="O34" i="17"/>
  <c r="O35" i="17"/>
  <c r="O36" i="17"/>
  <c r="O37" i="17"/>
  <c r="O38" i="17"/>
  <c r="O39" i="17"/>
  <c r="O40" i="17"/>
  <c r="O41" i="17"/>
  <c r="O42" i="17"/>
  <c r="O43" i="17"/>
  <c r="O44" i="17"/>
  <c r="O45" i="17"/>
  <c r="O46" i="17"/>
  <c r="O47" i="17"/>
  <c r="O48" i="17"/>
  <c r="O49" i="17"/>
  <c r="O50" i="17"/>
  <c r="O51" i="17"/>
  <c r="O52" i="17"/>
  <c r="O53" i="17"/>
  <c r="O54" i="17"/>
  <c r="O55" i="17"/>
  <c r="O56" i="17"/>
  <c r="O57" i="17"/>
  <c r="O58" i="17"/>
  <c r="O10" i="17"/>
  <c r="O9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10" i="17"/>
  <c r="U60" i="20"/>
  <c r="R60" i="20"/>
  <c r="O60" i="20"/>
  <c r="L60" i="20"/>
  <c r="U60" i="18"/>
  <c r="R60" i="18"/>
  <c r="O60" i="18"/>
  <c r="L60" i="18"/>
  <c r="U60" i="16"/>
  <c r="R60" i="16"/>
  <c r="O60" i="16"/>
  <c r="L60" i="16"/>
  <c r="U60" i="15"/>
  <c r="R60" i="15"/>
  <c r="O60" i="15"/>
  <c r="L60" i="15"/>
  <c r="U60" i="14"/>
  <c r="R60" i="14"/>
  <c r="O60" i="14"/>
  <c r="L60" i="14"/>
  <c r="U60" i="13"/>
  <c r="R60" i="13"/>
  <c r="O60" i="13"/>
  <c r="L60" i="13"/>
  <c r="U60" i="12"/>
  <c r="L60" i="12"/>
  <c r="R60" i="12"/>
  <c r="O60" i="12"/>
  <c r="U60" i="11"/>
  <c r="R60" i="11"/>
  <c r="O60" i="11"/>
  <c r="L60" i="11"/>
  <c r="R60" i="1"/>
  <c r="U60" i="1"/>
  <c r="O60" i="1"/>
  <c r="L60" i="1"/>
  <c r="C58" i="1"/>
  <c r="U60" i="17" l="1"/>
  <c r="R60" i="17"/>
  <c r="O60" i="17"/>
  <c r="L60" i="17"/>
  <c r="Q10" i="20"/>
  <c r="T9" i="1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9" i="20"/>
  <c r="N10" i="18"/>
  <c r="N11" i="18"/>
  <c r="N12" i="18"/>
  <c r="N13" i="18"/>
  <c r="N14" i="18"/>
  <c r="N15" i="18"/>
  <c r="N16" i="18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4" i="18"/>
  <c r="N55" i="18"/>
  <c r="N56" i="18"/>
  <c r="N57" i="18"/>
  <c r="N58" i="18"/>
  <c r="N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9" i="18"/>
  <c r="N10" i="17"/>
  <c r="N11" i="17"/>
  <c r="N12" i="17"/>
  <c r="N13" i="17"/>
  <c r="N14" i="17"/>
  <c r="N15" i="17"/>
  <c r="N16" i="17"/>
  <c r="N17" i="17"/>
  <c r="N18" i="17"/>
  <c r="N19" i="17"/>
  <c r="N20" i="17"/>
  <c r="N21" i="17"/>
  <c r="N22" i="17"/>
  <c r="N23" i="17"/>
  <c r="N24" i="17"/>
  <c r="N25" i="17"/>
  <c r="N26" i="17"/>
  <c r="N27" i="17"/>
  <c r="N28" i="17"/>
  <c r="N29" i="17"/>
  <c r="N30" i="17"/>
  <c r="N31" i="17"/>
  <c r="N32" i="17"/>
  <c r="N33" i="17"/>
  <c r="N34" i="17"/>
  <c r="N35" i="17"/>
  <c r="N36" i="17"/>
  <c r="N37" i="17"/>
  <c r="N38" i="17"/>
  <c r="N39" i="17"/>
  <c r="N40" i="17"/>
  <c r="N41" i="17"/>
  <c r="N42" i="17"/>
  <c r="N43" i="17"/>
  <c r="N44" i="17"/>
  <c r="N45" i="17"/>
  <c r="N46" i="17"/>
  <c r="N47" i="17"/>
  <c r="N48" i="17"/>
  <c r="N49" i="17"/>
  <c r="N50" i="17"/>
  <c r="N51" i="17"/>
  <c r="N52" i="17"/>
  <c r="N53" i="17"/>
  <c r="N54" i="17"/>
  <c r="N55" i="17"/>
  <c r="N56" i="17"/>
  <c r="N57" i="17"/>
  <c r="N58" i="17"/>
  <c r="N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9" i="17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9" i="16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9" i="15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5" i="14"/>
  <c r="N56" i="14"/>
  <c r="N57" i="14"/>
  <c r="N58" i="14"/>
  <c r="N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9" i="14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43" i="13"/>
  <c r="N44" i="13"/>
  <c r="N45" i="13"/>
  <c r="N46" i="13"/>
  <c r="N47" i="13"/>
  <c r="N48" i="13"/>
  <c r="N49" i="13"/>
  <c r="N50" i="13"/>
  <c r="N51" i="13"/>
  <c r="N52" i="13"/>
  <c r="N53" i="13"/>
  <c r="N54" i="13"/>
  <c r="N55" i="13"/>
  <c r="N56" i="13"/>
  <c r="N57" i="13"/>
  <c r="N58" i="13"/>
  <c r="N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9" i="13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9" i="12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9" i="1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9" i="1"/>
  <c r="C13" i="19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R42" i="20" s="1"/>
  <c r="Q43" i="20"/>
  <c r="Q44" i="20"/>
  <c r="Q45" i="20"/>
  <c r="Q46" i="20"/>
  <c r="Q47" i="20"/>
  <c r="Q48" i="20"/>
  <c r="Q49" i="20"/>
  <c r="Q50" i="20"/>
  <c r="R50" i="20" s="1"/>
  <c r="Q51" i="20"/>
  <c r="Q52" i="20"/>
  <c r="Q53" i="20"/>
  <c r="Q54" i="20"/>
  <c r="Q55" i="20"/>
  <c r="Q56" i="20"/>
  <c r="Q57" i="20"/>
  <c r="Q58" i="20"/>
  <c r="R58" i="20" s="1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9" i="20"/>
  <c r="Q9" i="20"/>
  <c r="H58" i="20"/>
  <c r="G58" i="20"/>
  <c r="F58" i="20"/>
  <c r="R57" i="20"/>
  <c r="H57" i="20"/>
  <c r="G57" i="20"/>
  <c r="F57" i="20"/>
  <c r="H56" i="20"/>
  <c r="G56" i="20"/>
  <c r="F56" i="20"/>
  <c r="H55" i="20"/>
  <c r="G55" i="20"/>
  <c r="F55" i="20"/>
  <c r="R54" i="20"/>
  <c r="H54" i="20"/>
  <c r="G54" i="20"/>
  <c r="F54" i="20"/>
  <c r="H53" i="20"/>
  <c r="G53" i="20"/>
  <c r="F53" i="20"/>
  <c r="R52" i="20"/>
  <c r="H52" i="20"/>
  <c r="G52" i="20"/>
  <c r="F52" i="20"/>
  <c r="H51" i="20"/>
  <c r="G51" i="20"/>
  <c r="F51" i="20"/>
  <c r="H50" i="20"/>
  <c r="G50" i="20"/>
  <c r="R51" i="20" s="1"/>
  <c r="F50" i="20"/>
  <c r="R49" i="20"/>
  <c r="H49" i="20"/>
  <c r="G49" i="20"/>
  <c r="F49" i="20"/>
  <c r="H48" i="20"/>
  <c r="G48" i="20"/>
  <c r="F48" i="20"/>
  <c r="H47" i="20"/>
  <c r="G47" i="20"/>
  <c r="F47" i="20"/>
  <c r="R46" i="20"/>
  <c r="H46" i="20"/>
  <c r="G46" i="20"/>
  <c r="R47" i="20" s="1"/>
  <c r="F46" i="20"/>
  <c r="H45" i="20"/>
  <c r="G45" i="20"/>
  <c r="F45" i="20"/>
  <c r="R44" i="20"/>
  <c r="H44" i="20"/>
  <c r="G44" i="20"/>
  <c r="F44" i="20"/>
  <c r="H43" i="20"/>
  <c r="G43" i="20"/>
  <c r="F43" i="20"/>
  <c r="H42" i="20"/>
  <c r="G42" i="20"/>
  <c r="F42" i="20"/>
  <c r="R41" i="20"/>
  <c r="H41" i="20"/>
  <c r="G41" i="20"/>
  <c r="F41" i="20"/>
  <c r="H40" i="20"/>
  <c r="G40" i="20"/>
  <c r="F40" i="20"/>
  <c r="H39" i="20"/>
  <c r="G39" i="20"/>
  <c r="F39" i="20"/>
  <c r="H38" i="20"/>
  <c r="R38" i="20" s="1"/>
  <c r="G38" i="20"/>
  <c r="F38" i="20"/>
  <c r="R37" i="20"/>
  <c r="H37" i="20"/>
  <c r="G37" i="20"/>
  <c r="F37" i="20"/>
  <c r="H36" i="20"/>
  <c r="G36" i="20"/>
  <c r="F36" i="20"/>
  <c r="H35" i="20"/>
  <c r="G35" i="20"/>
  <c r="F35" i="20"/>
  <c r="H34" i="20"/>
  <c r="G34" i="20"/>
  <c r="F34" i="20"/>
  <c r="R33" i="20"/>
  <c r="H33" i="20"/>
  <c r="G33" i="20"/>
  <c r="F33" i="20"/>
  <c r="H32" i="20"/>
  <c r="G32" i="20"/>
  <c r="F32" i="20"/>
  <c r="H31" i="20"/>
  <c r="G31" i="20"/>
  <c r="F31" i="20"/>
  <c r="H30" i="20"/>
  <c r="R30" i="20" s="1"/>
  <c r="G30" i="20"/>
  <c r="F30" i="20"/>
  <c r="R29" i="20"/>
  <c r="H29" i="20"/>
  <c r="G29" i="20"/>
  <c r="F29" i="20"/>
  <c r="H28" i="20"/>
  <c r="R28" i="20" s="1"/>
  <c r="G28" i="20"/>
  <c r="F28" i="20"/>
  <c r="H27" i="20"/>
  <c r="G27" i="20"/>
  <c r="F27" i="20"/>
  <c r="H26" i="20"/>
  <c r="G26" i="20"/>
  <c r="F26" i="20"/>
  <c r="R25" i="20"/>
  <c r="H25" i="20"/>
  <c r="G25" i="20"/>
  <c r="F25" i="20"/>
  <c r="H24" i="20"/>
  <c r="G24" i="20"/>
  <c r="F24" i="20"/>
  <c r="H23" i="20"/>
  <c r="G23" i="20"/>
  <c r="F23" i="20"/>
  <c r="H22" i="20"/>
  <c r="R22" i="20" s="1"/>
  <c r="G22" i="20"/>
  <c r="F22" i="20"/>
  <c r="R21" i="20"/>
  <c r="H21" i="20"/>
  <c r="G21" i="20"/>
  <c r="F21" i="20"/>
  <c r="H20" i="20"/>
  <c r="G20" i="20"/>
  <c r="F20" i="20"/>
  <c r="H19" i="20"/>
  <c r="G19" i="20"/>
  <c r="F19" i="20"/>
  <c r="H18" i="20"/>
  <c r="G18" i="20"/>
  <c r="F18" i="20"/>
  <c r="R17" i="20"/>
  <c r="H17" i="20"/>
  <c r="G17" i="20"/>
  <c r="F17" i="20"/>
  <c r="H16" i="20"/>
  <c r="G16" i="20"/>
  <c r="F16" i="20"/>
  <c r="H15" i="20"/>
  <c r="G15" i="20"/>
  <c r="F15" i="20"/>
  <c r="H14" i="20"/>
  <c r="R14" i="20" s="1"/>
  <c r="G14" i="20"/>
  <c r="F14" i="20"/>
  <c r="R13" i="20"/>
  <c r="H13" i="20"/>
  <c r="G13" i="20"/>
  <c r="F13" i="20"/>
  <c r="H12" i="20"/>
  <c r="G12" i="20"/>
  <c r="F12" i="20"/>
  <c r="H11" i="20"/>
  <c r="G11" i="20"/>
  <c r="F11" i="20"/>
  <c r="H10" i="20"/>
  <c r="G10" i="20"/>
  <c r="F10" i="20"/>
  <c r="R9" i="20"/>
  <c r="H9" i="20"/>
  <c r="G9" i="20"/>
  <c r="F9" i="20"/>
  <c r="C8" i="20"/>
  <c r="C57" i="20" s="1"/>
  <c r="C12" i="19"/>
  <c r="C11" i="19"/>
  <c r="C10" i="19"/>
  <c r="C9" i="19"/>
  <c r="C8" i="19"/>
  <c r="C7" i="19"/>
  <c r="C6" i="19"/>
  <c r="C5" i="19"/>
  <c r="H16" i="12"/>
  <c r="C17" i="12"/>
  <c r="H24" i="12"/>
  <c r="C25" i="12"/>
  <c r="H32" i="12"/>
  <c r="C33" i="12"/>
  <c r="H40" i="12"/>
  <c r="C41" i="12"/>
  <c r="H48" i="12"/>
  <c r="C49" i="12"/>
  <c r="H56" i="12"/>
  <c r="H57" i="12"/>
  <c r="F9" i="18"/>
  <c r="Q58" i="18"/>
  <c r="H58" i="18"/>
  <c r="R58" i="18" s="1"/>
  <c r="G58" i="18"/>
  <c r="F58" i="18"/>
  <c r="Q57" i="18"/>
  <c r="R57" i="18" s="1"/>
  <c r="H57" i="18"/>
  <c r="G57" i="18"/>
  <c r="F57" i="18"/>
  <c r="Q56" i="18"/>
  <c r="R56" i="18" s="1"/>
  <c r="H56" i="18"/>
  <c r="G56" i="18"/>
  <c r="F56" i="18"/>
  <c r="Q55" i="18"/>
  <c r="H55" i="18"/>
  <c r="G55" i="18"/>
  <c r="F55" i="18"/>
  <c r="R54" i="18"/>
  <c r="Q54" i="18"/>
  <c r="H54" i="18"/>
  <c r="G54" i="18"/>
  <c r="F54" i="18"/>
  <c r="Q53" i="18"/>
  <c r="R53" i="18" s="1"/>
  <c r="H53" i="18"/>
  <c r="G53" i="18"/>
  <c r="F53" i="18"/>
  <c r="Q52" i="18"/>
  <c r="H52" i="18"/>
  <c r="G52" i="18"/>
  <c r="F52" i="18"/>
  <c r="Q51" i="18"/>
  <c r="H51" i="18"/>
  <c r="G51" i="18"/>
  <c r="F51" i="18"/>
  <c r="Q50" i="18"/>
  <c r="R50" i="18" s="1"/>
  <c r="H50" i="18"/>
  <c r="G50" i="18"/>
  <c r="F50" i="18"/>
  <c r="Q49" i="18"/>
  <c r="H49" i="18"/>
  <c r="G49" i="18"/>
  <c r="F49" i="18"/>
  <c r="C49" i="18"/>
  <c r="Q48" i="18"/>
  <c r="H48" i="18"/>
  <c r="G48" i="18"/>
  <c r="F48" i="18"/>
  <c r="Q47" i="18"/>
  <c r="H47" i="18"/>
  <c r="G47" i="18"/>
  <c r="F47" i="18"/>
  <c r="Q46" i="18"/>
  <c r="R46" i="18" s="1"/>
  <c r="H46" i="18"/>
  <c r="G46" i="18"/>
  <c r="F46" i="18"/>
  <c r="Q45" i="18"/>
  <c r="H45" i="18"/>
  <c r="G45" i="18"/>
  <c r="F45" i="18"/>
  <c r="C45" i="18"/>
  <c r="Q44" i="18"/>
  <c r="R44" i="18" s="1"/>
  <c r="H44" i="18"/>
  <c r="G44" i="18"/>
  <c r="F44" i="18"/>
  <c r="Q43" i="18"/>
  <c r="H43" i="18"/>
  <c r="G43" i="18"/>
  <c r="F43" i="18"/>
  <c r="Q42" i="18"/>
  <c r="H42" i="18"/>
  <c r="G42" i="18"/>
  <c r="F42" i="18"/>
  <c r="Q41" i="18"/>
  <c r="R41" i="18" s="1"/>
  <c r="H41" i="18"/>
  <c r="G41" i="18"/>
  <c r="R42" i="18" s="1"/>
  <c r="F41" i="18"/>
  <c r="Q40" i="18"/>
  <c r="R40" i="18" s="1"/>
  <c r="H40" i="18"/>
  <c r="G40" i="18"/>
  <c r="F40" i="18"/>
  <c r="Q39" i="18"/>
  <c r="H39" i="18"/>
  <c r="G39" i="18"/>
  <c r="F39" i="18"/>
  <c r="R38" i="18"/>
  <c r="Q38" i="18"/>
  <c r="H38" i="18"/>
  <c r="G38" i="18"/>
  <c r="F38" i="18"/>
  <c r="Q37" i="18"/>
  <c r="R37" i="18" s="1"/>
  <c r="H37" i="18"/>
  <c r="G37" i="18"/>
  <c r="F37" i="18"/>
  <c r="Q36" i="18"/>
  <c r="H36" i="18"/>
  <c r="G36" i="18"/>
  <c r="F36" i="18"/>
  <c r="Q35" i="18"/>
  <c r="H35" i="18"/>
  <c r="G35" i="18"/>
  <c r="F35" i="18"/>
  <c r="Q34" i="18"/>
  <c r="R34" i="18" s="1"/>
  <c r="H34" i="18"/>
  <c r="G34" i="18"/>
  <c r="F34" i="18"/>
  <c r="Q33" i="18"/>
  <c r="H33" i="18"/>
  <c r="G33" i="18"/>
  <c r="F33" i="18"/>
  <c r="C33" i="18"/>
  <c r="Q32" i="18"/>
  <c r="H32" i="18"/>
  <c r="G32" i="18"/>
  <c r="F32" i="18"/>
  <c r="Q31" i="18"/>
  <c r="H31" i="18"/>
  <c r="G31" i="18"/>
  <c r="F31" i="18"/>
  <c r="Q30" i="18"/>
  <c r="R30" i="18" s="1"/>
  <c r="H30" i="18"/>
  <c r="G30" i="18"/>
  <c r="F30" i="18"/>
  <c r="Q29" i="18"/>
  <c r="H29" i="18"/>
  <c r="G29" i="18"/>
  <c r="F29" i="18"/>
  <c r="C29" i="18"/>
  <c r="Q28" i="18"/>
  <c r="R28" i="18" s="1"/>
  <c r="H28" i="18"/>
  <c r="G28" i="18"/>
  <c r="F28" i="18"/>
  <c r="Q27" i="18"/>
  <c r="H27" i="18"/>
  <c r="G27" i="18"/>
  <c r="F27" i="18"/>
  <c r="Q26" i="18"/>
  <c r="H26" i="18"/>
  <c r="R26" i="18" s="1"/>
  <c r="G26" i="18"/>
  <c r="F26" i="18"/>
  <c r="Q25" i="18"/>
  <c r="R25" i="18" s="1"/>
  <c r="H25" i="18"/>
  <c r="G25" i="18"/>
  <c r="F25" i="18"/>
  <c r="Q24" i="18"/>
  <c r="R24" i="18" s="1"/>
  <c r="H24" i="18"/>
  <c r="G24" i="18"/>
  <c r="F24" i="18"/>
  <c r="Q23" i="18"/>
  <c r="H23" i="18"/>
  <c r="G23" i="18"/>
  <c r="F23" i="18"/>
  <c r="R22" i="18"/>
  <c r="Q22" i="18"/>
  <c r="H22" i="18"/>
  <c r="G22" i="18"/>
  <c r="F22" i="18"/>
  <c r="Q21" i="18"/>
  <c r="R21" i="18" s="1"/>
  <c r="H21" i="18"/>
  <c r="G21" i="18"/>
  <c r="F21" i="18"/>
  <c r="Q20" i="18"/>
  <c r="H20" i="18"/>
  <c r="G20" i="18"/>
  <c r="F20" i="18"/>
  <c r="Q19" i="18"/>
  <c r="H19" i="18"/>
  <c r="G19" i="18"/>
  <c r="F19" i="18"/>
  <c r="Q18" i="18"/>
  <c r="R18" i="18" s="1"/>
  <c r="H18" i="18"/>
  <c r="G18" i="18"/>
  <c r="F18" i="18"/>
  <c r="Q17" i="18"/>
  <c r="H17" i="18"/>
  <c r="G17" i="18"/>
  <c r="F17" i="18"/>
  <c r="C17" i="18"/>
  <c r="Q16" i="18"/>
  <c r="H16" i="18"/>
  <c r="G16" i="18"/>
  <c r="F16" i="18"/>
  <c r="Q15" i="18"/>
  <c r="H15" i="18"/>
  <c r="G15" i="18"/>
  <c r="F15" i="18"/>
  <c r="Q14" i="18"/>
  <c r="R14" i="18" s="1"/>
  <c r="H14" i="18"/>
  <c r="G14" i="18"/>
  <c r="F14" i="18"/>
  <c r="Q13" i="18"/>
  <c r="H13" i="18"/>
  <c r="G13" i="18"/>
  <c r="F13" i="18"/>
  <c r="C13" i="18"/>
  <c r="Q12" i="18"/>
  <c r="R12" i="18" s="1"/>
  <c r="H12" i="18"/>
  <c r="G12" i="18"/>
  <c r="F12" i="18"/>
  <c r="Q11" i="18"/>
  <c r="H11" i="18"/>
  <c r="G11" i="18"/>
  <c r="F11" i="18"/>
  <c r="Q10" i="18"/>
  <c r="H10" i="18"/>
  <c r="R10" i="18" s="1"/>
  <c r="G10" i="18"/>
  <c r="F10" i="18"/>
  <c r="T9" i="18"/>
  <c r="Q9" i="18"/>
  <c r="H9" i="18"/>
  <c r="G9" i="18"/>
  <c r="C8" i="18"/>
  <c r="C55" i="18" s="1"/>
  <c r="U9" i="17"/>
  <c r="R9" i="17"/>
  <c r="Q58" i="17"/>
  <c r="H58" i="17"/>
  <c r="G58" i="17"/>
  <c r="F58" i="17"/>
  <c r="Q57" i="17"/>
  <c r="H57" i="17"/>
  <c r="G57" i="17"/>
  <c r="F57" i="17"/>
  <c r="Q56" i="17"/>
  <c r="H56" i="17"/>
  <c r="G56" i="17"/>
  <c r="F56" i="17"/>
  <c r="Q55" i="17"/>
  <c r="H55" i="17"/>
  <c r="G55" i="17"/>
  <c r="F55" i="17"/>
  <c r="Q54" i="17"/>
  <c r="H54" i="17"/>
  <c r="G54" i="17"/>
  <c r="F54" i="17"/>
  <c r="Q53" i="17"/>
  <c r="H53" i="17"/>
  <c r="G53" i="17"/>
  <c r="F53" i="17"/>
  <c r="Q52" i="17"/>
  <c r="H52" i="17"/>
  <c r="G52" i="17"/>
  <c r="F52" i="17"/>
  <c r="Q51" i="17"/>
  <c r="H51" i="17"/>
  <c r="G51" i="17"/>
  <c r="F51" i="17"/>
  <c r="Q50" i="17"/>
  <c r="H50" i="17"/>
  <c r="G50" i="17"/>
  <c r="F50" i="17"/>
  <c r="Q49" i="17"/>
  <c r="H49" i="17"/>
  <c r="G49" i="17"/>
  <c r="F49" i="17"/>
  <c r="Q48" i="17"/>
  <c r="H48" i="17"/>
  <c r="G48" i="17"/>
  <c r="F48" i="17"/>
  <c r="Q47" i="17"/>
  <c r="H47" i="17"/>
  <c r="G47" i="17"/>
  <c r="F47" i="17"/>
  <c r="Q46" i="17"/>
  <c r="H46" i="17"/>
  <c r="G46" i="17"/>
  <c r="F46" i="17"/>
  <c r="Q45" i="17"/>
  <c r="H45" i="17"/>
  <c r="G45" i="17"/>
  <c r="F45" i="17"/>
  <c r="Q44" i="17"/>
  <c r="H44" i="17"/>
  <c r="G44" i="17"/>
  <c r="F44" i="17"/>
  <c r="Q43" i="17"/>
  <c r="H43" i="17"/>
  <c r="G43" i="17"/>
  <c r="F43" i="17"/>
  <c r="Q42" i="17"/>
  <c r="H42" i="17"/>
  <c r="G42" i="17"/>
  <c r="F42" i="17"/>
  <c r="Q41" i="17"/>
  <c r="H41" i="17"/>
  <c r="G41" i="17"/>
  <c r="F41" i="17"/>
  <c r="Q40" i="17"/>
  <c r="H40" i="17"/>
  <c r="G40" i="17"/>
  <c r="F40" i="17"/>
  <c r="Q39" i="17"/>
  <c r="H39" i="17"/>
  <c r="G39" i="17"/>
  <c r="F39" i="17"/>
  <c r="Q38" i="17"/>
  <c r="H38" i="17"/>
  <c r="G38" i="17"/>
  <c r="F38" i="17"/>
  <c r="Q37" i="17"/>
  <c r="H37" i="17"/>
  <c r="G37" i="17"/>
  <c r="F37" i="17"/>
  <c r="C37" i="17"/>
  <c r="Q36" i="17"/>
  <c r="H36" i="17"/>
  <c r="G36" i="17"/>
  <c r="F36" i="17"/>
  <c r="Q35" i="17"/>
  <c r="H35" i="17"/>
  <c r="G35" i="17"/>
  <c r="F35" i="17"/>
  <c r="Q34" i="17"/>
  <c r="H34" i="17"/>
  <c r="G34" i="17"/>
  <c r="F34" i="17"/>
  <c r="Q33" i="17"/>
  <c r="H33" i="17"/>
  <c r="G33" i="17"/>
  <c r="F33" i="17"/>
  <c r="Q32" i="17"/>
  <c r="H32" i="17"/>
  <c r="G32" i="17"/>
  <c r="F32" i="17"/>
  <c r="Q31" i="17"/>
  <c r="H31" i="17"/>
  <c r="G31" i="17"/>
  <c r="F31" i="17"/>
  <c r="Q30" i="17"/>
  <c r="H30" i="17"/>
  <c r="G30" i="17"/>
  <c r="F30" i="17"/>
  <c r="Q29" i="17"/>
  <c r="H29" i="17"/>
  <c r="G29" i="17"/>
  <c r="F29" i="17"/>
  <c r="C29" i="17"/>
  <c r="Q28" i="17"/>
  <c r="H28" i="17"/>
  <c r="G28" i="17"/>
  <c r="F28" i="17"/>
  <c r="Q27" i="17"/>
  <c r="H27" i="17"/>
  <c r="G27" i="17"/>
  <c r="F27" i="17"/>
  <c r="Q26" i="17"/>
  <c r="H26" i="17"/>
  <c r="G26" i="17"/>
  <c r="F26" i="17"/>
  <c r="Q25" i="17"/>
  <c r="H25" i="17"/>
  <c r="G25" i="17"/>
  <c r="F25" i="17"/>
  <c r="Q24" i="17"/>
  <c r="H24" i="17"/>
  <c r="G24" i="17"/>
  <c r="F24" i="17"/>
  <c r="Q23" i="17"/>
  <c r="H23" i="17"/>
  <c r="G23" i="17"/>
  <c r="F23" i="17"/>
  <c r="Q22" i="17"/>
  <c r="H22" i="17"/>
  <c r="G22" i="17"/>
  <c r="F22" i="17"/>
  <c r="Q21" i="17"/>
  <c r="H21" i="17"/>
  <c r="G21" i="17"/>
  <c r="F21" i="17"/>
  <c r="C21" i="17"/>
  <c r="Q20" i="17"/>
  <c r="H20" i="17"/>
  <c r="G20" i="17"/>
  <c r="F20" i="17"/>
  <c r="Q19" i="17"/>
  <c r="H19" i="17"/>
  <c r="G19" i="17"/>
  <c r="F19" i="17"/>
  <c r="Q18" i="17"/>
  <c r="H18" i="17"/>
  <c r="G18" i="17"/>
  <c r="F18" i="17"/>
  <c r="Q17" i="17"/>
  <c r="H17" i="17"/>
  <c r="G17" i="17"/>
  <c r="F17" i="17"/>
  <c r="Q16" i="17"/>
  <c r="H16" i="17"/>
  <c r="G16" i="17"/>
  <c r="F16" i="17"/>
  <c r="Q15" i="17"/>
  <c r="H15" i="17"/>
  <c r="G15" i="17"/>
  <c r="F15" i="17"/>
  <c r="Q14" i="17"/>
  <c r="H14" i="17"/>
  <c r="G14" i="17"/>
  <c r="F14" i="17"/>
  <c r="Q13" i="17"/>
  <c r="H13" i="17"/>
  <c r="G13" i="17"/>
  <c r="F13" i="17"/>
  <c r="C13" i="17"/>
  <c r="Q12" i="17"/>
  <c r="H12" i="17"/>
  <c r="G12" i="17"/>
  <c r="F12" i="17"/>
  <c r="Q11" i="17"/>
  <c r="H11" i="17"/>
  <c r="G11" i="17"/>
  <c r="F11" i="17"/>
  <c r="Q10" i="17"/>
  <c r="H10" i="17"/>
  <c r="G10" i="17"/>
  <c r="F10" i="17"/>
  <c r="Q9" i="17"/>
  <c r="H9" i="17"/>
  <c r="G9" i="17"/>
  <c r="F9" i="17"/>
  <c r="C8" i="17"/>
  <c r="C46" i="17" s="1"/>
  <c r="F52" i="11"/>
  <c r="F44" i="1"/>
  <c r="F36" i="11"/>
  <c r="F28" i="1"/>
  <c r="F20" i="11"/>
  <c r="F12" i="13"/>
  <c r="Q58" i="16"/>
  <c r="H58" i="16"/>
  <c r="Q57" i="16"/>
  <c r="H57" i="16"/>
  <c r="Q56" i="16"/>
  <c r="H56" i="16"/>
  <c r="Q55" i="16"/>
  <c r="H55" i="16"/>
  <c r="Q54" i="16"/>
  <c r="H54" i="16"/>
  <c r="Q53" i="16"/>
  <c r="H53" i="16"/>
  <c r="Q52" i="16"/>
  <c r="H52" i="16"/>
  <c r="Q51" i="16"/>
  <c r="H51" i="16"/>
  <c r="Q50" i="16"/>
  <c r="H50" i="16"/>
  <c r="Q49" i="16"/>
  <c r="H49" i="16"/>
  <c r="Q48" i="16"/>
  <c r="H48" i="16"/>
  <c r="Q47" i="16"/>
  <c r="H47" i="16"/>
  <c r="Q46" i="16"/>
  <c r="H46" i="16"/>
  <c r="Q45" i="16"/>
  <c r="H45" i="16"/>
  <c r="Q44" i="16"/>
  <c r="H44" i="16"/>
  <c r="Q43" i="16"/>
  <c r="H43" i="16"/>
  <c r="Q42" i="16"/>
  <c r="H42" i="16"/>
  <c r="Q41" i="16"/>
  <c r="H41" i="16"/>
  <c r="Q40" i="16"/>
  <c r="H40" i="16"/>
  <c r="Q39" i="16"/>
  <c r="H39" i="16"/>
  <c r="Q38" i="16"/>
  <c r="H38" i="16"/>
  <c r="Q37" i="16"/>
  <c r="H37" i="16"/>
  <c r="Q36" i="16"/>
  <c r="H36" i="16"/>
  <c r="Q35" i="16"/>
  <c r="H35" i="16"/>
  <c r="F35" i="16"/>
  <c r="Q34" i="16"/>
  <c r="H34" i="16"/>
  <c r="Q33" i="16"/>
  <c r="H33" i="16"/>
  <c r="Q32" i="16"/>
  <c r="H32" i="16"/>
  <c r="Q31" i="16"/>
  <c r="H31" i="16"/>
  <c r="Q30" i="16"/>
  <c r="H30" i="16"/>
  <c r="Q29" i="16"/>
  <c r="H29" i="16"/>
  <c r="Q28" i="16"/>
  <c r="H28" i="16"/>
  <c r="Q27" i="16"/>
  <c r="H27" i="16"/>
  <c r="Q26" i="16"/>
  <c r="H26" i="16"/>
  <c r="Q25" i="16"/>
  <c r="H25" i="16"/>
  <c r="Q24" i="16"/>
  <c r="H24" i="16"/>
  <c r="Q23" i="16"/>
  <c r="H23" i="16"/>
  <c r="Q22" i="16"/>
  <c r="H22" i="16"/>
  <c r="Q21" i="16"/>
  <c r="H21" i="16"/>
  <c r="Q20" i="16"/>
  <c r="H20" i="16"/>
  <c r="Q19" i="16"/>
  <c r="H19" i="16"/>
  <c r="Q18" i="16"/>
  <c r="H18" i="16"/>
  <c r="F18" i="16"/>
  <c r="Q17" i="16"/>
  <c r="H17" i="16"/>
  <c r="Q16" i="16"/>
  <c r="H16" i="16"/>
  <c r="Q15" i="16"/>
  <c r="H15" i="16"/>
  <c r="Q14" i="16"/>
  <c r="H14" i="16"/>
  <c r="Q13" i="16"/>
  <c r="H13" i="16"/>
  <c r="Q12" i="16"/>
  <c r="H12" i="16"/>
  <c r="Q11" i="16"/>
  <c r="H11" i="16"/>
  <c r="Q10" i="16"/>
  <c r="H10" i="16"/>
  <c r="Q9" i="16"/>
  <c r="R9" i="16" s="1"/>
  <c r="H9" i="16"/>
  <c r="F9" i="16"/>
  <c r="C8" i="16"/>
  <c r="C30" i="16" s="1"/>
  <c r="U9" i="15"/>
  <c r="R9" i="15"/>
  <c r="Q58" i="15"/>
  <c r="H58" i="15"/>
  <c r="Q57" i="15"/>
  <c r="H57" i="15"/>
  <c r="Q56" i="15"/>
  <c r="H56" i="15"/>
  <c r="Q55" i="15"/>
  <c r="H55" i="15"/>
  <c r="Q54" i="15"/>
  <c r="H54" i="15"/>
  <c r="Q53" i="15"/>
  <c r="H53" i="15"/>
  <c r="Q52" i="15"/>
  <c r="H52" i="15"/>
  <c r="Q51" i="15"/>
  <c r="H51" i="15"/>
  <c r="Q50" i="15"/>
  <c r="H50" i="15"/>
  <c r="Q49" i="15"/>
  <c r="H49" i="15"/>
  <c r="Q48" i="15"/>
  <c r="H48" i="15"/>
  <c r="Q47" i="15"/>
  <c r="H47" i="15"/>
  <c r="Q46" i="15"/>
  <c r="H46" i="15"/>
  <c r="Q45" i="15"/>
  <c r="H45" i="15"/>
  <c r="Q44" i="15"/>
  <c r="H44" i="15"/>
  <c r="Q43" i="15"/>
  <c r="H43" i="15"/>
  <c r="Q42" i="15"/>
  <c r="H42" i="15"/>
  <c r="Q41" i="15"/>
  <c r="H41" i="15"/>
  <c r="Q40" i="15"/>
  <c r="H40" i="15"/>
  <c r="Q39" i="15"/>
  <c r="H39" i="15"/>
  <c r="Q38" i="15"/>
  <c r="H38" i="15"/>
  <c r="Q37" i="15"/>
  <c r="H37" i="15"/>
  <c r="Q36" i="15"/>
  <c r="H36" i="15"/>
  <c r="Q35" i="15"/>
  <c r="H35" i="15"/>
  <c r="Q34" i="15"/>
  <c r="H34" i="15"/>
  <c r="Q33" i="15"/>
  <c r="H33" i="15"/>
  <c r="Q32" i="15"/>
  <c r="H32" i="15"/>
  <c r="Q31" i="15"/>
  <c r="H31" i="15"/>
  <c r="Q30" i="15"/>
  <c r="H30" i="15"/>
  <c r="Q29" i="15"/>
  <c r="H29" i="15"/>
  <c r="Q28" i="15"/>
  <c r="H28" i="15"/>
  <c r="Q27" i="15"/>
  <c r="H27" i="15"/>
  <c r="Q26" i="15"/>
  <c r="H26" i="15"/>
  <c r="Q25" i="15"/>
  <c r="H25" i="15"/>
  <c r="Q24" i="15"/>
  <c r="H24" i="15"/>
  <c r="Q23" i="15"/>
  <c r="H23" i="15"/>
  <c r="Q22" i="15"/>
  <c r="H22" i="15"/>
  <c r="Q21" i="15"/>
  <c r="H21" i="15"/>
  <c r="Q20" i="15"/>
  <c r="H20" i="15"/>
  <c r="Q19" i="15"/>
  <c r="H19" i="15"/>
  <c r="Q18" i="15"/>
  <c r="H18" i="15"/>
  <c r="Q17" i="15"/>
  <c r="H17" i="15"/>
  <c r="Q16" i="15"/>
  <c r="H16" i="15"/>
  <c r="Q15" i="15"/>
  <c r="H15" i="15"/>
  <c r="Q14" i="15"/>
  <c r="H14" i="15"/>
  <c r="Q13" i="15"/>
  <c r="H13" i="15"/>
  <c r="Q12" i="15"/>
  <c r="H12" i="15"/>
  <c r="Q11" i="15"/>
  <c r="H11" i="15"/>
  <c r="Q10" i="15"/>
  <c r="H10" i="15"/>
  <c r="Q9" i="15"/>
  <c r="H9" i="15"/>
  <c r="C8" i="15"/>
  <c r="C53" i="15" s="1"/>
  <c r="C8" i="13"/>
  <c r="C18" i="13" s="1"/>
  <c r="C14" i="13"/>
  <c r="F21" i="14"/>
  <c r="F25" i="14"/>
  <c r="F27" i="14"/>
  <c r="F29" i="14"/>
  <c r="F43" i="14"/>
  <c r="F45" i="14"/>
  <c r="F49" i="14"/>
  <c r="F51" i="14"/>
  <c r="Q58" i="14"/>
  <c r="H58" i="14"/>
  <c r="Q57" i="14"/>
  <c r="H57" i="14"/>
  <c r="Q56" i="14"/>
  <c r="H56" i="14"/>
  <c r="Q55" i="14"/>
  <c r="H55" i="14"/>
  <c r="Q54" i="14"/>
  <c r="H54" i="14"/>
  <c r="Q53" i="14"/>
  <c r="H53" i="14"/>
  <c r="Q52" i="14"/>
  <c r="H52" i="14"/>
  <c r="Q51" i="14"/>
  <c r="H51" i="14"/>
  <c r="Q50" i="14"/>
  <c r="H50" i="14"/>
  <c r="Q49" i="14"/>
  <c r="H49" i="14"/>
  <c r="Q48" i="14"/>
  <c r="H48" i="14"/>
  <c r="Q47" i="14"/>
  <c r="H47" i="14"/>
  <c r="Q46" i="14"/>
  <c r="H46" i="14"/>
  <c r="Q45" i="14"/>
  <c r="H45" i="14"/>
  <c r="Q44" i="14"/>
  <c r="H44" i="14"/>
  <c r="Q43" i="14"/>
  <c r="H43" i="14"/>
  <c r="Q42" i="14"/>
  <c r="H42" i="14"/>
  <c r="Q41" i="14"/>
  <c r="H41" i="14"/>
  <c r="Q40" i="14"/>
  <c r="H40" i="14"/>
  <c r="Q39" i="14"/>
  <c r="H39" i="14"/>
  <c r="Q38" i="14"/>
  <c r="H38" i="14"/>
  <c r="Q37" i="14"/>
  <c r="H37" i="14"/>
  <c r="Q36" i="14"/>
  <c r="H36" i="14"/>
  <c r="Q35" i="14"/>
  <c r="H35" i="14"/>
  <c r="Q34" i="14"/>
  <c r="H34" i="14"/>
  <c r="Q33" i="14"/>
  <c r="H33" i="14"/>
  <c r="Q32" i="14"/>
  <c r="H32" i="14"/>
  <c r="Q31" i="14"/>
  <c r="H31" i="14"/>
  <c r="Q30" i="14"/>
  <c r="H30" i="14"/>
  <c r="Q29" i="14"/>
  <c r="H29" i="14"/>
  <c r="Q28" i="14"/>
  <c r="H28" i="14"/>
  <c r="Q27" i="14"/>
  <c r="H27" i="14"/>
  <c r="Q26" i="14"/>
  <c r="H26" i="14"/>
  <c r="Q25" i="14"/>
  <c r="H25" i="14"/>
  <c r="Q24" i="14"/>
  <c r="H24" i="14"/>
  <c r="Q23" i="14"/>
  <c r="H23" i="14"/>
  <c r="Q22" i="14"/>
  <c r="H22" i="14"/>
  <c r="Q21" i="14"/>
  <c r="H21" i="14"/>
  <c r="Q20" i="14"/>
  <c r="H20" i="14"/>
  <c r="Q19" i="14"/>
  <c r="H19" i="14"/>
  <c r="Q18" i="14"/>
  <c r="H18" i="14"/>
  <c r="Q17" i="14"/>
  <c r="H17" i="14"/>
  <c r="Q16" i="14"/>
  <c r="H16" i="14"/>
  <c r="Q15" i="14"/>
  <c r="H15" i="14"/>
  <c r="Q14" i="14"/>
  <c r="H14" i="14"/>
  <c r="Q13" i="14"/>
  <c r="H13" i="14"/>
  <c r="Q12" i="14"/>
  <c r="H12" i="14"/>
  <c r="Q11" i="14"/>
  <c r="H11" i="14"/>
  <c r="Q10" i="14"/>
  <c r="H10" i="14"/>
  <c r="Q9" i="14"/>
  <c r="H9" i="14"/>
  <c r="C8" i="14"/>
  <c r="Q58" i="13"/>
  <c r="H58" i="13"/>
  <c r="Q57" i="13"/>
  <c r="H57" i="13"/>
  <c r="Q56" i="13"/>
  <c r="H56" i="13"/>
  <c r="Q55" i="13"/>
  <c r="H55" i="13"/>
  <c r="Q54" i="13"/>
  <c r="H54" i="13"/>
  <c r="Q53" i="13"/>
  <c r="H53" i="13"/>
  <c r="Q52" i="13"/>
  <c r="H52" i="13"/>
  <c r="Q51" i="13"/>
  <c r="H51" i="13"/>
  <c r="Q50" i="13"/>
  <c r="H50" i="13"/>
  <c r="Q49" i="13"/>
  <c r="H49" i="13"/>
  <c r="Q48" i="13"/>
  <c r="H48" i="13"/>
  <c r="Q47" i="13"/>
  <c r="H47" i="13"/>
  <c r="Q46" i="13"/>
  <c r="H46" i="13"/>
  <c r="Q45" i="13"/>
  <c r="H45" i="13"/>
  <c r="F45" i="13"/>
  <c r="Q44" i="13"/>
  <c r="H44" i="13"/>
  <c r="Q43" i="13"/>
  <c r="H43" i="13"/>
  <c r="Q42" i="13"/>
  <c r="H42" i="13"/>
  <c r="F42" i="13"/>
  <c r="Q41" i="13"/>
  <c r="H41" i="13"/>
  <c r="Q40" i="13"/>
  <c r="H40" i="13"/>
  <c r="Q39" i="13"/>
  <c r="H39" i="13"/>
  <c r="F39" i="13"/>
  <c r="Q38" i="13"/>
  <c r="H38" i="13"/>
  <c r="Q37" i="13"/>
  <c r="H37" i="13"/>
  <c r="F37" i="13"/>
  <c r="Q36" i="13"/>
  <c r="H36" i="13"/>
  <c r="Q35" i="13"/>
  <c r="H35" i="13"/>
  <c r="Q34" i="13"/>
  <c r="H34" i="13"/>
  <c r="Q33" i="13"/>
  <c r="H33" i="13"/>
  <c r="Q32" i="13"/>
  <c r="H32" i="13"/>
  <c r="Q31" i="13"/>
  <c r="H31" i="13"/>
  <c r="Q30" i="13"/>
  <c r="H30" i="13"/>
  <c r="Q29" i="13"/>
  <c r="H29" i="13"/>
  <c r="Q28" i="13"/>
  <c r="H28" i="13"/>
  <c r="Q27" i="13"/>
  <c r="H27" i="13"/>
  <c r="Q26" i="13"/>
  <c r="H26" i="13"/>
  <c r="Q25" i="13"/>
  <c r="H25" i="13"/>
  <c r="Q24" i="13"/>
  <c r="H24" i="13"/>
  <c r="Q23" i="13"/>
  <c r="H23" i="13"/>
  <c r="Q22" i="13"/>
  <c r="H22" i="13"/>
  <c r="Q21" i="13"/>
  <c r="H21" i="13"/>
  <c r="Q20" i="13"/>
  <c r="H20" i="13"/>
  <c r="Q19" i="13"/>
  <c r="H19" i="13"/>
  <c r="Q18" i="13"/>
  <c r="H18" i="13"/>
  <c r="Q17" i="13"/>
  <c r="H17" i="13"/>
  <c r="Q16" i="13"/>
  <c r="H16" i="13"/>
  <c r="F16" i="13"/>
  <c r="Q15" i="13"/>
  <c r="H15" i="13"/>
  <c r="Q14" i="13"/>
  <c r="H14" i="13"/>
  <c r="F14" i="13"/>
  <c r="Q13" i="13"/>
  <c r="H13" i="13"/>
  <c r="Q12" i="13"/>
  <c r="H12" i="13"/>
  <c r="Q11" i="13"/>
  <c r="H11" i="13"/>
  <c r="Q10" i="13"/>
  <c r="H10" i="13"/>
  <c r="F10" i="13"/>
  <c r="Q9" i="13"/>
  <c r="H9" i="13"/>
  <c r="C26" i="13"/>
  <c r="H10" i="12"/>
  <c r="H11" i="12"/>
  <c r="H12" i="12"/>
  <c r="H13" i="12"/>
  <c r="H14" i="12"/>
  <c r="H15" i="12"/>
  <c r="H18" i="12"/>
  <c r="H19" i="12"/>
  <c r="H20" i="12"/>
  <c r="H21" i="12"/>
  <c r="H22" i="12"/>
  <c r="H23" i="12"/>
  <c r="H26" i="12"/>
  <c r="H27" i="12"/>
  <c r="H28" i="12"/>
  <c r="H29" i="12"/>
  <c r="H30" i="12"/>
  <c r="H31" i="12"/>
  <c r="H34" i="12"/>
  <c r="H35" i="12"/>
  <c r="H36" i="12"/>
  <c r="H37" i="12"/>
  <c r="H38" i="12"/>
  <c r="H39" i="12"/>
  <c r="H42" i="12"/>
  <c r="H43" i="12"/>
  <c r="H44" i="12"/>
  <c r="H45" i="12"/>
  <c r="H46" i="12"/>
  <c r="H47" i="12"/>
  <c r="H50" i="12"/>
  <c r="H51" i="12"/>
  <c r="H52" i="12"/>
  <c r="H53" i="12"/>
  <c r="H54" i="12"/>
  <c r="H55" i="12"/>
  <c r="H58" i="12"/>
  <c r="H9" i="12"/>
  <c r="Q58" i="12"/>
  <c r="F58" i="12"/>
  <c r="Q57" i="12"/>
  <c r="Q56" i="12"/>
  <c r="Q55" i="12"/>
  <c r="Q54" i="12"/>
  <c r="Q53" i="12"/>
  <c r="F53" i="12"/>
  <c r="Q52" i="12"/>
  <c r="Q51" i="12"/>
  <c r="Q50" i="12"/>
  <c r="Q49" i="12"/>
  <c r="Q48" i="12"/>
  <c r="Q47" i="12"/>
  <c r="Q46" i="12"/>
  <c r="Q45" i="12"/>
  <c r="F45" i="12"/>
  <c r="Q44" i="12"/>
  <c r="Q43" i="12"/>
  <c r="Q42" i="12"/>
  <c r="Q41" i="12"/>
  <c r="Q40" i="12"/>
  <c r="Q39" i="12"/>
  <c r="Q38" i="12"/>
  <c r="Q37" i="12"/>
  <c r="F37" i="12"/>
  <c r="Q36" i="12"/>
  <c r="Q35" i="12"/>
  <c r="F35" i="12"/>
  <c r="Q34" i="12"/>
  <c r="Q33" i="12"/>
  <c r="Q32" i="12"/>
  <c r="F32" i="12"/>
  <c r="Q31" i="12"/>
  <c r="Q30" i="12"/>
  <c r="Q29" i="12"/>
  <c r="F29" i="12"/>
  <c r="Q28" i="12"/>
  <c r="Q27" i="12"/>
  <c r="F27" i="12"/>
  <c r="Q26" i="12"/>
  <c r="Q25" i="12"/>
  <c r="Q24" i="12"/>
  <c r="Q23" i="12"/>
  <c r="Q22" i="12"/>
  <c r="Q21" i="12"/>
  <c r="F21" i="12"/>
  <c r="Q20" i="12"/>
  <c r="Q19" i="12"/>
  <c r="F19" i="12"/>
  <c r="Q18" i="12"/>
  <c r="F18" i="12"/>
  <c r="Q17" i="12"/>
  <c r="Q16" i="12"/>
  <c r="Q15" i="12"/>
  <c r="Q14" i="12"/>
  <c r="Q13" i="12"/>
  <c r="F13" i="12"/>
  <c r="Q12" i="12"/>
  <c r="Q11" i="12"/>
  <c r="F11" i="12"/>
  <c r="Q10" i="12"/>
  <c r="F10" i="12"/>
  <c r="Q9" i="12"/>
  <c r="C8" i="12"/>
  <c r="C10" i="12" s="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9" i="11"/>
  <c r="Q58" i="11"/>
  <c r="Q57" i="11"/>
  <c r="Q56" i="11"/>
  <c r="Q55" i="11"/>
  <c r="Q54" i="11"/>
  <c r="F54" i="11"/>
  <c r="Q53" i="11"/>
  <c r="Q52" i="11"/>
  <c r="Q51" i="11"/>
  <c r="F51" i="11"/>
  <c r="Q50" i="11"/>
  <c r="Q49" i="11"/>
  <c r="Q48" i="11"/>
  <c r="F48" i="11"/>
  <c r="Q47" i="11"/>
  <c r="Q46" i="11"/>
  <c r="F46" i="11"/>
  <c r="Q45" i="11"/>
  <c r="Q44" i="11"/>
  <c r="Q43" i="11"/>
  <c r="F43" i="11"/>
  <c r="Q42" i="11"/>
  <c r="Q41" i="11"/>
  <c r="Q40" i="11"/>
  <c r="F40" i="11"/>
  <c r="Q39" i="11"/>
  <c r="Q38" i="11"/>
  <c r="F38" i="11"/>
  <c r="Q37" i="11"/>
  <c r="Q36" i="11"/>
  <c r="Q35" i="11"/>
  <c r="F35" i="11"/>
  <c r="Q34" i="11"/>
  <c r="Q33" i="11"/>
  <c r="Q32" i="11"/>
  <c r="Q31" i="11"/>
  <c r="Q30" i="11"/>
  <c r="F30" i="11"/>
  <c r="Q29" i="11"/>
  <c r="Q28" i="11"/>
  <c r="Q27" i="11"/>
  <c r="Q26" i="11"/>
  <c r="Q25" i="11"/>
  <c r="F25" i="11"/>
  <c r="Q24" i="11"/>
  <c r="Q23" i="11"/>
  <c r="Q22" i="11"/>
  <c r="F22" i="11"/>
  <c r="Q21" i="11"/>
  <c r="Q20" i="11"/>
  <c r="Q19" i="11"/>
  <c r="Q18" i="11"/>
  <c r="Q17" i="11"/>
  <c r="F17" i="11"/>
  <c r="Q16" i="11"/>
  <c r="Q15" i="11"/>
  <c r="Q14" i="11"/>
  <c r="Q13" i="11"/>
  <c r="Q12" i="11"/>
  <c r="Q11" i="11"/>
  <c r="Q10" i="11"/>
  <c r="Q9" i="11"/>
  <c r="F9" i="11"/>
  <c r="C8" i="11"/>
  <c r="T9" i="11" s="1"/>
  <c r="U9" i="11" s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9" i="1"/>
  <c r="C8" i="1"/>
  <c r="C10" i="1" s="1"/>
  <c r="T11" i="1" s="1"/>
  <c r="F11" i="11"/>
  <c r="F13" i="11"/>
  <c r="F19" i="11"/>
  <c r="F24" i="12"/>
  <c r="F27" i="16"/>
  <c r="F35" i="14"/>
  <c r="F42" i="12"/>
  <c r="F43" i="13"/>
  <c r="F47" i="13"/>
  <c r="F50" i="16"/>
  <c r="F51" i="12"/>
  <c r="F55" i="12"/>
  <c r="D55" i="6"/>
  <c r="F9" i="14"/>
  <c r="G9" i="14" s="1"/>
  <c r="R9" i="11" l="1"/>
  <c r="C4" i="19"/>
  <c r="R18" i="20"/>
  <c r="R26" i="20"/>
  <c r="R34" i="20"/>
  <c r="R10" i="20"/>
  <c r="R12" i="20"/>
  <c r="R16" i="20"/>
  <c r="R20" i="20"/>
  <c r="R24" i="20"/>
  <c r="R32" i="20"/>
  <c r="R36" i="20"/>
  <c r="R40" i="20"/>
  <c r="R53" i="20"/>
  <c r="R48" i="20"/>
  <c r="R55" i="20"/>
  <c r="C49" i="20"/>
  <c r="U50" i="20" s="1"/>
  <c r="R45" i="20"/>
  <c r="R56" i="20"/>
  <c r="R11" i="20"/>
  <c r="R15" i="20"/>
  <c r="R19" i="20"/>
  <c r="R23" i="20"/>
  <c r="R27" i="20"/>
  <c r="R31" i="20"/>
  <c r="R35" i="20"/>
  <c r="R39" i="20"/>
  <c r="R43" i="20"/>
  <c r="U58" i="20"/>
  <c r="C45" i="20"/>
  <c r="C41" i="20"/>
  <c r="C55" i="20"/>
  <c r="C51" i="20"/>
  <c r="C47" i="20"/>
  <c r="C43" i="20"/>
  <c r="C39" i="20"/>
  <c r="C35" i="20"/>
  <c r="C31" i="20"/>
  <c r="C27" i="20"/>
  <c r="C23" i="20"/>
  <c r="C19" i="20"/>
  <c r="C15" i="20"/>
  <c r="C11" i="20"/>
  <c r="U9" i="20"/>
  <c r="C56" i="20"/>
  <c r="C52" i="20"/>
  <c r="C48" i="20"/>
  <c r="C44" i="20"/>
  <c r="C40" i="20"/>
  <c r="C36" i="20"/>
  <c r="C32" i="20"/>
  <c r="C28" i="20"/>
  <c r="C24" i="20"/>
  <c r="C20" i="20"/>
  <c r="C16" i="20"/>
  <c r="C12" i="20"/>
  <c r="I8" i="20"/>
  <c r="C58" i="20"/>
  <c r="I58" i="20" s="1"/>
  <c r="C54" i="20"/>
  <c r="C50" i="20"/>
  <c r="C46" i="20"/>
  <c r="C42" i="20"/>
  <c r="C10" i="20"/>
  <c r="C14" i="20"/>
  <c r="C18" i="20"/>
  <c r="C22" i="20"/>
  <c r="C26" i="20"/>
  <c r="C30" i="20"/>
  <c r="C34" i="20"/>
  <c r="C38" i="20"/>
  <c r="C9" i="20"/>
  <c r="C13" i="20"/>
  <c r="C17" i="20"/>
  <c r="C21" i="20"/>
  <c r="C25" i="20"/>
  <c r="C29" i="20"/>
  <c r="C33" i="20"/>
  <c r="C37" i="20"/>
  <c r="C53" i="20"/>
  <c r="C57" i="12"/>
  <c r="H49" i="12"/>
  <c r="H41" i="12"/>
  <c r="H33" i="12"/>
  <c r="H25" i="12"/>
  <c r="H17" i="12"/>
  <c r="R9" i="18"/>
  <c r="R16" i="18"/>
  <c r="R32" i="18"/>
  <c r="R48" i="18"/>
  <c r="R20" i="18"/>
  <c r="R36" i="18"/>
  <c r="R52" i="18"/>
  <c r="I8" i="18"/>
  <c r="R13" i="18"/>
  <c r="C21" i="18"/>
  <c r="R29" i="18"/>
  <c r="C37" i="18"/>
  <c r="T38" i="18" s="1"/>
  <c r="U38" i="18" s="1"/>
  <c r="R45" i="18"/>
  <c r="C53" i="18"/>
  <c r="I53" i="18" s="1"/>
  <c r="U9" i="18"/>
  <c r="C9" i="18"/>
  <c r="I9" i="18" s="1"/>
  <c r="R17" i="18"/>
  <c r="C25" i="18"/>
  <c r="T26" i="18" s="1"/>
  <c r="U26" i="18" s="1"/>
  <c r="R33" i="18"/>
  <c r="C41" i="18"/>
  <c r="R49" i="18"/>
  <c r="C57" i="18"/>
  <c r="T58" i="18" s="1"/>
  <c r="U58" i="18" s="1"/>
  <c r="R23" i="18"/>
  <c r="T22" i="18"/>
  <c r="U22" i="18" s="1"/>
  <c r="R19" i="18"/>
  <c r="R35" i="18"/>
  <c r="R51" i="18"/>
  <c r="T18" i="18"/>
  <c r="U18" i="18" s="1"/>
  <c r="I33" i="18"/>
  <c r="T34" i="18"/>
  <c r="U34" i="18" s="1"/>
  <c r="T50" i="18"/>
  <c r="U50" i="18" s="1"/>
  <c r="T56" i="18"/>
  <c r="U56" i="18" s="1"/>
  <c r="R15" i="18"/>
  <c r="R31" i="18"/>
  <c r="R47" i="18"/>
  <c r="T14" i="18"/>
  <c r="U14" i="18" s="1"/>
  <c r="I29" i="18"/>
  <c r="T30" i="18"/>
  <c r="U30" i="18" s="1"/>
  <c r="T46" i="18"/>
  <c r="U46" i="18" s="1"/>
  <c r="R11" i="18"/>
  <c r="R27" i="18"/>
  <c r="R43" i="18"/>
  <c r="R39" i="18"/>
  <c r="T42" i="18"/>
  <c r="U42" i="18" s="1"/>
  <c r="R55" i="18"/>
  <c r="C10" i="18"/>
  <c r="C14" i="18"/>
  <c r="C18" i="18"/>
  <c r="C22" i="18"/>
  <c r="C26" i="18"/>
  <c r="C30" i="18"/>
  <c r="C34" i="18"/>
  <c r="C38" i="18"/>
  <c r="C42" i="18"/>
  <c r="C46" i="18"/>
  <c r="C50" i="18"/>
  <c r="C54" i="18"/>
  <c r="C58" i="18"/>
  <c r="I58" i="18" s="1"/>
  <c r="C12" i="18"/>
  <c r="I13" i="18" s="1"/>
  <c r="C16" i="18"/>
  <c r="C20" i="18"/>
  <c r="C24" i="18"/>
  <c r="C28" i="18"/>
  <c r="C32" i="18"/>
  <c r="C36" i="18"/>
  <c r="C40" i="18"/>
  <c r="I41" i="18" s="1"/>
  <c r="C44" i="18"/>
  <c r="C48" i="18"/>
  <c r="C52" i="18"/>
  <c r="C56" i="18"/>
  <c r="C11" i="18"/>
  <c r="C15" i="18"/>
  <c r="C19" i="18"/>
  <c r="C23" i="18"/>
  <c r="C27" i="18"/>
  <c r="C31" i="18"/>
  <c r="C35" i="18"/>
  <c r="C39" i="18"/>
  <c r="C43" i="18"/>
  <c r="C47" i="18"/>
  <c r="C51" i="18"/>
  <c r="I46" i="17"/>
  <c r="T47" i="17"/>
  <c r="T14" i="17"/>
  <c r="I29" i="17"/>
  <c r="T30" i="17"/>
  <c r="T22" i="17"/>
  <c r="I37" i="17"/>
  <c r="T38" i="17"/>
  <c r="C55" i="17"/>
  <c r="C51" i="17"/>
  <c r="C47" i="17"/>
  <c r="C43" i="17"/>
  <c r="C39" i="17"/>
  <c r="C35" i="17"/>
  <c r="C31" i="17"/>
  <c r="C27" i="17"/>
  <c r="C23" i="17"/>
  <c r="C19" i="17"/>
  <c r="C15" i="17"/>
  <c r="C11" i="17"/>
  <c r="C53" i="17"/>
  <c r="T9" i="17"/>
  <c r="C56" i="17"/>
  <c r="C52" i="17"/>
  <c r="C48" i="17"/>
  <c r="C44" i="17"/>
  <c r="C40" i="17"/>
  <c r="C36" i="17"/>
  <c r="C32" i="17"/>
  <c r="C28" i="17"/>
  <c r="C24" i="17"/>
  <c r="C20" i="17"/>
  <c r="I21" i="17" s="1"/>
  <c r="C16" i="17"/>
  <c r="C12" i="17"/>
  <c r="I13" i="17" s="1"/>
  <c r="C45" i="17"/>
  <c r="C49" i="17"/>
  <c r="I8" i="17"/>
  <c r="C58" i="17"/>
  <c r="C54" i="17"/>
  <c r="C50" i="17"/>
  <c r="C10" i="17"/>
  <c r="C18" i="17"/>
  <c r="C26" i="17"/>
  <c r="C34" i="17"/>
  <c r="C42" i="17"/>
  <c r="C9" i="17"/>
  <c r="C17" i="17"/>
  <c r="C25" i="17"/>
  <c r="C33" i="17"/>
  <c r="C41" i="17"/>
  <c r="C57" i="17"/>
  <c r="C14" i="17"/>
  <c r="C22" i="17"/>
  <c r="C30" i="17"/>
  <c r="C38" i="17"/>
  <c r="F44" i="11"/>
  <c r="F28" i="11"/>
  <c r="F12" i="11"/>
  <c r="D53" i="6"/>
  <c r="F57" i="15"/>
  <c r="F57" i="13"/>
  <c r="F57" i="14"/>
  <c r="F57" i="12"/>
  <c r="F57" i="11"/>
  <c r="F57" i="16"/>
  <c r="D45" i="6"/>
  <c r="F49" i="15"/>
  <c r="F49" i="16"/>
  <c r="F49" i="13"/>
  <c r="F49" i="12"/>
  <c r="F49" i="11"/>
  <c r="D37" i="6"/>
  <c r="F41" i="15"/>
  <c r="F41" i="16"/>
  <c r="F41" i="13"/>
  <c r="F41" i="12"/>
  <c r="F41" i="14"/>
  <c r="F41" i="11"/>
  <c r="D29" i="6"/>
  <c r="F33" i="15"/>
  <c r="F33" i="13"/>
  <c r="F33" i="14"/>
  <c r="F33" i="16"/>
  <c r="F33" i="12"/>
  <c r="F33" i="11"/>
  <c r="D21" i="6"/>
  <c r="F25" i="15"/>
  <c r="F25" i="13"/>
  <c r="F25" i="16"/>
  <c r="F25" i="12"/>
  <c r="D13" i="6"/>
  <c r="F17" i="15"/>
  <c r="F17" i="16"/>
  <c r="F17" i="13"/>
  <c r="F17" i="14"/>
  <c r="F17" i="12"/>
  <c r="D54" i="6"/>
  <c r="F58" i="16"/>
  <c r="F58" i="15"/>
  <c r="F58" i="14"/>
  <c r="F58" i="13"/>
  <c r="F58" i="11"/>
  <c r="D46" i="6"/>
  <c r="F50" i="15"/>
  <c r="F50" i="14"/>
  <c r="F50" i="13"/>
  <c r="F50" i="11"/>
  <c r="D30" i="6"/>
  <c r="F34" i="13"/>
  <c r="F34" i="16"/>
  <c r="F34" i="15"/>
  <c r="F34" i="14"/>
  <c r="F34" i="11"/>
  <c r="D22" i="6"/>
  <c r="F26" i="13"/>
  <c r="F26" i="15"/>
  <c r="F26" i="14"/>
  <c r="F26" i="11"/>
  <c r="D6" i="6"/>
  <c r="E6" i="6" s="1"/>
  <c r="F10" i="15"/>
  <c r="F10" i="14"/>
  <c r="G10" i="14" s="1"/>
  <c r="F10" i="16"/>
  <c r="F50" i="12"/>
  <c r="D52" i="6"/>
  <c r="F56" i="14"/>
  <c r="F56" i="16"/>
  <c r="F56" i="15"/>
  <c r="F56" i="13"/>
  <c r="F56" i="12"/>
  <c r="D44" i="6"/>
  <c r="F48" i="14"/>
  <c r="F48" i="15"/>
  <c r="F48" i="13"/>
  <c r="F48" i="12"/>
  <c r="F48" i="16"/>
  <c r="D36" i="6"/>
  <c r="F40" i="14"/>
  <c r="F40" i="15"/>
  <c r="F40" i="16"/>
  <c r="F40" i="13"/>
  <c r="F40" i="12"/>
  <c r="D28" i="6"/>
  <c r="F32" i="13"/>
  <c r="F32" i="16"/>
  <c r="F32" i="14"/>
  <c r="F32" i="15"/>
  <c r="F32" i="11"/>
  <c r="D20" i="6"/>
  <c r="F24" i="13"/>
  <c r="F24" i="14"/>
  <c r="F24" i="15"/>
  <c r="F24" i="11"/>
  <c r="F24" i="16"/>
  <c r="D12" i="6"/>
  <c r="F16" i="14"/>
  <c r="F16" i="15"/>
  <c r="F16" i="16"/>
  <c r="F16" i="11"/>
  <c r="F16" i="12"/>
  <c r="F26" i="16"/>
  <c r="D38" i="6"/>
  <c r="F42" i="15"/>
  <c r="F42" i="14"/>
  <c r="F42" i="11"/>
  <c r="F42" i="16"/>
  <c r="D14" i="6"/>
  <c r="F18" i="13"/>
  <c r="F18" i="15"/>
  <c r="F18" i="14"/>
  <c r="F18" i="11"/>
  <c r="D51" i="6"/>
  <c r="F55" i="16"/>
  <c r="F55" i="15"/>
  <c r="F55" i="14"/>
  <c r="F55" i="13"/>
  <c r="F55" i="11"/>
  <c r="D43" i="6"/>
  <c r="F47" i="15"/>
  <c r="F47" i="14"/>
  <c r="F47" i="16"/>
  <c r="F47" i="11"/>
  <c r="D35" i="6"/>
  <c r="F39" i="15"/>
  <c r="F39" i="14"/>
  <c r="F39" i="16"/>
  <c r="F39" i="12"/>
  <c r="F39" i="11"/>
  <c r="D27" i="6"/>
  <c r="F31" i="15"/>
  <c r="F31" i="14"/>
  <c r="F31" i="13"/>
  <c r="F31" i="16"/>
  <c r="F31" i="12"/>
  <c r="F31" i="11"/>
  <c r="D19" i="6"/>
  <c r="F23" i="16"/>
  <c r="F23" i="15"/>
  <c r="F23" i="14"/>
  <c r="F23" i="13"/>
  <c r="F23" i="12"/>
  <c r="F23" i="11"/>
  <c r="D11" i="6"/>
  <c r="F15" i="15"/>
  <c r="F15" i="14"/>
  <c r="F15" i="16"/>
  <c r="F15" i="12"/>
  <c r="F15" i="13"/>
  <c r="F10" i="11"/>
  <c r="F34" i="12"/>
  <c r="F47" i="12"/>
  <c r="F15" i="11"/>
  <c r="F56" i="11"/>
  <c r="F26" i="12"/>
  <c r="D50" i="6"/>
  <c r="F54" i="14"/>
  <c r="F54" i="16"/>
  <c r="F54" i="15"/>
  <c r="F54" i="13"/>
  <c r="D42" i="6"/>
  <c r="F46" i="14"/>
  <c r="F46" i="15"/>
  <c r="F46" i="16"/>
  <c r="D34" i="6"/>
  <c r="F38" i="16"/>
  <c r="F38" i="14"/>
  <c r="F38" i="15"/>
  <c r="D26" i="6"/>
  <c r="F30" i="14"/>
  <c r="F30" i="13"/>
  <c r="F30" i="16"/>
  <c r="F30" i="15"/>
  <c r="D18" i="6"/>
  <c r="F22" i="14"/>
  <c r="F22" i="13"/>
  <c r="F22" i="16"/>
  <c r="F22" i="15"/>
  <c r="D10" i="6"/>
  <c r="F14" i="14"/>
  <c r="F14" i="15"/>
  <c r="F14" i="16"/>
  <c r="F14" i="12"/>
  <c r="F22" i="12"/>
  <c r="F30" i="12"/>
  <c r="F38" i="12"/>
  <c r="F43" i="12"/>
  <c r="F19" i="14"/>
  <c r="D49" i="6"/>
  <c r="F53" i="16"/>
  <c r="F53" i="15"/>
  <c r="F53" i="13"/>
  <c r="D41" i="6"/>
  <c r="F45" i="15"/>
  <c r="F45" i="16"/>
  <c r="D33" i="6"/>
  <c r="F37" i="15"/>
  <c r="F37" i="16"/>
  <c r="D25" i="6"/>
  <c r="F29" i="15"/>
  <c r="F29" i="13"/>
  <c r="F29" i="16"/>
  <c r="D17" i="6"/>
  <c r="F21" i="16"/>
  <c r="F21" i="15"/>
  <c r="F21" i="13"/>
  <c r="D9" i="6"/>
  <c r="F13" i="15"/>
  <c r="F13" i="16"/>
  <c r="F21" i="11"/>
  <c r="F9" i="12"/>
  <c r="F46" i="12"/>
  <c r="F54" i="12"/>
  <c r="F9" i="13"/>
  <c r="F11" i="13"/>
  <c r="F13" i="13"/>
  <c r="F38" i="13"/>
  <c r="F46" i="13"/>
  <c r="F37" i="14"/>
  <c r="D5" i="6"/>
  <c r="E5" i="6" s="1"/>
  <c r="F9" i="15"/>
  <c r="D48" i="6"/>
  <c r="F52" i="16"/>
  <c r="F52" i="15"/>
  <c r="F52" i="14"/>
  <c r="F52" i="13"/>
  <c r="D40" i="6"/>
  <c r="F44" i="15"/>
  <c r="F44" i="16"/>
  <c r="F44" i="14"/>
  <c r="D32" i="6"/>
  <c r="F36" i="16"/>
  <c r="F36" i="15"/>
  <c r="F36" i="14"/>
  <c r="D24" i="6"/>
  <c r="F28" i="13"/>
  <c r="F28" i="16"/>
  <c r="F28" i="15"/>
  <c r="F28" i="14"/>
  <c r="D16" i="6"/>
  <c r="F20" i="13"/>
  <c r="F20" i="16"/>
  <c r="F20" i="15"/>
  <c r="F20" i="14"/>
  <c r="D8" i="6"/>
  <c r="F12" i="15"/>
  <c r="F12" i="16"/>
  <c r="F12" i="14"/>
  <c r="F29" i="11"/>
  <c r="F12" i="12"/>
  <c r="F20" i="12"/>
  <c r="F28" i="12"/>
  <c r="F36" i="12"/>
  <c r="F13" i="14"/>
  <c r="D47" i="6"/>
  <c r="F51" i="15"/>
  <c r="F51" i="16"/>
  <c r="F51" i="13"/>
  <c r="D39" i="6"/>
  <c r="F43" i="15"/>
  <c r="F43" i="16"/>
  <c r="D31" i="6"/>
  <c r="F35" i="15"/>
  <c r="F35" i="13"/>
  <c r="D23" i="6"/>
  <c r="F27" i="15"/>
  <c r="F27" i="13"/>
  <c r="D15" i="6"/>
  <c r="F19" i="15"/>
  <c r="F19" i="16"/>
  <c r="F19" i="13"/>
  <c r="D7" i="6"/>
  <c r="F11" i="15"/>
  <c r="F14" i="11"/>
  <c r="F27" i="11"/>
  <c r="F37" i="11"/>
  <c r="F45" i="11"/>
  <c r="F53" i="11"/>
  <c r="F44" i="12"/>
  <c r="F52" i="12"/>
  <c r="F36" i="13"/>
  <c r="F44" i="13"/>
  <c r="F53" i="14"/>
  <c r="F11" i="14"/>
  <c r="F11" i="16"/>
  <c r="I30" i="16"/>
  <c r="T31" i="16"/>
  <c r="C38" i="16"/>
  <c r="C18" i="16"/>
  <c r="C34" i="16"/>
  <c r="C14" i="16"/>
  <c r="C50" i="16"/>
  <c r="C55" i="16"/>
  <c r="C51" i="16"/>
  <c r="C47" i="16"/>
  <c r="C43" i="16"/>
  <c r="C39" i="16"/>
  <c r="C35" i="16"/>
  <c r="C31" i="16"/>
  <c r="C27" i="16"/>
  <c r="C23" i="16"/>
  <c r="C19" i="16"/>
  <c r="C15" i="16"/>
  <c r="C11" i="16"/>
  <c r="T9" i="16"/>
  <c r="U9" i="16" s="1"/>
  <c r="C56" i="16"/>
  <c r="C52" i="16"/>
  <c r="C48" i="16"/>
  <c r="C44" i="16"/>
  <c r="C40" i="16"/>
  <c r="C36" i="16"/>
  <c r="C32" i="16"/>
  <c r="C28" i="16"/>
  <c r="C24" i="16"/>
  <c r="C20" i="16"/>
  <c r="C16" i="16"/>
  <c r="C12" i="16"/>
  <c r="C57" i="16"/>
  <c r="C53" i="16"/>
  <c r="C49" i="16"/>
  <c r="C45" i="16"/>
  <c r="C41" i="16"/>
  <c r="C37" i="16"/>
  <c r="C33" i="16"/>
  <c r="C29" i="16"/>
  <c r="C25" i="16"/>
  <c r="C21" i="16"/>
  <c r="C17" i="16"/>
  <c r="C13" i="16"/>
  <c r="C9" i="16"/>
  <c r="C58" i="16"/>
  <c r="C54" i="16"/>
  <c r="C46" i="16"/>
  <c r="C42" i="16"/>
  <c r="I8" i="16"/>
  <c r="C22" i="16"/>
  <c r="C10" i="16"/>
  <c r="C26" i="16"/>
  <c r="R9" i="14"/>
  <c r="R10" i="14"/>
  <c r="C9" i="13"/>
  <c r="R9" i="13"/>
  <c r="C56" i="12"/>
  <c r="C48" i="12"/>
  <c r="C40" i="12"/>
  <c r="C32" i="12"/>
  <c r="C24" i="12"/>
  <c r="C16" i="12"/>
  <c r="C55" i="12"/>
  <c r="C47" i="12"/>
  <c r="C39" i="12"/>
  <c r="C31" i="12"/>
  <c r="C23" i="12"/>
  <c r="C15" i="12"/>
  <c r="C54" i="12"/>
  <c r="C46" i="12"/>
  <c r="C38" i="12"/>
  <c r="C30" i="12"/>
  <c r="C22" i="12"/>
  <c r="C14" i="12"/>
  <c r="T15" i="12" s="1"/>
  <c r="C53" i="12"/>
  <c r="C45" i="12"/>
  <c r="C37" i="12"/>
  <c r="C29" i="12"/>
  <c r="I30" i="12" s="1"/>
  <c r="C21" i="12"/>
  <c r="C13" i="12"/>
  <c r="C52" i="12"/>
  <c r="C44" i="12"/>
  <c r="C36" i="12"/>
  <c r="C28" i="12"/>
  <c r="C20" i="12"/>
  <c r="C12" i="12"/>
  <c r="C9" i="12"/>
  <c r="I10" i="12" s="1"/>
  <c r="C51" i="12"/>
  <c r="C43" i="12"/>
  <c r="C35" i="12"/>
  <c r="C27" i="12"/>
  <c r="C19" i="12"/>
  <c r="C11" i="12"/>
  <c r="C58" i="12"/>
  <c r="C50" i="12"/>
  <c r="C42" i="12"/>
  <c r="C34" i="12"/>
  <c r="C26" i="12"/>
  <c r="I26" i="12" s="1"/>
  <c r="C18" i="12"/>
  <c r="C52" i="11"/>
  <c r="C44" i="11"/>
  <c r="C36" i="11"/>
  <c r="C28" i="11"/>
  <c r="C20" i="11"/>
  <c r="C12" i="11"/>
  <c r="I8" i="11"/>
  <c r="C9" i="11"/>
  <c r="C51" i="11"/>
  <c r="T52" i="11" s="1"/>
  <c r="C43" i="11"/>
  <c r="T44" i="11" s="1"/>
  <c r="C35" i="11"/>
  <c r="T36" i="11" s="1"/>
  <c r="C27" i="11"/>
  <c r="T28" i="11" s="1"/>
  <c r="C19" i="11"/>
  <c r="I19" i="11" s="1"/>
  <c r="C11" i="11"/>
  <c r="T12" i="11" s="1"/>
  <c r="C34" i="11"/>
  <c r="C57" i="11"/>
  <c r="C49" i="11"/>
  <c r="C41" i="11"/>
  <c r="C33" i="11"/>
  <c r="C25" i="11"/>
  <c r="C17" i="11"/>
  <c r="C50" i="11"/>
  <c r="I51" i="11" s="1"/>
  <c r="C42" i="11"/>
  <c r="I43" i="11" s="1"/>
  <c r="C18" i="11"/>
  <c r="C56" i="11"/>
  <c r="C48" i="11"/>
  <c r="C40" i="11"/>
  <c r="C32" i="11"/>
  <c r="C24" i="11"/>
  <c r="C16" i="11"/>
  <c r="C55" i="11"/>
  <c r="T56" i="11" s="1"/>
  <c r="C47" i="11"/>
  <c r="T48" i="11" s="1"/>
  <c r="C39" i="11"/>
  <c r="T40" i="11" s="1"/>
  <c r="C31" i="11"/>
  <c r="T32" i="11" s="1"/>
  <c r="C23" i="11"/>
  <c r="T24" i="11" s="1"/>
  <c r="C15" i="11"/>
  <c r="T16" i="11" s="1"/>
  <c r="C10" i="11"/>
  <c r="C54" i="11"/>
  <c r="C46" i="11"/>
  <c r="C38" i="11"/>
  <c r="C30" i="11"/>
  <c r="I31" i="11" s="1"/>
  <c r="C22" i="11"/>
  <c r="C14" i="11"/>
  <c r="C58" i="11"/>
  <c r="C26" i="11"/>
  <c r="C53" i="11"/>
  <c r="C45" i="11"/>
  <c r="C37" i="11"/>
  <c r="C29" i="11"/>
  <c r="C21" i="11"/>
  <c r="C13" i="11"/>
  <c r="T54" i="15"/>
  <c r="C55" i="15"/>
  <c r="C51" i="15"/>
  <c r="C47" i="15"/>
  <c r="C43" i="15"/>
  <c r="C39" i="15"/>
  <c r="C35" i="15"/>
  <c r="C31" i="15"/>
  <c r="C27" i="15"/>
  <c r="C23" i="15"/>
  <c r="C19" i="15"/>
  <c r="C15" i="15"/>
  <c r="C11" i="15"/>
  <c r="C56" i="15"/>
  <c r="C52" i="15"/>
  <c r="T9" i="15"/>
  <c r="C58" i="15"/>
  <c r="C28" i="15"/>
  <c r="C44" i="15"/>
  <c r="C22" i="15"/>
  <c r="C38" i="15"/>
  <c r="C9" i="15"/>
  <c r="C16" i="15"/>
  <c r="C25" i="15"/>
  <c r="C32" i="15"/>
  <c r="C41" i="15"/>
  <c r="C48" i="15"/>
  <c r="C57" i="15"/>
  <c r="C10" i="15"/>
  <c r="C26" i="15"/>
  <c r="C42" i="15"/>
  <c r="C12" i="15"/>
  <c r="I8" i="15"/>
  <c r="C54" i="15"/>
  <c r="C13" i="15"/>
  <c r="C20" i="15"/>
  <c r="C29" i="15"/>
  <c r="C36" i="15"/>
  <c r="C45" i="15"/>
  <c r="C37" i="15"/>
  <c r="C14" i="15"/>
  <c r="C30" i="15"/>
  <c r="C46" i="15"/>
  <c r="C49" i="15"/>
  <c r="C50" i="15"/>
  <c r="C17" i="15"/>
  <c r="C24" i="15"/>
  <c r="C33" i="15"/>
  <c r="C40" i="15"/>
  <c r="C21" i="15"/>
  <c r="C18" i="15"/>
  <c r="C34" i="15"/>
  <c r="C54" i="14"/>
  <c r="C38" i="14"/>
  <c r="C55" i="14"/>
  <c r="C51" i="14"/>
  <c r="C47" i="14"/>
  <c r="C43" i="14"/>
  <c r="C39" i="14"/>
  <c r="C35" i="14"/>
  <c r="C31" i="14"/>
  <c r="C27" i="14"/>
  <c r="C23" i="14"/>
  <c r="C19" i="14"/>
  <c r="C15" i="14"/>
  <c r="C11" i="14"/>
  <c r="T9" i="14"/>
  <c r="U9" i="14" s="1"/>
  <c r="C56" i="14"/>
  <c r="C52" i="14"/>
  <c r="C48" i="14"/>
  <c r="C44" i="14"/>
  <c r="C40" i="14"/>
  <c r="C36" i="14"/>
  <c r="C32" i="14"/>
  <c r="C28" i="14"/>
  <c r="C24" i="14"/>
  <c r="C20" i="14"/>
  <c r="C16" i="14"/>
  <c r="C12" i="14"/>
  <c r="C58" i="14"/>
  <c r="I58" i="14" s="1"/>
  <c r="C42" i="14"/>
  <c r="C50" i="14"/>
  <c r="C57" i="14"/>
  <c r="C53" i="14"/>
  <c r="C49" i="14"/>
  <c r="C45" i="14"/>
  <c r="C41" i="14"/>
  <c r="C37" i="14"/>
  <c r="C33" i="14"/>
  <c r="C29" i="14"/>
  <c r="C25" i="14"/>
  <c r="C21" i="14"/>
  <c r="C17" i="14"/>
  <c r="C13" i="14"/>
  <c r="C9" i="14"/>
  <c r="C46" i="14"/>
  <c r="I8" i="14"/>
  <c r="C22" i="14"/>
  <c r="C18" i="14"/>
  <c r="C34" i="14"/>
  <c r="C14" i="14"/>
  <c r="C30" i="14"/>
  <c r="C10" i="14"/>
  <c r="C26" i="14"/>
  <c r="T27" i="13"/>
  <c r="T15" i="13"/>
  <c r="C10" i="13"/>
  <c r="C46" i="13"/>
  <c r="C55" i="13"/>
  <c r="C51" i="13"/>
  <c r="C47" i="13"/>
  <c r="C43" i="13"/>
  <c r="C39" i="13"/>
  <c r="C35" i="13"/>
  <c r="C31" i="13"/>
  <c r="C27" i="13"/>
  <c r="C23" i="13"/>
  <c r="C19" i="13"/>
  <c r="C15" i="13"/>
  <c r="C11" i="13"/>
  <c r="C42" i="13"/>
  <c r="T9" i="13"/>
  <c r="U9" i="13" s="1"/>
  <c r="C56" i="13"/>
  <c r="C52" i="13"/>
  <c r="C48" i="13"/>
  <c r="C44" i="13"/>
  <c r="C40" i="13"/>
  <c r="C36" i="13"/>
  <c r="C32" i="13"/>
  <c r="C28" i="13"/>
  <c r="C24" i="13"/>
  <c r="C20" i="13"/>
  <c r="C16" i="13"/>
  <c r="C12" i="13"/>
  <c r="C58" i="13"/>
  <c r="C38" i="13"/>
  <c r="C57" i="13"/>
  <c r="C53" i="13"/>
  <c r="C49" i="13"/>
  <c r="C45" i="13"/>
  <c r="C41" i="13"/>
  <c r="C37" i="13"/>
  <c r="C33" i="13"/>
  <c r="C29" i="13"/>
  <c r="C25" i="13"/>
  <c r="I26" i="13" s="1"/>
  <c r="C21" i="13"/>
  <c r="C17" i="13"/>
  <c r="C13" i="13"/>
  <c r="C54" i="13"/>
  <c r="C50" i="13"/>
  <c r="C34" i="13"/>
  <c r="C30" i="13"/>
  <c r="I8" i="13"/>
  <c r="C22" i="13"/>
  <c r="T19" i="13"/>
  <c r="R9" i="12"/>
  <c r="T31" i="12"/>
  <c r="T47" i="12"/>
  <c r="T9" i="12"/>
  <c r="U9" i="12" s="1"/>
  <c r="T11" i="12"/>
  <c r="I8" i="12"/>
  <c r="T43" i="12"/>
  <c r="I39" i="11"/>
  <c r="F36" i="1"/>
  <c r="F20" i="1"/>
  <c r="F12" i="1"/>
  <c r="F52" i="1"/>
  <c r="F9" i="1"/>
  <c r="F51" i="1"/>
  <c r="F43" i="1"/>
  <c r="F35" i="1"/>
  <c r="F27" i="1"/>
  <c r="F19" i="1"/>
  <c r="F11" i="1"/>
  <c r="F58" i="1"/>
  <c r="F50" i="1"/>
  <c r="F42" i="1"/>
  <c r="F34" i="1"/>
  <c r="F26" i="1"/>
  <c r="F18" i="1"/>
  <c r="F10" i="1"/>
  <c r="F57" i="1"/>
  <c r="F49" i="1"/>
  <c r="F41" i="1"/>
  <c r="F33" i="1"/>
  <c r="F25" i="1"/>
  <c r="F17" i="1"/>
  <c r="F56" i="1"/>
  <c r="F48" i="1"/>
  <c r="F40" i="1"/>
  <c r="F32" i="1"/>
  <c r="F24" i="1"/>
  <c r="F16" i="1"/>
  <c r="F55" i="1"/>
  <c r="F47" i="1"/>
  <c r="F39" i="1"/>
  <c r="F31" i="1"/>
  <c r="F23" i="1"/>
  <c r="F15" i="1"/>
  <c r="F54" i="1"/>
  <c r="F46" i="1"/>
  <c r="F38" i="1"/>
  <c r="F30" i="1"/>
  <c r="F22" i="1"/>
  <c r="F14" i="1"/>
  <c r="F53" i="1"/>
  <c r="F45" i="1"/>
  <c r="F37" i="1"/>
  <c r="F29" i="1"/>
  <c r="F21" i="1"/>
  <c r="F13" i="1"/>
  <c r="U9" i="1"/>
  <c r="R9" i="1"/>
  <c r="I8" i="1"/>
  <c r="C25" i="1"/>
  <c r="T26" i="1" s="1"/>
  <c r="C36" i="1"/>
  <c r="T37" i="1" s="1"/>
  <c r="C20" i="1"/>
  <c r="T21" i="1" s="1"/>
  <c r="C47" i="1"/>
  <c r="T48" i="1" s="1"/>
  <c r="C33" i="1"/>
  <c r="T34" i="1" s="1"/>
  <c r="C18" i="1"/>
  <c r="T19" i="1" s="1"/>
  <c r="C34" i="1"/>
  <c r="T35" i="1" s="1"/>
  <c r="C57" i="1"/>
  <c r="T58" i="1" s="1"/>
  <c r="C44" i="1"/>
  <c r="T45" i="1" s="1"/>
  <c r="C32" i="1"/>
  <c r="T33" i="1" s="1"/>
  <c r="C17" i="1"/>
  <c r="T18" i="1" s="1"/>
  <c r="C50" i="1"/>
  <c r="T51" i="1" s="1"/>
  <c r="C49" i="1"/>
  <c r="T50" i="1" s="1"/>
  <c r="C48" i="1"/>
  <c r="T49" i="1" s="1"/>
  <c r="C56" i="1"/>
  <c r="T57" i="1" s="1"/>
  <c r="C42" i="1"/>
  <c r="T43" i="1" s="1"/>
  <c r="C31" i="1"/>
  <c r="T32" i="1" s="1"/>
  <c r="C15" i="1"/>
  <c r="T16" i="1" s="1"/>
  <c r="C55" i="1"/>
  <c r="T56" i="1" s="1"/>
  <c r="C41" i="1"/>
  <c r="T42" i="1" s="1"/>
  <c r="C28" i="1"/>
  <c r="T29" i="1" s="1"/>
  <c r="C11" i="1"/>
  <c r="C39" i="1"/>
  <c r="T40" i="1" s="1"/>
  <c r="C23" i="1"/>
  <c r="T24" i="1" s="1"/>
  <c r="C52" i="1"/>
  <c r="T53" i="1" s="1"/>
  <c r="C40" i="1"/>
  <c r="T41" i="1" s="1"/>
  <c r="C26" i="1"/>
  <c r="T27" i="1" s="1"/>
  <c r="C14" i="1"/>
  <c r="T15" i="1" s="1"/>
  <c r="C24" i="1"/>
  <c r="T25" i="1" s="1"/>
  <c r="C16" i="1"/>
  <c r="T17" i="1" s="1"/>
  <c r="C54" i="1"/>
  <c r="T55" i="1" s="1"/>
  <c r="C46" i="1"/>
  <c r="T47" i="1" s="1"/>
  <c r="C38" i="1"/>
  <c r="T39" i="1" s="1"/>
  <c r="C30" i="1"/>
  <c r="T31" i="1" s="1"/>
  <c r="C22" i="1"/>
  <c r="T23" i="1" s="1"/>
  <c r="C13" i="1"/>
  <c r="T14" i="1" s="1"/>
  <c r="C53" i="1"/>
  <c r="T54" i="1" s="1"/>
  <c r="C45" i="1"/>
  <c r="T46" i="1" s="1"/>
  <c r="C37" i="1"/>
  <c r="T38" i="1" s="1"/>
  <c r="C29" i="1"/>
  <c r="T30" i="1" s="1"/>
  <c r="C21" i="1"/>
  <c r="T22" i="1" s="1"/>
  <c r="C12" i="1"/>
  <c r="T13" i="1" s="1"/>
  <c r="C9" i="1"/>
  <c r="C51" i="1"/>
  <c r="C43" i="1"/>
  <c r="T44" i="1" s="1"/>
  <c r="C35" i="1"/>
  <c r="T36" i="1" s="1"/>
  <c r="C27" i="1"/>
  <c r="T28" i="1" s="1"/>
  <c r="C19" i="1"/>
  <c r="T20" i="1" s="1"/>
  <c r="I58" i="12" l="1"/>
  <c r="T20" i="11"/>
  <c r="I13" i="20"/>
  <c r="U14" i="20"/>
  <c r="I14" i="20"/>
  <c r="U15" i="20"/>
  <c r="U13" i="20"/>
  <c r="I12" i="20"/>
  <c r="U45" i="20"/>
  <c r="I44" i="20"/>
  <c r="U24" i="20"/>
  <c r="I23" i="20"/>
  <c r="U56" i="20"/>
  <c r="I55" i="20"/>
  <c r="I53" i="20"/>
  <c r="U54" i="20"/>
  <c r="I9" i="20"/>
  <c r="U10" i="20"/>
  <c r="I10" i="20"/>
  <c r="U11" i="20"/>
  <c r="U17" i="20"/>
  <c r="I16" i="20"/>
  <c r="U49" i="20"/>
  <c r="I48" i="20"/>
  <c r="U28" i="20"/>
  <c r="I27" i="20"/>
  <c r="I37" i="20"/>
  <c r="U38" i="20"/>
  <c r="I41" i="20"/>
  <c r="U42" i="20"/>
  <c r="I33" i="20"/>
  <c r="U34" i="20"/>
  <c r="I34" i="20"/>
  <c r="U35" i="20"/>
  <c r="I46" i="20"/>
  <c r="U47" i="20"/>
  <c r="U25" i="20"/>
  <c r="I24" i="20"/>
  <c r="U57" i="20"/>
  <c r="I56" i="20"/>
  <c r="U36" i="20"/>
  <c r="I35" i="20"/>
  <c r="I45" i="20"/>
  <c r="U46" i="20"/>
  <c r="I38" i="20"/>
  <c r="U39" i="20"/>
  <c r="U32" i="20"/>
  <c r="I31" i="20"/>
  <c r="I29" i="20"/>
  <c r="U30" i="20"/>
  <c r="I30" i="20"/>
  <c r="U31" i="20"/>
  <c r="I50" i="20"/>
  <c r="U51" i="20"/>
  <c r="U29" i="20"/>
  <c r="I28" i="20"/>
  <c r="U40" i="20"/>
  <c r="I39" i="20"/>
  <c r="U21" i="20"/>
  <c r="I20" i="20"/>
  <c r="I25" i="20"/>
  <c r="U26" i="20"/>
  <c r="I26" i="20"/>
  <c r="U27" i="20"/>
  <c r="I54" i="20"/>
  <c r="U55" i="20"/>
  <c r="U33" i="20"/>
  <c r="I32" i="20"/>
  <c r="U12" i="20"/>
  <c r="I11" i="20"/>
  <c r="U44" i="20"/>
  <c r="I43" i="20"/>
  <c r="I49" i="20"/>
  <c r="I42" i="20"/>
  <c r="U43" i="20"/>
  <c r="I21" i="20"/>
  <c r="U22" i="20"/>
  <c r="I22" i="20"/>
  <c r="U23" i="20"/>
  <c r="O58" i="20"/>
  <c r="L58" i="20"/>
  <c r="U37" i="20"/>
  <c r="I36" i="20"/>
  <c r="U16" i="20"/>
  <c r="I15" i="20"/>
  <c r="U48" i="20"/>
  <c r="I47" i="20"/>
  <c r="U53" i="20"/>
  <c r="I52" i="20"/>
  <c r="I17" i="20"/>
  <c r="U18" i="20"/>
  <c r="I18" i="20"/>
  <c r="U19" i="20"/>
  <c r="U41" i="20"/>
  <c r="I40" i="20"/>
  <c r="U20" i="20"/>
  <c r="I19" i="20"/>
  <c r="U52" i="20"/>
  <c r="I51" i="20"/>
  <c r="I57" i="20"/>
  <c r="T27" i="12"/>
  <c r="I46" i="12"/>
  <c r="I57" i="18"/>
  <c r="T10" i="18"/>
  <c r="U10" i="18" s="1"/>
  <c r="T54" i="18"/>
  <c r="U54" i="18" s="1"/>
  <c r="L57" i="18"/>
  <c r="O57" i="18"/>
  <c r="L13" i="18"/>
  <c r="O13" i="18"/>
  <c r="L41" i="18"/>
  <c r="O41" i="18"/>
  <c r="T28" i="18"/>
  <c r="U28" i="18" s="1"/>
  <c r="I27" i="18"/>
  <c r="I34" i="18"/>
  <c r="T35" i="18"/>
  <c r="U35" i="18" s="1"/>
  <c r="T40" i="18"/>
  <c r="U40" i="18" s="1"/>
  <c r="I39" i="18"/>
  <c r="T25" i="18"/>
  <c r="U25" i="18" s="1"/>
  <c r="I24" i="18"/>
  <c r="T36" i="18"/>
  <c r="U36" i="18" s="1"/>
  <c r="I35" i="18"/>
  <c r="T53" i="18"/>
  <c r="U53" i="18" s="1"/>
  <c r="I52" i="18"/>
  <c r="T21" i="18"/>
  <c r="U21" i="18" s="1"/>
  <c r="I20" i="18"/>
  <c r="I42" i="18"/>
  <c r="T43" i="18"/>
  <c r="U43" i="18" s="1"/>
  <c r="I10" i="18"/>
  <c r="T11" i="18"/>
  <c r="U11" i="18" s="1"/>
  <c r="L29" i="18"/>
  <c r="O29" i="18"/>
  <c r="T45" i="18"/>
  <c r="U45" i="18" s="1"/>
  <c r="I44" i="18"/>
  <c r="T57" i="18"/>
  <c r="U57" i="18" s="1"/>
  <c r="I56" i="18"/>
  <c r="I14" i="18"/>
  <c r="T15" i="18"/>
  <c r="U15" i="18" s="1"/>
  <c r="T32" i="18"/>
  <c r="U32" i="18" s="1"/>
  <c r="I31" i="18"/>
  <c r="T49" i="18"/>
  <c r="U49" i="18" s="1"/>
  <c r="I48" i="18"/>
  <c r="T17" i="18"/>
  <c r="U17" i="18" s="1"/>
  <c r="I16" i="18"/>
  <c r="I38" i="18"/>
  <c r="T39" i="18"/>
  <c r="U39" i="18" s="1"/>
  <c r="I49" i="18"/>
  <c r="T24" i="18"/>
  <c r="U24" i="18" s="1"/>
  <c r="I23" i="18"/>
  <c r="T52" i="18"/>
  <c r="U52" i="18" s="1"/>
  <c r="I51" i="18"/>
  <c r="T20" i="18"/>
  <c r="U20" i="18" s="1"/>
  <c r="I19" i="18"/>
  <c r="T37" i="18"/>
  <c r="U37" i="18" s="1"/>
  <c r="I36" i="18"/>
  <c r="O58" i="18"/>
  <c r="L58" i="18"/>
  <c r="I26" i="18"/>
  <c r="T27" i="18"/>
  <c r="U27" i="18" s="1"/>
  <c r="L9" i="18"/>
  <c r="O9" i="18"/>
  <c r="I37" i="18"/>
  <c r="T13" i="18"/>
  <c r="U13" i="18" s="1"/>
  <c r="I12" i="18"/>
  <c r="L53" i="18"/>
  <c r="O53" i="18"/>
  <c r="T41" i="18"/>
  <c r="U41" i="18" s="1"/>
  <c r="I40" i="18"/>
  <c r="I30" i="18"/>
  <c r="T31" i="18"/>
  <c r="U31" i="18" s="1"/>
  <c r="L33" i="18"/>
  <c r="O33" i="18"/>
  <c r="T48" i="18"/>
  <c r="U48" i="18" s="1"/>
  <c r="I47" i="18"/>
  <c r="T16" i="18"/>
  <c r="U16" i="18" s="1"/>
  <c r="I15" i="18"/>
  <c r="T33" i="18"/>
  <c r="U33" i="18" s="1"/>
  <c r="I32" i="18"/>
  <c r="I54" i="18"/>
  <c r="T55" i="18"/>
  <c r="U55" i="18" s="1"/>
  <c r="I22" i="18"/>
  <c r="T23" i="18"/>
  <c r="U23" i="18" s="1"/>
  <c r="I25" i="18"/>
  <c r="I17" i="18"/>
  <c r="T44" i="18"/>
  <c r="U44" i="18" s="1"/>
  <c r="I43" i="18"/>
  <c r="T12" i="18"/>
  <c r="U12" i="18" s="1"/>
  <c r="I11" i="18"/>
  <c r="T29" i="18"/>
  <c r="U29" i="18" s="1"/>
  <c r="I28" i="18"/>
  <c r="I50" i="18"/>
  <c r="T51" i="18"/>
  <c r="U51" i="18" s="1"/>
  <c r="I18" i="18"/>
  <c r="T19" i="18"/>
  <c r="U19" i="18" s="1"/>
  <c r="I45" i="18"/>
  <c r="I55" i="18"/>
  <c r="I21" i="18"/>
  <c r="I46" i="18"/>
  <c r="T47" i="18"/>
  <c r="U47" i="18" s="1"/>
  <c r="I9" i="17"/>
  <c r="T10" i="17"/>
  <c r="I54" i="17"/>
  <c r="T55" i="17"/>
  <c r="T25" i="17"/>
  <c r="I24" i="17"/>
  <c r="T57" i="17"/>
  <c r="I56" i="17"/>
  <c r="T28" i="17"/>
  <c r="I27" i="17"/>
  <c r="T24" i="17"/>
  <c r="I23" i="17"/>
  <c r="I58" i="17"/>
  <c r="T29" i="17"/>
  <c r="I28" i="17"/>
  <c r="T32" i="17"/>
  <c r="I31" i="17"/>
  <c r="T53" i="17"/>
  <c r="I52" i="17"/>
  <c r="I42" i="17"/>
  <c r="T43" i="17"/>
  <c r="T33" i="17"/>
  <c r="I32" i="17"/>
  <c r="I53" i="17"/>
  <c r="T54" i="17"/>
  <c r="T36" i="17"/>
  <c r="I35" i="17"/>
  <c r="T56" i="17"/>
  <c r="I55" i="17"/>
  <c r="I38" i="17"/>
  <c r="T39" i="17"/>
  <c r="I34" i="17"/>
  <c r="T35" i="17"/>
  <c r="I49" i="17"/>
  <c r="T50" i="17"/>
  <c r="T37" i="17"/>
  <c r="I36" i="17"/>
  <c r="T40" i="17"/>
  <c r="I39" i="17"/>
  <c r="I50" i="17"/>
  <c r="T51" i="17"/>
  <c r="I30" i="17"/>
  <c r="T31" i="17"/>
  <c r="I41" i="17"/>
  <c r="T42" i="17"/>
  <c r="I26" i="17"/>
  <c r="T27" i="17"/>
  <c r="I45" i="17"/>
  <c r="T46" i="17"/>
  <c r="T41" i="17"/>
  <c r="I40" i="17"/>
  <c r="T12" i="17"/>
  <c r="I11" i="17"/>
  <c r="T44" i="17"/>
  <c r="I43" i="17"/>
  <c r="T21" i="17"/>
  <c r="I20" i="17"/>
  <c r="I22" i="17"/>
  <c r="T23" i="17"/>
  <c r="I33" i="17"/>
  <c r="T34" i="17"/>
  <c r="I18" i="17"/>
  <c r="T19" i="17"/>
  <c r="T13" i="17"/>
  <c r="I12" i="17"/>
  <c r="T45" i="17"/>
  <c r="I44" i="17"/>
  <c r="T16" i="17"/>
  <c r="I15" i="17"/>
  <c r="T48" i="17"/>
  <c r="I47" i="17"/>
  <c r="I57" i="17"/>
  <c r="T58" i="17"/>
  <c r="I17" i="17"/>
  <c r="T18" i="17"/>
  <c r="I14" i="17"/>
  <c r="T15" i="17"/>
  <c r="I25" i="17"/>
  <c r="T26" i="17"/>
  <c r="I10" i="17"/>
  <c r="T11" i="17"/>
  <c r="T17" i="17"/>
  <c r="I16" i="17"/>
  <c r="T49" i="17"/>
  <c r="I48" i="17"/>
  <c r="T20" i="17"/>
  <c r="I19" i="17"/>
  <c r="T52" i="17"/>
  <c r="I51" i="17"/>
  <c r="G11" i="14"/>
  <c r="R11" i="14"/>
  <c r="G10" i="16"/>
  <c r="R11" i="16" s="1"/>
  <c r="G10" i="15"/>
  <c r="G10" i="11"/>
  <c r="R11" i="11" s="1"/>
  <c r="G10" i="12"/>
  <c r="R11" i="12" s="1"/>
  <c r="G10" i="13"/>
  <c r="R11" i="13" s="1"/>
  <c r="L9" i="15"/>
  <c r="O9" i="15"/>
  <c r="G9" i="1"/>
  <c r="R10" i="1" s="1"/>
  <c r="G9" i="16"/>
  <c r="R10" i="16" s="1"/>
  <c r="G9" i="13"/>
  <c r="R10" i="13" s="1"/>
  <c r="G9" i="12"/>
  <c r="R10" i="12" s="1"/>
  <c r="G9" i="15"/>
  <c r="G9" i="11"/>
  <c r="R10" i="11" s="1"/>
  <c r="I21" i="16"/>
  <c r="T22" i="16"/>
  <c r="T44" i="16"/>
  <c r="I43" i="16"/>
  <c r="I46" i="16"/>
  <c r="T47" i="16"/>
  <c r="I29" i="16"/>
  <c r="T30" i="16"/>
  <c r="T13" i="16"/>
  <c r="I12" i="16"/>
  <c r="T45" i="16"/>
  <c r="I44" i="16"/>
  <c r="T20" i="16"/>
  <c r="I19" i="16"/>
  <c r="T52" i="16"/>
  <c r="I51" i="16"/>
  <c r="I34" i="16"/>
  <c r="T35" i="16"/>
  <c r="I49" i="16"/>
  <c r="T50" i="16"/>
  <c r="T40" i="16"/>
  <c r="I39" i="16"/>
  <c r="T41" i="16"/>
  <c r="I40" i="16"/>
  <c r="I54" i="16"/>
  <c r="T55" i="16"/>
  <c r="I33" i="16"/>
  <c r="T34" i="16"/>
  <c r="T17" i="16"/>
  <c r="I16" i="16"/>
  <c r="I48" i="16"/>
  <c r="T49" i="16"/>
  <c r="T24" i="16"/>
  <c r="I23" i="16"/>
  <c r="T56" i="16"/>
  <c r="I55" i="16"/>
  <c r="I18" i="16"/>
  <c r="T19" i="16"/>
  <c r="I42" i="16"/>
  <c r="T43" i="16"/>
  <c r="I57" i="16"/>
  <c r="T58" i="16"/>
  <c r="I58" i="16"/>
  <c r="I37" i="16"/>
  <c r="T38" i="16"/>
  <c r="T21" i="16"/>
  <c r="I20" i="16"/>
  <c r="T53" i="16"/>
  <c r="I52" i="16"/>
  <c r="T28" i="16"/>
  <c r="I27" i="16"/>
  <c r="I50" i="16"/>
  <c r="T51" i="16"/>
  <c r="I17" i="16"/>
  <c r="T18" i="16"/>
  <c r="T37" i="16"/>
  <c r="I36" i="16"/>
  <c r="T48" i="16"/>
  <c r="I47" i="16"/>
  <c r="I26" i="16"/>
  <c r="T27" i="16"/>
  <c r="I9" i="16"/>
  <c r="T10" i="16"/>
  <c r="I41" i="16"/>
  <c r="T42" i="16"/>
  <c r="T25" i="16"/>
  <c r="I24" i="16"/>
  <c r="T57" i="16"/>
  <c r="I56" i="16"/>
  <c r="T32" i="16"/>
  <c r="I31" i="16"/>
  <c r="I22" i="16"/>
  <c r="T23" i="16"/>
  <c r="T33" i="16"/>
  <c r="I32" i="16"/>
  <c r="I14" i="16"/>
  <c r="T15" i="16"/>
  <c r="I53" i="16"/>
  <c r="T54" i="16"/>
  <c r="T12" i="16"/>
  <c r="I11" i="16"/>
  <c r="I25" i="16"/>
  <c r="T26" i="16"/>
  <c r="T16" i="16"/>
  <c r="I15" i="16"/>
  <c r="I10" i="16"/>
  <c r="T11" i="16"/>
  <c r="I13" i="16"/>
  <c r="T14" i="16"/>
  <c r="I45" i="16"/>
  <c r="T46" i="16"/>
  <c r="T29" i="16"/>
  <c r="I28" i="16"/>
  <c r="T36" i="16"/>
  <c r="I35" i="16"/>
  <c r="I38" i="16"/>
  <c r="T39" i="16"/>
  <c r="I55" i="11"/>
  <c r="T13" i="15"/>
  <c r="I12" i="15"/>
  <c r="T31" i="15"/>
  <c r="I30" i="15"/>
  <c r="I13" i="15"/>
  <c r="T14" i="15"/>
  <c r="T17" i="15"/>
  <c r="I16" i="15"/>
  <c r="T36" i="15"/>
  <c r="I35" i="15"/>
  <c r="I33" i="15"/>
  <c r="T34" i="15"/>
  <c r="I54" i="15"/>
  <c r="T55" i="15"/>
  <c r="I10" i="15"/>
  <c r="T11" i="15"/>
  <c r="I9" i="15"/>
  <c r="T10" i="15"/>
  <c r="T57" i="15"/>
  <c r="I56" i="15"/>
  <c r="T40" i="15"/>
  <c r="I39" i="15"/>
  <c r="T41" i="15"/>
  <c r="I40" i="15"/>
  <c r="T53" i="15"/>
  <c r="I52" i="15"/>
  <c r="I53" i="15"/>
  <c r="T25" i="15"/>
  <c r="I24" i="15"/>
  <c r="T15" i="15"/>
  <c r="I14" i="15"/>
  <c r="I57" i="15"/>
  <c r="T58" i="15"/>
  <c r="I38" i="15"/>
  <c r="T39" i="15"/>
  <c r="T12" i="15"/>
  <c r="I11" i="15"/>
  <c r="T44" i="15"/>
  <c r="I43" i="15"/>
  <c r="I37" i="15"/>
  <c r="T38" i="15"/>
  <c r="T48" i="15"/>
  <c r="I47" i="15"/>
  <c r="I45" i="15"/>
  <c r="T46" i="15"/>
  <c r="T49" i="15"/>
  <c r="I48" i="15"/>
  <c r="T20" i="15"/>
  <c r="I19" i="15"/>
  <c r="I18" i="15"/>
  <c r="T19" i="15"/>
  <c r="I49" i="15"/>
  <c r="T50" i="15"/>
  <c r="T37" i="15"/>
  <c r="I36" i="15"/>
  <c r="I42" i="15"/>
  <c r="T43" i="15"/>
  <c r="I41" i="15"/>
  <c r="T42" i="15"/>
  <c r="T29" i="15"/>
  <c r="I28" i="15"/>
  <c r="T24" i="15"/>
  <c r="I23" i="15"/>
  <c r="T56" i="15"/>
  <c r="I55" i="15"/>
  <c r="I17" i="15"/>
  <c r="T18" i="15"/>
  <c r="T16" i="15"/>
  <c r="I15" i="15"/>
  <c r="I34" i="15"/>
  <c r="T35" i="15"/>
  <c r="T52" i="15"/>
  <c r="I51" i="15"/>
  <c r="I21" i="15"/>
  <c r="T22" i="15"/>
  <c r="T47" i="15"/>
  <c r="I46" i="15"/>
  <c r="I29" i="15"/>
  <c r="T30" i="15"/>
  <c r="T33" i="15"/>
  <c r="I32" i="15"/>
  <c r="I58" i="15"/>
  <c r="T28" i="15"/>
  <c r="I27" i="15"/>
  <c r="I22" i="15"/>
  <c r="T23" i="15"/>
  <c r="I50" i="15"/>
  <c r="T51" i="15"/>
  <c r="T45" i="15"/>
  <c r="I44" i="15"/>
  <c r="T21" i="15"/>
  <c r="I20" i="15"/>
  <c r="I26" i="15"/>
  <c r="T27" i="15"/>
  <c r="I25" i="15"/>
  <c r="T26" i="15"/>
  <c r="T32" i="15"/>
  <c r="I31" i="15"/>
  <c r="I22" i="14"/>
  <c r="T23" i="14"/>
  <c r="T44" i="14"/>
  <c r="I43" i="14"/>
  <c r="I14" i="14"/>
  <c r="T15" i="14"/>
  <c r="I33" i="14"/>
  <c r="T34" i="14"/>
  <c r="I42" i="14"/>
  <c r="T43" i="14"/>
  <c r="T37" i="14"/>
  <c r="I36" i="14"/>
  <c r="T16" i="14"/>
  <c r="I15" i="14"/>
  <c r="T48" i="14"/>
  <c r="I47" i="14"/>
  <c r="I50" i="14"/>
  <c r="T51" i="14"/>
  <c r="I46" i="14"/>
  <c r="T47" i="14"/>
  <c r="I37" i="14"/>
  <c r="T38" i="14"/>
  <c r="T41" i="14"/>
  <c r="I40" i="14"/>
  <c r="T20" i="14"/>
  <c r="I19" i="14"/>
  <c r="T52" i="14"/>
  <c r="I51" i="14"/>
  <c r="T33" i="14"/>
  <c r="I32" i="14"/>
  <c r="I9" i="14"/>
  <c r="T10" i="14"/>
  <c r="U10" i="14" s="1"/>
  <c r="I41" i="14"/>
  <c r="T42" i="14"/>
  <c r="T13" i="14"/>
  <c r="I12" i="14"/>
  <c r="T45" i="14"/>
  <c r="I44" i="14"/>
  <c r="T24" i="14"/>
  <c r="I23" i="14"/>
  <c r="T56" i="14"/>
  <c r="I55" i="14"/>
  <c r="I26" i="14"/>
  <c r="T27" i="14"/>
  <c r="I34" i="14"/>
  <c r="T35" i="14"/>
  <c r="I13" i="14"/>
  <c r="T14" i="14"/>
  <c r="I45" i="14"/>
  <c r="T46" i="14"/>
  <c r="T17" i="14"/>
  <c r="I16" i="14"/>
  <c r="T49" i="14"/>
  <c r="I48" i="14"/>
  <c r="T28" i="14"/>
  <c r="I27" i="14"/>
  <c r="I38" i="14"/>
  <c r="T39" i="14"/>
  <c r="I10" i="14"/>
  <c r="T11" i="14"/>
  <c r="U11" i="14" s="1"/>
  <c r="I18" i="14"/>
  <c r="T19" i="14"/>
  <c r="I17" i="14"/>
  <c r="T18" i="14"/>
  <c r="I49" i="14"/>
  <c r="T50" i="14"/>
  <c r="T21" i="14"/>
  <c r="I20" i="14"/>
  <c r="T53" i="14"/>
  <c r="I52" i="14"/>
  <c r="T32" i="14"/>
  <c r="I31" i="14"/>
  <c r="I54" i="14"/>
  <c r="T55" i="14"/>
  <c r="I30" i="14"/>
  <c r="T31" i="14"/>
  <c r="I29" i="14"/>
  <c r="T30" i="14"/>
  <c r="I21" i="14"/>
  <c r="T22" i="14"/>
  <c r="I53" i="14"/>
  <c r="T54" i="14"/>
  <c r="T25" i="14"/>
  <c r="I24" i="14"/>
  <c r="T57" i="14"/>
  <c r="I56" i="14"/>
  <c r="T36" i="14"/>
  <c r="I35" i="14"/>
  <c r="T12" i="14"/>
  <c r="I11" i="14"/>
  <c r="I25" i="14"/>
  <c r="T26" i="14"/>
  <c r="I57" i="14"/>
  <c r="T58" i="14"/>
  <c r="T29" i="14"/>
  <c r="I28" i="14"/>
  <c r="T40" i="14"/>
  <c r="I39" i="14"/>
  <c r="I58" i="13"/>
  <c r="T21" i="13"/>
  <c r="I20" i="13"/>
  <c r="I46" i="13"/>
  <c r="T47" i="13"/>
  <c r="I49" i="13"/>
  <c r="T50" i="13"/>
  <c r="T32" i="13"/>
  <c r="I31" i="13"/>
  <c r="I21" i="13"/>
  <c r="T22" i="13"/>
  <c r="I53" i="13"/>
  <c r="T54" i="13"/>
  <c r="T29" i="13"/>
  <c r="I28" i="13"/>
  <c r="T36" i="13"/>
  <c r="I35" i="13"/>
  <c r="I30" i="13"/>
  <c r="T31" i="13"/>
  <c r="I25" i="13"/>
  <c r="T26" i="13"/>
  <c r="I57" i="13"/>
  <c r="T58" i="13"/>
  <c r="T33" i="13"/>
  <c r="I32" i="13"/>
  <c r="I42" i="13"/>
  <c r="T43" i="13"/>
  <c r="T40" i="13"/>
  <c r="I39" i="13"/>
  <c r="I10" i="13"/>
  <c r="T11" i="13"/>
  <c r="U11" i="13" s="1"/>
  <c r="I13" i="13"/>
  <c r="T14" i="13"/>
  <c r="I17" i="13"/>
  <c r="T18" i="13"/>
  <c r="T53" i="13"/>
  <c r="I52" i="13"/>
  <c r="T25" i="13"/>
  <c r="I24" i="13"/>
  <c r="I34" i="13"/>
  <c r="T35" i="13"/>
  <c r="I29" i="13"/>
  <c r="T30" i="13"/>
  <c r="I38" i="13"/>
  <c r="T39" i="13"/>
  <c r="T37" i="13"/>
  <c r="I36" i="13"/>
  <c r="T12" i="13"/>
  <c r="I11" i="13"/>
  <c r="T44" i="13"/>
  <c r="I43" i="13"/>
  <c r="I50" i="13"/>
  <c r="T51" i="13"/>
  <c r="I33" i="13"/>
  <c r="T34" i="13"/>
  <c r="I40" i="13"/>
  <c r="T41" i="13"/>
  <c r="T16" i="13"/>
  <c r="I15" i="13"/>
  <c r="T48" i="13"/>
  <c r="I47" i="13"/>
  <c r="I14" i="13"/>
  <c r="I45" i="13"/>
  <c r="T46" i="13"/>
  <c r="T28" i="13"/>
  <c r="I27" i="13"/>
  <c r="I22" i="13"/>
  <c r="T23" i="13"/>
  <c r="T57" i="13"/>
  <c r="I56" i="13"/>
  <c r="I54" i="13"/>
  <c r="T55" i="13"/>
  <c r="I37" i="13"/>
  <c r="T38" i="13"/>
  <c r="T13" i="13"/>
  <c r="I12" i="13"/>
  <c r="I44" i="13"/>
  <c r="T45" i="13"/>
  <c r="T20" i="13"/>
  <c r="I19" i="13"/>
  <c r="T52" i="13"/>
  <c r="I51" i="13"/>
  <c r="I18" i="13"/>
  <c r="I9" i="13"/>
  <c r="T10" i="13"/>
  <c r="I41" i="13"/>
  <c r="T42" i="13"/>
  <c r="T17" i="13"/>
  <c r="I16" i="13"/>
  <c r="T49" i="13"/>
  <c r="I48" i="13"/>
  <c r="T24" i="13"/>
  <c r="I23" i="13"/>
  <c r="T56" i="13"/>
  <c r="I55" i="13"/>
  <c r="I54" i="12"/>
  <c r="T55" i="12"/>
  <c r="I37" i="12"/>
  <c r="T38" i="12"/>
  <c r="T53" i="12"/>
  <c r="I52" i="12"/>
  <c r="T39" i="12"/>
  <c r="I38" i="12"/>
  <c r="I9" i="12"/>
  <c r="T10" i="12"/>
  <c r="I41" i="12"/>
  <c r="T42" i="12"/>
  <c r="T25" i="12"/>
  <c r="I24" i="12"/>
  <c r="T57" i="12"/>
  <c r="I56" i="12"/>
  <c r="T36" i="12"/>
  <c r="I35" i="12"/>
  <c r="T21" i="12"/>
  <c r="I20" i="12"/>
  <c r="T32" i="12"/>
  <c r="I31" i="12"/>
  <c r="T23" i="12"/>
  <c r="I22" i="12"/>
  <c r="I13" i="12"/>
  <c r="T14" i="12"/>
  <c r="I45" i="12"/>
  <c r="T46" i="12"/>
  <c r="T29" i="12"/>
  <c r="I28" i="12"/>
  <c r="T40" i="12"/>
  <c r="I39" i="12"/>
  <c r="I49" i="12"/>
  <c r="T50" i="12"/>
  <c r="T12" i="12"/>
  <c r="I11" i="12"/>
  <c r="I21" i="12"/>
  <c r="T22" i="12"/>
  <c r="T37" i="12"/>
  <c r="I36" i="12"/>
  <c r="I25" i="12"/>
  <c r="T26" i="12"/>
  <c r="T41" i="12"/>
  <c r="I40" i="12"/>
  <c r="T52" i="12"/>
  <c r="I51" i="12"/>
  <c r="I34" i="12"/>
  <c r="T35" i="12"/>
  <c r="I42" i="12"/>
  <c r="I29" i="12"/>
  <c r="T30" i="12"/>
  <c r="T13" i="12"/>
  <c r="I12" i="12"/>
  <c r="T45" i="12"/>
  <c r="I44" i="12"/>
  <c r="T24" i="12"/>
  <c r="I23" i="12"/>
  <c r="T56" i="12"/>
  <c r="I55" i="12"/>
  <c r="I17" i="12"/>
  <c r="T18" i="12"/>
  <c r="T33" i="12"/>
  <c r="I32" i="12"/>
  <c r="T44" i="12"/>
  <c r="I43" i="12"/>
  <c r="I53" i="12"/>
  <c r="T54" i="12"/>
  <c r="T16" i="12"/>
  <c r="I15" i="12"/>
  <c r="T48" i="12"/>
  <c r="I47" i="12"/>
  <c r="T51" i="12"/>
  <c r="I50" i="12"/>
  <c r="I57" i="12"/>
  <c r="T58" i="12"/>
  <c r="T20" i="12"/>
  <c r="I19" i="12"/>
  <c r="I18" i="12"/>
  <c r="T19" i="12"/>
  <c r="I33" i="12"/>
  <c r="T34" i="12"/>
  <c r="T17" i="12"/>
  <c r="I16" i="12"/>
  <c r="T49" i="12"/>
  <c r="I48" i="12"/>
  <c r="T28" i="12"/>
  <c r="I27" i="12"/>
  <c r="I14" i="12"/>
  <c r="I46" i="11"/>
  <c r="T47" i="11"/>
  <c r="I14" i="11"/>
  <c r="T15" i="11"/>
  <c r="I15" i="11"/>
  <c r="T41" i="11"/>
  <c r="I40" i="11"/>
  <c r="I57" i="11"/>
  <c r="T58" i="11"/>
  <c r="T42" i="11"/>
  <c r="I41" i="11"/>
  <c r="T22" i="11"/>
  <c r="I21" i="11"/>
  <c r="T43" i="11"/>
  <c r="I42" i="11"/>
  <c r="I10" i="11"/>
  <c r="T11" i="11"/>
  <c r="U11" i="11" s="1"/>
  <c r="T14" i="11"/>
  <c r="I13" i="11"/>
  <c r="I34" i="11"/>
  <c r="T35" i="11"/>
  <c r="T37" i="11"/>
  <c r="I36" i="11"/>
  <c r="T38" i="11"/>
  <c r="I37" i="11"/>
  <c r="T29" i="11"/>
  <c r="I28" i="11"/>
  <c r="I35" i="11"/>
  <c r="T10" i="11"/>
  <c r="U10" i="11" s="1"/>
  <c r="I9" i="11"/>
  <c r="T31" i="11"/>
  <c r="I30" i="11"/>
  <c r="I11" i="11"/>
  <c r="T13" i="11"/>
  <c r="I12" i="11"/>
  <c r="T39" i="11"/>
  <c r="I38" i="11"/>
  <c r="I53" i="11"/>
  <c r="T54" i="11"/>
  <c r="T57" i="11"/>
  <c r="I56" i="11"/>
  <c r="T25" i="11"/>
  <c r="I24" i="11"/>
  <c r="I49" i="11"/>
  <c r="T50" i="11"/>
  <c r="I33" i="11"/>
  <c r="T34" i="11"/>
  <c r="I58" i="11"/>
  <c r="I26" i="11"/>
  <c r="T27" i="11"/>
  <c r="I25" i="11"/>
  <c r="T26" i="11"/>
  <c r="T53" i="11"/>
  <c r="I52" i="11"/>
  <c r="T21" i="11"/>
  <c r="I20" i="11"/>
  <c r="I47" i="11"/>
  <c r="T55" i="11"/>
  <c r="I54" i="11"/>
  <c r="T23" i="11"/>
  <c r="I22" i="11"/>
  <c r="I23" i="11"/>
  <c r="I27" i="11"/>
  <c r="T45" i="11"/>
  <c r="I44" i="11"/>
  <c r="T18" i="11"/>
  <c r="I17" i="11"/>
  <c r="T33" i="11"/>
  <c r="I32" i="11"/>
  <c r="T49" i="11"/>
  <c r="I48" i="11"/>
  <c r="T17" i="11"/>
  <c r="I16" i="11"/>
  <c r="I45" i="11"/>
  <c r="T46" i="11"/>
  <c r="T30" i="11"/>
  <c r="I29" i="11"/>
  <c r="I50" i="11"/>
  <c r="T51" i="11"/>
  <c r="T19" i="11"/>
  <c r="I18" i="11"/>
  <c r="E7" i="6"/>
  <c r="G10" i="1"/>
  <c r="I51" i="1"/>
  <c r="T52" i="1"/>
  <c r="I9" i="1"/>
  <c r="O9" i="1" s="1"/>
  <c r="T10" i="1"/>
  <c r="I11" i="1"/>
  <c r="T12" i="1"/>
  <c r="I48" i="1"/>
  <c r="I30" i="1"/>
  <c r="I43" i="1"/>
  <c r="I45" i="1"/>
  <c r="I24" i="1"/>
  <c r="I37" i="1"/>
  <c r="I26" i="1"/>
  <c r="I53" i="1"/>
  <c r="I55" i="1"/>
  <c r="I40" i="1"/>
  <c r="I22" i="1"/>
  <c r="I32" i="1"/>
  <c r="I49" i="1"/>
  <c r="I17" i="1"/>
  <c r="I58" i="1"/>
  <c r="I12" i="1"/>
  <c r="I15" i="1"/>
  <c r="I20" i="1"/>
  <c r="I19" i="1"/>
  <c r="I46" i="1"/>
  <c r="I42" i="1"/>
  <c r="I54" i="1"/>
  <c r="I39" i="1"/>
  <c r="I34" i="1"/>
  <c r="I28" i="1"/>
  <c r="I33" i="1"/>
  <c r="I13" i="1"/>
  <c r="I14" i="1"/>
  <c r="I41" i="1"/>
  <c r="I50" i="1"/>
  <c r="I47" i="1"/>
  <c r="I21" i="1"/>
  <c r="I38" i="1"/>
  <c r="I52" i="1"/>
  <c r="I31" i="1"/>
  <c r="I44" i="1"/>
  <c r="I36" i="1"/>
  <c r="I29" i="1"/>
  <c r="I23" i="1"/>
  <c r="I57" i="1"/>
  <c r="I25" i="1"/>
  <c r="I27" i="1"/>
  <c r="I56" i="1"/>
  <c r="I35" i="1"/>
  <c r="I16" i="1"/>
  <c r="I18" i="1"/>
  <c r="I10" i="1"/>
  <c r="N58" i="1" l="1"/>
  <c r="K58" i="1"/>
  <c r="W58" i="20"/>
  <c r="L17" i="20"/>
  <c r="O17" i="20"/>
  <c r="W17" i="20" s="1"/>
  <c r="O42" i="20"/>
  <c r="W42" i="20" s="1"/>
  <c r="L42" i="20"/>
  <c r="O39" i="20"/>
  <c r="L39" i="20"/>
  <c r="O35" i="20"/>
  <c r="L35" i="20"/>
  <c r="O27" i="20"/>
  <c r="L27" i="20"/>
  <c r="O44" i="20"/>
  <c r="W44" i="20" s="1"/>
  <c r="L44" i="20"/>
  <c r="O19" i="20"/>
  <c r="L19" i="20"/>
  <c r="O52" i="20"/>
  <c r="L52" i="20"/>
  <c r="L49" i="20"/>
  <c r="O49" i="20"/>
  <c r="W49" i="20" s="1"/>
  <c r="O54" i="20"/>
  <c r="W54" i="20" s="1"/>
  <c r="L54" i="20"/>
  <c r="L29" i="20"/>
  <c r="O29" i="20"/>
  <c r="W29" i="20" s="1"/>
  <c r="O34" i="20"/>
  <c r="L34" i="20"/>
  <c r="L9" i="20"/>
  <c r="O9" i="20"/>
  <c r="O56" i="20"/>
  <c r="W56" i="20" s="1"/>
  <c r="L56" i="20"/>
  <c r="L40" i="20"/>
  <c r="O40" i="20"/>
  <c r="W40" i="20" s="1"/>
  <c r="L47" i="20"/>
  <c r="O47" i="20"/>
  <c r="O26" i="20"/>
  <c r="L26" i="20"/>
  <c r="L33" i="20"/>
  <c r="O33" i="20"/>
  <c r="L53" i="20"/>
  <c r="O53" i="20"/>
  <c r="W53" i="20" s="1"/>
  <c r="L28" i="20"/>
  <c r="O28" i="20"/>
  <c r="O48" i="20"/>
  <c r="L48" i="20"/>
  <c r="O22" i="20"/>
  <c r="W22" i="20" s="1"/>
  <c r="L22" i="20"/>
  <c r="O11" i="20"/>
  <c r="L11" i="20"/>
  <c r="L24" i="20"/>
  <c r="O24" i="20"/>
  <c r="L16" i="20"/>
  <c r="O16" i="20"/>
  <c r="W16" i="20" s="1"/>
  <c r="O55" i="20"/>
  <c r="W55" i="20" s="1"/>
  <c r="L55" i="20"/>
  <c r="O31" i="20"/>
  <c r="L31" i="20"/>
  <c r="O15" i="20"/>
  <c r="L15" i="20"/>
  <c r="L25" i="20"/>
  <c r="O25" i="20"/>
  <c r="W25" i="20" s="1"/>
  <c r="O50" i="20"/>
  <c r="W50" i="20" s="1"/>
  <c r="L50" i="20"/>
  <c r="O38" i="20"/>
  <c r="L38" i="20"/>
  <c r="L41" i="20"/>
  <c r="O41" i="20"/>
  <c r="O14" i="20"/>
  <c r="L14" i="20"/>
  <c r="L57" i="20"/>
  <c r="O57" i="20"/>
  <c r="O18" i="20"/>
  <c r="L18" i="20"/>
  <c r="L21" i="20"/>
  <c r="O21" i="20"/>
  <c r="L32" i="20"/>
  <c r="O32" i="20"/>
  <c r="W32" i="20" s="1"/>
  <c r="L20" i="20"/>
  <c r="O20" i="20"/>
  <c r="O23" i="20"/>
  <c r="L23" i="20"/>
  <c r="O43" i="20"/>
  <c r="L43" i="20"/>
  <c r="L12" i="20"/>
  <c r="O12" i="20"/>
  <c r="W12" i="20" s="1"/>
  <c r="L51" i="20"/>
  <c r="O51" i="20"/>
  <c r="L36" i="20"/>
  <c r="O36" i="20"/>
  <c r="W36" i="20" s="1"/>
  <c r="O30" i="20"/>
  <c r="L30" i="20"/>
  <c r="L45" i="20"/>
  <c r="O45" i="20"/>
  <c r="W45" i="20" s="1"/>
  <c r="O46" i="20"/>
  <c r="L46" i="20"/>
  <c r="L37" i="20"/>
  <c r="O37" i="20"/>
  <c r="W37" i="20" s="1"/>
  <c r="O10" i="20"/>
  <c r="L10" i="20"/>
  <c r="L13" i="20"/>
  <c r="O13" i="20"/>
  <c r="W13" i="20" s="1"/>
  <c r="O54" i="18"/>
  <c r="L54" i="18"/>
  <c r="L36" i="18"/>
  <c r="O36" i="18"/>
  <c r="O27" i="18"/>
  <c r="L27" i="18"/>
  <c r="O18" i="18"/>
  <c r="L18" i="18"/>
  <c r="O30" i="18"/>
  <c r="L30" i="18"/>
  <c r="W9" i="18"/>
  <c r="O19" i="18"/>
  <c r="L19" i="18"/>
  <c r="O38" i="18"/>
  <c r="L38" i="18"/>
  <c r="O14" i="18"/>
  <c r="L14" i="18"/>
  <c r="O10" i="18"/>
  <c r="L10" i="18"/>
  <c r="L45" i="18"/>
  <c r="O45" i="18"/>
  <c r="L43" i="18"/>
  <c r="O43" i="18"/>
  <c r="L37" i="18"/>
  <c r="O37" i="18"/>
  <c r="O35" i="18"/>
  <c r="L35" i="18"/>
  <c r="L17" i="18"/>
  <c r="O17" i="18"/>
  <c r="O15" i="18"/>
  <c r="L15" i="18"/>
  <c r="O40" i="18"/>
  <c r="L40" i="18"/>
  <c r="O16" i="18"/>
  <c r="L16" i="18"/>
  <c r="O56" i="18"/>
  <c r="L56" i="18"/>
  <c r="L24" i="18"/>
  <c r="O24" i="18"/>
  <c r="W41" i="18"/>
  <c r="O34" i="18"/>
  <c r="L34" i="18"/>
  <c r="L32" i="18"/>
  <c r="O32" i="18"/>
  <c r="O50" i="18"/>
  <c r="L50" i="18"/>
  <c r="L25" i="18"/>
  <c r="O25" i="18"/>
  <c r="W25" i="18" s="1"/>
  <c r="O51" i="18"/>
  <c r="L51" i="18"/>
  <c r="O42" i="18"/>
  <c r="L42" i="18"/>
  <c r="L49" i="18"/>
  <c r="O49" i="18"/>
  <c r="O46" i="18"/>
  <c r="L46" i="18"/>
  <c r="O28" i="18"/>
  <c r="L28" i="18"/>
  <c r="O47" i="18"/>
  <c r="L47" i="18"/>
  <c r="W53" i="18"/>
  <c r="O26" i="18"/>
  <c r="L26" i="18"/>
  <c r="O48" i="18"/>
  <c r="L48" i="18"/>
  <c r="L44" i="18"/>
  <c r="O44" i="18"/>
  <c r="O20" i="18"/>
  <c r="L20" i="18"/>
  <c r="L39" i="18"/>
  <c r="O39" i="18"/>
  <c r="W13" i="18"/>
  <c r="L21" i="18"/>
  <c r="O21" i="18"/>
  <c r="O22" i="18"/>
  <c r="L22" i="18"/>
  <c r="L23" i="18"/>
  <c r="O23" i="18"/>
  <c r="O55" i="18"/>
  <c r="L55" i="18"/>
  <c r="O11" i="18"/>
  <c r="L11" i="18"/>
  <c r="W33" i="18"/>
  <c r="O12" i="18"/>
  <c r="L12" i="18"/>
  <c r="W58" i="18"/>
  <c r="L31" i="18"/>
  <c r="O31" i="18"/>
  <c r="W31" i="18" s="1"/>
  <c r="W29" i="18"/>
  <c r="L52" i="18"/>
  <c r="O52" i="18"/>
  <c r="W57" i="18"/>
  <c r="W21" i="17"/>
  <c r="W51" i="17"/>
  <c r="W10" i="17"/>
  <c r="W34" i="17"/>
  <c r="W12" i="17"/>
  <c r="W47" i="17"/>
  <c r="W39" i="17"/>
  <c r="W23" i="17"/>
  <c r="W25" i="17"/>
  <c r="W18" i="17"/>
  <c r="W38" i="17"/>
  <c r="W53" i="17"/>
  <c r="W56" i="17"/>
  <c r="W52" i="17"/>
  <c r="W15" i="17"/>
  <c r="W36" i="17"/>
  <c r="W32" i="17"/>
  <c r="W35" i="17"/>
  <c r="W46" i="17"/>
  <c r="W33" i="17"/>
  <c r="W13" i="17"/>
  <c r="W22" i="17"/>
  <c r="W37" i="17"/>
  <c r="W29" i="17"/>
  <c r="W58" i="17"/>
  <c r="U10" i="13"/>
  <c r="L11" i="1"/>
  <c r="U11" i="16"/>
  <c r="U10" i="16"/>
  <c r="U12" i="14"/>
  <c r="L10" i="12"/>
  <c r="R11" i="15"/>
  <c r="U11" i="15"/>
  <c r="O11" i="15"/>
  <c r="L11" i="15"/>
  <c r="G11" i="16"/>
  <c r="R12" i="16" s="1"/>
  <c r="G11" i="11"/>
  <c r="G11" i="13"/>
  <c r="R12" i="13" s="1"/>
  <c r="G11" i="12"/>
  <c r="R12" i="12" s="1"/>
  <c r="G11" i="15"/>
  <c r="O10" i="12"/>
  <c r="O11" i="1"/>
  <c r="U10" i="1"/>
  <c r="U11" i="12"/>
  <c r="U10" i="12"/>
  <c r="O10" i="15"/>
  <c r="L10" i="15"/>
  <c r="U10" i="15"/>
  <c r="R10" i="15"/>
  <c r="G12" i="14"/>
  <c r="U13" i="14" s="1"/>
  <c r="R12" i="14"/>
  <c r="O10" i="16"/>
  <c r="L10" i="16"/>
  <c r="L9" i="16"/>
  <c r="O9" i="16"/>
  <c r="O11" i="16"/>
  <c r="L11" i="16"/>
  <c r="L9" i="14"/>
  <c r="O9" i="14"/>
  <c r="O12" i="14"/>
  <c r="L12" i="14"/>
  <c r="O10" i="14"/>
  <c r="L10" i="14"/>
  <c r="O11" i="14"/>
  <c r="L11" i="14"/>
  <c r="L9" i="13"/>
  <c r="O9" i="13"/>
  <c r="O12" i="13"/>
  <c r="L12" i="13"/>
  <c r="O10" i="13"/>
  <c r="L10" i="13"/>
  <c r="O11" i="13"/>
  <c r="L11" i="13"/>
  <c r="O11" i="12"/>
  <c r="L11" i="12"/>
  <c r="L9" i="12"/>
  <c r="O9" i="12"/>
  <c r="O10" i="11"/>
  <c r="L10" i="11"/>
  <c r="O11" i="11"/>
  <c r="L11" i="11"/>
  <c r="L9" i="11"/>
  <c r="O9" i="11"/>
  <c r="U11" i="1"/>
  <c r="R11" i="1"/>
  <c r="L9" i="1"/>
  <c r="W9" i="1" s="1"/>
  <c r="E8" i="6"/>
  <c r="G11" i="1"/>
  <c r="R12" i="1" s="1"/>
  <c r="O10" i="1"/>
  <c r="L10" i="1"/>
  <c r="W9" i="20" l="1"/>
  <c r="W52" i="18"/>
  <c r="W44" i="18"/>
  <c r="W28" i="18"/>
  <c r="W30" i="18"/>
  <c r="W54" i="18"/>
  <c r="W51" i="20"/>
  <c r="W21" i="20"/>
  <c r="W41" i="20"/>
  <c r="W24" i="20"/>
  <c r="W28" i="20"/>
  <c r="W47" i="20"/>
  <c r="W10" i="20"/>
  <c r="W30" i="20"/>
  <c r="W43" i="20"/>
  <c r="W15" i="20"/>
  <c r="W34" i="20"/>
  <c r="W52" i="20"/>
  <c r="W35" i="20"/>
  <c r="W23" i="20"/>
  <c r="W18" i="20"/>
  <c r="W38" i="20"/>
  <c r="W31" i="20"/>
  <c r="W11" i="20"/>
  <c r="W19" i="20"/>
  <c r="W39" i="20"/>
  <c r="W20" i="20"/>
  <c r="W57" i="20"/>
  <c r="W33" i="20"/>
  <c r="W46" i="20"/>
  <c r="W14" i="20"/>
  <c r="W48" i="20"/>
  <c r="W26" i="20"/>
  <c r="W27" i="20"/>
  <c r="W23" i="18"/>
  <c r="W26" i="18"/>
  <c r="W49" i="18"/>
  <c r="W15" i="18"/>
  <c r="W38" i="18"/>
  <c r="W17" i="18"/>
  <c r="W45" i="18"/>
  <c r="W47" i="18"/>
  <c r="W22" i="18"/>
  <c r="W42" i="18"/>
  <c r="W11" i="18"/>
  <c r="W51" i="18"/>
  <c r="W34" i="18"/>
  <c r="W37" i="18"/>
  <c r="W48" i="18"/>
  <c r="W55" i="18"/>
  <c r="W39" i="18"/>
  <c r="W46" i="18"/>
  <c r="W24" i="18"/>
  <c r="W43" i="18"/>
  <c r="W18" i="18"/>
  <c r="W40" i="18"/>
  <c r="W50" i="18"/>
  <c r="W27" i="18"/>
  <c r="W14" i="18"/>
  <c r="W12" i="18"/>
  <c r="W20" i="18"/>
  <c r="W32" i="18"/>
  <c r="W56" i="18"/>
  <c r="W19" i="18"/>
  <c r="W36" i="18"/>
  <c r="W21" i="18"/>
  <c r="W16" i="18"/>
  <c r="W35" i="18"/>
  <c r="W10" i="18"/>
  <c r="W44" i="17"/>
  <c r="W57" i="17"/>
  <c r="W49" i="17"/>
  <c r="W14" i="17"/>
  <c r="W48" i="17"/>
  <c r="W54" i="17"/>
  <c r="W16" i="17"/>
  <c r="W24" i="17"/>
  <c r="W45" i="17"/>
  <c r="W55" i="17"/>
  <c r="W50" i="17"/>
  <c r="W41" i="17"/>
  <c r="W19" i="17"/>
  <c r="W20" i="17"/>
  <c r="W28" i="17"/>
  <c r="W11" i="17"/>
  <c r="W42" i="17"/>
  <c r="W26" i="17"/>
  <c r="W30" i="17"/>
  <c r="W43" i="17"/>
  <c r="W27" i="17"/>
  <c r="W31" i="17"/>
  <c r="W40" i="17"/>
  <c r="W9" i="17"/>
  <c r="W17" i="17"/>
  <c r="W9" i="14"/>
  <c r="W9" i="16"/>
  <c r="W9" i="12"/>
  <c r="W11" i="1"/>
  <c r="L13" i="14"/>
  <c r="O12" i="1"/>
  <c r="O13" i="14"/>
  <c r="L12" i="16"/>
  <c r="O12" i="16"/>
  <c r="U12" i="12"/>
  <c r="W10" i="12"/>
  <c r="L12" i="12"/>
  <c r="O12" i="12"/>
  <c r="U12" i="13"/>
  <c r="W12" i="13" s="1"/>
  <c r="L12" i="1"/>
  <c r="R12" i="11"/>
  <c r="U12" i="11"/>
  <c r="W9" i="13"/>
  <c r="W11" i="15"/>
  <c r="W10" i="16"/>
  <c r="U12" i="16"/>
  <c r="W10" i="15"/>
  <c r="G13" i="14"/>
  <c r="L14" i="14" s="1"/>
  <c r="R13" i="14"/>
  <c r="R12" i="15"/>
  <c r="O12" i="15"/>
  <c r="L12" i="15"/>
  <c r="U12" i="15"/>
  <c r="G12" i="12"/>
  <c r="G12" i="16"/>
  <c r="G12" i="15"/>
  <c r="G12" i="13"/>
  <c r="L13" i="13" s="1"/>
  <c r="G12" i="11"/>
  <c r="L13" i="11" s="1"/>
  <c r="L12" i="11"/>
  <c r="O12" i="11"/>
  <c r="W11" i="16"/>
  <c r="W10" i="14"/>
  <c r="W11" i="12"/>
  <c r="W9" i="15"/>
  <c r="W11" i="13"/>
  <c r="W12" i="14"/>
  <c r="W11" i="14"/>
  <c r="W10" i="13"/>
  <c r="W9" i="11"/>
  <c r="W11" i="11"/>
  <c r="W10" i="11"/>
  <c r="U12" i="1"/>
  <c r="E9" i="6"/>
  <c r="G12" i="1"/>
  <c r="W10" i="1"/>
  <c r="W60" i="20" l="1"/>
  <c r="W61" i="20"/>
  <c r="G13" i="19" s="1"/>
  <c r="W60" i="18"/>
  <c r="W61" i="18"/>
  <c r="G12" i="19" s="1"/>
  <c r="W61" i="17"/>
  <c r="G11" i="19" s="1"/>
  <c r="W60" i="17"/>
  <c r="W12" i="16"/>
  <c r="W13" i="14"/>
  <c r="W12" i="1"/>
  <c r="W12" i="15"/>
  <c r="W12" i="12"/>
  <c r="W12" i="11"/>
  <c r="G13" i="16"/>
  <c r="G13" i="15"/>
  <c r="G13" i="13"/>
  <c r="G13" i="11"/>
  <c r="G13" i="12"/>
  <c r="R13" i="16"/>
  <c r="U13" i="16"/>
  <c r="O13" i="16"/>
  <c r="L13" i="16"/>
  <c r="R13" i="13"/>
  <c r="U13" i="13"/>
  <c r="O13" i="13"/>
  <c r="R13" i="12"/>
  <c r="U13" i="12"/>
  <c r="O13" i="12"/>
  <c r="L13" i="12"/>
  <c r="U13" i="15"/>
  <c r="R13" i="15"/>
  <c r="L13" i="15"/>
  <c r="O13" i="15"/>
  <c r="G14" i="14"/>
  <c r="R14" i="14"/>
  <c r="U14" i="14"/>
  <c r="O13" i="11"/>
  <c r="O14" i="14"/>
  <c r="R13" i="11"/>
  <c r="U13" i="11"/>
  <c r="R13" i="1"/>
  <c r="U13" i="1"/>
  <c r="E10" i="6"/>
  <c r="G13" i="1"/>
  <c r="O13" i="1"/>
  <c r="L13" i="1"/>
  <c r="W2" i="20" l="1"/>
  <c r="E13" i="19" s="1"/>
  <c r="D13" i="19"/>
  <c r="W2" i="18"/>
  <c r="E12" i="19" s="1"/>
  <c r="D12" i="19"/>
  <c r="W2" i="17"/>
  <c r="E11" i="19" s="1"/>
  <c r="D11" i="19"/>
  <c r="W13" i="16"/>
  <c r="W13" i="15"/>
  <c r="W13" i="11"/>
  <c r="W13" i="12"/>
  <c r="W13" i="13"/>
  <c r="R14" i="11"/>
  <c r="U14" i="11"/>
  <c r="O14" i="11"/>
  <c r="L14" i="11"/>
  <c r="G14" i="12"/>
  <c r="G14" i="13"/>
  <c r="G14" i="11"/>
  <c r="G14" i="15"/>
  <c r="G14" i="16"/>
  <c r="G15" i="14"/>
  <c r="R15" i="14"/>
  <c r="U15" i="14"/>
  <c r="L15" i="14"/>
  <c r="O15" i="14"/>
  <c r="R14" i="12"/>
  <c r="U14" i="12"/>
  <c r="L14" i="12"/>
  <c r="O14" i="12"/>
  <c r="R14" i="13"/>
  <c r="U14" i="13"/>
  <c r="L14" i="13"/>
  <c r="O14" i="13"/>
  <c r="L14" i="15"/>
  <c r="U14" i="15"/>
  <c r="O14" i="15"/>
  <c r="R14" i="15"/>
  <c r="W14" i="14"/>
  <c r="R14" i="16"/>
  <c r="U14" i="16"/>
  <c r="L14" i="16"/>
  <c r="O14" i="16"/>
  <c r="W13" i="1"/>
  <c r="E11" i="6"/>
  <c r="G14" i="1"/>
  <c r="R14" i="1"/>
  <c r="U14" i="1"/>
  <c r="L14" i="1"/>
  <c r="O14" i="1"/>
  <c r="W14" i="11" l="1"/>
  <c r="W14" i="12"/>
  <c r="G16" i="14"/>
  <c r="R16" i="14"/>
  <c r="U16" i="14"/>
  <c r="L16" i="14"/>
  <c r="O16" i="14"/>
  <c r="W14" i="15"/>
  <c r="R15" i="16"/>
  <c r="U15" i="16"/>
  <c r="L15" i="16"/>
  <c r="O15" i="16"/>
  <c r="G15" i="16"/>
  <c r="G15" i="13"/>
  <c r="G15" i="15"/>
  <c r="G15" i="11"/>
  <c r="G15" i="12"/>
  <c r="W14" i="16"/>
  <c r="L15" i="15"/>
  <c r="U15" i="15"/>
  <c r="R15" i="15"/>
  <c r="O15" i="15"/>
  <c r="R15" i="11"/>
  <c r="U15" i="11"/>
  <c r="L15" i="11"/>
  <c r="O15" i="11"/>
  <c r="W14" i="13"/>
  <c r="W15" i="14"/>
  <c r="R15" i="13"/>
  <c r="U15" i="13"/>
  <c r="L15" i="13"/>
  <c r="O15" i="13"/>
  <c r="R15" i="12"/>
  <c r="U15" i="12"/>
  <c r="O15" i="12"/>
  <c r="L15" i="12"/>
  <c r="W14" i="1"/>
  <c r="R15" i="1"/>
  <c r="U15" i="1"/>
  <c r="L15" i="1"/>
  <c r="O15" i="1"/>
  <c r="E12" i="6"/>
  <c r="G15" i="1"/>
  <c r="W16" i="14" l="1"/>
  <c r="W15" i="15"/>
  <c r="W15" i="13"/>
  <c r="R16" i="16"/>
  <c r="U16" i="16"/>
  <c r="L16" i="16"/>
  <c r="O16" i="16"/>
  <c r="R16" i="13"/>
  <c r="U16" i="13"/>
  <c r="O16" i="13"/>
  <c r="L16" i="13"/>
  <c r="W15" i="16"/>
  <c r="O16" i="15"/>
  <c r="L16" i="15"/>
  <c r="U16" i="15"/>
  <c r="R16" i="15"/>
  <c r="W15" i="12"/>
  <c r="G17" i="14"/>
  <c r="R17" i="14"/>
  <c r="U17" i="14"/>
  <c r="O17" i="14"/>
  <c r="L17" i="14"/>
  <c r="G16" i="16"/>
  <c r="G16" i="11"/>
  <c r="G16" i="13"/>
  <c r="G16" i="12"/>
  <c r="G16" i="15"/>
  <c r="R16" i="11"/>
  <c r="U16" i="11"/>
  <c r="L16" i="11"/>
  <c r="O16" i="11"/>
  <c r="W15" i="11"/>
  <c r="R16" i="12"/>
  <c r="U16" i="12"/>
  <c r="O16" i="12"/>
  <c r="L16" i="12"/>
  <c r="W15" i="1"/>
  <c r="R16" i="1"/>
  <c r="U16" i="1"/>
  <c r="L16" i="1"/>
  <c r="O16" i="1"/>
  <c r="E13" i="6"/>
  <c r="G16" i="1"/>
  <c r="W16" i="12" l="1"/>
  <c r="O17" i="15"/>
  <c r="U17" i="15"/>
  <c r="R17" i="15"/>
  <c r="L17" i="15"/>
  <c r="G17" i="16"/>
  <c r="G17" i="13"/>
  <c r="G17" i="12"/>
  <c r="G17" i="15"/>
  <c r="G17" i="11"/>
  <c r="R17" i="11"/>
  <c r="U17" i="11"/>
  <c r="O17" i="11"/>
  <c r="L17" i="11"/>
  <c r="G18" i="14"/>
  <c r="R18" i="14"/>
  <c r="U18" i="14"/>
  <c r="O18" i="14"/>
  <c r="L18" i="14"/>
  <c r="R17" i="13"/>
  <c r="U17" i="13"/>
  <c r="O17" i="13"/>
  <c r="L17" i="13"/>
  <c r="W16" i="11"/>
  <c r="R17" i="16"/>
  <c r="U17" i="16"/>
  <c r="O17" i="16"/>
  <c r="L17" i="16"/>
  <c r="W16" i="16"/>
  <c r="R17" i="12"/>
  <c r="U17" i="12"/>
  <c r="O17" i="12"/>
  <c r="L17" i="12"/>
  <c r="W16" i="13"/>
  <c r="W17" i="14"/>
  <c r="W16" i="15"/>
  <c r="R17" i="1"/>
  <c r="U17" i="1"/>
  <c r="O17" i="1"/>
  <c r="L17" i="1"/>
  <c r="W16" i="1"/>
  <c r="E14" i="6"/>
  <c r="G17" i="1"/>
  <c r="W17" i="11" l="1"/>
  <c r="O18" i="15"/>
  <c r="L18" i="15"/>
  <c r="U18" i="15"/>
  <c r="R18" i="15"/>
  <c r="G19" i="14"/>
  <c r="R19" i="14"/>
  <c r="U19" i="14"/>
  <c r="L19" i="14"/>
  <c r="O19" i="14"/>
  <c r="R18" i="13"/>
  <c r="U18" i="13"/>
  <c r="L18" i="13"/>
  <c r="O18" i="13"/>
  <c r="W17" i="13"/>
  <c r="R18" i="16"/>
  <c r="U18" i="16"/>
  <c r="O18" i="16"/>
  <c r="L18" i="16"/>
  <c r="R18" i="12"/>
  <c r="U18" i="12"/>
  <c r="O18" i="12"/>
  <c r="L18" i="12"/>
  <c r="W17" i="12"/>
  <c r="W17" i="16"/>
  <c r="G18" i="16"/>
  <c r="G18" i="15"/>
  <c r="G18" i="11"/>
  <c r="G18" i="13"/>
  <c r="G18" i="12"/>
  <c r="W18" i="14"/>
  <c r="R18" i="11"/>
  <c r="U18" i="11"/>
  <c r="L18" i="11"/>
  <c r="O18" i="11"/>
  <c r="W17" i="15"/>
  <c r="W17" i="1"/>
  <c r="R18" i="1"/>
  <c r="U18" i="1"/>
  <c r="O18" i="1"/>
  <c r="L18" i="1"/>
  <c r="E15" i="6"/>
  <c r="G18" i="1"/>
  <c r="G19" i="16" l="1"/>
  <c r="G19" i="11"/>
  <c r="G19" i="13"/>
  <c r="G19" i="12"/>
  <c r="G19" i="15"/>
  <c r="R19" i="12"/>
  <c r="U19" i="12"/>
  <c r="L19" i="12"/>
  <c r="O19" i="12"/>
  <c r="W18" i="12"/>
  <c r="W18" i="13"/>
  <c r="U20" i="14"/>
  <c r="G20" i="14"/>
  <c r="R20" i="14"/>
  <c r="L20" i="14"/>
  <c r="O20" i="14"/>
  <c r="R19" i="11"/>
  <c r="O19" i="11"/>
  <c r="U19" i="11"/>
  <c r="L19" i="11"/>
  <c r="W18" i="11"/>
  <c r="R19" i="15"/>
  <c r="U19" i="15"/>
  <c r="O19" i="15"/>
  <c r="L19" i="15"/>
  <c r="R19" i="13"/>
  <c r="U19" i="13"/>
  <c r="L19" i="13"/>
  <c r="O19" i="13"/>
  <c r="R19" i="16"/>
  <c r="U19" i="16"/>
  <c r="O19" i="16"/>
  <c r="L19" i="16"/>
  <c r="W18" i="16"/>
  <c r="W19" i="14"/>
  <c r="W18" i="15"/>
  <c r="E16" i="6"/>
  <c r="G19" i="1"/>
  <c r="R19" i="1"/>
  <c r="U19" i="1"/>
  <c r="L19" i="1"/>
  <c r="O19" i="1"/>
  <c r="W18" i="1"/>
  <c r="W20" i="14" l="1"/>
  <c r="W19" i="13"/>
  <c r="W19" i="15"/>
  <c r="G20" i="13"/>
  <c r="G20" i="12"/>
  <c r="G20" i="15"/>
  <c r="G20" i="16"/>
  <c r="G20" i="11"/>
  <c r="R21" i="14"/>
  <c r="U21" i="14"/>
  <c r="G21" i="14"/>
  <c r="L21" i="14"/>
  <c r="O21" i="14"/>
  <c r="R20" i="15"/>
  <c r="O20" i="15"/>
  <c r="L20" i="15"/>
  <c r="U20" i="15"/>
  <c r="R20" i="13"/>
  <c r="U20" i="13"/>
  <c r="O20" i="13"/>
  <c r="L20" i="13"/>
  <c r="R20" i="12"/>
  <c r="U20" i="12"/>
  <c r="L20" i="12"/>
  <c r="O20" i="12"/>
  <c r="W19" i="16"/>
  <c r="W19" i="11"/>
  <c r="R20" i="11"/>
  <c r="U20" i="11"/>
  <c r="L20" i="11"/>
  <c r="O20" i="11"/>
  <c r="W19" i="12"/>
  <c r="R20" i="16"/>
  <c r="U20" i="16"/>
  <c r="O20" i="16"/>
  <c r="L20" i="16"/>
  <c r="W19" i="1"/>
  <c r="R20" i="1"/>
  <c r="U20" i="1"/>
  <c r="O20" i="1"/>
  <c r="L20" i="1"/>
  <c r="E17" i="6"/>
  <c r="G20" i="1"/>
  <c r="W20" i="15" l="1"/>
  <c r="W20" i="12"/>
  <c r="G22" i="14"/>
  <c r="R22" i="14"/>
  <c r="U22" i="14"/>
  <c r="O22" i="14"/>
  <c r="L22" i="14"/>
  <c r="G21" i="15"/>
  <c r="G21" i="11"/>
  <c r="G21" i="16"/>
  <c r="L22" i="16" s="1"/>
  <c r="G21" i="13"/>
  <c r="G21" i="12"/>
  <c r="W20" i="11"/>
  <c r="R21" i="11"/>
  <c r="U21" i="11"/>
  <c r="L21" i="11"/>
  <c r="O21" i="11"/>
  <c r="R21" i="16"/>
  <c r="U21" i="16"/>
  <c r="L21" i="16"/>
  <c r="O21" i="16"/>
  <c r="U21" i="15"/>
  <c r="R21" i="15"/>
  <c r="O21" i="15"/>
  <c r="L21" i="15"/>
  <c r="W21" i="14"/>
  <c r="R21" i="12"/>
  <c r="U21" i="12"/>
  <c r="O21" i="12"/>
  <c r="L21" i="12"/>
  <c r="W20" i="16"/>
  <c r="W20" i="13"/>
  <c r="R21" i="13"/>
  <c r="U21" i="13"/>
  <c r="L21" i="13"/>
  <c r="O21" i="13"/>
  <c r="W20" i="1"/>
  <c r="E18" i="6"/>
  <c r="G21" i="1"/>
  <c r="R21" i="1"/>
  <c r="U21" i="1"/>
  <c r="L21" i="1"/>
  <c r="O21" i="1"/>
  <c r="W21" i="16" l="1"/>
  <c r="W21" i="1"/>
  <c r="W21" i="12"/>
  <c r="L22" i="15"/>
  <c r="U22" i="15"/>
  <c r="O22" i="15"/>
  <c r="R22" i="15"/>
  <c r="W22" i="14"/>
  <c r="W21" i="15"/>
  <c r="G22" i="16"/>
  <c r="G22" i="13"/>
  <c r="G22" i="12"/>
  <c r="G22" i="15"/>
  <c r="G22" i="11"/>
  <c r="R22" i="13"/>
  <c r="U22" i="13"/>
  <c r="O22" i="13"/>
  <c r="L22" i="13"/>
  <c r="O23" i="14"/>
  <c r="L23" i="14"/>
  <c r="R23" i="14"/>
  <c r="U23" i="14"/>
  <c r="G23" i="14"/>
  <c r="W21" i="11"/>
  <c r="R22" i="11"/>
  <c r="U22" i="11"/>
  <c r="O22" i="11"/>
  <c r="L22" i="11"/>
  <c r="W21" i="13"/>
  <c r="R22" i="12"/>
  <c r="U22" i="12"/>
  <c r="O22" i="12"/>
  <c r="L22" i="12"/>
  <c r="R22" i="16"/>
  <c r="U22" i="16"/>
  <c r="O22" i="16"/>
  <c r="R22" i="1"/>
  <c r="U22" i="1"/>
  <c r="L22" i="1"/>
  <c r="O22" i="1"/>
  <c r="E19" i="6"/>
  <c r="G22" i="1"/>
  <c r="W22" i="11" l="1"/>
  <c r="W22" i="15"/>
  <c r="W23" i="14"/>
  <c r="W22" i="13"/>
  <c r="W22" i="1"/>
  <c r="R23" i="13"/>
  <c r="U23" i="13"/>
  <c r="L23" i="13"/>
  <c r="O23" i="13"/>
  <c r="R23" i="16"/>
  <c r="U23" i="16"/>
  <c r="L23" i="16"/>
  <c r="O23" i="16"/>
  <c r="G23" i="15"/>
  <c r="G23" i="11"/>
  <c r="G23" i="16"/>
  <c r="L24" i="16" s="1"/>
  <c r="G23" i="12"/>
  <c r="G23" i="13"/>
  <c r="O24" i="14"/>
  <c r="U24" i="14"/>
  <c r="L24" i="14"/>
  <c r="G24" i="14"/>
  <c r="R24" i="14"/>
  <c r="R23" i="11"/>
  <c r="U23" i="11"/>
  <c r="O23" i="11"/>
  <c r="L23" i="11"/>
  <c r="W22" i="12"/>
  <c r="W22" i="16"/>
  <c r="L23" i="15"/>
  <c r="U23" i="15"/>
  <c r="R23" i="15"/>
  <c r="O23" i="15"/>
  <c r="R23" i="12"/>
  <c r="U23" i="12"/>
  <c r="L23" i="12"/>
  <c r="O23" i="12"/>
  <c r="R23" i="1"/>
  <c r="U23" i="1"/>
  <c r="L23" i="1"/>
  <c r="O23" i="1"/>
  <c r="E20" i="6"/>
  <c r="G23" i="1"/>
  <c r="W23" i="16" l="1"/>
  <c r="W23" i="12"/>
  <c r="W23" i="15"/>
  <c r="W23" i="13"/>
  <c r="W24" i="14"/>
  <c r="W23" i="11"/>
  <c r="R24" i="13"/>
  <c r="U24" i="13"/>
  <c r="L24" i="13"/>
  <c r="O24" i="13"/>
  <c r="R24" i="12"/>
  <c r="U24" i="12"/>
  <c r="O24" i="12"/>
  <c r="L24" i="12"/>
  <c r="R24" i="16"/>
  <c r="U24" i="16"/>
  <c r="O24" i="16"/>
  <c r="G24" i="16"/>
  <c r="G24" i="11"/>
  <c r="G24" i="13"/>
  <c r="G24" i="12"/>
  <c r="G24" i="15"/>
  <c r="R24" i="11"/>
  <c r="U24" i="11"/>
  <c r="L24" i="11"/>
  <c r="O24" i="11"/>
  <c r="W23" i="1"/>
  <c r="L25" i="14"/>
  <c r="G25" i="14"/>
  <c r="R25" i="14"/>
  <c r="O25" i="14"/>
  <c r="U25" i="14"/>
  <c r="O24" i="15"/>
  <c r="L24" i="15"/>
  <c r="R24" i="15"/>
  <c r="U24" i="15"/>
  <c r="R24" i="1"/>
  <c r="U24" i="1"/>
  <c r="L24" i="1"/>
  <c r="O24" i="1"/>
  <c r="E21" i="6"/>
  <c r="G24" i="1"/>
  <c r="W24" i="13" l="1"/>
  <c r="W24" i="15"/>
  <c r="W24" i="16"/>
  <c r="R25" i="11"/>
  <c r="U25" i="11"/>
  <c r="L25" i="11"/>
  <c r="O25" i="11"/>
  <c r="W24" i="11"/>
  <c r="R25" i="16"/>
  <c r="U25" i="16"/>
  <c r="L25" i="16"/>
  <c r="O25" i="16"/>
  <c r="G25" i="16"/>
  <c r="G25" i="13"/>
  <c r="G25" i="12"/>
  <c r="G25" i="15"/>
  <c r="G25" i="11"/>
  <c r="W25" i="14"/>
  <c r="O25" i="15"/>
  <c r="U25" i="15"/>
  <c r="R25" i="15"/>
  <c r="L25" i="15"/>
  <c r="L26" i="14"/>
  <c r="U26" i="14"/>
  <c r="G26" i="14"/>
  <c r="R26" i="14"/>
  <c r="O26" i="14"/>
  <c r="R25" i="12"/>
  <c r="U25" i="12"/>
  <c r="O25" i="12"/>
  <c r="L25" i="12"/>
  <c r="R25" i="13"/>
  <c r="U25" i="13"/>
  <c r="O25" i="13"/>
  <c r="L25" i="13"/>
  <c r="W24" i="12"/>
  <c r="E22" i="6"/>
  <c r="G25" i="1"/>
  <c r="R25" i="1"/>
  <c r="U25" i="1"/>
  <c r="L25" i="1"/>
  <c r="O25" i="1"/>
  <c r="W24" i="1"/>
  <c r="W25" i="11" l="1"/>
  <c r="W26" i="14"/>
  <c r="W25" i="15"/>
  <c r="O27" i="14"/>
  <c r="U27" i="14"/>
  <c r="G27" i="14"/>
  <c r="R27" i="14"/>
  <c r="L27" i="14"/>
  <c r="R26" i="11"/>
  <c r="U26" i="11"/>
  <c r="L26" i="11"/>
  <c r="O26" i="11"/>
  <c r="O26" i="15"/>
  <c r="L26" i="15"/>
  <c r="R26" i="15"/>
  <c r="U26" i="15"/>
  <c r="W25" i="12"/>
  <c r="R26" i="13"/>
  <c r="U26" i="13"/>
  <c r="L26" i="13"/>
  <c r="O26" i="13"/>
  <c r="G26" i="16"/>
  <c r="G26" i="15"/>
  <c r="G26" i="11"/>
  <c r="G26" i="13"/>
  <c r="G26" i="12"/>
  <c r="R26" i="16"/>
  <c r="U26" i="16"/>
  <c r="L26" i="16"/>
  <c r="O26" i="16"/>
  <c r="W25" i="13"/>
  <c r="R26" i="12"/>
  <c r="O26" i="12"/>
  <c r="L26" i="12"/>
  <c r="U26" i="12"/>
  <c r="W25" i="16"/>
  <c r="R26" i="1"/>
  <c r="U26" i="1"/>
  <c r="L26" i="1"/>
  <c r="O26" i="1"/>
  <c r="W25" i="1"/>
  <c r="E23" i="6"/>
  <c r="G26" i="1"/>
  <c r="G27" i="16" l="1"/>
  <c r="G27" i="13"/>
  <c r="G27" i="12"/>
  <c r="G27" i="15"/>
  <c r="G27" i="11"/>
  <c r="R27" i="11"/>
  <c r="U27" i="11"/>
  <c r="L27" i="11"/>
  <c r="O27" i="11"/>
  <c r="R27" i="12"/>
  <c r="U27" i="12"/>
  <c r="O27" i="12"/>
  <c r="L27" i="12"/>
  <c r="R27" i="15"/>
  <c r="U27" i="15"/>
  <c r="L27" i="15"/>
  <c r="O27" i="15"/>
  <c r="W26" i="12"/>
  <c r="W26" i="16"/>
  <c r="R27" i="16"/>
  <c r="U27" i="16"/>
  <c r="O27" i="16"/>
  <c r="L27" i="16"/>
  <c r="R28" i="14"/>
  <c r="U28" i="14"/>
  <c r="L28" i="14"/>
  <c r="O28" i="14"/>
  <c r="G28" i="14"/>
  <c r="R27" i="13"/>
  <c r="U27" i="13"/>
  <c r="O27" i="13"/>
  <c r="L27" i="13"/>
  <c r="W26" i="13"/>
  <c r="W26" i="15"/>
  <c r="W26" i="11"/>
  <c r="W27" i="14"/>
  <c r="W26" i="1"/>
  <c r="R27" i="1"/>
  <c r="U27" i="1"/>
  <c r="O27" i="1"/>
  <c r="L27" i="1"/>
  <c r="E24" i="6"/>
  <c r="G27" i="1"/>
  <c r="W27" i="12" l="1"/>
  <c r="W27" i="16"/>
  <c r="R28" i="11"/>
  <c r="U28" i="11"/>
  <c r="O28" i="11"/>
  <c r="L28" i="11"/>
  <c r="G28" i="16"/>
  <c r="G28" i="13"/>
  <c r="G28" i="12"/>
  <c r="G28" i="11"/>
  <c r="G28" i="15"/>
  <c r="R28" i="15"/>
  <c r="O28" i="15"/>
  <c r="L28" i="15"/>
  <c r="U28" i="15"/>
  <c r="W27" i="13"/>
  <c r="W28" i="14"/>
  <c r="R28" i="12"/>
  <c r="U28" i="12"/>
  <c r="O28" i="12"/>
  <c r="L28" i="12"/>
  <c r="G29" i="14"/>
  <c r="R29" i="14"/>
  <c r="U29" i="14"/>
  <c r="O29" i="14"/>
  <c r="L29" i="14"/>
  <c r="R28" i="13"/>
  <c r="U28" i="13"/>
  <c r="O28" i="13"/>
  <c r="L28" i="13"/>
  <c r="W27" i="15"/>
  <c r="W27" i="11"/>
  <c r="R28" i="16"/>
  <c r="U28" i="16"/>
  <c r="L28" i="16"/>
  <c r="O28" i="16"/>
  <c r="W27" i="1"/>
  <c r="R28" i="1"/>
  <c r="U28" i="1"/>
  <c r="L28" i="1"/>
  <c r="O28" i="1"/>
  <c r="E25" i="6"/>
  <c r="G28" i="1"/>
  <c r="W28" i="13" l="1"/>
  <c r="W28" i="11"/>
  <c r="W29" i="14"/>
  <c r="G29" i="15"/>
  <c r="G29" i="11"/>
  <c r="G29" i="16"/>
  <c r="G29" i="12"/>
  <c r="G29" i="13"/>
  <c r="R29" i="16"/>
  <c r="U29" i="16"/>
  <c r="L29" i="16"/>
  <c r="O29" i="16"/>
  <c r="L30" i="14"/>
  <c r="O30" i="14"/>
  <c r="G30" i="14"/>
  <c r="R30" i="14"/>
  <c r="U30" i="14"/>
  <c r="R29" i="12"/>
  <c r="U29" i="12"/>
  <c r="O29" i="12"/>
  <c r="L29" i="12"/>
  <c r="W28" i="12"/>
  <c r="W28" i="16"/>
  <c r="U29" i="15"/>
  <c r="R29" i="15"/>
  <c r="L29" i="15"/>
  <c r="O29" i="15"/>
  <c r="R29" i="13"/>
  <c r="U29" i="13"/>
  <c r="L29" i="13"/>
  <c r="O29" i="13"/>
  <c r="W28" i="15"/>
  <c r="R29" i="11"/>
  <c r="U29" i="11"/>
  <c r="O29" i="11"/>
  <c r="L29" i="11"/>
  <c r="R29" i="1"/>
  <c r="U29" i="1"/>
  <c r="O29" i="1"/>
  <c r="L29" i="1"/>
  <c r="E26" i="6"/>
  <c r="G29" i="1"/>
  <c r="W28" i="1"/>
  <c r="W29" i="13" l="1"/>
  <c r="W29" i="15"/>
  <c r="W29" i="11"/>
  <c r="R30" i="13"/>
  <c r="U30" i="13"/>
  <c r="O30" i="13"/>
  <c r="L30" i="13"/>
  <c r="G30" i="16"/>
  <c r="G30" i="13"/>
  <c r="G30" i="12"/>
  <c r="G30" i="11"/>
  <c r="G30" i="15"/>
  <c r="G31" i="14"/>
  <c r="U31" i="14"/>
  <c r="R31" i="14"/>
  <c r="L31" i="14"/>
  <c r="O31" i="14"/>
  <c r="R30" i="12"/>
  <c r="U30" i="12"/>
  <c r="O30" i="12"/>
  <c r="L30" i="12"/>
  <c r="W30" i="14"/>
  <c r="R30" i="16"/>
  <c r="L30" i="16"/>
  <c r="U30" i="16"/>
  <c r="O30" i="16"/>
  <c r="R30" i="11"/>
  <c r="U30" i="11"/>
  <c r="O30" i="11"/>
  <c r="L30" i="11"/>
  <c r="W29" i="12"/>
  <c r="W29" i="16"/>
  <c r="L30" i="15"/>
  <c r="U30" i="15"/>
  <c r="O30" i="15"/>
  <c r="R30" i="15"/>
  <c r="R30" i="1"/>
  <c r="U30" i="1"/>
  <c r="O30" i="1"/>
  <c r="L30" i="1"/>
  <c r="E27" i="6"/>
  <c r="G30" i="1"/>
  <c r="W29" i="1"/>
  <c r="W31" i="14" l="1"/>
  <c r="W30" i="15"/>
  <c r="W30" i="16"/>
  <c r="R31" i="16"/>
  <c r="U31" i="16"/>
  <c r="L31" i="16"/>
  <c r="O31" i="16"/>
  <c r="W30" i="13"/>
  <c r="R31" i="11"/>
  <c r="L31" i="11"/>
  <c r="U31" i="11"/>
  <c r="O31" i="11"/>
  <c r="W30" i="11"/>
  <c r="G32" i="14"/>
  <c r="O32" i="14"/>
  <c r="R32" i="14"/>
  <c r="U32" i="14"/>
  <c r="L32" i="14"/>
  <c r="R31" i="12"/>
  <c r="U31" i="12"/>
  <c r="L31" i="12"/>
  <c r="O31" i="12"/>
  <c r="R31" i="13"/>
  <c r="U31" i="13"/>
  <c r="O31" i="13"/>
  <c r="L31" i="13"/>
  <c r="G31" i="15"/>
  <c r="G31" i="11"/>
  <c r="G31" i="13"/>
  <c r="G31" i="16"/>
  <c r="G31" i="12"/>
  <c r="W30" i="12"/>
  <c r="L31" i="15"/>
  <c r="U31" i="15"/>
  <c r="R31" i="15"/>
  <c r="O31" i="15"/>
  <c r="W30" i="1"/>
  <c r="R31" i="1"/>
  <c r="U31" i="1"/>
  <c r="L31" i="1"/>
  <c r="O31" i="1"/>
  <c r="E28" i="6"/>
  <c r="G31" i="1"/>
  <c r="W31" i="16" l="1"/>
  <c r="O32" i="15"/>
  <c r="L32" i="15"/>
  <c r="U32" i="15"/>
  <c r="R32" i="15"/>
  <c r="W31" i="13"/>
  <c r="G32" i="16"/>
  <c r="G32" i="12"/>
  <c r="G32" i="13"/>
  <c r="G32" i="15"/>
  <c r="G32" i="11"/>
  <c r="W32" i="14"/>
  <c r="W31" i="12"/>
  <c r="R32" i="13"/>
  <c r="U32" i="13"/>
  <c r="L32" i="13"/>
  <c r="O32" i="13"/>
  <c r="R32" i="12"/>
  <c r="U32" i="12"/>
  <c r="L32" i="12"/>
  <c r="O32" i="12"/>
  <c r="R32" i="16"/>
  <c r="U32" i="16"/>
  <c r="L32" i="16"/>
  <c r="O32" i="16"/>
  <c r="G33" i="14"/>
  <c r="R33" i="14"/>
  <c r="U33" i="14"/>
  <c r="O33" i="14"/>
  <c r="L33" i="14"/>
  <c r="W31" i="15"/>
  <c r="R32" i="11"/>
  <c r="U32" i="11"/>
  <c r="O32" i="11"/>
  <c r="L32" i="11"/>
  <c r="W31" i="11"/>
  <c r="R32" i="1"/>
  <c r="U32" i="1"/>
  <c r="L32" i="1"/>
  <c r="O32" i="1"/>
  <c r="E29" i="6"/>
  <c r="G32" i="1"/>
  <c r="W31" i="1"/>
  <c r="W32" i="12" l="1"/>
  <c r="W32" i="16"/>
  <c r="W32" i="13"/>
  <c r="W33" i="14"/>
  <c r="R33" i="13"/>
  <c r="U33" i="13"/>
  <c r="L33" i="13"/>
  <c r="O33" i="13"/>
  <c r="R33" i="12"/>
  <c r="U33" i="12"/>
  <c r="O33" i="12"/>
  <c r="L33" i="12"/>
  <c r="R33" i="16"/>
  <c r="U33" i="16"/>
  <c r="O33" i="16"/>
  <c r="L33" i="16"/>
  <c r="G33" i="16"/>
  <c r="G33" i="13"/>
  <c r="G33" i="12"/>
  <c r="G33" i="11"/>
  <c r="G33" i="15"/>
  <c r="R33" i="11"/>
  <c r="U33" i="11"/>
  <c r="O33" i="11"/>
  <c r="L33" i="11"/>
  <c r="W32" i="11"/>
  <c r="G34" i="14"/>
  <c r="O34" i="14"/>
  <c r="R34" i="14"/>
  <c r="U34" i="14"/>
  <c r="L34" i="14"/>
  <c r="O33" i="15"/>
  <c r="U33" i="15"/>
  <c r="R33" i="15"/>
  <c r="L33" i="15"/>
  <c r="W32" i="15"/>
  <c r="R33" i="1"/>
  <c r="U33" i="1"/>
  <c r="L33" i="1"/>
  <c r="O33" i="1"/>
  <c r="E30" i="6"/>
  <c r="G33" i="1"/>
  <c r="W32" i="1"/>
  <c r="W33" i="13" l="1"/>
  <c r="W33" i="15"/>
  <c r="W33" i="11"/>
  <c r="W34" i="14"/>
  <c r="W33" i="12"/>
  <c r="R34" i="13"/>
  <c r="U34" i="13"/>
  <c r="O34" i="13"/>
  <c r="L34" i="13"/>
  <c r="R34" i="11"/>
  <c r="U34" i="11"/>
  <c r="O34" i="11"/>
  <c r="L34" i="11"/>
  <c r="R35" i="14"/>
  <c r="O35" i="14"/>
  <c r="G35" i="14"/>
  <c r="U35" i="14"/>
  <c r="L35" i="14"/>
  <c r="R34" i="12"/>
  <c r="U34" i="12"/>
  <c r="L34" i="12"/>
  <c r="O34" i="12"/>
  <c r="R34" i="16"/>
  <c r="U34" i="16"/>
  <c r="O34" i="16"/>
  <c r="L34" i="16"/>
  <c r="G34" i="16"/>
  <c r="G34" i="11"/>
  <c r="G34" i="15"/>
  <c r="G34" i="12"/>
  <c r="G34" i="13"/>
  <c r="W33" i="16"/>
  <c r="O34" i="15"/>
  <c r="L34" i="15"/>
  <c r="U34" i="15"/>
  <c r="R34" i="15"/>
  <c r="W33" i="1"/>
  <c r="R34" i="1"/>
  <c r="U34" i="1"/>
  <c r="O34" i="1"/>
  <c r="L34" i="1"/>
  <c r="E31" i="6"/>
  <c r="G34" i="1"/>
  <c r="W34" i="13" l="1"/>
  <c r="W34" i="11"/>
  <c r="W34" i="15"/>
  <c r="W34" i="16"/>
  <c r="R35" i="11"/>
  <c r="U35" i="11"/>
  <c r="O35" i="11"/>
  <c r="L35" i="11"/>
  <c r="R35" i="16"/>
  <c r="U35" i="16"/>
  <c r="L35" i="16"/>
  <c r="O35" i="16"/>
  <c r="O36" i="14"/>
  <c r="R36" i="14"/>
  <c r="L36" i="14"/>
  <c r="G36" i="14"/>
  <c r="U36" i="14"/>
  <c r="W35" i="14"/>
  <c r="R35" i="13"/>
  <c r="U35" i="13"/>
  <c r="L35" i="13"/>
  <c r="O35" i="13"/>
  <c r="R35" i="12"/>
  <c r="U35" i="12"/>
  <c r="L35" i="12"/>
  <c r="O35" i="12"/>
  <c r="W34" i="12"/>
  <c r="G35" i="16"/>
  <c r="G35" i="13"/>
  <c r="G35" i="12"/>
  <c r="G35" i="15"/>
  <c r="G35" i="11"/>
  <c r="R35" i="15"/>
  <c r="U35" i="15"/>
  <c r="O35" i="15"/>
  <c r="L35" i="15"/>
  <c r="W34" i="1"/>
  <c r="R35" i="1"/>
  <c r="U35" i="1"/>
  <c r="L35" i="1"/>
  <c r="O35" i="1"/>
  <c r="E32" i="6"/>
  <c r="G35" i="1"/>
  <c r="W35" i="13" l="1"/>
  <c r="W35" i="12"/>
  <c r="R36" i="12"/>
  <c r="U36" i="12"/>
  <c r="O36" i="12"/>
  <c r="L36" i="12"/>
  <c r="R36" i="11"/>
  <c r="U36" i="11"/>
  <c r="L36" i="11"/>
  <c r="O36" i="11"/>
  <c r="L37" i="14"/>
  <c r="R37" i="14"/>
  <c r="U37" i="14"/>
  <c r="O37" i="14"/>
  <c r="G37" i="14"/>
  <c r="G36" i="13"/>
  <c r="G36" i="12"/>
  <c r="G36" i="16"/>
  <c r="G36" i="11"/>
  <c r="G36" i="15"/>
  <c r="R36" i="15"/>
  <c r="O36" i="15"/>
  <c r="L36" i="15"/>
  <c r="U36" i="15"/>
  <c r="W35" i="11"/>
  <c r="R36" i="16"/>
  <c r="U36" i="16"/>
  <c r="L36" i="16"/>
  <c r="O36" i="16"/>
  <c r="W35" i="16"/>
  <c r="R36" i="13"/>
  <c r="U36" i="13"/>
  <c r="O36" i="13"/>
  <c r="L36" i="13"/>
  <c r="W36" i="14"/>
  <c r="W35" i="15"/>
  <c r="R36" i="1"/>
  <c r="U36" i="1"/>
  <c r="O36" i="1"/>
  <c r="L36" i="1"/>
  <c r="E33" i="6"/>
  <c r="G36" i="1"/>
  <c r="W35" i="1"/>
  <c r="W37" i="14" l="1"/>
  <c r="W36" i="12"/>
  <c r="W36" i="11"/>
  <c r="R37" i="16"/>
  <c r="U37" i="16"/>
  <c r="O37" i="16"/>
  <c r="L37" i="16"/>
  <c r="W36" i="13"/>
  <c r="R37" i="12"/>
  <c r="U37" i="12"/>
  <c r="L37" i="12"/>
  <c r="O37" i="12"/>
  <c r="G37" i="13"/>
  <c r="G37" i="16"/>
  <c r="G37" i="15"/>
  <c r="G37" i="11"/>
  <c r="G37" i="12"/>
  <c r="G38" i="14"/>
  <c r="R38" i="14"/>
  <c r="U38" i="14"/>
  <c r="O38" i="14"/>
  <c r="L38" i="14"/>
  <c r="W36" i="15"/>
  <c r="W36" i="16"/>
  <c r="U37" i="15"/>
  <c r="R37" i="15"/>
  <c r="O37" i="15"/>
  <c r="L37" i="15"/>
  <c r="R37" i="13"/>
  <c r="U37" i="13"/>
  <c r="L37" i="13"/>
  <c r="O37" i="13"/>
  <c r="R37" i="11"/>
  <c r="U37" i="11"/>
  <c r="O37" i="11"/>
  <c r="L37" i="11"/>
  <c r="W36" i="1"/>
  <c r="R37" i="1"/>
  <c r="U37" i="1"/>
  <c r="L37" i="1"/>
  <c r="O37" i="1"/>
  <c r="E34" i="6"/>
  <c r="G37" i="1"/>
  <c r="W37" i="11" l="1"/>
  <c r="W37" i="15"/>
  <c r="O39" i="14"/>
  <c r="R39" i="14"/>
  <c r="G39" i="14"/>
  <c r="L39" i="14"/>
  <c r="U39" i="14"/>
  <c r="R38" i="12"/>
  <c r="U38" i="12"/>
  <c r="L38" i="12"/>
  <c r="O38" i="12"/>
  <c r="G38" i="13"/>
  <c r="G38" i="12"/>
  <c r="G38" i="11"/>
  <c r="G38" i="15"/>
  <c r="G38" i="16"/>
  <c r="W37" i="13"/>
  <c r="R38" i="11"/>
  <c r="U38" i="11"/>
  <c r="L38" i="11"/>
  <c r="O38" i="11"/>
  <c r="L38" i="15"/>
  <c r="U38" i="15"/>
  <c r="O38" i="15"/>
  <c r="R38" i="15"/>
  <c r="R38" i="16"/>
  <c r="U38" i="16"/>
  <c r="O38" i="16"/>
  <c r="L38" i="16"/>
  <c r="W37" i="16"/>
  <c r="W38" i="14"/>
  <c r="R38" i="13"/>
  <c r="U38" i="13"/>
  <c r="O38" i="13"/>
  <c r="L38" i="13"/>
  <c r="W37" i="12"/>
  <c r="R38" i="1"/>
  <c r="U38" i="1"/>
  <c r="O38" i="1"/>
  <c r="L38" i="1"/>
  <c r="E35" i="6"/>
  <c r="G38" i="1"/>
  <c r="W37" i="1"/>
  <c r="W38" i="11" l="1"/>
  <c r="W38" i="12"/>
  <c r="R39" i="11"/>
  <c r="O39" i="11"/>
  <c r="L39" i="11"/>
  <c r="U39" i="11"/>
  <c r="W39" i="14"/>
  <c r="W38" i="15"/>
  <c r="R39" i="16"/>
  <c r="U39" i="16"/>
  <c r="O39" i="16"/>
  <c r="L39" i="16"/>
  <c r="R39" i="12"/>
  <c r="U39" i="12"/>
  <c r="L39" i="12"/>
  <c r="O39" i="12"/>
  <c r="R40" i="14"/>
  <c r="U40" i="14"/>
  <c r="G40" i="14"/>
  <c r="L40" i="14"/>
  <c r="O40" i="14"/>
  <c r="W38" i="16"/>
  <c r="R39" i="13"/>
  <c r="U39" i="13"/>
  <c r="O39" i="13"/>
  <c r="L39" i="13"/>
  <c r="W38" i="13"/>
  <c r="G39" i="13"/>
  <c r="G39" i="16"/>
  <c r="G39" i="11"/>
  <c r="G39" i="15"/>
  <c r="G39" i="12"/>
  <c r="L39" i="15"/>
  <c r="U39" i="15"/>
  <c r="R39" i="15"/>
  <c r="O39" i="15"/>
  <c r="R39" i="1"/>
  <c r="U39" i="1"/>
  <c r="L39" i="1"/>
  <c r="O39" i="1"/>
  <c r="W38" i="1"/>
  <c r="E36" i="6"/>
  <c r="G39" i="1"/>
  <c r="W40" i="14" l="1"/>
  <c r="W39" i="15"/>
  <c r="R40" i="13"/>
  <c r="U40" i="13"/>
  <c r="O40" i="13"/>
  <c r="L40" i="13"/>
  <c r="R41" i="14"/>
  <c r="U41" i="14"/>
  <c r="L41" i="14"/>
  <c r="O41" i="14"/>
  <c r="G41" i="14"/>
  <c r="W39" i="13"/>
  <c r="R40" i="12"/>
  <c r="U40" i="12"/>
  <c r="L40" i="12"/>
  <c r="O40" i="12"/>
  <c r="W39" i="12"/>
  <c r="R40" i="11"/>
  <c r="U40" i="11"/>
  <c r="O40" i="11"/>
  <c r="L40" i="11"/>
  <c r="R40" i="16"/>
  <c r="U40" i="16"/>
  <c r="L40" i="16"/>
  <c r="O40" i="16"/>
  <c r="W39" i="11"/>
  <c r="W39" i="16"/>
  <c r="G40" i="16"/>
  <c r="G40" i="13"/>
  <c r="G40" i="12"/>
  <c r="G40" i="11"/>
  <c r="G40" i="15"/>
  <c r="O40" i="15"/>
  <c r="L40" i="15"/>
  <c r="U40" i="15"/>
  <c r="R40" i="15"/>
  <c r="R40" i="1"/>
  <c r="U40" i="1"/>
  <c r="O40" i="1"/>
  <c r="L40" i="1"/>
  <c r="E37" i="6"/>
  <c r="G40" i="1"/>
  <c r="W39" i="1"/>
  <c r="W40" i="16" l="1"/>
  <c r="W41" i="14"/>
  <c r="W40" i="15"/>
  <c r="O41" i="15"/>
  <c r="U41" i="15"/>
  <c r="R41" i="15"/>
  <c r="L41" i="15"/>
  <c r="W40" i="12"/>
  <c r="G41" i="16"/>
  <c r="G41" i="13"/>
  <c r="G41" i="12"/>
  <c r="G41" i="15"/>
  <c r="G41" i="11"/>
  <c r="R41" i="11"/>
  <c r="U41" i="11"/>
  <c r="O41" i="11"/>
  <c r="L41" i="11"/>
  <c r="R41" i="12"/>
  <c r="U41" i="12"/>
  <c r="L41" i="12"/>
  <c r="O41" i="12"/>
  <c r="R42" i="14"/>
  <c r="G42" i="14"/>
  <c r="U42" i="14"/>
  <c r="L42" i="14"/>
  <c r="O42" i="14"/>
  <c r="R41" i="13"/>
  <c r="U41" i="13"/>
  <c r="O41" i="13"/>
  <c r="L41" i="13"/>
  <c r="W40" i="13"/>
  <c r="R41" i="16"/>
  <c r="U41" i="16"/>
  <c r="O41" i="16"/>
  <c r="L41" i="16"/>
  <c r="W40" i="11"/>
  <c r="W40" i="1"/>
  <c r="E38" i="6"/>
  <c r="G41" i="1"/>
  <c r="R41" i="1"/>
  <c r="U41" i="1"/>
  <c r="O41" i="1"/>
  <c r="L41" i="1"/>
  <c r="W41" i="15" l="1"/>
  <c r="W42" i="14"/>
  <c r="R42" i="12"/>
  <c r="U42" i="12"/>
  <c r="L42" i="12"/>
  <c r="O42" i="12"/>
  <c r="W41" i="16"/>
  <c r="R42" i="13"/>
  <c r="U42" i="13"/>
  <c r="L42" i="13"/>
  <c r="O42" i="13"/>
  <c r="R42" i="16"/>
  <c r="U42" i="16"/>
  <c r="O42" i="16"/>
  <c r="L42" i="16"/>
  <c r="W41" i="11"/>
  <c r="G43" i="14"/>
  <c r="R43" i="14"/>
  <c r="U43" i="14"/>
  <c r="L43" i="14"/>
  <c r="O43" i="14"/>
  <c r="O42" i="15"/>
  <c r="L42" i="15"/>
  <c r="R42" i="15"/>
  <c r="U42" i="15"/>
  <c r="G42" i="16"/>
  <c r="G42" i="13"/>
  <c r="G42" i="11"/>
  <c r="G42" i="15"/>
  <c r="G42" i="12"/>
  <c r="W41" i="13"/>
  <c r="W41" i="12"/>
  <c r="R42" i="11"/>
  <c r="U42" i="11"/>
  <c r="O42" i="11"/>
  <c r="L42" i="11"/>
  <c r="W41" i="1"/>
  <c r="E39" i="6"/>
  <c r="G42" i="1"/>
  <c r="R42" i="1"/>
  <c r="U42" i="1"/>
  <c r="O42" i="1"/>
  <c r="L42" i="1"/>
  <c r="W43" i="14" l="1"/>
  <c r="W42" i="11"/>
  <c r="W42" i="15"/>
  <c r="W42" i="13"/>
  <c r="G44" i="14"/>
  <c r="U44" i="14"/>
  <c r="L44" i="14"/>
  <c r="R44" i="14"/>
  <c r="O44" i="14"/>
  <c r="R43" i="13"/>
  <c r="U43" i="13"/>
  <c r="L43" i="13"/>
  <c r="O43" i="13"/>
  <c r="R43" i="16"/>
  <c r="U43" i="16"/>
  <c r="L43" i="16"/>
  <c r="O43" i="16"/>
  <c r="R43" i="12"/>
  <c r="U43" i="12"/>
  <c r="L43" i="12"/>
  <c r="O43" i="12"/>
  <c r="W42" i="16"/>
  <c r="W42" i="12"/>
  <c r="R43" i="15"/>
  <c r="U43" i="15"/>
  <c r="O43" i="15"/>
  <c r="L43" i="15"/>
  <c r="G43" i="16"/>
  <c r="G43" i="13"/>
  <c r="G43" i="12"/>
  <c r="G43" i="15"/>
  <c r="G43" i="11"/>
  <c r="R43" i="11"/>
  <c r="L43" i="11"/>
  <c r="U43" i="11"/>
  <c r="O43" i="11"/>
  <c r="W42" i="1"/>
  <c r="R43" i="1"/>
  <c r="U43" i="1"/>
  <c r="O43" i="1"/>
  <c r="L43" i="1"/>
  <c r="E40" i="6"/>
  <c r="G43" i="1"/>
  <c r="W43" i="12" l="1"/>
  <c r="W43" i="13"/>
  <c r="W43" i="11"/>
  <c r="R44" i="13"/>
  <c r="U44" i="13"/>
  <c r="O44" i="13"/>
  <c r="L44" i="13"/>
  <c r="G45" i="14"/>
  <c r="U45" i="14"/>
  <c r="L45" i="14"/>
  <c r="R45" i="14"/>
  <c r="O45" i="14"/>
  <c r="W43" i="15"/>
  <c r="W43" i="16"/>
  <c r="W44" i="14"/>
  <c r="G44" i="13"/>
  <c r="G44" i="11"/>
  <c r="G44" i="15"/>
  <c r="G44" i="16"/>
  <c r="G44" i="12"/>
  <c r="R44" i="16"/>
  <c r="U44" i="16"/>
  <c r="O44" i="16"/>
  <c r="L44" i="16"/>
  <c r="R44" i="11"/>
  <c r="U44" i="11"/>
  <c r="L44" i="11"/>
  <c r="O44" i="11"/>
  <c r="R44" i="15"/>
  <c r="O44" i="15"/>
  <c r="L44" i="15"/>
  <c r="U44" i="15"/>
  <c r="R44" i="12"/>
  <c r="U44" i="12"/>
  <c r="O44" i="12"/>
  <c r="L44" i="12"/>
  <c r="R44" i="1"/>
  <c r="U44" i="1"/>
  <c r="O44" i="1"/>
  <c r="L44" i="1"/>
  <c r="E41" i="6"/>
  <c r="G44" i="1"/>
  <c r="W43" i="1"/>
  <c r="W44" i="11" l="1"/>
  <c r="W45" i="14"/>
  <c r="W44" i="12"/>
  <c r="R45" i="16"/>
  <c r="U45" i="16"/>
  <c r="L45" i="16"/>
  <c r="O45" i="16"/>
  <c r="U45" i="15"/>
  <c r="R45" i="15"/>
  <c r="L45" i="15"/>
  <c r="O45" i="15"/>
  <c r="R45" i="11"/>
  <c r="U45" i="11"/>
  <c r="O45" i="11"/>
  <c r="L45" i="11"/>
  <c r="R45" i="13"/>
  <c r="U45" i="13"/>
  <c r="L45" i="13"/>
  <c r="O45" i="13"/>
  <c r="W44" i="16"/>
  <c r="G45" i="16"/>
  <c r="G45" i="13"/>
  <c r="G45" i="15"/>
  <c r="G45" i="12"/>
  <c r="G45" i="11"/>
  <c r="W44" i="15"/>
  <c r="W44" i="13"/>
  <c r="R46" i="14"/>
  <c r="L46" i="14"/>
  <c r="G46" i="14"/>
  <c r="U46" i="14"/>
  <c r="O46" i="14"/>
  <c r="R45" i="12"/>
  <c r="U45" i="12"/>
  <c r="O45" i="12"/>
  <c r="L45" i="12"/>
  <c r="R45" i="1"/>
  <c r="U45" i="1"/>
  <c r="O45" i="1"/>
  <c r="L45" i="1"/>
  <c r="W44" i="1"/>
  <c r="E42" i="6"/>
  <c r="G45" i="1"/>
  <c r="W45" i="16" l="1"/>
  <c r="W45" i="12"/>
  <c r="W45" i="13"/>
  <c r="W45" i="15"/>
  <c r="R46" i="11"/>
  <c r="U46" i="11"/>
  <c r="O46" i="11"/>
  <c r="L46" i="11"/>
  <c r="G46" i="13"/>
  <c r="G46" i="16"/>
  <c r="G46" i="12"/>
  <c r="G46" i="11"/>
  <c r="G46" i="15"/>
  <c r="W46" i="14"/>
  <c r="R46" i="12"/>
  <c r="U46" i="12"/>
  <c r="L46" i="12"/>
  <c r="O46" i="12"/>
  <c r="G47" i="14"/>
  <c r="U47" i="14"/>
  <c r="L47" i="14"/>
  <c r="O47" i="14"/>
  <c r="R47" i="14"/>
  <c r="R46" i="13"/>
  <c r="U46" i="13"/>
  <c r="L46" i="13"/>
  <c r="O46" i="13"/>
  <c r="W45" i="11"/>
  <c r="L46" i="15"/>
  <c r="U46" i="15"/>
  <c r="O46" i="15"/>
  <c r="R46" i="15"/>
  <c r="R46" i="16"/>
  <c r="U46" i="16"/>
  <c r="O46" i="16"/>
  <c r="L46" i="16"/>
  <c r="R46" i="1"/>
  <c r="U46" i="1"/>
  <c r="L46" i="1"/>
  <c r="O46" i="1"/>
  <c r="E43" i="6"/>
  <c r="G46" i="1"/>
  <c r="W45" i="1"/>
  <c r="R47" i="11" l="1"/>
  <c r="U47" i="11"/>
  <c r="L47" i="11"/>
  <c r="O47" i="11"/>
  <c r="W46" i="13"/>
  <c r="U48" i="14"/>
  <c r="O48" i="14"/>
  <c r="G48" i="14"/>
  <c r="R48" i="14"/>
  <c r="L48" i="14"/>
  <c r="R47" i="12"/>
  <c r="U47" i="12"/>
  <c r="O47" i="12"/>
  <c r="L47" i="12"/>
  <c r="L47" i="15"/>
  <c r="U47" i="15"/>
  <c r="R47" i="15"/>
  <c r="O47" i="15"/>
  <c r="W46" i="16"/>
  <c r="W46" i="12"/>
  <c r="R47" i="16"/>
  <c r="U47" i="16"/>
  <c r="O47" i="16"/>
  <c r="L47" i="16"/>
  <c r="G47" i="16"/>
  <c r="G47" i="13"/>
  <c r="G47" i="11"/>
  <c r="G47" i="15"/>
  <c r="G47" i="12"/>
  <c r="W46" i="15"/>
  <c r="W46" i="11"/>
  <c r="R47" i="13"/>
  <c r="U47" i="13"/>
  <c r="O47" i="13"/>
  <c r="L47" i="13"/>
  <c r="W47" i="14"/>
  <c r="E44" i="6"/>
  <c r="G47" i="1"/>
  <c r="R47" i="1"/>
  <c r="U47" i="1"/>
  <c r="L47" i="1"/>
  <c r="O47" i="1"/>
  <c r="W46" i="1"/>
  <c r="W47" i="12" l="1"/>
  <c r="O49" i="14"/>
  <c r="G49" i="14"/>
  <c r="R49" i="14"/>
  <c r="L49" i="14"/>
  <c r="U49" i="14"/>
  <c r="R48" i="16"/>
  <c r="U48" i="16"/>
  <c r="O48" i="16"/>
  <c r="L48" i="16"/>
  <c r="W47" i="16"/>
  <c r="W48" i="14"/>
  <c r="O48" i="15"/>
  <c r="L48" i="15"/>
  <c r="R48" i="15"/>
  <c r="U48" i="15"/>
  <c r="W47" i="11"/>
  <c r="R48" i="12"/>
  <c r="U48" i="12"/>
  <c r="L48" i="12"/>
  <c r="O48" i="12"/>
  <c r="G48" i="16"/>
  <c r="G48" i="13"/>
  <c r="G48" i="12"/>
  <c r="G48" i="11"/>
  <c r="G48" i="15"/>
  <c r="R48" i="11"/>
  <c r="U48" i="11"/>
  <c r="L48" i="11"/>
  <c r="O48" i="11"/>
  <c r="W47" i="13"/>
  <c r="R48" i="13"/>
  <c r="U48" i="13"/>
  <c r="L48" i="13"/>
  <c r="O48" i="13"/>
  <c r="W47" i="15"/>
  <c r="W47" i="1"/>
  <c r="E45" i="6"/>
  <c r="G48" i="1"/>
  <c r="R48" i="1"/>
  <c r="U48" i="1"/>
  <c r="O48" i="1"/>
  <c r="L48" i="1"/>
  <c r="W48" i="11" l="1"/>
  <c r="W48" i="15"/>
  <c r="W49" i="14"/>
  <c r="O49" i="15"/>
  <c r="U49" i="15"/>
  <c r="R49" i="15"/>
  <c r="L49" i="15"/>
  <c r="R49" i="12"/>
  <c r="U49" i="12"/>
  <c r="L49" i="12"/>
  <c r="O49" i="12"/>
  <c r="R49" i="13"/>
  <c r="U49" i="13"/>
  <c r="O49" i="13"/>
  <c r="L49" i="13"/>
  <c r="R49" i="16"/>
  <c r="U49" i="16"/>
  <c r="O49" i="16"/>
  <c r="L49" i="16"/>
  <c r="W48" i="16"/>
  <c r="G49" i="16"/>
  <c r="G49" i="13"/>
  <c r="G49" i="12"/>
  <c r="G49" i="11"/>
  <c r="G49" i="15"/>
  <c r="R49" i="11"/>
  <c r="U49" i="11"/>
  <c r="L49" i="11"/>
  <c r="O49" i="11"/>
  <c r="W48" i="12"/>
  <c r="W48" i="13"/>
  <c r="G50" i="14"/>
  <c r="R50" i="14"/>
  <c r="U50" i="14"/>
  <c r="O50" i="14"/>
  <c r="L50" i="14"/>
  <c r="W48" i="1"/>
  <c r="R49" i="1"/>
  <c r="U49" i="1"/>
  <c r="O49" i="1"/>
  <c r="L49" i="1"/>
  <c r="E46" i="6"/>
  <c r="G49" i="1"/>
  <c r="W49" i="15" l="1"/>
  <c r="W49" i="12"/>
  <c r="W49" i="16"/>
  <c r="W50" i="14"/>
  <c r="O50" i="15"/>
  <c r="L50" i="15"/>
  <c r="R50" i="15"/>
  <c r="U50" i="15"/>
  <c r="G50" i="16"/>
  <c r="G50" i="11"/>
  <c r="G50" i="15"/>
  <c r="G50" i="13"/>
  <c r="G50" i="12"/>
  <c r="G51" i="14"/>
  <c r="R51" i="14"/>
  <c r="U51" i="14"/>
  <c r="L51" i="14"/>
  <c r="O51" i="14"/>
  <c r="R50" i="11"/>
  <c r="U50" i="11"/>
  <c r="L50" i="11"/>
  <c r="O50" i="11"/>
  <c r="R50" i="12"/>
  <c r="U50" i="12"/>
  <c r="O50" i="12"/>
  <c r="L50" i="12"/>
  <c r="R50" i="13"/>
  <c r="U50" i="13"/>
  <c r="L50" i="13"/>
  <c r="O50" i="13"/>
  <c r="W49" i="13"/>
  <c r="W49" i="11"/>
  <c r="R50" i="16"/>
  <c r="U50" i="16"/>
  <c r="O50" i="16"/>
  <c r="L50" i="16"/>
  <c r="R50" i="1"/>
  <c r="U50" i="1"/>
  <c r="O50" i="1"/>
  <c r="L50" i="1"/>
  <c r="W49" i="1"/>
  <c r="E47" i="6"/>
  <c r="G50" i="1"/>
  <c r="W50" i="13" l="1"/>
  <c r="W50" i="11"/>
  <c r="W50" i="1"/>
  <c r="W51" i="14"/>
  <c r="W50" i="12"/>
  <c r="R51" i="16"/>
  <c r="U51" i="16"/>
  <c r="L51" i="16"/>
  <c r="O51" i="16"/>
  <c r="R51" i="11"/>
  <c r="L51" i="11"/>
  <c r="O51" i="11"/>
  <c r="U51" i="11"/>
  <c r="R52" i="14"/>
  <c r="L52" i="14"/>
  <c r="O52" i="14"/>
  <c r="G52" i="14"/>
  <c r="U52" i="14"/>
  <c r="R51" i="12"/>
  <c r="U51" i="12"/>
  <c r="O51" i="12"/>
  <c r="L51" i="12"/>
  <c r="W50" i="15"/>
  <c r="R51" i="13"/>
  <c r="U51" i="13"/>
  <c r="O51" i="13"/>
  <c r="L51" i="13"/>
  <c r="G51" i="16"/>
  <c r="G51" i="13"/>
  <c r="G51" i="12"/>
  <c r="G51" i="11"/>
  <c r="G51" i="15"/>
  <c r="W50" i="16"/>
  <c r="R51" i="15"/>
  <c r="U51" i="15"/>
  <c r="L51" i="15"/>
  <c r="O51" i="15"/>
  <c r="R51" i="1"/>
  <c r="U51" i="1"/>
  <c r="O51" i="1"/>
  <c r="L51" i="1"/>
  <c r="E48" i="6"/>
  <c r="G51" i="1"/>
  <c r="W51" i="16" l="1"/>
  <c r="W51" i="11"/>
  <c r="W51" i="13"/>
  <c r="L53" i="14"/>
  <c r="G53" i="14"/>
  <c r="O53" i="14"/>
  <c r="R53" i="14"/>
  <c r="U53" i="14"/>
  <c r="R52" i="15"/>
  <c r="O52" i="15"/>
  <c r="L52" i="15"/>
  <c r="U52" i="15"/>
  <c r="W52" i="14"/>
  <c r="R52" i="11"/>
  <c r="U52" i="11"/>
  <c r="L52" i="11"/>
  <c r="O52" i="11"/>
  <c r="R52" i="12"/>
  <c r="U52" i="12"/>
  <c r="L52" i="12"/>
  <c r="O52" i="12"/>
  <c r="R52" i="16"/>
  <c r="U52" i="16"/>
  <c r="O52" i="16"/>
  <c r="L52" i="16"/>
  <c r="G52" i="16"/>
  <c r="G52" i="13"/>
  <c r="G52" i="11"/>
  <c r="G52" i="15"/>
  <c r="G52" i="12"/>
  <c r="W51" i="15"/>
  <c r="R52" i="13"/>
  <c r="U52" i="13"/>
  <c r="L52" i="13"/>
  <c r="O52" i="13"/>
  <c r="W51" i="12"/>
  <c r="E49" i="6"/>
  <c r="G52" i="1"/>
  <c r="R52" i="1"/>
  <c r="U52" i="1"/>
  <c r="L52" i="1"/>
  <c r="O52" i="1"/>
  <c r="W51" i="1"/>
  <c r="W52" i="11" l="1"/>
  <c r="W52" i="15"/>
  <c r="W52" i="16"/>
  <c r="G53" i="13"/>
  <c r="G53" i="15"/>
  <c r="G53" i="12"/>
  <c r="G53" i="16"/>
  <c r="G53" i="11"/>
  <c r="W53" i="14"/>
  <c r="U53" i="15"/>
  <c r="R53" i="15"/>
  <c r="O53" i="15"/>
  <c r="L53" i="15"/>
  <c r="W52" i="12"/>
  <c r="R54" i="14"/>
  <c r="G54" i="14"/>
  <c r="L54" i="14"/>
  <c r="U54" i="14"/>
  <c r="O54" i="14"/>
  <c r="R53" i="11"/>
  <c r="U53" i="11"/>
  <c r="L53" i="11"/>
  <c r="O53" i="11"/>
  <c r="R53" i="16"/>
  <c r="U53" i="16"/>
  <c r="O53" i="16"/>
  <c r="L53" i="16"/>
  <c r="R53" i="12"/>
  <c r="U53" i="12"/>
  <c r="L53" i="12"/>
  <c r="O53" i="12"/>
  <c r="W52" i="13"/>
  <c r="R53" i="13"/>
  <c r="U53" i="13"/>
  <c r="L53" i="13"/>
  <c r="O53" i="13"/>
  <c r="W52" i="1"/>
  <c r="R53" i="1"/>
  <c r="U53" i="1"/>
  <c r="O53" i="1"/>
  <c r="L53" i="1"/>
  <c r="E50" i="6"/>
  <c r="G53" i="1"/>
  <c r="W54" i="14" l="1"/>
  <c r="W53" i="1"/>
  <c r="G54" i="16"/>
  <c r="G54" i="12"/>
  <c r="G54" i="11"/>
  <c r="G54" i="13"/>
  <c r="G54" i="15"/>
  <c r="G55" i="14"/>
  <c r="U55" i="14"/>
  <c r="L55" i="14"/>
  <c r="O55" i="14"/>
  <c r="R55" i="14"/>
  <c r="R54" i="11"/>
  <c r="U54" i="11"/>
  <c r="O54" i="11"/>
  <c r="L54" i="11"/>
  <c r="W53" i="11"/>
  <c r="R54" i="16"/>
  <c r="U54" i="16"/>
  <c r="L54" i="16"/>
  <c r="O54" i="16"/>
  <c r="R54" i="12"/>
  <c r="U54" i="12"/>
  <c r="L54" i="12"/>
  <c r="O54" i="12"/>
  <c r="W53" i="16"/>
  <c r="W53" i="12"/>
  <c r="L54" i="15"/>
  <c r="U54" i="15"/>
  <c r="O54" i="15"/>
  <c r="R54" i="15"/>
  <c r="W53" i="13"/>
  <c r="W53" i="15"/>
  <c r="R54" i="13"/>
  <c r="U54" i="13"/>
  <c r="L54" i="13"/>
  <c r="O54" i="13"/>
  <c r="E51" i="6"/>
  <c r="G54" i="1"/>
  <c r="R54" i="1"/>
  <c r="U54" i="1"/>
  <c r="O54" i="1"/>
  <c r="L54" i="1"/>
  <c r="W54" i="15" l="1"/>
  <c r="W55" i="14"/>
  <c r="R55" i="16"/>
  <c r="U55" i="16"/>
  <c r="L55" i="16"/>
  <c r="O55" i="16"/>
  <c r="W54" i="12"/>
  <c r="O56" i="14"/>
  <c r="L56" i="14"/>
  <c r="G56" i="14"/>
  <c r="R56" i="14"/>
  <c r="U56" i="14"/>
  <c r="W54" i="11"/>
  <c r="L55" i="15"/>
  <c r="U55" i="15"/>
  <c r="R55" i="15"/>
  <c r="O55" i="15"/>
  <c r="R55" i="13"/>
  <c r="U55" i="13"/>
  <c r="O55" i="13"/>
  <c r="L55" i="13"/>
  <c r="W54" i="16"/>
  <c r="R55" i="11"/>
  <c r="U55" i="11"/>
  <c r="O55" i="11"/>
  <c r="L55" i="11"/>
  <c r="G55" i="13"/>
  <c r="G55" i="16"/>
  <c r="G55" i="11"/>
  <c r="G55" i="15"/>
  <c r="G55" i="12"/>
  <c r="W54" i="13"/>
  <c r="R55" i="12"/>
  <c r="U55" i="12"/>
  <c r="O55" i="12"/>
  <c r="L55" i="12"/>
  <c r="W54" i="1"/>
  <c r="R55" i="1"/>
  <c r="U55" i="1"/>
  <c r="L55" i="1"/>
  <c r="O55" i="1"/>
  <c r="E52" i="6"/>
  <c r="G55" i="1"/>
  <c r="W55" i="15" l="1"/>
  <c r="G56" i="16"/>
  <c r="G56" i="12"/>
  <c r="G56" i="15"/>
  <c r="G56" i="11"/>
  <c r="G56" i="13"/>
  <c r="W56" i="14"/>
  <c r="G57" i="14"/>
  <c r="L57" i="14"/>
  <c r="O57" i="14"/>
  <c r="R57" i="14"/>
  <c r="U57" i="14"/>
  <c r="R56" i="12"/>
  <c r="U56" i="12"/>
  <c r="O56" i="12"/>
  <c r="L56" i="12"/>
  <c r="O56" i="15"/>
  <c r="L56" i="15"/>
  <c r="U56" i="15"/>
  <c r="R56" i="15"/>
  <c r="W55" i="16"/>
  <c r="R56" i="11"/>
  <c r="U56" i="11"/>
  <c r="O56" i="11"/>
  <c r="L56" i="11"/>
  <c r="W55" i="11"/>
  <c r="R56" i="16"/>
  <c r="U56" i="16"/>
  <c r="L56" i="16"/>
  <c r="O56" i="16"/>
  <c r="W55" i="13"/>
  <c r="W55" i="12"/>
  <c r="R56" i="13"/>
  <c r="U56" i="13"/>
  <c r="O56" i="13"/>
  <c r="L56" i="13"/>
  <c r="W55" i="1"/>
  <c r="E53" i="6"/>
  <c r="G56" i="1"/>
  <c r="R56" i="1"/>
  <c r="U56" i="1"/>
  <c r="L56" i="1"/>
  <c r="O56" i="1"/>
  <c r="W56" i="16" l="1"/>
  <c r="W57" i="14"/>
  <c r="W56" i="15"/>
  <c r="W56" i="11"/>
  <c r="G58" i="14"/>
  <c r="R58" i="14"/>
  <c r="O58" i="14"/>
  <c r="U58" i="14"/>
  <c r="L58" i="14"/>
  <c r="R57" i="16"/>
  <c r="U57" i="16"/>
  <c r="O57" i="16"/>
  <c r="L57" i="16"/>
  <c r="W56" i="12"/>
  <c r="G57" i="13"/>
  <c r="G57" i="16"/>
  <c r="G57" i="12"/>
  <c r="G57" i="11"/>
  <c r="G57" i="15"/>
  <c r="R57" i="13"/>
  <c r="U57" i="13"/>
  <c r="O57" i="13"/>
  <c r="L57" i="13"/>
  <c r="R57" i="11"/>
  <c r="U57" i="11"/>
  <c r="O57" i="11"/>
  <c r="L57" i="11"/>
  <c r="O57" i="15"/>
  <c r="U57" i="15"/>
  <c r="R57" i="15"/>
  <c r="L57" i="15"/>
  <c r="W56" i="13"/>
  <c r="R57" i="12"/>
  <c r="U57" i="12"/>
  <c r="L57" i="12"/>
  <c r="O57" i="12"/>
  <c r="W56" i="1"/>
  <c r="R57" i="1"/>
  <c r="U57" i="1"/>
  <c r="L57" i="1"/>
  <c r="O57" i="1"/>
  <c r="E54" i="6"/>
  <c r="G57" i="1"/>
  <c r="W58" i="14" l="1"/>
  <c r="W60" i="14" s="1"/>
  <c r="L58" i="15"/>
  <c r="O58" i="15"/>
  <c r="U58" i="15"/>
  <c r="R58" i="15"/>
  <c r="W57" i="11"/>
  <c r="R58" i="12"/>
  <c r="U58" i="12"/>
  <c r="L58" i="12"/>
  <c r="O58" i="12"/>
  <c r="R58" i="11"/>
  <c r="U58" i="11"/>
  <c r="O58" i="11"/>
  <c r="L58" i="11"/>
  <c r="W57" i="1"/>
  <c r="R58" i="16"/>
  <c r="U58" i="16"/>
  <c r="L58" i="16"/>
  <c r="O58" i="16"/>
  <c r="W57" i="13"/>
  <c r="G58" i="16"/>
  <c r="G58" i="15"/>
  <c r="G58" i="13"/>
  <c r="G58" i="12"/>
  <c r="G58" i="11"/>
  <c r="R58" i="13"/>
  <c r="U58" i="13"/>
  <c r="O58" i="13"/>
  <c r="L58" i="13"/>
  <c r="W57" i="12"/>
  <c r="W57" i="15"/>
  <c r="W57" i="16"/>
  <c r="R58" i="1"/>
  <c r="U58" i="1"/>
  <c r="L58" i="1"/>
  <c r="O58" i="1"/>
  <c r="E55" i="6"/>
  <c r="G58" i="1"/>
  <c r="W2" i="14" l="1"/>
  <c r="E8" i="19" s="1"/>
  <c r="D8" i="19"/>
  <c r="W61" i="14"/>
  <c r="G8" i="19" s="1"/>
  <c r="W58" i="12"/>
  <c r="W60" i="12"/>
  <c r="W61" i="12"/>
  <c r="G6" i="19" s="1"/>
  <c r="W58" i="11"/>
  <c r="W58" i="13"/>
  <c r="W58" i="16"/>
  <c r="W58" i="15"/>
  <c r="W58" i="1"/>
  <c r="W2" i="12" l="1"/>
  <c r="E6" i="19" s="1"/>
  <c r="D6" i="19"/>
  <c r="W60" i="15"/>
  <c r="W61" i="15"/>
  <c r="G9" i="19" s="1"/>
  <c r="W61" i="16"/>
  <c r="G10" i="19" s="1"/>
  <c r="W60" i="16"/>
  <c r="W60" i="13"/>
  <c r="W61" i="13"/>
  <c r="G7" i="19" s="1"/>
  <c r="W60" i="11"/>
  <c r="W61" i="11"/>
  <c r="G5" i="19" s="1"/>
  <c r="W60" i="1"/>
  <c r="W2" i="16" l="1"/>
  <c r="E10" i="19" s="1"/>
  <c r="D10" i="19"/>
  <c r="W2" i="15"/>
  <c r="E9" i="19" s="1"/>
  <c r="D9" i="19"/>
  <c r="W2" i="13"/>
  <c r="E7" i="19" s="1"/>
  <c r="D7" i="19"/>
  <c r="W2" i="11"/>
  <c r="E5" i="19" s="1"/>
  <c r="D5" i="19"/>
  <c r="W2" i="1"/>
  <c r="W3" i="13" s="1"/>
  <c r="F7" i="19" s="1"/>
  <c r="J5" i="19" s="1"/>
  <c r="D4" i="19"/>
  <c r="W61" i="1"/>
  <c r="G4" i="19" s="1"/>
  <c r="W3" i="11"/>
  <c r="F5" i="19" s="1"/>
  <c r="W3" i="12"/>
  <c r="F6" i="19" s="1"/>
  <c r="W3" i="16"/>
  <c r="F10" i="19" s="1"/>
  <c r="W3" i="18" l="1"/>
  <c r="F12" i="19" s="1"/>
  <c r="M6" i="19" s="1"/>
  <c r="J4" i="19"/>
  <c r="J6" i="19" s="1" a="1"/>
  <c r="J6" i="19" s="1"/>
  <c r="P4" i="19" s="1"/>
  <c r="W3" i="17"/>
  <c r="F11" i="19" s="1"/>
  <c r="W3" i="15"/>
  <c r="F9" i="19" s="1"/>
  <c r="W3" i="14"/>
  <c r="F8" i="19" s="1"/>
  <c r="M4" i="19" s="1"/>
  <c r="E4" i="19"/>
  <c r="W3" i="20"/>
  <c r="F13" i="19" s="1"/>
  <c r="M7" i="19" s="1"/>
  <c r="M5" i="19" l="1"/>
  <c r="M8" i="19" s="1" a="1"/>
  <c r="M8" i="19" s="1"/>
  <c r="P5" i="19" s="1"/>
  <c r="P6" i="19" s="1" a="1"/>
  <c r="P6" i="19" s="1"/>
  <c r="D14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<sst xmlns="http://schemas.openxmlformats.org/spreadsheetml/2006/main" count="338" uniqueCount="63">
  <si>
    <t>F0</t>
  </si>
  <si>
    <t>RD (Regular deduction)</t>
  </si>
  <si>
    <t>COMM (commissions)</t>
  </si>
  <si>
    <t>SI2021M</t>
  </si>
  <si>
    <t>lapse rate</t>
  </si>
  <si>
    <t>expenses</t>
  </si>
  <si>
    <t>inflation</t>
  </si>
  <si>
    <t>t</t>
  </si>
  <si>
    <t>lapse rate final year</t>
  </si>
  <si>
    <t>qx</t>
  </si>
  <si>
    <t>x</t>
  </si>
  <si>
    <t>px</t>
  </si>
  <si>
    <t>hpx</t>
  </si>
  <si>
    <t>Assets</t>
  </si>
  <si>
    <t>sigma</t>
  </si>
  <si>
    <t>Liabilities</t>
  </si>
  <si>
    <t>T</t>
  </si>
  <si>
    <t># of policies</t>
  </si>
  <si>
    <t>x0</t>
  </si>
  <si>
    <t>percentage (death)</t>
  </si>
  <si>
    <t>fixed cost per benefit</t>
  </si>
  <si>
    <t>Interest Rate Curve</t>
  </si>
  <si>
    <t>IR</t>
  </si>
  <si>
    <t>IR UP</t>
  </si>
  <si>
    <t>IR DOWN</t>
  </si>
  <si>
    <t>rate</t>
  </si>
  <si>
    <t>Ft</t>
  </si>
  <si>
    <t>discount</t>
  </si>
  <si>
    <t>Ft-RD</t>
  </si>
  <si>
    <t>Lapse benefit</t>
  </si>
  <si>
    <t>Death benefit</t>
  </si>
  <si>
    <t>Discounted benefit</t>
  </si>
  <si>
    <t>Duration</t>
  </si>
  <si>
    <t>Total discounted benefit</t>
  </si>
  <si>
    <t>BOF</t>
  </si>
  <si>
    <t>Expenses</t>
  </si>
  <si>
    <t>Discounted expenses</t>
  </si>
  <si>
    <t>Commissions</t>
  </si>
  <si>
    <t>Discounted commisions</t>
  </si>
  <si>
    <t>Shock</t>
  </si>
  <si>
    <t>dBOF</t>
  </si>
  <si>
    <t>Caso base</t>
  </si>
  <si>
    <t>Lapse up</t>
  </si>
  <si>
    <t>Lapse down</t>
  </si>
  <si>
    <t>Cat</t>
  </si>
  <si>
    <t>Lapse mass</t>
  </si>
  <si>
    <t>Mortality</t>
  </si>
  <si>
    <t>Equity</t>
  </si>
  <si>
    <t>IR down</t>
  </si>
  <si>
    <t>IR up</t>
  </si>
  <si>
    <t>BSCR</t>
  </si>
  <si>
    <t>Market SCR</t>
  </si>
  <si>
    <t>SCR</t>
  </si>
  <si>
    <t>Correlation Matrix</t>
  </si>
  <si>
    <t>Market Matrix UP</t>
  </si>
  <si>
    <t>Market Matrix DOWN</t>
  </si>
  <si>
    <t>Life Matrix</t>
  </si>
  <si>
    <t>Lapse</t>
  </si>
  <si>
    <t>CAT</t>
  </si>
  <si>
    <t>Life SCR</t>
  </si>
  <si>
    <t>Market</t>
  </si>
  <si>
    <t>Life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</si>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</sst>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[$EUR]\ #,##0.00"/>
    <numFmt numFmtId="166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1" xfId="0" applyBorder="1"/>
    <xf numFmtId="165" fontId="0" fillId="0" borderId="1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2" borderId="1" xfId="0" applyFill="1" applyBorder="1"/>
    <xf numFmtId="10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Border="1"/>
    <xf numFmtId="0" fontId="3" fillId="0" borderId="0" xfId="0" applyFont="1"/>
    <xf numFmtId="0" fontId="0" fillId="0" borderId="7" xfId="0" applyBorder="1"/>
    <xf numFmtId="0" fontId="0" fillId="0" borderId="0" xfId="0" applyAlignment="1">
      <alignment horizontal="center"/>
    </xf>
    <xf numFmtId="164" fontId="0" fillId="2" borderId="1" xfId="1" applyNumberFormat="1" applyFont="1" applyFill="1" applyBorder="1"/>
    <xf numFmtId="165" fontId="0" fillId="0" borderId="1" xfId="0" applyNumberFormat="1" applyBorder="1"/>
    <xf numFmtId="0" fontId="0" fillId="0" borderId="8" xfId="0" applyBorder="1"/>
    <xf numFmtId="0" fontId="0" fillId="0" borderId="0" xfId="0" applyBorder="1"/>
    <xf numFmtId="165" fontId="0" fillId="0" borderId="0" xfId="0" applyNumberFormat="1" applyBorder="1"/>
    <xf numFmtId="165" fontId="0" fillId="0" borderId="10" xfId="0" applyNumberFormat="1" applyBorder="1"/>
    <xf numFmtId="0" fontId="0" fillId="0" borderId="10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2" fillId="0" borderId="0" xfId="0" applyFont="1" applyBorder="1"/>
    <xf numFmtId="165" fontId="0" fillId="3" borderId="1" xfId="0" applyNumberFormat="1" applyFill="1" applyBorder="1"/>
    <xf numFmtId="0" fontId="0" fillId="3" borderId="1" xfId="0" applyFill="1" applyBorder="1"/>
    <xf numFmtId="9" fontId="0" fillId="3" borderId="1" xfId="0" applyNumberFormat="1" applyFill="1" applyBorder="1"/>
    <xf numFmtId="165" fontId="0" fillId="0" borderId="5" xfId="0" applyNumberFormat="1" applyBorder="1"/>
    <xf numFmtId="0" fontId="2" fillId="4" borderId="1" xfId="0" applyFont="1" applyFill="1" applyBorder="1"/>
    <xf numFmtId="16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3" xfId="0" applyBorder="1"/>
    <xf numFmtId="0" fontId="2" fillId="0" borderId="6" xfId="0" applyFont="1" applyBorder="1"/>
    <xf numFmtId="0" fontId="0" fillId="0" borderId="1" xfId="0" applyBorder="1"/>
    <xf numFmtId="4" fontId="0" fillId="0" borderId="1" xfId="0" applyNumberFormat="1" applyBorder="1"/>
    <xf numFmtId="166" fontId="0" fillId="0" borderId="1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2F75-BDEA-462A-BC0F-A0B84EC3839E}">
  <dimension ref="B2:T55"/>
  <sheetViews>
    <sheetView showGridLines="0" zoomScale="80" zoomScaleNormal="80" workbookViewId="0"/>
  </sheetViews>
  <sheetFormatPr defaultRowHeight="14.75" x14ac:dyDescent="0.75"/>
  <cols>
    <col min="4" max="4" width="12.04296875" bestFit="1" customWidth="1"/>
    <col min="5" max="5" width="11.6796875" bestFit="1" customWidth="1"/>
    <col min="8" max="8" width="14.5" bestFit="1" customWidth="1"/>
    <col min="10" max="10" width="20.76953125" bestFit="1" customWidth="1"/>
    <col min="11" max="11" width="9.7265625" bestFit="1" customWidth="1"/>
    <col min="12" max="12" width="20.2265625" customWidth="1"/>
    <col min="13" max="13" width="15.31640625" bestFit="1" customWidth="1"/>
  </cols>
  <sheetData>
    <row r="2" spans="2:20" ht="18.5" x14ac:dyDescent="0.9">
      <c r="B2" s="46" t="s">
        <v>3</v>
      </c>
      <c r="C2" s="47"/>
      <c r="D2" s="47"/>
      <c r="E2" s="48"/>
      <c r="G2" s="46" t="s">
        <v>13</v>
      </c>
      <c r="H2" s="48"/>
      <c r="J2" s="49" t="s">
        <v>15</v>
      </c>
      <c r="K2" s="50"/>
      <c r="M2" s="51" t="s">
        <v>21</v>
      </c>
      <c r="N2" s="51"/>
      <c r="O2" s="51"/>
      <c r="P2" s="51"/>
      <c r="Q2" s="51"/>
      <c r="R2" s="51"/>
      <c r="S2" s="51"/>
      <c r="T2" s="51"/>
    </row>
    <row r="3" spans="2:20" x14ac:dyDescent="0.75">
      <c r="B3" s="4" t="s">
        <v>10</v>
      </c>
      <c r="C3" s="4" t="s">
        <v>9</v>
      </c>
      <c r="D3" s="4" t="s">
        <v>11</v>
      </c>
      <c r="E3" s="4" t="s">
        <v>12</v>
      </c>
      <c r="G3" s="4" t="s">
        <v>0</v>
      </c>
      <c r="H3" s="5">
        <v>100000</v>
      </c>
      <c r="J3" s="13" t="s">
        <v>19</v>
      </c>
      <c r="K3" s="8">
        <v>1.1000000000000001</v>
      </c>
      <c r="M3" s="52" t="s">
        <v>22</v>
      </c>
      <c r="N3" s="52"/>
      <c r="O3" s="16"/>
      <c r="P3" s="52" t="s">
        <v>23</v>
      </c>
      <c r="Q3" s="52"/>
      <c r="R3" s="16"/>
      <c r="S3" s="52" t="s">
        <v>24</v>
      </c>
      <c r="T3" s="52"/>
    </row>
    <row r="4" spans="2:20" x14ac:dyDescent="0.75">
      <c r="B4" s="4"/>
      <c r="C4" s="4"/>
      <c r="D4" s="4"/>
      <c r="E4" s="4">
        <v>1</v>
      </c>
      <c r="G4" s="4" t="s">
        <v>14</v>
      </c>
      <c r="H4" s="6">
        <v>0.25</v>
      </c>
      <c r="J4" s="13" t="s">
        <v>20</v>
      </c>
      <c r="K4" s="10">
        <v>20</v>
      </c>
      <c r="M4" s="17" t="s">
        <v>16</v>
      </c>
      <c r="N4" s="17" t="s">
        <v>25</v>
      </c>
      <c r="P4" s="17" t="s">
        <v>16</v>
      </c>
      <c r="Q4" s="17" t="s">
        <v>25</v>
      </c>
      <c r="R4" s="18"/>
      <c r="S4" s="17" t="s">
        <v>16</v>
      </c>
      <c r="T4" s="17" t="s">
        <v>25</v>
      </c>
    </row>
    <row r="5" spans="2:20" x14ac:dyDescent="0.75">
      <c r="B5" s="4">
        <v>60</v>
      </c>
      <c r="C5" s="15">
        <v>7.1098899999999998E-3</v>
      </c>
      <c r="D5" s="4">
        <f>1-C5</f>
        <v>0.99289011000000005</v>
      </c>
      <c r="E5" s="4">
        <f>D5</f>
        <v>0.99289011000000005</v>
      </c>
      <c r="J5" s="13" t="s">
        <v>1</v>
      </c>
      <c r="K5" s="8">
        <v>0.02</v>
      </c>
      <c r="M5" s="7">
        <v>1</v>
      </c>
      <c r="N5" s="19">
        <v>-1.75E-3</v>
      </c>
      <c r="P5" s="7">
        <v>1</v>
      </c>
      <c r="Q5" s="19">
        <v>8.2500000000000004E-3</v>
      </c>
      <c r="S5" s="7">
        <v>1</v>
      </c>
      <c r="T5" s="19">
        <v>-1.75E-3</v>
      </c>
    </row>
    <row r="6" spans="2:20" x14ac:dyDescent="0.75">
      <c r="B6" s="4">
        <v>61</v>
      </c>
      <c r="C6" s="15">
        <v>7.9253799999999992E-3</v>
      </c>
      <c r="D6" s="4">
        <f t="shared" ref="D6:D55" si="0">1-C6</f>
        <v>0.99207462000000002</v>
      </c>
      <c r="E6" s="4">
        <f>D6*E5</f>
        <v>0.98502107858000831</v>
      </c>
      <c r="J6" s="13" t="s">
        <v>2</v>
      </c>
      <c r="K6" s="8">
        <v>1.4E-2</v>
      </c>
      <c r="M6" s="7">
        <v>2</v>
      </c>
      <c r="N6" s="19">
        <v>4.3600000000000002E-3</v>
      </c>
      <c r="P6" s="7">
        <v>2</v>
      </c>
      <c r="Q6" s="19">
        <v>1.436E-2</v>
      </c>
      <c r="S6" s="7">
        <v>2</v>
      </c>
      <c r="T6" s="19">
        <v>1.5299999999999999E-3</v>
      </c>
    </row>
    <row r="7" spans="2:20" x14ac:dyDescent="0.75">
      <c r="B7" s="4">
        <v>62</v>
      </c>
      <c r="C7" s="15">
        <v>8.7428100000000002E-3</v>
      </c>
      <c r="D7" s="4">
        <f t="shared" si="0"/>
        <v>0.99125719000000001</v>
      </c>
      <c r="E7" s="4">
        <f t="shared" ref="E7:E55" si="1">D7*E6</f>
        <v>0.9764092264439882</v>
      </c>
      <c r="J7" s="13" t="s">
        <v>18</v>
      </c>
      <c r="K7" s="9">
        <v>60</v>
      </c>
      <c r="M7" s="7">
        <v>3</v>
      </c>
      <c r="N7" s="19">
        <v>7.0299999999999998E-3</v>
      </c>
      <c r="P7" s="7">
        <v>3</v>
      </c>
      <c r="Q7" s="19">
        <v>1.703E-2</v>
      </c>
      <c r="S7" s="7">
        <v>3</v>
      </c>
      <c r="T7" s="19">
        <v>3.0899999999999999E-3</v>
      </c>
    </row>
    <row r="8" spans="2:20" x14ac:dyDescent="0.75">
      <c r="B8" s="4">
        <v>63</v>
      </c>
      <c r="C8" s="15">
        <v>9.7442299999999996E-3</v>
      </c>
      <c r="D8" s="4">
        <f t="shared" si="0"/>
        <v>0.99025576999999998</v>
      </c>
      <c r="E8" s="4">
        <f t="shared" si="1"/>
        <v>0.96689487036739585</v>
      </c>
      <c r="J8" s="13" t="s">
        <v>4</v>
      </c>
      <c r="K8" s="11">
        <v>0.15</v>
      </c>
      <c r="M8" s="7">
        <v>4</v>
      </c>
      <c r="N8" s="19">
        <v>8.2900000000000005E-3</v>
      </c>
      <c r="P8" s="7">
        <v>4</v>
      </c>
      <c r="Q8" s="19">
        <v>1.8290000000000001E-2</v>
      </c>
      <c r="S8" s="7">
        <v>4</v>
      </c>
      <c r="T8" s="19">
        <v>4.15E-3</v>
      </c>
    </row>
    <row r="9" spans="2:20" x14ac:dyDescent="0.75">
      <c r="B9" s="4">
        <v>64</v>
      </c>
      <c r="C9" s="15">
        <v>1.074365E-2</v>
      </c>
      <c r="D9" s="4">
        <f t="shared" si="0"/>
        <v>0.98925635000000001</v>
      </c>
      <c r="E9" s="4">
        <f t="shared" si="1"/>
        <v>0.95650689029337321</v>
      </c>
      <c r="J9" s="13" t="s">
        <v>5</v>
      </c>
      <c r="K9" s="14">
        <v>50</v>
      </c>
      <c r="M9" s="7">
        <v>5</v>
      </c>
      <c r="N9" s="19">
        <v>8.9499999999999996E-3</v>
      </c>
      <c r="P9" s="7">
        <v>5</v>
      </c>
      <c r="Q9" s="19">
        <v>1.8950000000000002E-2</v>
      </c>
      <c r="S9" s="7">
        <v>5</v>
      </c>
      <c r="T9" s="19">
        <v>4.8300000000000001E-3</v>
      </c>
    </row>
    <row r="10" spans="2:20" x14ac:dyDescent="0.75">
      <c r="B10" s="4">
        <v>65</v>
      </c>
      <c r="C10" s="15">
        <v>1.1741759999999999E-2</v>
      </c>
      <c r="D10" s="4">
        <f t="shared" si="0"/>
        <v>0.98825823999999995</v>
      </c>
      <c r="E10" s="4">
        <f t="shared" si="1"/>
        <v>0.94527581594920207</v>
      </c>
      <c r="J10" s="13" t="s">
        <v>6</v>
      </c>
      <c r="K10" s="11">
        <v>0.02</v>
      </c>
      <c r="M10" s="7">
        <v>6</v>
      </c>
      <c r="N10" s="19">
        <v>9.4299999999999991E-3</v>
      </c>
      <c r="P10" s="7">
        <v>6</v>
      </c>
      <c r="Q10" s="19">
        <v>1.9429999999999999E-2</v>
      </c>
      <c r="S10" s="7">
        <v>6</v>
      </c>
      <c r="T10" s="19">
        <v>5.47E-3</v>
      </c>
    </row>
    <row r="11" spans="2:20" x14ac:dyDescent="0.75">
      <c r="B11" s="4">
        <v>66</v>
      </c>
      <c r="C11" s="15">
        <v>1.2944559999999999E-2</v>
      </c>
      <c r="D11" s="4">
        <f t="shared" si="0"/>
        <v>0.98705544000000001</v>
      </c>
      <c r="E11" s="4">
        <f t="shared" si="1"/>
        <v>0.93303963643309862</v>
      </c>
      <c r="J11" s="13" t="s">
        <v>16</v>
      </c>
      <c r="K11" s="9">
        <v>50</v>
      </c>
      <c r="M11" s="7">
        <v>7</v>
      </c>
      <c r="N11" s="19">
        <v>9.8300000000000002E-3</v>
      </c>
      <c r="P11" s="7">
        <v>7</v>
      </c>
      <c r="Q11" s="19">
        <v>1.983E-2</v>
      </c>
      <c r="S11" s="7">
        <v>7</v>
      </c>
      <c r="T11" s="19">
        <v>6.0000000000000001E-3</v>
      </c>
    </row>
    <row r="12" spans="2:20" x14ac:dyDescent="0.75">
      <c r="B12" s="4">
        <v>67</v>
      </c>
      <c r="C12" s="15">
        <v>1.4286E-2</v>
      </c>
      <c r="D12" s="4">
        <f t="shared" si="0"/>
        <v>0.98571399999999998</v>
      </c>
      <c r="E12" s="4">
        <f t="shared" si="1"/>
        <v>0.91971023218701531</v>
      </c>
      <c r="J12" s="13" t="s">
        <v>17</v>
      </c>
      <c r="K12" s="12">
        <v>1</v>
      </c>
      <c r="M12" s="7">
        <v>8</v>
      </c>
      <c r="N12" s="19">
        <v>1.025E-2</v>
      </c>
      <c r="P12" s="7">
        <v>8</v>
      </c>
      <c r="Q12" s="19">
        <v>2.0250000000000001E-2</v>
      </c>
      <c r="S12" s="7">
        <v>8</v>
      </c>
      <c r="T12" s="19">
        <v>6.5599999999999999E-3</v>
      </c>
    </row>
    <row r="13" spans="2:20" x14ac:dyDescent="0.75">
      <c r="B13" s="4">
        <v>68</v>
      </c>
      <c r="C13" s="15">
        <v>1.5832019999999999E-2</v>
      </c>
      <c r="D13" s="4">
        <f t="shared" si="0"/>
        <v>0.98416798000000005</v>
      </c>
      <c r="E13" s="4">
        <f t="shared" si="1"/>
        <v>0.90514936139682589</v>
      </c>
      <c r="J13" s="13" t="s">
        <v>8</v>
      </c>
      <c r="K13" s="11">
        <v>1</v>
      </c>
      <c r="M13" s="7">
        <v>9</v>
      </c>
      <c r="N13" s="19">
        <v>1.0670000000000001E-2</v>
      </c>
      <c r="P13" s="7">
        <v>9</v>
      </c>
      <c r="Q13" s="19">
        <v>2.0670000000000001E-2</v>
      </c>
      <c r="S13" s="7">
        <v>9</v>
      </c>
      <c r="T13" s="19">
        <v>7.1500000000000001E-3</v>
      </c>
    </row>
    <row r="14" spans="2:20" x14ac:dyDescent="0.75">
      <c r="B14" s="4">
        <v>69</v>
      </c>
      <c r="C14" s="15">
        <v>1.7437689999999999E-2</v>
      </c>
      <c r="D14" s="4">
        <f t="shared" si="0"/>
        <v>0.98256231000000005</v>
      </c>
      <c r="E14" s="4">
        <f t="shared" si="1"/>
        <v>0.88936564742909008</v>
      </c>
      <c r="M14" s="7">
        <v>10</v>
      </c>
      <c r="N14" s="19">
        <v>1.1089999999999999E-2</v>
      </c>
      <c r="P14" s="7">
        <v>10</v>
      </c>
      <c r="Q14" s="19">
        <v>2.1090000000000001E-2</v>
      </c>
      <c r="S14" s="7">
        <v>10</v>
      </c>
      <c r="T14" s="19">
        <v>7.6499999999999997E-3</v>
      </c>
    </row>
    <row r="15" spans="2:20" x14ac:dyDescent="0.75">
      <c r="B15" s="4">
        <v>70</v>
      </c>
      <c r="C15" s="15">
        <v>1.9402930000000002E-2</v>
      </c>
      <c r="D15" s="4">
        <f t="shared" si="0"/>
        <v>0.98059706999999996</v>
      </c>
      <c r="E15" s="4">
        <f t="shared" si="1"/>
        <v>0.87210934802761875</v>
      </c>
      <c r="M15" s="7">
        <v>11</v>
      </c>
      <c r="N15" s="19">
        <v>1.1429999999999999E-2</v>
      </c>
      <c r="P15" s="7">
        <v>11</v>
      </c>
      <c r="Q15" s="19">
        <v>2.1430000000000001E-2</v>
      </c>
      <c r="S15" s="7">
        <v>11</v>
      </c>
      <c r="T15" s="19">
        <v>8.0000000000000002E-3</v>
      </c>
    </row>
    <row r="16" spans="2:20" x14ac:dyDescent="0.75">
      <c r="B16" s="4">
        <v>71</v>
      </c>
      <c r="C16" s="15">
        <v>2.1147599999999999E-2</v>
      </c>
      <c r="D16" s="4">
        <f t="shared" si="0"/>
        <v>0.97885239999999996</v>
      </c>
      <c r="E16" s="4">
        <f t="shared" si="1"/>
        <v>0.85366632837926981</v>
      </c>
      <c r="M16" s="7">
        <v>12</v>
      </c>
      <c r="N16" s="19">
        <v>1.17E-2</v>
      </c>
      <c r="P16" s="7">
        <v>12</v>
      </c>
      <c r="Q16" s="19">
        <v>2.1700000000000001E-2</v>
      </c>
      <c r="S16" s="7">
        <v>12</v>
      </c>
      <c r="T16" s="19">
        <v>8.3099999999999997E-3</v>
      </c>
    </row>
    <row r="17" spans="2:20" x14ac:dyDescent="0.75">
      <c r="B17" s="4">
        <v>72</v>
      </c>
      <c r="C17" s="15">
        <v>2.3299589999999998E-2</v>
      </c>
      <c r="D17" s="4">
        <f t="shared" si="0"/>
        <v>0.97670040999999996</v>
      </c>
      <c r="E17" s="4">
        <f t="shared" si="1"/>
        <v>0.83377625293122748</v>
      </c>
      <c r="M17" s="7">
        <v>13</v>
      </c>
      <c r="N17" s="19">
        <v>1.193E-2</v>
      </c>
      <c r="P17" s="7">
        <v>13</v>
      </c>
      <c r="Q17" s="19">
        <v>2.1930000000000002E-2</v>
      </c>
      <c r="S17" s="7">
        <v>13</v>
      </c>
      <c r="T17" s="19">
        <v>8.5900000000000004E-3</v>
      </c>
    </row>
    <row r="18" spans="2:20" x14ac:dyDescent="0.75">
      <c r="B18" s="4">
        <v>73</v>
      </c>
      <c r="C18" s="15">
        <v>2.5369679999999999E-2</v>
      </c>
      <c r="D18" s="4">
        <f t="shared" si="0"/>
        <v>0.97463032000000005</v>
      </c>
      <c r="E18" s="4">
        <f t="shared" si="1"/>
        <v>0.81262361620276324</v>
      </c>
      <c r="M18" s="7">
        <v>14</v>
      </c>
      <c r="N18" s="19">
        <v>1.208E-2</v>
      </c>
      <c r="P18" s="7">
        <v>14</v>
      </c>
      <c r="Q18" s="19">
        <v>2.2079999999999999E-2</v>
      </c>
      <c r="S18" s="7">
        <v>14</v>
      </c>
      <c r="T18" s="19">
        <v>8.6999999999999994E-3</v>
      </c>
    </row>
    <row r="19" spans="2:20" x14ac:dyDescent="0.75">
      <c r="B19" s="4">
        <v>74</v>
      </c>
      <c r="C19" s="15">
        <v>2.8216439999999999E-2</v>
      </c>
      <c r="D19" s="4">
        <f t="shared" si="0"/>
        <v>0.97178355999999999</v>
      </c>
      <c r="E19" s="4">
        <f t="shared" si="1"/>
        <v>0.78969427069359499</v>
      </c>
      <c r="M19" s="7">
        <v>15</v>
      </c>
      <c r="N19" s="19">
        <v>1.208E-2</v>
      </c>
      <c r="P19" s="7">
        <v>15</v>
      </c>
      <c r="Q19" s="19">
        <v>2.2079999999999999E-2</v>
      </c>
      <c r="S19" s="7">
        <v>15</v>
      </c>
      <c r="T19" s="19">
        <v>8.8199999999999997E-3</v>
      </c>
    </row>
    <row r="20" spans="2:20" x14ac:dyDescent="0.75">
      <c r="B20" s="4">
        <v>75</v>
      </c>
      <c r="C20" s="15">
        <v>3.1495290000000002E-2</v>
      </c>
      <c r="D20" s="4">
        <f t="shared" si="0"/>
        <v>0.96850471000000005</v>
      </c>
      <c r="E20" s="4">
        <f t="shared" si="1"/>
        <v>0.76482262062676176</v>
      </c>
      <c r="M20" s="7">
        <v>16</v>
      </c>
      <c r="N20" s="19">
        <v>1.193E-2</v>
      </c>
      <c r="P20" s="7">
        <v>16</v>
      </c>
      <c r="Q20" s="19">
        <v>2.1930000000000002E-2</v>
      </c>
      <c r="S20" s="7">
        <v>16</v>
      </c>
      <c r="T20" s="19">
        <v>8.5900000000000004E-3</v>
      </c>
    </row>
    <row r="21" spans="2:20" x14ac:dyDescent="0.75">
      <c r="B21" s="4">
        <v>76</v>
      </c>
      <c r="C21" s="15">
        <v>3.5661619999999998E-2</v>
      </c>
      <c r="D21" s="4">
        <f t="shared" si="0"/>
        <v>0.96433838000000005</v>
      </c>
      <c r="E21" s="4">
        <f t="shared" si="1"/>
        <v>0.73754780696256605</v>
      </c>
      <c r="M21" s="7">
        <v>17</v>
      </c>
      <c r="N21" s="19">
        <v>1.172E-2</v>
      </c>
      <c r="P21" s="7">
        <v>17</v>
      </c>
      <c r="Q21" s="19">
        <v>2.172E-2</v>
      </c>
      <c r="S21" s="7">
        <v>17</v>
      </c>
      <c r="T21" s="19">
        <v>8.4399999999999996E-3</v>
      </c>
    </row>
    <row r="22" spans="2:20" x14ac:dyDescent="0.75">
      <c r="B22" s="4">
        <v>77</v>
      </c>
      <c r="C22" s="15">
        <v>3.9426679999999999E-2</v>
      </c>
      <c r="D22" s="4">
        <f t="shared" si="0"/>
        <v>0.96057331999999995</v>
      </c>
      <c r="E22" s="4">
        <f t="shared" si="1"/>
        <v>0.70846874559275119</v>
      </c>
      <c r="M22" s="7">
        <v>18</v>
      </c>
      <c r="N22" s="19">
        <v>1.153E-2</v>
      </c>
      <c r="P22" s="7">
        <v>18</v>
      </c>
      <c r="Q22" s="19">
        <v>2.1530000000000001E-2</v>
      </c>
      <c r="S22" s="7">
        <v>18</v>
      </c>
      <c r="T22" s="19">
        <v>8.3000000000000001E-3</v>
      </c>
    </row>
    <row r="23" spans="2:20" x14ac:dyDescent="0.75">
      <c r="B23" s="4">
        <v>78</v>
      </c>
      <c r="C23" s="15">
        <v>4.4438100000000001E-2</v>
      </c>
      <c r="D23" s="4">
        <f t="shared" si="0"/>
        <v>0.95556189999999996</v>
      </c>
      <c r="E23" s="4">
        <f t="shared" si="1"/>
        <v>0.6769857406292259</v>
      </c>
      <c r="M23" s="7">
        <v>19</v>
      </c>
      <c r="N23" s="19">
        <v>1.1429999999999999E-2</v>
      </c>
      <c r="P23" s="7">
        <v>19</v>
      </c>
      <c r="Q23" s="19">
        <v>2.1430000000000001E-2</v>
      </c>
      <c r="S23" s="7">
        <v>19</v>
      </c>
      <c r="T23" s="19">
        <v>8.1200000000000005E-3</v>
      </c>
    </row>
    <row r="24" spans="2:20" x14ac:dyDescent="0.75">
      <c r="B24" s="4">
        <v>79</v>
      </c>
      <c r="C24" s="15">
        <v>4.9260350000000001E-2</v>
      </c>
      <c r="D24" s="4">
        <f t="shared" si="0"/>
        <v>0.95073965000000005</v>
      </c>
      <c r="E24" s="4">
        <f t="shared" si="1"/>
        <v>0.64363718610082099</v>
      </c>
      <c r="M24" s="7">
        <v>20</v>
      </c>
      <c r="N24" s="19">
        <v>1.1440000000000001E-2</v>
      </c>
      <c r="P24" s="7">
        <v>20</v>
      </c>
      <c r="Q24" s="19">
        <v>2.1440000000000001E-2</v>
      </c>
      <c r="S24" s="7">
        <v>20</v>
      </c>
      <c r="T24" s="19">
        <v>8.1200000000000005E-3</v>
      </c>
    </row>
    <row r="25" spans="2:20" x14ac:dyDescent="0.75">
      <c r="B25" s="4">
        <v>80</v>
      </c>
      <c r="C25" s="15">
        <v>5.4582220000000001E-2</v>
      </c>
      <c r="D25" s="4">
        <f t="shared" si="0"/>
        <v>0.94541777999999999</v>
      </c>
      <c r="E25" s="4">
        <f t="shared" si="1"/>
        <v>0.60850603960888505</v>
      </c>
      <c r="M25" s="7">
        <v>21</v>
      </c>
      <c r="N25" s="19">
        <v>1.1599999999999999E-2</v>
      </c>
      <c r="P25" s="7">
        <v>21</v>
      </c>
      <c r="Q25" s="19">
        <v>2.1600000000000001E-2</v>
      </c>
      <c r="S25" s="7">
        <v>21</v>
      </c>
      <c r="T25" s="19">
        <v>8.2500000000000004E-3</v>
      </c>
    </row>
    <row r="26" spans="2:20" x14ac:dyDescent="0.75">
      <c r="B26" s="4">
        <v>81</v>
      </c>
      <c r="C26" s="15">
        <v>6.0282510000000004E-2</v>
      </c>
      <c r="D26" s="4">
        <f t="shared" si="0"/>
        <v>0.93971749000000004</v>
      </c>
      <c r="E26" s="4">
        <f t="shared" si="1"/>
        <v>0.57182376819110203</v>
      </c>
      <c r="M26" s="7">
        <v>22</v>
      </c>
      <c r="N26" s="19">
        <v>1.1860000000000001E-2</v>
      </c>
      <c r="P26" s="7">
        <v>22</v>
      </c>
      <c r="Q26" s="19">
        <v>2.1860000000000001E-2</v>
      </c>
      <c r="S26" s="7">
        <v>22</v>
      </c>
      <c r="T26" s="19">
        <v>8.4499999999999992E-3</v>
      </c>
    </row>
    <row r="27" spans="2:20" x14ac:dyDescent="0.75">
      <c r="B27" s="4">
        <v>82</v>
      </c>
      <c r="C27" s="15">
        <v>6.5676349999999994E-2</v>
      </c>
      <c r="D27" s="4">
        <f t="shared" si="0"/>
        <v>0.93432365000000006</v>
      </c>
      <c r="E27" s="4">
        <f t="shared" si="1"/>
        <v>0.53426847025306434</v>
      </c>
      <c r="M27" s="7">
        <v>23</v>
      </c>
      <c r="N27" s="19">
        <v>1.2200000000000001E-2</v>
      </c>
      <c r="P27" s="7">
        <v>23</v>
      </c>
      <c r="Q27" s="19">
        <v>2.2200000000000001E-2</v>
      </c>
      <c r="S27" s="7">
        <v>23</v>
      </c>
      <c r="T27" s="19">
        <v>8.7100000000000007E-3</v>
      </c>
    </row>
    <row r="28" spans="2:20" x14ac:dyDescent="0.75">
      <c r="B28" s="4">
        <v>83</v>
      </c>
      <c r="C28" s="15">
        <v>7.3381680000000005E-2</v>
      </c>
      <c r="D28" s="4">
        <f t="shared" si="0"/>
        <v>0.92661832</v>
      </c>
      <c r="E28" s="4">
        <f t="shared" si="1"/>
        <v>0.49506295233486447</v>
      </c>
      <c r="M28" s="7">
        <v>24</v>
      </c>
      <c r="N28" s="19">
        <v>1.259E-2</v>
      </c>
      <c r="P28" s="7">
        <v>24</v>
      </c>
      <c r="Q28" s="19">
        <v>2.2589999999999999E-2</v>
      </c>
      <c r="S28" s="7">
        <v>24</v>
      </c>
      <c r="T28" s="19">
        <v>8.9999999999999993E-3</v>
      </c>
    </row>
    <row r="29" spans="2:20" x14ac:dyDescent="0.75">
      <c r="B29" s="4">
        <v>84</v>
      </c>
      <c r="C29" s="15">
        <v>8.3277150000000008E-2</v>
      </c>
      <c r="D29" s="4">
        <f t="shared" si="0"/>
        <v>0.91672284999999998</v>
      </c>
      <c r="E29" s="4">
        <f t="shared" si="1"/>
        <v>0.45383552059383109</v>
      </c>
      <c r="M29" s="7">
        <v>25</v>
      </c>
      <c r="N29" s="19">
        <v>1.302E-2</v>
      </c>
      <c r="P29" s="7">
        <v>25</v>
      </c>
      <c r="Q29" s="19">
        <v>2.3019999999999999E-2</v>
      </c>
      <c r="S29" s="7">
        <v>25</v>
      </c>
      <c r="T29" s="19">
        <v>9.3299999999999998E-3</v>
      </c>
    </row>
    <row r="30" spans="2:20" x14ac:dyDescent="0.75">
      <c r="B30" s="4">
        <v>85</v>
      </c>
      <c r="C30" s="15">
        <v>9.6081320000000012E-2</v>
      </c>
      <c r="D30" s="4">
        <f t="shared" si="0"/>
        <v>0.90391867999999997</v>
      </c>
      <c r="E30" s="4">
        <f t="shared" si="1"/>
        <v>0.41023040471228861</v>
      </c>
      <c r="M30" s="7">
        <v>26</v>
      </c>
      <c r="N30" s="19">
        <v>1.3469999999999999E-2</v>
      </c>
      <c r="P30" s="7">
        <v>26</v>
      </c>
      <c r="Q30" s="19">
        <v>2.3470000000000001E-2</v>
      </c>
      <c r="S30" s="7">
        <v>26</v>
      </c>
      <c r="T30" s="19">
        <v>9.6699999999999998E-3</v>
      </c>
    </row>
    <row r="31" spans="2:20" x14ac:dyDescent="0.75">
      <c r="B31" s="4">
        <v>86</v>
      </c>
      <c r="C31" s="15">
        <v>0.10923843</v>
      </c>
      <c r="D31" s="4">
        <f t="shared" si="0"/>
        <v>0.89076157</v>
      </c>
      <c r="E31" s="4">
        <f t="shared" si="1"/>
        <v>0.36541747936325358</v>
      </c>
      <c r="M31" s="7">
        <v>27</v>
      </c>
      <c r="N31" s="19">
        <v>1.393E-2</v>
      </c>
      <c r="P31" s="7">
        <v>27</v>
      </c>
      <c r="Q31" s="19">
        <v>2.393E-2</v>
      </c>
      <c r="S31" s="7">
        <v>27</v>
      </c>
      <c r="T31" s="19">
        <v>1.0019999999999999E-2</v>
      </c>
    </row>
    <row r="32" spans="2:20" x14ac:dyDescent="0.75">
      <c r="B32" s="4">
        <v>87</v>
      </c>
      <c r="C32" s="15">
        <v>0.12370281</v>
      </c>
      <c r="D32" s="4">
        <f t="shared" si="0"/>
        <v>0.87629719000000006</v>
      </c>
      <c r="E32" s="4">
        <f t="shared" si="1"/>
        <v>0.32021431034290215</v>
      </c>
      <c r="M32" s="7">
        <v>28</v>
      </c>
      <c r="N32" s="19">
        <v>1.44E-2</v>
      </c>
      <c r="P32" s="7">
        <v>28</v>
      </c>
      <c r="Q32" s="19">
        <v>2.4400000000000002E-2</v>
      </c>
      <c r="S32" s="7">
        <v>28</v>
      </c>
      <c r="T32" s="19">
        <v>1.0370000000000001E-2</v>
      </c>
    </row>
    <row r="33" spans="2:20" x14ac:dyDescent="0.75">
      <c r="B33" s="4">
        <v>88</v>
      </c>
      <c r="C33" s="15">
        <v>0.13953249000000001</v>
      </c>
      <c r="D33" s="4">
        <f t="shared" si="0"/>
        <v>0.86046750999999999</v>
      </c>
      <c r="E33" s="4">
        <f t="shared" si="1"/>
        <v>0.27553401028712426</v>
      </c>
      <c r="M33" s="7">
        <v>29</v>
      </c>
      <c r="N33" s="19">
        <v>1.486E-2</v>
      </c>
      <c r="P33" s="7">
        <v>29</v>
      </c>
      <c r="Q33" s="19">
        <v>2.486E-2</v>
      </c>
      <c r="S33" s="7">
        <v>29</v>
      </c>
      <c r="T33" s="19">
        <v>1.072E-2</v>
      </c>
    </row>
    <row r="34" spans="2:20" x14ac:dyDescent="0.75">
      <c r="B34" s="4">
        <v>89</v>
      </c>
      <c r="C34" s="15">
        <v>0.15663443000000002</v>
      </c>
      <c r="D34" s="4">
        <f t="shared" si="0"/>
        <v>0.84336557000000001</v>
      </c>
      <c r="E34" s="4">
        <f t="shared" si="1"/>
        <v>0.23237589764018643</v>
      </c>
      <c r="M34" s="7">
        <v>30</v>
      </c>
      <c r="N34" s="19">
        <v>1.533E-2</v>
      </c>
      <c r="P34" s="7">
        <v>30</v>
      </c>
      <c r="Q34" s="19">
        <v>2.5329999999999998E-2</v>
      </c>
      <c r="S34" s="7">
        <v>30</v>
      </c>
      <c r="T34" s="19">
        <v>1.108E-2</v>
      </c>
    </row>
    <row r="35" spans="2:20" x14ac:dyDescent="0.75">
      <c r="B35" s="4">
        <v>90</v>
      </c>
      <c r="C35" s="15">
        <v>0.17330804</v>
      </c>
      <c r="D35" s="4">
        <f t="shared" si="0"/>
        <v>0.82669196</v>
      </c>
      <c r="E35" s="4">
        <f t="shared" si="1"/>
        <v>0.19210328627692511</v>
      </c>
      <c r="M35" s="7">
        <v>31</v>
      </c>
      <c r="N35" s="19">
        <v>1.5779999999999999E-2</v>
      </c>
      <c r="P35" s="7">
        <v>31</v>
      </c>
      <c r="Q35" s="19">
        <v>2.5780000000000001E-2</v>
      </c>
      <c r="S35" s="7">
        <v>31</v>
      </c>
      <c r="T35" s="19">
        <v>1.1429999999999999E-2</v>
      </c>
    </row>
    <row r="36" spans="2:20" x14ac:dyDescent="0.75">
      <c r="B36" s="4">
        <v>91</v>
      </c>
      <c r="C36" s="15">
        <v>0.19215108</v>
      </c>
      <c r="D36" s="4">
        <f t="shared" si="0"/>
        <v>0.80784891999999997</v>
      </c>
      <c r="E36" s="4">
        <f t="shared" si="1"/>
        <v>0.15519043234726476</v>
      </c>
      <c r="M36" s="7">
        <v>32</v>
      </c>
      <c r="N36" s="19">
        <v>1.6230000000000001E-2</v>
      </c>
      <c r="P36" s="7">
        <v>32</v>
      </c>
      <c r="Q36" s="19">
        <v>2.623E-2</v>
      </c>
      <c r="S36" s="7">
        <v>32</v>
      </c>
      <c r="T36" s="19">
        <v>1.1769999999999999E-2</v>
      </c>
    </row>
    <row r="37" spans="2:20" x14ac:dyDescent="0.75">
      <c r="B37" s="4">
        <v>92</v>
      </c>
      <c r="C37" s="15">
        <v>0.21016615999999999</v>
      </c>
      <c r="D37" s="4">
        <f t="shared" si="0"/>
        <v>0.78983384000000001</v>
      </c>
      <c r="E37" s="4">
        <f t="shared" si="1"/>
        <v>0.12257465511210035</v>
      </c>
      <c r="M37" s="7">
        <v>33</v>
      </c>
      <c r="N37" s="19">
        <v>1.6670000000000001E-2</v>
      </c>
      <c r="P37" s="7">
        <v>33</v>
      </c>
      <c r="Q37" s="19">
        <v>2.6669999999999999E-2</v>
      </c>
      <c r="S37" s="7">
        <v>33</v>
      </c>
      <c r="T37" s="19">
        <v>1.2109999999999999E-2</v>
      </c>
    </row>
    <row r="38" spans="2:20" x14ac:dyDescent="0.75">
      <c r="B38" s="4">
        <v>93</v>
      </c>
      <c r="C38" s="15">
        <v>0.22946572000000001</v>
      </c>
      <c r="D38" s="4">
        <f t="shared" si="0"/>
        <v>0.77053428000000002</v>
      </c>
      <c r="E38" s="4">
        <f t="shared" si="1"/>
        <v>9.444797362305056E-2</v>
      </c>
      <c r="M38" s="7">
        <v>34</v>
      </c>
      <c r="N38" s="19">
        <v>1.7090000000000001E-2</v>
      </c>
      <c r="P38" s="7">
        <v>34</v>
      </c>
      <c r="Q38" s="19">
        <v>2.7089999999999999E-2</v>
      </c>
      <c r="S38" s="7">
        <v>34</v>
      </c>
      <c r="T38" s="19">
        <v>1.244E-2</v>
      </c>
    </row>
    <row r="39" spans="2:20" x14ac:dyDescent="0.75">
      <c r="B39" s="4">
        <v>94</v>
      </c>
      <c r="C39" s="15">
        <v>0.25075094999999997</v>
      </c>
      <c r="D39" s="4">
        <f t="shared" si="0"/>
        <v>0.74924904999999997</v>
      </c>
      <c r="E39" s="4">
        <f t="shared" si="1"/>
        <v>7.0765054511495687E-2</v>
      </c>
      <c r="M39" s="7">
        <v>35</v>
      </c>
      <c r="N39" s="19">
        <v>1.7500000000000002E-2</v>
      </c>
      <c r="P39" s="7">
        <v>35</v>
      </c>
      <c r="Q39" s="19">
        <v>2.75E-2</v>
      </c>
      <c r="S39" s="7">
        <v>35</v>
      </c>
      <c r="T39" s="19">
        <v>1.2760000000000001E-2</v>
      </c>
    </row>
    <row r="40" spans="2:20" x14ac:dyDescent="0.75">
      <c r="B40" s="4">
        <v>95</v>
      </c>
      <c r="C40" s="15">
        <v>0.27485301000000001</v>
      </c>
      <c r="D40" s="4">
        <f t="shared" si="0"/>
        <v>0.72514699000000005</v>
      </c>
      <c r="E40" s="4">
        <f t="shared" si="1"/>
        <v>5.1315066276197023E-2</v>
      </c>
      <c r="M40" s="7">
        <v>36</v>
      </c>
      <c r="N40" s="19">
        <v>1.7899999999999999E-2</v>
      </c>
      <c r="P40" s="7">
        <v>36</v>
      </c>
      <c r="Q40" s="19">
        <v>2.7900000000000001E-2</v>
      </c>
      <c r="S40" s="7">
        <v>36</v>
      </c>
      <c r="T40" s="19">
        <v>1.308E-2</v>
      </c>
    </row>
    <row r="41" spans="2:20" x14ac:dyDescent="0.75">
      <c r="B41" s="4">
        <v>96</v>
      </c>
      <c r="C41" s="15">
        <v>0.29448656000000001</v>
      </c>
      <c r="D41" s="4">
        <f t="shared" si="0"/>
        <v>0.70551344000000005</v>
      </c>
      <c r="E41" s="4">
        <f t="shared" si="1"/>
        <v>3.6203468932347757E-2</v>
      </c>
      <c r="M41" s="7">
        <v>37</v>
      </c>
      <c r="N41" s="19">
        <v>1.8290000000000001E-2</v>
      </c>
      <c r="P41" s="7">
        <v>37</v>
      </c>
      <c r="Q41" s="19">
        <v>2.8289999999999999E-2</v>
      </c>
      <c r="S41" s="7">
        <v>37</v>
      </c>
      <c r="T41" s="19">
        <v>1.3390000000000001E-2</v>
      </c>
    </row>
    <row r="42" spans="2:20" x14ac:dyDescent="0.75">
      <c r="B42" s="4">
        <v>97</v>
      </c>
      <c r="C42" s="15">
        <v>0.31527348999999999</v>
      </c>
      <c r="D42" s="4">
        <f t="shared" si="0"/>
        <v>0.68472650999999995</v>
      </c>
      <c r="E42" s="4">
        <f t="shared" si="1"/>
        <v>2.4789474931939903E-2</v>
      </c>
      <c r="M42" s="7">
        <v>38</v>
      </c>
      <c r="N42" s="19">
        <v>1.866E-2</v>
      </c>
      <c r="P42" s="7">
        <v>38</v>
      </c>
      <c r="Q42" s="19">
        <v>2.8660000000000001E-2</v>
      </c>
      <c r="S42" s="7">
        <v>38</v>
      </c>
      <c r="T42" s="19">
        <v>1.3679999999999999E-2</v>
      </c>
    </row>
    <row r="43" spans="2:20" x14ac:dyDescent="0.75">
      <c r="B43" s="4">
        <v>98</v>
      </c>
      <c r="C43" s="15">
        <v>0.33659532999999997</v>
      </c>
      <c r="D43" s="4">
        <f t="shared" si="0"/>
        <v>0.66340467000000003</v>
      </c>
      <c r="E43" s="4">
        <f t="shared" si="1"/>
        <v>1.6445453436696865E-2</v>
      </c>
      <c r="M43" s="7">
        <v>39</v>
      </c>
      <c r="N43" s="19">
        <v>1.9019999999999999E-2</v>
      </c>
      <c r="P43" s="7">
        <v>39</v>
      </c>
      <c r="Q43" s="19">
        <v>2.9020000000000001E-2</v>
      </c>
      <c r="S43" s="7">
        <v>39</v>
      </c>
      <c r="T43" s="19">
        <v>1.397E-2</v>
      </c>
    </row>
    <row r="44" spans="2:20" x14ac:dyDescent="0.75">
      <c r="B44" s="4">
        <v>99</v>
      </c>
      <c r="C44" s="15">
        <v>0.35982628999999999</v>
      </c>
      <c r="D44" s="4">
        <f t="shared" si="0"/>
        <v>0.64017371000000001</v>
      </c>
      <c r="E44" s="4">
        <f t="shared" si="1"/>
        <v>1.0527946939202483E-2</v>
      </c>
      <c r="M44" s="7">
        <v>40</v>
      </c>
      <c r="N44" s="19">
        <v>1.9369999999999998E-2</v>
      </c>
      <c r="P44" s="7">
        <v>40</v>
      </c>
      <c r="Q44" s="19">
        <v>2.937E-2</v>
      </c>
      <c r="S44" s="7">
        <v>40</v>
      </c>
      <c r="T44" s="19">
        <v>1.4250000000000001E-2</v>
      </c>
    </row>
    <row r="45" spans="2:20" x14ac:dyDescent="0.75">
      <c r="B45" s="4">
        <v>100</v>
      </c>
      <c r="C45" s="15">
        <v>0.39030531000000002</v>
      </c>
      <c r="D45" s="4">
        <f t="shared" si="0"/>
        <v>0.60969468999999998</v>
      </c>
      <c r="E45" s="4">
        <f t="shared" si="1"/>
        <v>6.4188333454335061E-3</v>
      </c>
      <c r="M45" s="7">
        <v>41</v>
      </c>
      <c r="N45" s="19">
        <v>1.9699999999999999E-2</v>
      </c>
      <c r="P45" s="7">
        <v>41</v>
      </c>
      <c r="Q45" s="19">
        <v>2.9700000000000001E-2</v>
      </c>
      <c r="S45" s="7">
        <v>41</v>
      </c>
      <c r="T45" s="19">
        <v>1.452E-2</v>
      </c>
    </row>
    <row r="46" spans="2:20" x14ac:dyDescent="0.75">
      <c r="B46" s="4">
        <v>101</v>
      </c>
      <c r="C46" s="15">
        <v>0.42755694999999999</v>
      </c>
      <c r="D46" s="4">
        <f t="shared" si="0"/>
        <v>0.57244304999999995</v>
      </c>
      <c r="E46" s="4">
        <f t="shared" si="1"/>
        <v>3.6744165377016595E-3</v>
      </c>
      <c r="M46" s="7">
        <v>42</v>
      </c>
      <c r="N46" s="19">
        <v>2.0029999999999999E-2</v>
      </c>
      <c r="P46" s="7">
        <v>42</v>
      </c>
      <c r="Q46" s="19">
        <v>3.0030000000000001E-2</v>
      </c>
      <c r="S46" s="7">
        <v>42</v>
      </c>
      <c r="T46" s="19">
        <v>1.4789999999999999E-2</v>
      </c>
    </row>
    <row r="47" spans="2:20" x14ac:dyDescent="0.75">
      <c r="B47" s="4">
        <v>102</v>
      </c>
      <c r="C47" s="15">
        <v>0.46082994999999999</v>
      </c>
      <c r="D47" s="4">
        <f t="shared" si="0"/>
        <v>0.53917005000000007</v>
      </c>
      <c r="E47" s="4">
        <f t="shared" si="1"/>
        <v>1.9811353483534309E-3</v>
      </c>
      <c r="M47" s="7">
        <v>43</v>
      </c>
      <c r="N47" s="19">
        <v>2.034E-2</v>
      </c>
      <c r="P47" s="7">
        <v>43</v>
      </c>
      <c r="Q47" s="19">
        <v>3.0339999999999999E-2</v>
      </c>
      <c r="S47" s="7">
        <v>43</v>
      </c>
      <c r="T47" s="19">
        <v>1.504E-2</v>
      </c>
    </row>
    <row r="48" spans="2:20" x14ac:dyDescent="0.75">
      <c r="B48" s="4">
        <v>103</v>
      </c>
      <c r="C48" s="15">
        <v>0.49461828000000002</v>
      </c>
      <c r="D48" s="4">
        <f t="shared" si="0"/>
        <v>0.50538171999999992</v>
      </c>
      <c r="E48" s="4">
        <f t="shared" si="1"/>
        <v>1.0012295899036558E-3</v>
      </c>
      <c r="M48" s="7">
        <v>44</v>
      </c>
      <c r="N48" s="19">
        <v>2.0639999999999999E-2</v>
      </c>
      <c r="P48" s="7">
        <v>44</v>
      </c>
      <c r="Q48" s="19">
        <v>3.0640000000000001E-2</v>
      </c>
      <c r="S48" s="7">
        <v>44</v>
      </c>
      <c r="T48" s="19">
        <v>1.529E-2</v>
      </c>
    </row>
    <row r="49" spans="2:20" x14ac:dyDescent="0.75">
      <c r="B49" s="4">
        <v>104</v>
      </c>
      <c r="C49" s="15">
        <v>0.52863235999999991</v>
      </c>
      <c r="D49" s="4">
        <f t="shared" si="0"/>
        <v>0.47136764000000009</v>
      </c>
      <c r="E49" s="4">
        <f t="shared" si="1"/>
        <v>4.7194722889105418E-4</v>
      </c>
      <c r="M49" s="7">
        <v>45</v>
      </c>
      <c r="N49" s="19">
        <v>2.0930000000000001E-2</v>
      </c>
      <c r="P49" s="7">
        <v>45</v>
      </c>
      <c r="Q49" s="19">
        <v>3.0929999999999999E-2</v>
      </c>
      <c r="S49" s="7">
        <v>45</v>
      </c>
      <c r="T49" s="19">
        <v>1.553E-2</v>
      </c>
    </row>
    <row r="50" spans="2:20" x14ac:dyDescent="0.75">
      <c r="B50" s="4">
        <v>105</v>
      </c>
      <c r="C50" s="15">
        <v>0.56256638999999997</v>
      </c>
      <c r="D50" s="4">
        <f t="shared" si="0"/>
        <v>0.43743361000000003</v>
      </c>
      <c r="E50" s="4">
        <f t="shared" si="1"/>
        <v>2.0644558006331014E-4</v>
      </c>
      <c r="M50" s="7">
        <v>46</v>
      </c>
      <c r="N50" s="19">
        <v>2.121E-2</v>
      </c>
      <c r="P50" s="7">
        <v>46</v>
      </c>
      <c r="Q50" s="19">
        <v>3.1210000000000002E-2</v>
      </c>
      <c r="S50" s="7">
        <v>46</v>
      </c>
      <c r="T50" s="19">
        <v>1.5769999999999999E-2</v>
      </c>
    </row>
    <row r="51" spans="2:20" x14ac:dyDescent="0.75">
      <c r="B51" s="4">
        <v>106</v>
      </c>
      <c r="C51" s="15">
        <v>0.59611694999999998</v>
      </c>
      <c r="D51" s="4">
        <f t="shared" si="0"/>
        <v>0.40388305000000002</v>
      </c>
      <c r="E51" s="4">
        <f t="shared" si="1"/>
        <v>8.3379870534988892E-5</v>
      </c>
      <c r="M51" s="7">
        <v>47</v>
      </c>
      <c r="N51" s="19">
        <v>2.147E-2</v>
      </c>
      <c r="P51" s="7">
        <v>47</v>
      </c>
      <c r="Q51" s="19">
        <v>3.1469999999999998E-2</v>
      </c>
      <c r="S51" s="7">
        <v>47</v>
      </c>
      <c r="T51" s="19">
        <v>1.5990000000000001E-2</v>
      </c>
    </row>
    <row r="52" spans="2:20" x14ac:dyDescent="0.75">
      <c r="B52" s="4">
        <v>107</v>
      </c>
      <c r="C52" s="15">
        <v>0.62898604999999996</v>
      </c>
      <c r="D52" s="4">
        <f t="shared" si="0"/>
        <v>0.37101395000000004</v>
      </c>
      <c r="E52" s="4">
        <f t="shared" si="1"/>
        <v>3.0935095117674846E-5</v>
      </c>
      <c r="M52" s="7">
        <v>48</v>
      </c>
      <c r="N52" s="19">
        <v>2.1729999999999999E-2</v>
      </c>
      <c r="P52" s="7">
        <v>48</v>
      </c>
      <c r="Q52" s="19">
        <v>3.1730000000000001E-2</v>
      </c>
      <c r="S52" s="7">
        <v>48</v>
      </c>
      <c r="T52" s="19">
        <v>1.6209999999999999E-2</v>
      </c>
    </row>
    <row r="53" spans="2:20" x14ac:dyDescent="0.75">
      <c r="B53" s="4">
        <v>108</v>
      </c>
      <c r="C53" s="15">
        <v>0.66089964000000001</v>
      </c>
      <c r="D53" s="4">
        <f t="shared" si="0"/>
        <v>0.33910035999999999</v>
      </c>
      <c r="E53" s="4">
        <f t="shared" si="1"/>
        <v>1.0490101891037782E-5</v>
      </c>
      <c r="M53" s="7">
        <v>49</v>
      </c>
      <c r="N53" s="19">
        <v>2.198E-2</v>
      </c>
      <c r="P53" s="7">
        <v>49</v>
      </c>
      <c r="Q53" s="19">
        <v>3.1980000000000001E-2</v>
      </c>
      <c r="S53" s="7">
        <v>49</v>
      </c>
      <c r="T53" s="19">
        <v>1.643E-2</v>
      </c>
    </row>
    <row r="54" spans="2:20" x14ac:dyDescent="0.75">
      <c r="B54" s="4">
        <v>109</v>
      </c>
      <c r="C54" s="15">
        <v>0.69160641</v>
      </c>
      <c r="D54" s="4">
        <f t="shared" si="0"/>
        <v>0.30839359</v>
      </c>
      <c r="E54" s="4">
        <f t="shared" si="1"/>
        <v>3.2350801816429304E-6</v>
      </c>
      <c r="M54" s="7">
        <v>50</v>
      </c>
      <c r="N54" s="19">
        <v>2.222E-2</v>
      </c>
      <c r="P54" s="7">
        <v>50</v>
      </c>
      <c r="Q54" s="19">
        <v>3.2219999999999999E-2</v>
      </c>
      <c r="S54" s="7">
        <v>50</v>
      </c>
      <c r="T54" s="19">
        <v>1.6629999999999999E-2</v>
      </c>
    </row>
    <row r="55" spans="2:20" x14ac:dyDescent="0.75">
      <c r="B55" s="4">
        <v>110</v>
      </c>
      <c r="C55" s="15">
        <v>0.72089205000000001</v>
      </c>
      <c r="D55" s="4">
        <f t="shared" si="0"/>
        <v>0.27910794999999999</v>
      </c>
      <c r="E55" s="4">
        <f t="shared" si="1"/>
        <v>9.0293659758398586E-7</v>
      </c>
    </row>
  </sheetData>
  <mergeCells count="7">
    <mergeCell ref="B2:E2"/>
    <mergeCell ref="G2:H2"/>
    <mergeCell ref="J2:K2"/>
    <mergeCell ref="M2:T2"/>
    <mergeCell ref="M3:N3"/>
    <mergeCell ref="P3:Q3"/>
    <mergeCell ref="S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V2" s="34" t="s">
        <v>34</v>
      </c>
      <c r="W2" s="35">
        <f>C8-W60</f>
        <v>-7273.112219081464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4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4">
        <v>1</v>
      </c>
      <c r="C9" s="20">
        <f>$C$8*EXP(Data!N5*'Caso base'!B9)</f>
        <v>99825.153035716154</v>
      </c>
      <c r="E9" s="15">
        <v>1</v>
      </c>
      <c r="F9" s="15">
        <f>Data!C5</f>
        <v>7.1098899999999998E-3</v>
      </c>
      <c r="G9" s="15">
        <f>Data!E5</f>
        <v>0.99289011000000005</v>
      </c>
      <c r="H9" s="15">
        <f>EXP(-Data!N5*'Caso base'!E9)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20">
        <f>K9*H9*(G8*(1-Data!$K$8)^E8)*((1-F9)*Data!$K$8)</f>
        <v>14591.979005750349</v>
      </c>
      <c r="M9" s="23"/>
      <c r="N9" s="20">
        <f>MAX(Data!$K$3*Data!$H$3,'Caso base'!I9) -Data!$K$4</f>
        <v>109980.00000000001</v>
      </c>
      <c r="O9" s="20">
        <f>N9*H9*(G8*(1-Data!$K$8)^E8)*(F9)</f>
        <v>783.31530523196898</v>
      </c>
      <c r="P9" s="23"/>
      <c r="Q9" s="20">
        <f>Data!$K$11*(1+Data!$K$10)^'Caso base'!E8*Data!$K$12</f>
        <v>50</v>
      </c>
      <c r="R9" s="20">
        <f>$Q9*$H9*($G8*(1-Data!$K$8)^$E8)</f>
        <v>50.087576607181006</v>
      </c>
      <c r="S9" s="23"/>
      <c r="T9" s="20">
        <f>C8*Data!$K$6</f>
        <v>1400</v>
      </c>
      <c r="U9" s="20">
        <f>$T9*$H9*($G8*(1-Data!$K$8)^$E8)</f>
        <v>1402.4521450010682</v>
      </c>
      <c r="V9" s="22"/>
      <c r="W9" s="20">
        <f>O9+L9+R9+U9</f>
        <v>16827.834032590566</v>
      </c>
    </row>
    <row r="10" spans="2:23" x14ac:dyDescent="0.75">
      <c r="B10" s="4">
        <v>2</v>
      </c>
      <c r="C10" s="20">
        <f>$C$8*EXP(Data!N6*'Caso base'!B10)</f>
        <v>100875.81299504719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EXP(-Data!N6*'Caso base'!E10)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20">
        <f>K10*H10*(G9*(1-Data!$K$8)^E9)*((1-F10)*Data!$K$8)</f>
        <v>12307.9645199554</v>
      </c>
      <c r="M10" s="23"/>
      <c r="N10" s="20">
        <f>MAX(Data!$K$3*Data!$H$3,'Caso base'!I10) -Data!$K$4</f>
        <v>109980.00000000001</v>
      </c>
      <c r="O10" s="20">
        <f>N10*H10*(G9*(1-Data!$K$8)^E9)*(F10)</f>
        <v>729.233938636223</v>
      </c>
      <c r="P10" s="23"/>
      <c r="Q10" s="20">
        <f>Data!$K$11*(1+Data!$K$10)^'Caso base'!E9*Data!$K$12</f>
        <v>51</v>
      </c>
      <c r="R10" s="20">
        <f>$Q10*$H10*($G9*(1-Data!$K$8)^$E9)</f>
        <v>42.66809356035948</v>
      </c>
      <c r="S10" s="23"/>
      <c r="T10" s="20">
        <f>C9*Data!$K$6</f>
        <v>1397.5521425000261</v>
      </c>
      <c r="U10" s="20">
        <f>$T10*$H10*($G9*(1-Data!$K$8)^$E9)</f>
        <v>1169.2330504249403</v>
      </c>
      <c r="V10" s="22"/>
      <c r="W10" s="20">
        <f t="shared" ref="W10:W58" si="0">O10+L10+R10+U10</f>
        <v>14249.099602576924</v>
      </c>
    </row>
    <row r="11" spans="2:23" x14ac:dyDescent="0.75">
      <c r="B11" s="4">
        <v>3</v>
      </c>
      <c r="C11" s="20">
        <f>$C$8*EXP(Data!N7*'Caso base'!B11)</f>
        <v>102131.39657582495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EXP(-Data!N7*'Caso base'!E11)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20">
        <f>K11*H11*(G10*(1-Data!$K$8)^E10)*((1-F11)*Data!$K$8)</f>
        <v>10370.727912100743</v>
      </c>
      <c r="M11" s="23"/>
      <c r="N11" s="20">
        <f>MAX(Data!$K$3*Data!$H$3,'Caso base'!I11) -Data!$K$4</f>
        <v>109980.00000000001</v>
      </c>
      <c r="O11" s="20">
        <f>N11*H11*(G10*(1-Data!$K$8)^E10)*(F11)</f>
        <v>670.02168793294345</v>
      </c>
      <c r="P11" s="23"/>
      <c r="Q11" s="20">
        <f>Data!$K$11*(1+Data!$K$10)^'Caso base'!E10*Data!$K$12</f>
        <v>52.019999999999996</v>
      </c>
      <c r="R11" s="20">
        <f>$Q11*$H11*($G10*(1-Data!$K$8)^$E10)</f>
        <v>36.2488683382986</v>
      </c>
      <c r="S11" s="23"/>
      <c r="T11" s="20">
        <f>C10*Data!$K$6</f>
        <v>1412.2613819306607</v>
      </c>
      <c r="U11" s="20">
        <f>$T11*$H11*($G10*(1-Data!$K$8)^$E10)</f>
        <v>984.09990182368608</v>
      </c>
      <c r="V11" s="22"/>
      <c r="W11" s="20">
        <f t="shared" si="0"/>
        <v>12061.09837019567</v>
      </c>
    </row>
    <row r="12" spans="2:23" x14ac:dyDescent="0.75">
      <c r="B12" s="4">
        <v>4</v>
      </c>
      <c r="C12" s="20">
        <f>$C$8*EXP(Data!N8*'Caso base'!B12)</f>
        <v>103371.59205577367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EXP(-Data!N8*'Caso base'!E12)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20">
        <f>K12*H12*(G11*(1-Data!$K$8)^E11)*((1-F12)*Data!$K$8)</f>
        <v>8729.1903145773067</v>
      </c>
      <c r="M12" s="23"/>
      <c r="N12" s="20">
        <f>MAX(Data!$K$3*Data!$H$3,'Caso base'!I12) -Data!$K$4</f>
        <v>109980.00000000001</v>
      </c>
      <c r="O12" s="20">
        <f>N12*H12*(G11*(1-Data!$K$8)^E11)*(F12)</f>
        <v>621.65393697706372</v>
      </c>
      <c r="P12" s="23"/>
      <c r="Q12" s="20">
        <f>Data!$K$11*(1+Data!$K$10)^'Caso base'!E11*Data!$K$12</f>
        <v>53.060399999999994</v>
      </c>
      <c r="R12" s="20">
        <f>$Q12*$H12*($G11*(1-Data!$K$8)^$E11)</f>
        <v>30.779245263821235</v>
      </c>
      <c r="S12" s="23"/>
      <c r="T12" s="20">
        <f>C11*Data!$K$6</f>
        <v>1429.8395520615493</v>
      </c>
      <c r="U12" s="20">
        <f>$T12*$H12*($G11*(1-Data!$K$8)^$E11)</f>
        <v>829.42047667968438</v>
      </c>
      <c r="V12" s="22"/>
      <c r="W12" s="20">
        <f t="shared" si="0"/>
        <v>10211.043973497875</v>
      </c>
    </row>
    <row r="13" spans="2:23" x14ac:dyDescent="0.75">
      <c r="B13" s="4">
        <v>5</v>
      </c>
      <c r="C13" s="20">
        <f>$C$8*EXP(Data!N9*'Caso base'!B13)</f>
        <v>104576.63856293866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EXP(-Data!N9*'Caso base'!E13)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20">
        <f>K13*H13*(G12*(1-Data!$K$8)^E12)*((1-F13)*Data!$K$8)</f>
        <v>7340.0415502440428</v>
      </c>
      <c r="M13" s="23"/>
      <c r="N13" s="20">
        <f>MAX(Data!$K$3*Data!$H$3,'Caso base'!I13) -Data!$K$4</f>
        <v>109980.00000000001</v>
      </c>
      <c r="O13" s="20">
        <f>N13*H13*(G12*(1-Data!$K$8)^E12)*(F13)</f>
        <v>570.27698917410487</v>
      </c>
      <c r="P13" s="23"/>
      <c r="Q13" s="20">
        <f>Data!$K$11*(1+Data!$K$10)^'Caso base'!E12*Data!$K$12</f>
        <v>54.121608000000002</v>
      </c>
      <c r="R13" s="20">
        <f>$Q13*$H13*($G12*(1-Data!$K$8)^$E12)</f>
        <v>26.121070562438874</v>
      </c>
      <c r="S13" s="23"/>
      <c r="T13" s="20">
        <f>C12*Data!$K$6</f>
        <v>1447.2022887808314</v>
      </c>
      <c r="U13" s="20">
        <f>$T13*$H13*($G12*(1-Data!$K$8)^$E12)</f>
        <v>698.47283738072122</v>
      </c>
      <c r="V13" s="22"/>
      <c r="W13" s="20">
        <f t="shared" si="0"/>
        <v>8634.9124473613083</v>
      </c>
    </row>
    <row r="14" spans="2:23" x14ac:dyDescent="0.75">
      <c r="B14" s="4">
        <v>6</v>
      </c>
      <c r="C14" s="20">
        <f>$C$8*EXP(Data!N10*'Caso base'!B14)</f>
        <v>105821.12683155056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EXP(-Data!N10*'Caso base'!E14)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20">
        <f>K14*H14*(G13*(1-Data!$K$8)^E13)*((1-F14)*Data!$K$8)</f>
        <v>6165.8220593907045</v>
      </c>
      <c r="M14" s="23"/>
      <c r="N14" s="20">
        <f>MAX(Data!$K$3*Data!$H$3,'Caso base'!I14) -Data!$K$4</f>
        <v>109980.00000000001</v>
      </c>
      <c r="O14" s="20">
        <f>N14*H14*(G13*(1-Data!$K$8)^E13)*(F14)</f>
        <v>517.91353894805923</v>
      </c>
      <c r="P14" s="23"/>
      <c r="Q14" s="20">
        <f>Data!$K$11*(1+Data!$K$10)^'Caso base'!E13*Data!$K$12</f>
        <v>55.204040159999998</v>
      </c>
      <c r="R14" s="20">
        <f>$Q14*$H14*($G13*(1-Data!$K$8)^$E13)</f>
        <v>22.14018333466333</v>
      </c>
      <c r="S14" s="23"/>
      <c r="T14" s="20">
        <f>C13*Data!$K$6</f>
        <v>1464.0729398811413</v>
      </c>
      <c r="U14" s="20">
        <f>$T14*$H14*($G13*(1-Data!$K$8)^$E13)</f>
        <v>587.18244553005184</v>
      </c>
      <c r="V14" s="22"/>
      <c r="W14" s="20">
        <f t="shared" si="0"/>
        <v>7293.058227203479</v>
      </c>
    </row>
    <row r="15" spans="2:23" x14ac:dyDescent="0.75">
      <c r="B15" s="4">
        <v>7</v>
      </c>
      <c r="C15" s="20">
        <f>$C$8*EXP(Data!N11*'Caso base'!B15)</f>
        <v>107123.26556068068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EXP(-Data!N11*'Caso base'!E15)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20">
        <f>K15*H15*(G14*(1-Data!$K$8)^E14)*((1-F15)*Data!$K$8)</f>
        <v>5173.160823939611</v>
      </c>
      <c r="M15" s="23"/>
      <c r="N15" s="20">
        <f>MAX(Data!$K$3*Data!$H$3,'Caso base'!I15) -Data!$K$4</f>
        <v>109980.00000000001</v>
      </c>
      <c r="O15" s="20">
        <f>N15*H15*(G14*(1-Data!$K$8)^E14)*(F15)</f>
        <v>473.79372678368412</v>
      </c>
      <c r="P15" s="23"/>
      <c r="Q15" s="20">
        <f>Data!$K$11*(1+Data!$K$10)^'Caso base'!E14*Data!$K$12</f>
        <v>56.308120963200004</v>
      </c>
      <c r="R15" s="20">
        <f>$Q15*$H15*($G14*(1-Data!$K$8)^$E14)</f>
        <v>18.739557555019186</v>
      </c>
      <c r="S15" s="23"/>
      <c r="T15" s="20">
        <f>C14*Data!$K$6</f>
        <v>1481.495775641708</v>
      </c>
      <c r="U15" s="20">
        <f>$T15*$H15*($G14*(1-Data!$K$8)^$E14)</f>
        <v>493.04744822331617</v>
      </c>
      <c r="V15" s="22"/>
      <c r="W15" s="20">
        <f t="shared" si="0"/>
        <v>6158.7415565016299</v>
      </c>
    </row>
    <row r="16" spans="2:23" x14ac:dyDescent="0.75">
      <c r="B16" s="4">
        <v>8</v>
      </c>
      <c r="C16" s="20">
        <f>$C$8*EXP(Data!N12*'Caso base'!B16)</f>
        <v>108545.5809829549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EXP(-Data!N12*'Caso base'!E16)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20">
        <f>K16*H16*(G15*(1-Data!$K$8)^E15)*((1-F16)*Data!$K$8)</f>
        <v>4334.4631515222773</v>
      </c>
      <c r="M16" s="23"/>
      <c r="N16" s="20">
        <f>MAX(Data!$K$3*Data!$H$3,'Caso base'!I16) -Data!$K$4</f>
        <v>109980.00000000001</v>
      </c>
      <c r="O16" s="20">
        <f>N16*H16*(G15*(1-Data!$K$8)^E15)*(F16)</f>
        <v>432.95702128344027</v>
      </c>
      <c r="P16" s="23"/>
      <c r="Q16" s="20">
        <f>Data!$K$11*(1+Data!$K$10)^'Caso base'!E15*Data!$K$12</f>
        <v>57.434283382463988</v>
      </c>
      <c r="R16" s="20">
        <f>$Q16*$H16*($G15*(1-Data!$K$8)^$E15)</f>
        <v>15.82674600097234</v>
      </c>
      <c r="S16" s="23"/>
      <c r="T16" s="20">
        <f>C15*Data!$K$6</f>
        <v>1499.7257178495295</v>
      </c>
      <c r="U16" s="20">
        <f>$T16*$H16*($G15*(1-Data!$K$8)^$E15)</f>
        <v>413.26846283551777</v>
      </c>
      <c r="V16" s="22"/>
      <c r="W16" s="20">
        <f t="shared" si="0"/>
        <v>5196.515381642208</v>
      </c>
    </row>
    <row r="17" spans="2:23" x14ac:dyDescent="0.75">
      <c r="B17" s="4">
        <v>9</v>
      </c>
      <c r="C17" s="20">
        <f>$C$8*EXP(Data!N13*'Caso base'!B17)</f>
        <v>110079.20872612453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EXP(-Data!N13*'Caso base'!E17)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20">
        <f>K17*H17*(G16*(1-Data!$K$8)^E16)*((1-F17)*Data!$K$8)</f>
        <v>3626.0346790375056</v>
      </c>
      <c r="M17" s="23"/>
      <c r="N17" s="20">
        <f>MAX(Data!$K$3*Data!$H$3,'Caso base'!I17) -Data!$K$4</f>
        <v>109980.00000000001</v>
      </c>
      <c r="O17" s="20">
        <f>N17*H17*(G16*(1-Data!$K$8)^E16)*(F17)</f>
        <v>396.41234434202522</v>
      </c>
      <c r="P17" s="23"/>
      <c r="Q17" s="20">
        <f>Data!$K$11*(1+Data!$K$10)^'Caso base'!E16*Data!$K$12</f>
        <v>58.582969050113277</v>
      </c>
      <c r="R17" s="20">
        <f>$Q17*$H17*($G16*(1-Data!$K$8)^$E16)</f>
        <v>13.337317912657387</v>
      </c>
      <c r="S17" s="23"/>
      <c r="T17" s="20">
        <f>C16*Data!$K$6</f>
        <v>1519.6381337613686</v>
      </c>
      <c r="U17" s="20">
        <f>$T17*$H17*($G16*(1-Data!$K$8)^$E16)</f>
        <v>345.96909700556654</v>
      </c>
      <c r="V17" s="22"/>
      <c r="W17" s="20">
        <f t="shared" si="0"/>
        <v>4381.7534382977547</v>
      </c>
    </row>
    <row r="18" spans="2:23" x14ac:dyDescent="0.75">
      <c r="B18" s="4">
        <v>10</v>
      </c>
      <c r="C18" s="20">
        <f>$C$8*EXP(Data!N14*'Caso base'!B18)</f>
        <v>111728.3172950561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EXP(-Data!N14*'Caso base'!E18)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20">
        <f>K18*H18*(G17*(1-Data!$K$8)^E17)*((1-F18)*Data!$K$8)</f>
        <v>3028.4437102840975</v>
      </c>
      <c r="M18" s="23"/>
      <c r="N18" s="20">
        <f>MAX(Data!$K$3*Data!$H$3,'Caso base'!I18) -Data!$K$4</f>
        <v>109980.00000000001</v>
      </c>
      <c r="O18" s="20">
        <f>N18*H18*(G17*(1-Data!$K$8)^E17)*(F18)</f>
        <v>359.85702957399019</v>
      </c>
      <c r="P18" s="23"/>
      <c r="Q18" s="20">
        <f>Data!$K$11*(1+Data!$K$10)^'Caso base'!E17*Data!$K$12</f>
        <v>59.754628431115542</v>
      </c>
      <c r="R18" s="20">
        <f>$Q18*$H18*($G17*(1-Data!$K$8)^$E17)</f>
        <v>11.212407492171884</v>
      </c>
      <c r="S18" s="23"/>
      <c r="T18" s="20">
        <f>C17*Data!$K$6</f>
        <v>1541.1089221657435</v>
      </c>
      <c r="U18" s="20">
        <f>$T18*$H18*($G17*(1-Data!$K$8)^$E17)</f>
        <v>289.1749422400606</v>
      </c>
      <c r="V18" s="22"/>
      <c r="W18" s="20">
        <f t="shared" si="0"/>
        <v>3688.68808959032</v>
      </c>
    </row>
    <row r="19" spans="2:23" x14ac:dyDescent="0.75">
      <c r="B19" s="4">
        <v>11</v>
      </c>
      <c r="C19" s="20">
        <f>$C$8*EXP(Data!N15*'Caso base'!B19)</f>
        <v>113397.59534384529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EXP(-Data!N15*'Caso base'!E19)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20">
        <f>K19*H19*(G18*(1-Data!$K$8)^E18)*((1-F19)*Data!$K$8)</f>
        <v>2524.2353310938292</v>
      </c>
      <c r="M19" s="23"/>
      <c r="N19" s="20">
        <f>MAX(Data!$K$3*Data!$H$3,'Caso base'!I19) -Data!$K$4</f>
        <v>111143.02899794416</v>
      </c>
      <c r="O19" s="20">
        <f>N19*H19*(G18*(1-Data!$K$8)^E18)*(F19)</f>
        <v>332.97782158197691</v>
      </c>
      <c r="P19" s="23"/>
      <c r="Q19" s="20">
        <f>Data!$K$11*(1+Data!$K$10)^'Caso base'!E18*Data!$K$12</f>
        <v>60.949720999737856</v>
      </c>
      <c r="R19" s="20">
        <f>$Q19*$H19*($G18*(1-Data!$K$8)^$E18)</f>
        <v>9.411037074244831</v>
      </c>
      <c r="S19" s="23"/>
      <c r="T19" s="20">
        <f>C18*Data!$K$6</f>
        <v>1564.1964421307855</v>
      </c>
      <c r="U19" s="20">
        <f>$T19*$H19*($G18*(1-Data!$K$8)^$E18)</f>
        <v>241.52220005007067</v>
      </c>
      <c r="V19" s="22"/>
      <c r="W19" s="20">
        <f t="shared" si="0"/>
        <v>3108.1463898001216</v>
      </c>
    </row>
    <row r="20" spans="2:23" x14ac:dyDescent="0.75">
      <c r="B20" s="4">
        <v>12</v>
      </c>
      <c r="C20" s="20">
        <f>$C$8*EXP(Data!N16*'Caso base'!B20)</f>
        <v>115073.4000410945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EXP(-Data!N16*'Caso base'!E20)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20">
        <f>K20*H20*(G19*(1-Data!$K$8)^E19)*((1-F20)*Data!$K$8)</f>
        <v>2100.2244873447316</v>
      </c>
      <c r="M20" s="23"/>
      <c r="N20" s="20">
        <f>MAX(Data!$K$3*Data!$H$3,'Caso base'!I20) -Data!$K$4</f>
        <v>112785.4481342176</v>
      </c>
      <c r="O20" s="20">
        <f>N20*H20*(G19*(1-Data!$K$8)^E19)*(F20)</f>
        <v>302.49509438175733</v>
      </c>
      <c r="P20" s="23"/>
      <c r="Q20" s="20">
        <f>Data!$K$11*(1+Data!$K$10)^'Caso base'!E19*Data!$K$12</f>
        <v>62.1687154197326</v>
      </c>
      <c r="R20" s="20">
        <f>$Q20*$H20*($G19*(1-Data!$K$8)^$E19)</f>
        <v>7.8845347748718222</v>
      </c>
      <c r="S20" s="23"/>
      <c r="T20" s="20">
        <f>C19*Data!$K$6</f>
        <v>1587.5663348138339</v>
      </c>
      <c r="U20" s="20">
        <f>$T20*$H20*($G19*(1-Data!$K$8)^$E19)</f>
        <v>201.3427797204003</v>
      </c>
      <c r="V20" s="22"/>
      <c r="W20" s="20">
        <f t="shared" si="0"/>
        <v>2611.9468962217616</v>
      </c>
    </row>
    <row r="21" spans="2:23" x14ac:dyDescent="0.75">
      <c r="B21" s="4">
        <v>13</v>
      </c>
      <c r="C21" s="20">
        <f>$C$8*EXP(Data!N17*'Caso base'!B21)</f>
        <v>116776.30550507811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EXP(-Data!N17*'Caso base'!E21)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20">
        <f>K21*H21*(G20*(1-Data!$K$8)^E20)*((1-F21)*Data!$K$8)</f>
        <v>1743.6018101933062</v>
      </c>
      <c r="M21" s="23"/>
      <c r="N21" s="20">
        <f>MAX(Data!$K$3*Data!$H$3,'Caso base'!I21) -Data!$K$4</f>
        <v>114454.83750425623</v>
      </c>
      <c r="O21" s="20">
        <f>N21*H21*(G20*(1-Data!$K$8)^E20)*(F21)</f>
        <v>277.29558886784167</v>
      </c>
      <c r="P21" s="23"/>
      <c r="Q21" s="20">
        <f>Data!$K$11*(1+Data!$K$10)^'Caso base'!E20*Data!$K$12</f>
        <v>63.412089728127263</v>
      </c>
      <c r="R21" s="20">
        <f>$Q21*$H21*($G20*(1-Data!$K$8)^$E20)</f>
        <v>6.5937517843093127</v>
      </c>
      <c r="S21" s="23"/>
      <c r="T21" s="20">
        <f>C20*Data!$K$6</f>
        <v>1611.027600575323</v>
      </c>
      <c r="U21" s="20">
        <f>$T21*$H21*($G20*(1-Data!$K$8)^$E20)</f>
        <v>167.51878327001802</v>
      </c>
      <c r="V21" s="22"/>
      <c r="W21" s="20">
        <f t="shared" si="0"/>
        <v>2195.0099341154751</v>
      </c>
    </row>
    <row r="22" spans="2:23" x14ac:dyDescent="0.75">
      <c r="B22" s="4">
        <v>14</v>
      </c>
      <c r="C22" s="20">
        <f>$C$8*EXP(Data!N18*'Caso base'!B22)</f>
        <v>118426.22418666462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EXP(-Data!N18*'Caso base'!E22)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20">
        <f>K22*H22*(G21*(1-Data!$K$8)^E21)*((1-F22)*Data!$K$8)</f>
        <v>1444.4464519639664</v>
      </c>
      <c r="M22" s="23"/>
      <c r="N22" s="20">
        <f>MAX(Data!$K$3*Data!$H$3,'Caso base'!I22) -Data!$K$4</f>
        <v>116070.69807656306</v>
      </c>
      <c r="O22" s="20">
        <f>N22*H22*(G21*(1-Data!$K$8)^E21)*(F22)</f>
        <v>250.66012901836257</v>
      </c>
      <c r="P22" s="23"/>
      <c r="Q22" s="20">
        <f>Data!$K$11*(1+Data!$K$10)^'Caso base'!E21*Data!$K$12</f>
        <v>64.680331522689798</v>
      </c>
      <c r="R22" s="20">
        <f>$Q22*$H22*($G21*(1-Data!$K$8)^$E21)</f>
        <v>5.5057933945990687</v>
      </c>
      <c r="S22" s="23"/>
      <c r="T22" s="20">
        <f>C21*Data!$K$6</f>
        <v>1634.8682770710936</v>
      </c>
      <c r="U22" s="20">
        <f>$T22*$H22*($G21*(1-Data!$K$8)^$E21)</f>
        <v>139.16513334165515</v>
      </c>
      <c r="V22" s="22"/>
      <c r="W22" s="20">
        <f t="shared" si="0"/>
        <v>1839.7775077185831</v>
      </c>
    </row>
    <row r="23" spans="2:23" x14ac:dyDescent="0.75">
      <c r="B23" s="4">
        <v>15</v>
      </c>
      <c r="C23" s="20">
        <f>$C$8*EXP(Data!N19*'Caso base'!B23)</f>
        <v>119865.48862989599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EXP(-Data!N19*'Caso base'!E23)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20">
        <f>K23*H23*(G22*(1-Data!$K$8)^E22)*((1-F23)*Data!$K$8)</f>
        <v>1193.0915257308475</v>
      </c>
      <c r="M23" s="23"/>
      <c r="N23" s="20">
        <f>MAX(Data!$K$3*Data!$H$3,'Caso base'!I23) -Data!$K$4</f>
        <v>117476.9641461627</v>
      </c>
      <c r="O23" s="20">
        <f>N23*H23*(G22*(1-Data!$K$8)^E22)*(F23)</f>
        <v>230.94851457316216</v>
      </c>
      <c r="P23" s="23"/>
      <c r="Q23" s="20">
        <f>Data!$K$11*(1+Data!$K$10)^'Caso base'!E22*Data!$K$12</f>
        <v>65.973938153143607</v>
      </c>
      <c r="R23" s="20">
        <f>$Q23*$H23*($G22*(1-Data!$K$8)^$E22)</f>
        <v>4.5965569829435626</v>
      </c>
      <c r="S23" s="23"/>
      <c r="T23" s="20">
        <f>C22*Data!$K$6</f>
        <v>1657.9671386133048</v>
      </c>
      <c r="U23" s="20">
        <f>$T23*$H23*($G22*(1-Data!$K$8)^$E22)</f>
        <v>115.51440829246316</v>
      </c>
      <c r="V23" s="22"/>
      <c r="W23" s="20">
        <f t="shared" si="0"/>
        <v>1544.1510055794165</v>
      </c>
    </row>
    <row r="24" spans="2:23" x14ac:dyDescent="0.75">
      <c r="B24" s="4">
        <v>16</v>
      </c>
      <c r="C24" s="20">
        <f>$C$8*EXP(Data!N20*'Caso base'!B24)</f>
        <v>121031.42056620093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EXP(-Data!N20*'Caso base'!E24)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20">
        <f>K24*H24*(G23*(1-Data!$K$8)^E23)*((1-F24)*Data!$K$8)</f>
        <v>982.14157560156877</v>
      </c>
      <c r="M24" s="23"/>
      <c r="N24" s="20">
        <f>MAX(Data!$K$3*Data!$H$3,'Caso base'!I24) -Data!$K$4</f>
        <v>118614.11079360302</v>
      </c>
      <c r="O24" s="20">
        <f>N24*H24*(G23*(1-Data!$K$8)^E23)*(F24)</f>
        <v>212.92502710787599</v>
      </c>
      <c r="P24" s="23"/>
      <c r="Q24" s="20">
        <f>Data!$K$11*(1+Data!$K$10)^'Caso base'!E23*Data!$K$12</f>
        <v>67.293416916206468</v>
      </c>
      <c r="R24" s="20">
        <f>$Q24*$H24*($G23*(1-Data!$K$8)^$E23)</f>
        <v>3.8354588086404031</v>
      </c>
      <c r="S24" s="23"/>
      <c r="T24" s="20">
        <f>C23*Data!$K$6</f>
        <v>1678.116840818544</v>
      </c>
      <c r="U24" s="20">
        <f>$T24*$H24*($G23*(1-Data!$K$8)^$E23)</f>
        <v>95.646027709661539</v>
      </c>
      <c r="V24" s="22"/>
      <c r="W24" s="20">
        <f t="shared" si="0"/>
        <v>1294.5480892277467</v>
      </c>
    </row>
    <row r="25" spans="2:23" x14ac:dyDescent="0.75">
      <c r="B25" s="4">
        <v>17</v>
      </c>
      <c r="C25" s="20">
        <f>$C$8*EXP(Data!N21*'Caso base'!B25)</f>
        <v>122047.48447157405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EXP(-Data!N21*'Caso base'!E25)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20">
        <f>K25*H25*(G24*(1-Data!$K$8)^E24)*((1-F25)*Data!$K$8)</f>
        <v>805.02893192711997</v>
      </c>
      <c r="M25" s="23"/>
      <c r="N25" s="20">
        <f>MAX(Data!$K$3*Data!$H$3,'Caso base'!I25) -Data!$K$4</f>
        <v>119606.85606025002</v>
      </c>
      <c r="O25" s="20">
        <f>N25*H25*(G24*(1-Data!$K$8)^E24)*(F25)</f>
        <v>198.46861817246364</v>
      </c>
      <c r="P25" s="23"/>
      <c r="Q25" s="20">
        <f>Data!$K$11*(1+Data!$K$10)^'Caso base'!E24*Data!$K$12</f>
        <v>68.639285254530606</v>
      </c>
      <c r="R25" s="20">
        <f>$Q25*$H25*($G24*(1-Data!$K$8)^$E24)</f>
        <v>3.1937980814050526</v>
      </c>
      <c r="S25" s="23"/>
      <c r="T25" s="20">
        <f>C24*Data!$K$6</f>
        <v>1694.4398879268131</v>
      </c>
      <c r="U25" s="20">
        <f>$T25*$H25*($G24*(1-Data!$K$8)^$E24)</f>
        <v>78.842587638390995</v>
      </c>
      <c r="V25" s="22"/>
      <c r="W25" s="20">
        <f t="shared" si="0"/>
        <v>1085.5339358193796</v>
      </c>
    </row>
    <row r="26" spans="2:23" x14ac:dyDescent="0.75">
      <c r="B26" s="4">
        <v>18</v>
      </c>
      <c r="C26" s="20">
        <f>$C$8*EXP(Data!N22*'Caso base'!B26)</f>
        <v>123064.69417332573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EXP(-Data!N22*'Caso base'!E26)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20">
        <f>K26*H26*(G25*(1-Data!$K$8)^E25)*((1-F26)*Data!$K$8)</f>
        <v>657.2960270609484</v>
      </c>
      <c r="M26" s="23"/>
      <c r="N26" s="20">
        <f>MAX(Data!$K$3*Data!$H$3,'Caso base'!I26) -Data!$K$4</f>
        <v>120603.74448389425</v>
      </c>
      <c r="O26" s="20">
        <f>N26*H26*(G25*(1-Data!$K$8)^E25)*(F26)</f>
        <v>179.85786602389604</v>
      </c>
      <c r="P26" s="23"/>
      <c r="Q26" s="20">
        <f>Data!$K$11*(1+Data!$K$10)^'Caso base'!E25*Data!$K$12</f>
        <v>70.012070959621227</v>
      </c>
      <c r="R26" s="20">
        <f>$Q26*$H26*($G25*(1-Data!$K$8)^$E25)</f>
        <v>2.6482035332533469</v>
      </c>
      <c r="S26" s="23"/>
      <c r="T26" s="20">
        <f>C25*Data!$K$6</f>
        <v>1708.6647826020367</v>
      </c>
      <c r="U26" s="20">
        <f>$T26*$H26*($G25*(1-Data!$K$8)^$E25)</f>
        <v>64.630170946406693</v>
      </c>
      <c r="V26" s="22"/>
      <c r="W26" s="20">
        <f t="shared" si="0"/>
        <v>904.4322675645044</v>
      </c>
    </row>
    <row r="27" spans="2:23" x14ac:dyDescent="0.75">
      <c r="B27" s="4">
        <v>19</v>
      </c>
      <c r="C27" s="20">
        <f>$C$8*EXP(Data!N23*'Caso base'!B27)</f>
        <v>124255.5318588017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EXP(-Data!N23*'Caso base'!E27)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20">
        <f>K27*H27*(G26*(1-Data!$K$8)^E26)*((1-F27)*Data!$K$8)</f>
        <v>533.88919439026449</v>
      </c>
      <c r="M27" s="23"/>
      <c r="N27" s="20">
        <f>MAX(Data!$K$3*Data!$H$3,'Caso base'!I27) -Data!$K$4</f>
        <v>121774.23797533519</v>
      </c>
      <c r="O27" s="20">
        <f>N27*H27*(G26*(1-Data!$K$8)^E26)*(F27)</f>
        <v>165.52230618957648</v>
      </c>
      <c r="P27" s="23"/>
      <c r="Q27" s="20">
        <f>Data!$K$11*(1+Data!$K$10)^'Caso base'!E26*Data!$K$12</f>
        <v>71.412312378813638</v>
      </c>
      <c r="R27" s="20">
        <f>$Q27*$H27*($G26*(1-Data!$K$8)^$E26)</f>
        <v>2.1843323724373134</v>
      </c>
      <c r="S27" s="23"/>
      <c r="T27" s="20">
        <f>C26*Data!$K$6</f>
        <v>1722.9057184265603</v>
      </c>
      <c r="U27" s="20">
        <f>$T27*$H27*($G26*(1-Data!$K$8)^$E26)</f>
        <v>52.699578126712701</v>
      </c>
      <c r="V27" s="22"/>
      <c r="W27" s="20">
        <f t="shared" si="0"/>
        <v>754.29541107899104</v>
      </c>
    </row>
    <row r="28" spans="2:23" x14ac:dyDescent="0.75">
      <c r="B28" s="4">
        <v>20</v>
      </c>
      <c r="C28" s="20">
        <f>$C$8*EXP(Data!N24*'Caso base'!B28)</f>
        <v>125709.05957472016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EXP(-Data!N24*'Caso base'!E28)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20">
        <f>K28*H28*(G27*(1-Data!$K$8)^E27)*((1-F28)*Data!$K$8)</f>
        <v>431.46942478271154</v>
      </c>
      <c r="M28" s="23"/>
      <c r="N28" s="20">
        <f>MAX(Data!$K$3*Data!$H$3,'Caso base'!I28) -Data!$K$4</f>
        <v>123203.94893754412</v>
      </c>
      <c r="O28" s="20">
        <f>N28*H28*(G27*(1-Data!$K$8)^E27)*(F28)</f>
        <v>149.03719000320817</v>
      </c>
      <c r="P28" s="23"/>
      <c r="Q28" s="20">
        <f>Data!$K$11*(1+Data!$K$10)^'Caso base'!E27*Data!$K$12</f>
        <v>72.840558626389907</v>
      </c>
      <c r="R28" s="20">
        <f>$Q28*$H28*($G27*(1-Data!$K$8)^$E27)</f>
        <v>1.7887341568101058</v>
      </c>
      <c r="S28" s="23"/>
      <c r="T28" s="20">
        <f>C27*Data!$K$6</f>
        <v>1739.5774460232237</v>
      </c>
      <c r="U28" s="20">
        <f>$T28*$H28*($G27*(1-Data!$K$8)^$E27)</f>
        <v>42.71853009912104</v>
      </c>
      <c r="V28" s="22"/>
      <c r="W28" s="20">
        <f t="shared" si="0"/>
        <v>625.01387904185083</v>
      </c>
    </row>
    <row r="29" spans="2:23" x14ac:dyDescent="0.75">
      <c r="B29" s="4">
        <v>21</v>
      </c>
      <c r="C29" s="20">
        <f>$C$8*EXP(Data!N25*'Caso base'!B29)</f>
        <v>127583.38948511923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EXP(-Data!N25*'Caso base'!E29)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20">
        <f>K29*H29*(G28*(1-Data!$K$8)^E28)*((1-F29)*Data!$K$8)</f>
        <v>346.75399802694943</v>
      </c>
      <c r="M29" s="23"/>
      <c r="N29" s="20">
        <f>MAX(Data!$K$3*Data!$H$3,'Caso base'!I29) -Data!$K$4</f>
        <v>125049.20829362483</v>
      </c>
      <c r="O29" s="20">
        <f>N29*H29*(G28*(1-Data!$K$8)^E28)*(F29)</f>
        <v>133.46200594469124</v>
      </c>
      <c r="P29" s="23"/>
      <c r="Q29" s="20">
        <f>Data!$K$11*(1+Data!$K$10)^'Caso base'!E28*Data!$K$12</f>
        <v>74.297369798917714</v>
      </c>
      <c r="R29" s="20">
        <f>$Q29*$H29*($G28*(1-Data!$K$8)^$E28)</f>
        <v>1.4527769664425461</v>
      </c>
      <c r="S29" s="23"/>
      <c r="T29" s="20">
        <f>C28*Data!$K$6</f>
        <v>1759.9268340460821</v>
      </c>
      <c r="U29" s="20">
        <f>$T29*$H29*($G28*(1-Data!$K$8)^$E28)</f>
        <v>34.412808610131258</v>
      </c>
      <c r="V29" s="22"/>
      <c r="W29" s="20">
        <f t="shared" si="0"/>
        <v>516.08158954821454</v>
      </c>
    </row>
    <row r="30" spans="2:23" x14ac:dyDescent="0.75">
      <c r="B30" s="4">
        <v>22</v>
      </c>
      <c r="C30" s="20">
        <f>$C$8*EXP(Data!N26*'Caso base'!B30)</f>
        <v>129812.38113746731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EXP(-Data!N26*'Caso base'!E30)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20">
        <f>K30*H30*(G29*(1-Data!$K$8)^E29)*((1-F30)*Data!$K$8)</f>
        <v>276.98795325375727</v>
      </c>
      <c r="M30" s="23"/>
      <c r="N30" s="20">
        <f>MAX(Data!$K$3*Data!$H$3,'Caso base'!I30) -Data!$K$4</f>
        <v>127240.71334776492</v>
      </c>
      <c r="O30" s="20">
        <f>N30*H30*(G29*(1-Data!$K$8)^E29)*(F30)</f>
        <v>118.45779353607759</v>
      </c>
      <c r="P30" s="23"/>
      <c r="Q30" s="20">
        <f>Data!$K$11*(1+Data!$K$10)^'Caso base'!E29*Data!$K$12</f>
        <v>75.783317194896057</v>
      </c>
      <c r="R30" s="20">
        <f>$Q30*$H30*($G29*(1-Data!$K$8)^$E29)</f>
        <v>1.1703609646180761</v>
      </c>
      <c r="S30" s="23"/>
      <c r="T30" s="20">
        <f>C29*Data!$K$6</f>
        <v>1786.1674527916693</v>
      </c>
      <c r="U30" s="20">
        <f>$T30*$H30*($G29*(1-Data!$K$8)^$E29)</f>
        <v>27.584707827482919</v>
      </c>
      <c r="V30" s="22"/>
      <c r="W30" s="20">
        <f t="shared" si="0"/>
        <v>424.20081558193584</v>
      </c>
    </row>
    <row r="31" spans="2:23" x14ac:dyDescent="0.75">
      <c r="B31" s="4">
        <v>23</v>
      </c>
      <c r="C31" s="20">
        <f>$C$8*EXP(Data!N27*'Caso base'!B31)</f>
        <v>132392.39284358456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EXP(-Data!N27*'Caso base'!E31)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20">
        <f>K31*H31*(G30*(1-Data!$K$8)^E30)*((1-F31)*Data!$K$8)</f>
        <v>219.98800857881994</v>
      </c>
      <c r="M31" s="23"/>
      <c r="N31" s="20">
        <f>MAX(Data!$K$3*Data!$H$3,'Caso base'!I31) -Data!$K$4</f>
        <v>129776.14522083521</v>
      </c>
      <c r="O31" s="20">
        <f>N31*H31*(G30*(1-Data!$K$8)^E30)*(F31)</f>
        <v>103.09068274307717</v>
      </c>
      <c r="P31" s="23"/>
      <c r="Q31" s="20">
        <f>Data!$K$11*(1+Data!$K$10)^'Caso base'!E30*Data!$K$12</f>
        <v>77.298983538793991</v>
      </c>
      <c r="R31" s="20">
        <f>$Q31*$H31*($G30*(1-Data!$K$8)^$E30)</f>
        <v>0.93495201146300799</v>
      </c>
      <c r="S31" s="23"/>
      <c r="T31" s="20">
        <f>C30*Data!$K$6</f>
        <v>1817.3733359245423</v>
      </c>
      <c r="U31" s="20">
        <f>$T31*$H31*($G30*(1-Data!$K$8)^$E30)</f>
        <v>21.981619656733688</v>
      </c>
      <c r="V31" s="22"/>
      <c r="W31" s="20">
        <f t="shared" si="0"/>
        <v>345.99526299009381</v>
      </c>
    </row>
    <row r="32" spans="2:23" x14ac:dyDescent="0.75">
      <c r="B32" s="4">
        <v>24</v>
      </c>
      <c r="C32" s="20">
        <f>$C$8*EXP(Data!N28*'Caso base'!B32)</f>
        <v>135277.76538194629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EXP(-Data!N28*'Caso base'!E32)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20">
        <f>K32*H32*(G31*(1-Data!$K$8)^E31)*((1-F32)*Data!$K$8)</f>
        <v>173.27526121765521</v>
      </c>
      <c r="M32" s="23"/>
      <c r="N32" s="20">
        <f>MAX(Data!$K$3*Data!$H$3,'Caso base'!I32) -Data!$K$4</f>
        <v>132609.91752507459</v>
      </c>
      <c r="O32" s="20">
        <f>N32*H32*(G31*(1-Data!$K$8)^E31)*(F32)</f>
        <v>91.481245989829532</v>
      </c>
      <c r="P32" s="23"/>
      <c r="Q32" s="20">
        <f>Data!$K$11*(1+Data!$K$10)^'Caso base'!E31*Data!$K$12</f>
        <v>78.844963209569855</v>
      </c>
      <c r="R32" s="20">
        <f>$Q32*$H32*($G31*(1-Data!$K$8)^$E31)</f>
        <v>0.74121187877781225</v>
      </c>
      <c r="S32" s="23"/>
      <c r="T32" s="20">
        <f>C31*Data!$K$6</f>
        <v>1853.4934998101839</v>
      </c>
      <c r="U32" s="20">
        <f>$T32*$H32*($G31*(1-Data!$K$8)^$E31)</f>
        <v>17.424466235657007</v>
      </c>
      <c r="V32" s="22"/>
      <c r="W32" s="20">
        <f t="shared" si="0"/>
        <v>282.92218532191953</v>
      </c>
    </row>
    <row r="33" spans="2:23" x14ac:dyDescent="0.75">
      <c r="B33" s="4">
        <v>25</v>
      </c>
      <c r="C33" s="20">
        <f>$C$8*EXP(Data!N29*'Caso base'!B33)</f>
        <v>138472.28343364102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EXP(-Data!N29*'Caso base'!E33)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20">
        <f>K33*H33*(G32*(1-Data!$K$8)^E32)*((1-F33)*Data!$K$8)</f>
        <v>135.02384688701622</v>
      </c>
      <c r="M33" s="23"/>
      <c r="N33" s="20">
        <f>MAX(Data!$K$3*Data!$H$3,'Caso base'!I33) -Data!$K$4</f>
        <v>135746.7281260021</v>
      </c>
      <c r="O33" s="20">
        <f>N33*H33*(G32*(1-Data!$K$8)^E32)*(F33)</f>
        <v>81.772451006954341</v>
      </c>
      <c r="P33" s="23"/>
      <c r="Q33" s="20">
        <f>Data!$K$11*(1+Data!$K$10)^'Caso base'!E32*Data!$K$12</f>
        <v>80.421862473761252</v>
      </c>
      <c r="R33" s="20">
        <f>$Q33*$H33*($G32*(1-Data!$K$8)^$E32)</f>
        <v>0.58173596912943004</v>
      </c>
      <c r="S33" s="23"/>
      <c r="T33" s="20">
        <f>C32*Data!$K$6</f>
        <v>1893.8887153472481</v>
      </c>
      <c r="U33" s="20">
        <f>$T33*$H33*($G32*(1-Data!$K$8)^$E32)</f>
        <v>13.699548274019167</v>
      </c>
      <c r="V33" s="22"/>
      <c r="W33" s="20">
        <f t="shared" si="0"/>
        <v>231.07758213711918</v>
      </c>
    </row>
    <row r="34" spans="2:23" x14ac:dyDescent="0.75">
      <c r="B34" s="4">
        <v>26</v>
      </c>
      <c r="C34" s="20">
        <f>$C$8*EXP(Data!N30*'Caso base'!B34)</f>
        <v>141937.97777979009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EXP(-Data!N30*'Caso base'!E34)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20">
        <f>K34*H34*(G33*(1-Data!$K$8)^E33)*((1-F34)*Data!$K$8)</f>
        <v>103.7462154844773</v>
      </c>
      <c r="M34" s="23"/>
      <c r="N34" s="20">
        <f>MAX(Data!$K$3*Data!$H$3,'Caso base'!I34) -Data!$K$4</f>
        <v>139148.53211111727</v>
      </c>
      <c r="O34" s="20">
        <f>N34*H34*(G33*(1-Data!$K$8)^E33)*(F34)</f>
        <v>73.517478576376817</v>
      </c>
      <c r="P34" s="23"/>
      <c r="Q34" s="20">
        <f>Data!$K$11*(1+Data!$K$10)^'Caso base'!E33*Data!$K$12</f>
        <v>82.030299723236482</v>
      </c>
      <c r="R34" s="20">
        <f>$Q34*$H34*($G33*(1-Data!$K$8)^$E33)</f>
        <v>0.4510734981715972</v>
      </c>
      <c r="S34" s="23"/>
      <c r="T34" s="20">
        <f>C33*Data!$K$6</f>
        <v>1938.6119680709742</v>
      </c>
      <c r="U34" s="20">
        <f>$T34*$H34*($G33*(1-Data!$K$8)^$E33)</f>
        <v>10.660164414679011</v>
      </c>
      <c r="V34" s="22"/>
      <c r="W34" s="20">
        <f t="shared" si="0"/>
        <v>188.37493197370472</v>
      </c>
    </row>
    <row r="35" spans="2:23" x14ac:dyDescent="0.75">
      <c r="B35" s="4">
        <v>27</v>
      </c>
      <c r="C35" s="20">
        <f>$C$8*EXP(Data!N31*'Caso base'!B35)</f>
        <v>145660.73517676292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EXP(-Data!N31*'Caso base'!E35)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20">
        <f>K35*H35*(G34*(1-Data!$K$8)^E34)*((1-F35)*Data!$K$8)</f>
        <v>78.553287166747566</v>
      </c>
      <c r="M35" s="23"/>
      <c r="N35" s="20">
        <f>MAX(Data!$K$3*Data!$H$3,'Caso base'!I35) -Data!$K$4</f>
        <v>142801.9756211671</v>
      </c>
      <c r="O35" s="20">
        <f>N35*H35*(G34*(1-Data!$K$8)^E34)*(F35)</f>
        <v>64.222481454340652</v>
      </c>
      <c r="P35" s="23"/>
      <c r="Q35" s="20">
        <f>Data!$K$11*(1+Data!$K$10)^'Caso base'!E34*Data!$K$12</f>
        <v>83.670905717701217</v>
      </c>
      <c r="R35" s="20">
        <f>$Q35*$H35*($G34*(1-Data!$K$8)^$E34)</f>
        <v>0.3444703819564045</v>
      </c>
      <c r="S35" s="23"/>
      <c r="T35" s="20">
        <f>C34*Data!$K$6</f>
        <v>1987.1316889170614</v>
      </c>
      <c r="U35" s="20">
        <f>$T35*$H35*($G34*(1-Data!$K$8)^$E34)</f>
        <v>8.1809561640029251</v>
      </c>
      <c r="V35" s="22"/>
      <c r="W35" s="20">
        <f t="shared" si="0"/>
        <v>151.30119516704755</v>
      </c>
    </row>
    <row r="36" spans="2:23" x14ac:dyDescent="0.75">
      <c r="B36" s="4">
        <v>28</v>
      </c>
      <c r="C36" s="20">
        <f>$C$8*EXP(Data!N32*'Caso base'!B36)</f>
        <v>149660.61829700484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EXP(-Data!N32*'Caso base'!E36)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20">
        <f>K36*H36*(G35*(1-Data!$K$8)^E35)*((1-F36)*Data!$K$8)</f>
        <v>58.512235022835192</v>
      </c>
      <c r="M36" s="23"/>
      <c r="N36" s="20">
        <f>MAX(Data!$K$3*Data!$H$3,'Caso base'!I36) -Data!$K$4</f>
        <v>146727.40359346959</v>
      </c>
      <c r="O36" s="20">
        <f>N36*H36*(G35*(1-Data!$K$8)^E35)*(F36)</f>
        <v>55.066005569070519</v>
      </c>
      <c r="P36" s="23"/>
      <c r="Q36" s="20">
        <f>Data!$K$11*(1+Data!$K$10)^'Caso base'!E35*Data!$K$12</f>
        <v>85.344323832055224</v>
      </c>
      <c r="R36" s="20">
        <f>$Q36*$H36*($G35*(1-Data!$K$8)^$E35)</f>
        <v>0.25892108522680335</v>
      </c>
      <c r="S36" s="23"/>
      <c r="T36" s="20">
        <f>C35*Data!$K$6</f>
        <v>2039.2502924746809</v>
      </c>
      <c r="U36" s="20">
        <f>$T36*$H36*($G35*(1-Data!$K$8)^$E35)</f>
        <v>6.1867605842850741</v>
      </c>
      <c r="V36" s="22"/>
      <c r="W36" s="20">
        <f t="shared" si="0"/>
        <v>120.02392226141758</v>
      </c>
    </row>
    <row r="37" spans="2:23" x14ac:dyDescent="0.75">
      <c r="B37" s="4">
        <v>29</v>
      </c>
      <c r="C37" s="20">
        <f>$C$8*EXP(Data!N33*'Caso base'!B37)</f>
        <v>153870.32249936444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EXP(-Data!N33*'Caso base'!E37)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20">
        <f>K37*H37*(G36*(1-Data!$K$8)^E36)*((1-F37)*Data!$K$8)</f>
        <v>42.796407312188933</v>
      </c>
      <c r="M37" s="23"/>
      <c r="N37" s="20">
        <f>MAX(Data!$K$3*Data!$H$3,'Caso base'!I37) -Data!$K$4</f>
        <v>150857.11013342434</v>
      </c>
      <c r="O37" s="20">
        <f>N37*H37*(G36*(1-Data!$K$8)^E36)*(F37)</f>
        <v>46.265463878071969</v>
      </c>
      <c r="P37" s="23"/>
      <c r="Q37" s="20">
        <f>Data!$K$11*(1+Data!$K$10)^'Caso base'!E36*Data!$K$12</f>
        <v>87.051210308696341</v>
      </c>
      <c r="R37" s="20">
        <f>$Q37*$H37*($G36*(1-Data!$K$8)^$E36)</f>
        <v>0.19133331947795396</v>
      </c>
      <c r="S37" s="23"/>
      <c r="T37" s="20">
        <f>C36*Data!$K$6</f>
        <v>2095.2486561580677</v>
      </c>
      <c r="U37" s="20">
        <f>$T37*$H37*($G36*(1-Data!$K$8)^$E36)</f>
        <v>4.6052304051009454</v>
      </c>
      <c r="V37" s="22"/>
      <c r="W37" s="20">
        <f t="shared" si="0"/>
        <v>93.858434914839791</v>
      </c>
    </row>
    <row r="38" spans="2:23" x14ac:dyDescent="0.75">
      <c r="B38" s="4">
        <v>30</v>
      </c>
      <c r="C38" s="20">
        <f>$C$8*EXP(Data!N34*'Caso base'!B38)</f>
        <v>158391.55855160882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EXP(-Data!N34*'Caso base'!E38)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20">
        <f>K38*H38*(G37*(1-Data!$K$8)^E37)*((1-F38)*Data!$K$8)</f>
        <v>30.679922258794488</v>
      </c>
      <c r="M38" s="23"/>
      <c r="N38" s="20">
        <f>MAX(Data!$K$3*Data!$H$3,'Caso base'!I38) -Data!$K$4</f>
        <v>155294.15210162153</v>
      </c>
      <c r="O38" s="20">
        <f>N38*H38*(G37*(1-Data!$K$8)^E37)*(F38)</f>
        <v>37.98694426546713</v>
      </c>
      <c r="P38" s="23"/>
      <c r="Q38" s="20">
        <f>Data!$K$11*(1+Data!$K$10)^'Caso base'!E37*Data!$K$12</f>
        <v>88.792234514870259</v>
      </c>
      <c r="R38" s="20">
        <f>$Q38*$H38*($G37*(1-Data!$K$8)^$E37)</f>
        <v>0.13866504986165715</v>
      </c>
      <c r="S38" s="23"/>
      <c r="T38" s="20">
        <f>C37*Data!$K$6</f>
        <v>2154.1845149911023</v>
      </c>
      <c r="U38" s="20">
        <f>$T38*$H38*($G37*(1-Data!$K$8)^$E37)</f>
        <v>3.3641467051088259</v>
      </c>
      <c r="V38" s="22"/>
      <c r="W38" s="20">
        <f t="shared" si="0"/>
        <v>72.169678279232102</v>
      </c>
    </row>
    <row r="39" spans="2:23" x14ac:dyDescent="0.75">
      <c r="B39" s="4">
        <v>31</v>
      </c>
      <c r="C39" s="20">
        <f>$C$8*EXP(Data!N35*'Caso base'!B39)</f>
        <v>163097.82692897582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EXP(-Data!N35*'Caso base'!E39)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20">
        <f>K39*H39*(G38*(1-Data!$K$8)^E38)*((1-F39)*Data!$K$8)</f>
        <v>21.55863510822677</v>
      </c>
      <c r="M39" s="23"/>
      <c r="N39" s="20">
        <f>MAX(Data!$K$3*Data!$H$3,'Caso base'!I39) -Data!$K$4</f>
        <v>159909.99575794363</v>
      </c>
      <c r="O39" s="20">
        <f>N39*H39*(G38*(1-Data!$K$8)^E38)*(F39)</f>
        <v>30.130407104172711</v>
      </c>
      <c r="P39" s="23"/>
      <c r="Q39" s="20">
        <f>Data!$K$11*(1+Data!$K$10)^'Caso base'!E38*Data!$K$12</f>
        <v>90.568079205167678</v>
      </c>
      <c r="R39" s="20">
        <f>$Q39*$H39*($G38*(1-Data!$K$8)^$E38)</f>
        <v>9.8465895368481091E-2</v>
      </c>
      <c r="S39" s="23"/>
      <c r="T39" s="20">
        <f>C38*Data!$K$6</f>
        <v>2217.4818197225236</v>
      </c>
      <c r="U39" s="20">
        <f>$T39*$H39*($G38*(1-Data!$K$8)^$E38)</f>
        <v>2.4108530815551248</v>
      </c>
      <c r="V39" s="22"/>
      <c r="W39" s="20">
        <f t="shared" si="0"/>
        <v>54.198361189323094</v>
      </c>
    </row>
    <row r="40" spans="2:23" x14ac:dyDescent="0.75">
      <c r="B40" s="4">
        <v>32</v>
      </c>
      <c r="C40" s="20">
        <f>$C$8*EXP(Data!N36*'Caso base'!B40)</f>
        <v>168095.14964088646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EXP(-Data!N36*'Caso base'!E40)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20">
        <f>K40*H40*(G39*(1-Data!$K$8)^E39)*((1-F40)*Data!$K$8)</f>
        <v>14.804020936787886</v>
      </c>
      <c r="M40" s="23"/>
      <c r="N40" s="20">
        <f>MAX(Data!$K$3*Data!$H$3,'Caso base'!I40) -Data!$K$4</f>
        <v>164813.19310230695</v>
      </c>
      <c r="O40" s="20">
        <f>N40*H40*(G39*(1-Data!$K$8)^E39)*(F40)</f>
        <v>23.474757395202097</v>
      </c>
      <c r="P40" s="23"/>
      <c r="Q40" s="20">
        <f>Data!$K$11*(1+Data!$K$10)^'Caso base'!E39*Data!$K$12</f>
        <v>92.379440789271001</v>
      </c>
      <c r="R40" s="20">
        <f>$Q40*$H40*($G39*(1-Data!$K$8)^$E39)</f>
        <v>6.8476513230231004E-2</v>
      </c>
      <c r="S40" s="23"/>
      <c r="T40" s="20">
        <f>C39*Data!$K$6</f>
        <v>2283.3695770056615</v>
      </c>
      <c r="U40" s="20">
        <f>$T40*$H40*($G39*(1-Data!$K$8)^$E39)</f>
        <v>1.6925539461318599</v>
      </c>
      <c r="V40" s="22"/>
      <c r="W40" s="20">
        <f t="shared" si="0"/>
        <v>40.039808791352073</v>
      </c>
    </row>
    <row r="41" spans="2:23" x14ac:dyDescent="0.75">
      <c r="B41" s="4">
        <v>33</v>
      </c>
      <c r="C41" s="20">
        <f>$C$8*EXP(Data!N37*'Caso base'!B41)</f>
        <v>173344.36861859259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EXP(-Data!N37*'Caso base'!E41)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20">
        <f>K41*H41*(G40*(1-Data!$K$8)^E40)*((1-F41)*Data!$K$8)</f>
        <v>9.9389578118162412</v>
      </c>
      <c r="M41" s="23"/>
      <c r="N41" s="20">
        <f>MAX(Data!$K$3*Data!$H$3,'Caso base'!I41) -Data!$K$4</f>
        <v>169962.46562577487</v>
      </c>
      <c r="O41" s="20">
        <f>N41*H41*(G40*(1-Data!$K$8)^E40)*(F41)</f>
        <v>17.630987615584413</v>
      </c>
      <c r="P41" s="23"/>
      <c r="Q41" s="20">
        <f>Data!$K$11*(1+Data!$K$10)^'Caso base'!E40*Data!$K$12</f>
        <v>94.227029605056444</v>
      </c>
      <c r="R41" s="20">
        <f>$Q41*$H41*($G40*(1-Data!$K$8)^$E40)</f>
        <v>4.6508927972804925E-2</v>
      </c>
      <c r="S41" s="23"/>
      <c r="T41" s="20">
        <f>C40*Data!$K$6</f>
        <v>2353.3320949724107</v>
      </c>
      <c r="U41" s="20">
        <f>$T41*$H41*($G40*(1-Data!$K$8)^$E40)</f>
        <v>1.161566414222279</v>
      </c>
      <c r="V41" s="22"/>
      <c r="W41" s="20">
        <f t="shared" si="0"/>
        <v>28.778020769595738</v>
      </c>
    </row>
    <row r="42" spans="2:23" x14ac:dyDescent="0.75">
      <c r="B42" s="4">
        <v>34</v>
      </c>
      <c r="C42" s="20">
        <f>$C$8*EXP(Data!N38*'Caso base'!B42)</f>
        <v>178793.26352376863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EXP(-Data!N38*'Caso base'!E42)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20">
        <f>K42*H42*(G41*(1-Data!$K$8)^E41)*((1-F42)*Data!$K$8)</f>
        <v>6.5096106404308411</v>
      </c>
      <c r="M42" s="23"/>
      <c r="N42" s="20">
        <f>MAX(Data!$K$3*Data!$H$3,'Caso base'!I42) -Data!$K$4</f>
        <v>175306.37615139678</v>
      </c>
      <c r="O42" s="20">
        <f>N42*H42*(G41*(1-Data!$K$8)^E41)*(F42)</f>
        <v>12.923781427142771</v>
      </c>
      <c r="P42" s="23"/>
      <c r="Q42" s="20">
        <f>Data!$K$11*(1+Data!$K$10)^'Caso base'!E41*Data!$K$12</f>
        <v>96.111570197157576</v>
      </c>
      <c r="R42" s="20">
        <f>$Q42*$H42*($G41*(1-Data!$K$8)^$E41)</f>
        <v>3.0878041697690078E-2</v>
      </c>
      <c r="S42" s="23"/>
      <c r="T42" s="20">
        <f>C41*Data!$K$6</f>
        <v>2426.8211606602963</v>
      </c>
      <c r="U42" s="20">
        <f>$T42*$H42*($G41*(1-Data!$K$8)^$E41)</f>
        <v>0.77967184219326602</v>
      </c>
      <c r="V42" s="22"/>
      <c r="W42" s="20">
        <f t="shared" si="0"/>
        <v>20.243941951464571</v>
      </c>
    </row>
    <row r="43" spans="2:23" x14ac:dyDescent="0.75">
      <c r="B43" s="4">
        <v>35</v>
      </c>
      <c r="C43" s="20">
        <f>$C$8*EXP(Data!N39*'Caso base'!B43)</f>
        <v>184503.82334224999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EXP(-Data!N39*'Caso base'!E43)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20">
        <f>K43*H43*(G42*(1-Data!$K$8)^E42)*((1-F43)*Data!$K$8)</f>
        <v>4.1457764523164613</v>
      </c>
      <c r="M43" s="23"/>
      <c r="N43" s="20">
        <f>MAX(Data!$K$3*Data!$H$3,'Caso base'!I43) -Data!$K$4</f>
        <v>180907.95807177463</v>
      </c>
      <c r="O43" s="20">
        <f>N43*H43*(G42*(1-Data!$K$8)^E42)*(F43)</f>
        <v>9.2497715671087146</v>
      </c>
      <c r="P43" s="23"/>
      <c r="Q43" s="20">
        <f>Data!$K$11*(1+Data!$K$10)^'Caso base'!E42*Data!$K$12</f>
        <v>98.03380160110072</v>
      </c>
      <c r="R43" s="20">
        <f>$Q43*$H43*($G42*(1-Data!$K$8)^$E42)</f>
        <v>1.9989714570526146E-2</v>
      </c>
      <c r="S43" s="23"/>
      <c r="T43" s="20">
        <f>C42*Data!$K$6</f>
        <v>2503.1056893327609</v>
      </c>
      <c r="U43" s="20">
        <f>$T43*$H43*($G42*(1-Data!$K$8)^$E42)</f>
        <v>0.5103991424633294</v>
      </c>
      <c r="V43" s="22"/>
      <c r="W43" s="20">
        <f t="shared" si="0"/>
        <v>13.925936876459032</v>
      </c>
    </row>
    <row r="44" spans="2:23" x14ac:dyDescent="0.75">
      <c r="B44" s="4">
        <v>36</v>
      </c>
      <c r="C44" s="20">
        <f>$C$8*EXP(Data!N40*'Caso base'!B44)</f>
        <v>190484.37800634195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EXP(-Data!N40*'Caso base'!E44)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20">
        <f>K44*H44*(G43*(1-Data!$K$8)^E43)*((1-F44)*Data!$K$8)</f>
        <v>2.5553848169884095</v>
      </c>
      <c r="M44" s="23"/>
      <c r="N44" s="20">
        <f>MAX(Data!$K$3*Data!$H$3,'Caso base'!I44) -Data!$K$4</f>
        <v>186774.30153949696</v>
      </c>
      <c r="O44" s="20">
        <f>N44*H44*(G43*(1-Data!$K$8)^E43)*(F44)</f>
        <v>6.4571295506819784</v>
      </c>
      <c r="P44" s="23"/>
      <c r="Q44" s="20">
        <f>Data!$K$11*(1+Data!$K$10)^'Caso base'!E43*Data!$K$12</f>
        <v>99.994477633122742</v>
      </c>
      <c r="R44" s="20">
        <f>$Q44*$H44*($G43*(1-Data!$K$8)^$E43)</f>
        <v>1.2577603431391733E-2</v>
      </c>
      <c r="S44" s="23"/>
      <c r="T44" s="20">
        <f>C43*Data!$K$6</f>
        <v>2583.0535267914997</v>
      </c>
      <c r="U44" s="20">
        <f>$T44*$H44*($G43*(1-Data!$K$8)^$E43)</f>
        <v>0.32490417142075823</v>
      </c>
      <c r="V44" s="22"/>
      <c r="W44" s="20">
        <f t="shared" si="0"/>
        <v>9.3499961425225386</v>
      </c>
    </row>
    <row r="45" spans="2:23" x14ac:dyDescent="0.75">
      <c r="B45" s="4">
        <v>37</v>
      </c>
      <c r="C45" s="20">
        <f>$C$8*EXP(Data!N41*'Caso base'!B45)</f>
        <v>196743.36937910231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EXP(-Data!N41*'Caso base'!E45)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20">
        <f>K45*H45*(G44*(1-Data!$K$8)^E44)*((1-F45)*Data!$K$8)</f>
        <v>1.5324478190596207</v>
      </c>
      <c r="M45" s="23"/>
      <c r="N45" s="20">
        <f>MAX(Data!$K$3*Data!$H$3,'Caso base'!I45) -Data!$K$4</f>
        <v>192913.68181897548</v>
      </c>
      <c r="O45" s="20">
        <f>N45*H45*(G44*(1-Data!$K$8)^E44)*(F45)</f>
        <v>4.2643674901914466</v>
      </c>
      <c r="P45" s="23"/>
      <c r="Q45" s="20">
        <f>Data!$K$11*(1+Data!$K$10)^'Caso base'!E44*Data!$K$12</f>
        <v>101.99436718578518</v>
      </c>
      <c r="R45" s="20">
        <f>$Q45*$H45*($G44*(1-Data!$K$8)^$E44)</f>
        <v>7.6560066658748127E-3</v>
      </c>
      <c r="S45" s="23"/>
      <c r="T45" s="20">
        <f>C44*Data!$K$6</f>
        <v>2666.7812920887873</v>
      </c>
      <c r="U45" s="20">
        <f>$T45*$H45*($G44*(1-Data!$K$8)^$E44)</f>
        <v>0.20017669516466668</v>
      </c>
      <c r="V45" s="22"/>
      <c r="W45" s="20">
        <f t="shared" si="0"/>
        <v>6.0046480110816089</v>
      </c>
    </row>
    <row r="46" spans="2:23" x14ac:dyDescent="0.75">
      <c r="B46" s="4">
        <v>38</v>
      </c>
      <c r="C46" s="20">
        <f>$C$8*EXP(Data!N42*'Caso base'!B46)</f>
        <v>203212.08472099825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EXP(-Data!N42*'Caso base'!E46)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20">
        <f>K46*H46*(G45*(1-Data!$K$8)^E45)*((1-F46)*Data!$K$8)</f>
        <v>0.89191479558888387</v>
      </c>
      <c r="M46" s="23"/>
      <c r="N46" s="20">
        <f>MAX(Data!$K$3*Data!$H$3,'Caso base'!I46) -Data!$K$4</f>
        <v>199257.21733341619</v>
      </c>
      <c r="O46" s="20">
        <f>N46*H46*(G45*(1-Data!$K$8)^E45)*(F46)</f>
        <v>2.7378044253799376</v>
      </c>
      <c r="P46" s="23"/>
      <c r="Q46" s="20">
        <f>Data!$K$11*(1+Data!$K$10)^'Caso base'!E45*Data!$K$12</f>
        <v>104.0342545295009</v>
      </c>
      <c r="R46" s="20">
        <f>$Q46*$H46*($G45*(1-Data!$K$8)^$E45)</f>
        <v>4.5339556258904333E-3</v>
      </c>
      <c r="S46" s="23"/>
      <c r="T46" s="20">
        <f>C45*Data!$K$6</f>
        <v>2754.4071713074322</v>
      </c>
      <c r="U46" s="20">
        <f>$T46*$H46*($G45*(1-Data!$K$8)^$E45)</f>
        <v>0.12004084565051576</v>
      </c>
      <c r="V46" s="22"/>
      <c r="W46" s="20">
        <f t="shared" si="0"/>
        <v>3.7542940222452277</v>
      </c>
    </row>
    <row r="47" spans="2:23" x14ac:dyDescent="0.75">
      <c r="B47" s="4">
        <v>39</v>
      </c>
      <c r="C47" s="20">
        <f>$C$8*EXP(Data!N43*'Caso base'!B47)</f>
        <v>209966.9602062176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EXP(-Data!N43*'Caso base'!E47)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20">
        <f>K47*H47*(G46*(1-Data!$K$8)^E46)*((1-F47)*Data!$K$8)</f>
        <v>0.50295047419731054</v>
      </c>
      <c r="M47" s="23"/>
      <c r="N47" s="20">
        <f>MAX(Data!$K$3*Data!$H$3,'Caso base'!I47) -Data!$K$4</f>
        <v>205882.71851179763</v>
      </c>
      <c r="O47" s="20">
        <f>N47*H47*(G46*(1-Data!$K$8)^E46)*(F47)</f>
        <v>1.7012319276769658</v>
      </c>
      <c r="P47" s="23"/>
      <c r="Q47" s="20">
        <f>Data!$K$11*(1+Data!$K$10)^'Caso base'!E46*Data!$K$12</f>
        <v>106.11493962009094</v>
      </c>
      <c r="R47" s="20">
        <f>$Q47*$H47*($G46*(1-Data!$K$8)^$E46)</f>
        <v>2.6050260807268149E-3</v>
      </c>
      <c r="S47" s="23"/>
      <c r="T47" s="20">
        <f>C46*Data!$K$6</f>
        <v>2844.9691860939756</v>
      </c>
      <c r="U47" s="20">
        <f>$T47*$H47*($G46*(1-Data!$K$8)^$E46)</f>
        <v>6.9841428126636435E-2</v>
      </c>
      <c r="V47" s="22"/>
      <c r="W47" s="20">
        <f t="shared" si="0"/>
        <v>2.2766288560816399</v>
      </c>
    </row>
    <row r="48" spans="2:23" x14ac:dyDescent="0.75">
      <c r="B48" s="4">
        <v>40</v>
      </c>
      <c r="C48" s="20">
        <f>$C$8*EXP(Data!N44*'Caso base'!B48)</f>
        <v>217015.80521669541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EXP(-Data!N44*'Caso base'!E48)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20">
        <f>K48*H48*(G47*(1-Data!$K$8)^E47)*((1-F48)*Data!$K$8)</f>
        <v>0.27368191244431139</v>
      </c>
      <c r="M48" s="23"/>
      <c r="N48" s="20">
        <f>MAX(Data!$K$3*Data!$H$3,'Caso base'!I48) -Data!$K$4</f>
        <v>212796.46601257107</v>
      </c>
      <c r="O48" s="20">
        <f>N48*H48*(G47*(1-Data!$K$8)^E47)*(F48)</f>
        <v>1.0255335976953444</v>
      </c>
      <c r="P48" s="23"/>
      <c r="Q48" s="20">
        <f>Data!$K$11*(1+Data!$K$10)^'Caso base'!E47*Data!$K$12</f>
        <v>108.23723841249272</v>
      </c>
      <c r="R48" s="20">
        <f>$Q48*$H48*($G47*(1-Data!$K$8)^$E47)</f>
        <v>1.4496704746576683E-3</v>
      </c>
      <c r="S48" s="23"/>
      <c r="T48" s="20">
        <f>C47*Data!$K$6</f>
        <v>2939.5374428870464</v>
      </c>
      <c r="U48" s="20">
        <f>$T48*$H48*($G47*(1-Data!$K$8)^$E47)</f>
        <v>3.9370559546835299E-2</v>
      </c>
      <c r="V48" s="22"/>
      <c r="W48" s="20">
        <f t="shared" si="0"/>
        <v>1.3400357401611485</v>
      </c>
    </row>
    <row r="49" spans="2:23" x14ac:dyDescent="0.75">
      <c r="B49" s="4">
        <v>41</v>
      </c>
      <c r="C49" s="20">
        <f>$C$8*EXP(Data!N45*'Caso base'!B49)</f>
        <v>224274.37394679774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EXP(-Data!N45*'Caso base'!E49)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20">
        <f>K49*H49*(G48*(1-Data!$K$8)^E48)*((1-F49)*Data!$K$8)</f>
        <v>0.14183314299212663</v>
      </c>
      <c r="M49" s="23"/>
      <c r="N49" s="20">
        <f>MAX(Data!$K$3*Data!$H$3,'Caso base'!I49) -Data!$K$4</f>
        <v>219914.05784246384</v>
      </c>
      <c r="O49" s="20">
        <f>N49*H49*(G48*(1-Data!$K$8)^E48)*(F49)</f>
        <v>0.60531092858751223</v>
      </c>
      <c r="P49" s="23"/>
      <c r="Q49" s="20">
        <f>Data!$K$11*(1+Data!$K$10)^'Caso base'!E48*Data!$K$12</f>
        <v>110.40198318074259</v>
      </c>
      <c r="R49" s="20">
        <f>$Q49*$H49*($G48*(1-Data!$K$8)^$E48)</f>
        <v>7.7857048832662026E-4</v>
      </c>
      <c r="S49" s="23"/>
      <c r="T49" s="20">
        <f>C48*Data!$K$6</f>
        <v>3038.221273033736</v>
      </c>
      <c r="U49" s="20">
        <f>$T49*$H49*($G48*(1-Data!$K$8)^$E48)</f>
        <v>2.1425968556358418E-2</v>
      </c>
      <c r="V49" s="22"/>
      <c r="W49" s="20">
        <f t="shared" si="0"/>
        <v>0.76934861062432391</v>
      </c>
    </row>
    <row r="50" spans="2:23" x14ac:dyDescent="0.75">
      <c r="B50" s="4">
        <v>42</v>
      </c>
      <c r="C50" s="20">
        <f>$C$8*EXP(Data!N46*'Caso base'!B50)</f>
        <v>231928.7438676453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EXP(-Data!N46*'Caso base'!E50)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20">
        <f>K50*H50*(G49*(1-Data!$K$8)^E49)*((1-F50)*Data!$K$8)</f>
        <v>6.9013793224387832E-2</v>
      </c>
      <c r="M50" s="23"/>
      <c r="N50" s="20">
        <f>MAX(Data!$K$3*Data!$H$3,'Caso base'!I50) -Data!$K$4</f>
        <v>227423.25638870936</v>
      </c>
      <c r="O50" s="20">
        <f>N50*H50*(G49*(1-Data!$K$8)^E49)*(F50)</f>
        <v>0.34364206697300781</v>
      </c>
      <c r="P50" s="23"/>
      <c r="Q50" s="20">
        <f>Data!$K$11*(1+Data!$K$10)^'Caso base'!E49*Data!$K$12</f>
        <v>112.61002284435745</v>
      </c>
      <c r="R50" s="20">
        <f>$Q50*$H50*($G49*(1-Data!$K$8)^$E49)</f>
        <v>3.9797383958500545E-4</v>
      </c>
      <c r="S50" s="23"/>
      <c r="T50" s="20">
        <f>C49*Data!$K$6</f>
        <v>3139.8412352551686</v>
      </c>
      <c r="U50" s="20">
        <f>$T50*$H50*($G49*(1-Data!$K$8)^$E49)</f>
        <v>1.1096478275374388E-2</v>
      </c>
      <c r="V50" s="22"/>
      <c r="W50" s="20">
        <f t="shared" si="0"/>
        <v>0.42415031231235506</v>
      </c>
    </row>
    <row r="51" spans="2:23" x14ac:dyDescent="0.75">
      <c r="B51" s="4">
        <v>43</v>
      </c>
      <c r="C51" s="20">
        <f>$C$8*EXP(Data!N47*'Caso base'!B51)</f>
        <v>239796.38945322504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EXP(-Data!N47*'Caso base'!E51)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20">
        <f>K51*H51*(G50*(1-Data!$K$8)^E50)*((1-F51)*Data!$K$8)</f>
        <v>3.1628611276065352E-2</v>
      </c>
      <c r="M51" s="23"/>
      <c r="N51" s="20">
        <f>MAX(Data!$K$3*Data!$H$3,'Caso base'!I51) -Data!$K$4</f>
        <v>235137.81457587212</v>
      </c>
      <c r="O51" s="20">
        <f>N51*H51*(G50*(1-Data!$K$8)^E50)*(F51)</f>
        <v>0.18022033868434928</v>
      </c>
      <c r="P51" s="23"/>
      <c r="Q51" s="20">
        <f>Data!$K$11*(1+Data!$K$10)^'Caso base'!E50*Data!$K$12</f>
        <v>114.86222330124458</v>
      </c>
      <c r="R51" s="20">
        <f>$Q51*$H51*($G50*(1-Data!$K$8)^$E50)</f>
        <v>1.9103715668650052E-4</v>
      </c>
      <c r="S51" s="23"/>
      <c r="T51" s="20">
        <f>C50*Data!$K$6</f>
        <v>3247.0024141470344</v>
      </c>
      <c r="U51" s="20">
        <f>$T51*$H51*($G50*(1-Data!$K$8)^$E50)</f>
        <v>5.4003665532924728E-3</v>
      </c>
      <c r="V51" s="22"/>
      <c r="W51" s="20">
        <f t="shared" si="0"/>
        <v>0.21744035367039363</v>
      </c>
    </row>
    <row r="52" spans="2:23" x14ac:dyDescent="0.75">
      <c r="B52" s="4">
        <v>44</v>
      </c>
      <c r="C52" s="20">
        <f>$C$8*EXP(Data!N48*'Caso base'!B52)</f>
        <v>247975.55828064092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EXP(-Data!N48*'Caso base'!E52)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20">
        <f>K52*H52*(G51*(1-Data!$K$8)^E51)*((1-F52)*Data!$K$8)</f>
        <v>1.3586930031151523E-2</v>
      </c>
      <c r="M52" s="23"/>
      <c r="N52" s="20">
        <f>MAX(Data!$K$3*Data!$H$3,'Caso base'!I52) -Data!$K$4</f>
        <v>243159.63049157642</v>
      </c>
      <c r="O52" s="20">
        <f>N52*H52*(G51*(1-Data!$K$8)^E51)*(F52)</f>
        <v>8.8650402874201228E-2</v>
      </c>
      <c r="P52" s="23"/>
      <c r="Q52" s="20">
        <f>Data!$K$11*(1+Data!$K$10)^'Caso base'!E51*Data!$K$12</f>
        <v>117.15946776726946</v>
      </c>
      <c r="R52" s="20">
        <f>$Q52*$H52*($G51*(1-Data!$K$8)^$E51)</f>
        <v>8.6356785112383808E-5</v>
      </c>
      <c r="S52" s="23"/>
      <c r="T52" s="20">
        <f>C51*Data!$K$6</f>
        <v>3357.1494523451506</v>
      </c>
      <c r="U52" s="20">
        <f>$T52*$H52*($G51*(1-Data!$K$8)^$E51)</f>
        <v>2.4745130664320012E-3</v>
      </c>
      <c r="V52" s="22"/>
      <c r="W52" s="20">
        <f t="shared" si="0"/>
        <v>0.10479820275689714</v>
      </c>
    </row>
    <row r="53" spans="2:23" x14ac:dyDescent="0.75">
      <c r="B53" s="4">
        <v>45</v>
      </c>
      <c r="C53" s="20">
        <f>$C$8*EXP(Data!N49*'Caso base'!B53)</f>
        <v>256472.17674241067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EXP(-Data!N49*'Caso base'!E53)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20">
        <f>K53*H53*(G52*(1-Data!$K$8)^E52)*((1-F53)*Data!$K$8)</f>
        <v>5.4438042098378242E-3</v>
      </c>
      <c r="M53" s="23"/>
      <c r="N53" s="20">
        <f>MAX(Data!$K$3*Data!$H$3,'Caso base'!I53) -Data!$K$4</f>
        <v>251492.66557679785</v>
      </c>
      <c r="O53" s="20">
        <f>N53*H53*(G52*(1-Data!$K$8)^E52)*(F53)</f>
        <v>4.0701013004407108E-2</v>
      </c>
      <c r="P53" s="23"/>
      <c r="Q53" s="20">
        <f>Data!$K$11*(1+Data!$K$10)^'Caso base'!E52*Data!$K$12</f>
        <v>119.50265712261488</v>
      </c>
      <c r="R53" s="20">
        <f>$Q53*$H53*($G52*(1-Data!$K$8)^$E52)</f>
        <v>3.6585054942705987E-5</v>
      </c>
      <c r="S53" s="23"/>
      <c r="T53" s="20">
        <f>C52*Data!$K$6</f>
        <v>3471.6578159289729</v>
      </c>
      <c r="U53" s="20">
        <f>$T53*$H53*($G52*(1-Data!$K$8)^$E52)</f>
        <v>1.0628281830396256E-3</v>
      </c>
      <c r="V53" s="22"/>
      <c r="W53" s="20">
        <f t="shared" si="0"/>
        <v>4.7244230452227268E-2</v>
      </c>
    </row>
    <row r="54" spans="2:23" x14ac:dyDescent="0.75">
      <c r="B54" s="4">
        <v>46</v>
      </c>
      <c r="C54" s="20">
        <f>$C$8*EXP(Data!N50*'Caso base'!B54)</f>
        <v>265291.75588931283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EXP(-Data!N50*'Caso base'!E54)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20">
        <f>K54*H54*(G53*(1-Data!$K$8)^E53)*((1-F54)*Data!$K$8)</f>
        <v>2.024117629467569E-3</v>
      </c>
      <c r="M54" s="23"/>
      <c r="N54" s="20">
        <f>MAX(Data!$K$3*Data!$H$3,'Caso base'!I54) -Data!$K$4</f>
        <v>260142.31235446461</v>
      </c>
      <c r="O54" s="20">
        <f>N54*H54*(G53*(1-Data!$K$8)^E53)*(F54)</f>
        <v>1.7354260878504939E-2</v>
      </c>
      <c r="P54" s="23"/>
      <c r="Q54" s="20">
        <f>Data!$K$11*(1+Data!$K$10)^'Caso base'!E53*Data!$K$12</f>
        <v>121.89271026506717</v>
      </c>
      <c r="R54" s="20">
        <f>$Q54*$H54*($G53*(1-Data!$K$8)^$E53)</f>
        <v>1.4454366986425223E-5</v>
      </c>
      <c r="S54" s="23"/>
      <c r="T54" s="20">
        <f>C53*Data!$K$6</f>
        <v>3590.6104743937494</v>
      </c>
      <c r="U54" s="20">
        <f>$T54*$H54*($G53*(1-Data!$K$8)^$E53)</f>
        <v>4.2578429332917607E-4</v>
      </c>
      <c r="V54" s="22"/>
      <c r="W54" s="20">
        <f t="shared" si="0"/>
        <v>1.9818617168288106E-2</v>
      </c>
    </row>
    <row r="55" spans="2:23" x14ac:dyDescent="0.75">
      <c r="B55" s="4">
        <v>47</v>
      </c>
      <c r="C55" s="20">
        <f>$C$8*EXP(Data!N51*'Caso base'!B55)</f>
        <v>274310.36545645952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EXP(-Data!N51*'Caso base'!E55)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20">
        <f>K55*H55*(G54*(1-Data!$K$8)^E54)*((1-F55)*Data!$K$8)</f>
        <v>6.9487733032233805E-4</v>
      </c>
      <c r="M55" s="23"/>
      <c r="N55" s="20">
        <f>MAX(Data!$K$3*Data!$H$3,'Caso base'!I55) -Data!$K$4</f>
        <v>268984.53033867327</v>
      </c>
      <c r="O55" s="20">
        <f>N55*H55*(G54*(1-Data!$K$8)^E54)*(F55)</f>
        <v>6.8374273984493725E-3</v>
      </c>
      <c r="P55" s="23"/>
      <c r="Q55" s="20">
        <f>Data!$K$11*(1+Data!$K$10)^'Caso base'!E54*Data!$K$12</f>
        <v>124.33056447036851</v>
      </c>
      <c r="R55" s="20">
        <f>$Q55*$H55*($G54*(1-Data!$K$8)^$E54)</f>
        <v>5.301659830114035E-6</v>
      </c>
      <c r="S55" s="23"/>
      <c r="T55" s="20">
        <f>C54*Data!$K$6</f>
        <v>3714.0845824503799</v>
      </c>
      <c r="U55" s="20">
        <f>$T55*$H55*($G54*(1-Data!$K$8)^$E54)</f>
        <v>1.5837467737963914E-4</v>
      </c>
      <c r="V55" s="22"/>
      <c r="W55" s="20">
        <f t="shared" si="0"/>
        <v>7.6959810659814644E-3</v>
      </c>
    </row>
    <row r="56" spans="2:23" x14ac:dyDescent="0.75">
      <c r="B56" s="4">
        <v>48</v>
      </c>
      <c r="C56" s="20">
        <f>$C$8*EXP(Data!N52*'Caso base'!B56)</f>
        <v>283783.09205787984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EXP(-Data!N52*'Caso base'!E56)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20">
        <f>K56*H56*(G55*(1-Data!$K$8)^E55)*((1-F56)*Data!$K$8)</f>
        <v>2.1914059667284055E-4</v>
      </c>
      <c r="M56" s="23"/>
      <c r="N56" s="20">
        <f>MAX(Data!$K$3*Data!$H$3,'Caso base'!I56) -Data!$K$4</f>
        <v>278276.88474875066</v>
      </c>
      <c r="O56" s="20">
        <f>N56*H56*(G55*(1-Data!$K$8)^E55)*(F56)</f>
        <v>2.4767510457202142E-3</v>
      </c>
      <c r="P56" s="23"/>
      <c r="Q56" s="20">
        <f>Data!$K$11*(1+Data!$K$10)^'Caso base'!E55*Data!$K$12</f>
        <v>126.81717575977585</v>
      </c>
      <c r="R56" s="20">
        <f>$Q56*$H56*($G55*(1-Data!$K$8)^$E55)</f>
        <v>1.7944951370703558E-6</v>
      </c>
      <c r="S56" s="23"/>
      <c r="T56" s="20">
        <f>C55*Data!$K$6</f>
        <v>3840.3451163904333</v>
      </c>
      <c r="U56" s="20">
        <f>$T56*$H56*($G55*(1-Data!$K$8)^$E55)</f>
        <v>5.4341855468290411E-5</v>
      </c>
      <c r="V56" s="22"/>
      <c r="W56" s="20">
        <f t="shared" si="0"/>
        <v>2.7520279929984155E-3</v>
      </c>
    </row>
    <row r="57" spans="2:23" x14ac:dyDescent="0.75">
      <c r="B57" s="4">
        <v>49</v>
      </c>
      <c r="C57" s="20">
        <f>$C$8*EXP(Data!N53*'Caso base'!B57)</f>
        <v>293591.74679913622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EXP(-Data!N53*'Caso base'!E57)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20">
        <f>K57*H57*(G56*(1-Data!$K$8)^E56)*((1-F57)*Data!$K$8)</f>
        <v>6.3164245962781426E-5</v>
      </c>
      <c r="M57" s="23"/>
      <c r="N57" s="20">
        <f>MAX(Data!$K$3*Data!$H$3,'Caso base'!I57) -Data!$K$4</f>
        <v>287896.08495797863</v>
      </c>
      <c r="O57" s="20">
        <f>N57*H57*(G56*(1-Data!$K$8)^E56)*(F57)</f>
        <v>8.2070545757552318E-4</v>
      </c>
      <c r="P57" s="23"/>
      <c r="Q57" s="20">
        <f>Data!$K$11*(1+Data!$K$10)^'Caso base'!E56*Data!$K$12</f>
        <v>129.35351927497138</v>
      </c>
      <c r="R57" s="20">
        <f>$Q57*$H57*($G56*(1-Data!$K$8)^$E56)</f>
        <v>5.5794873336532727E-7</v>
      </c>
      <c r="S57" s="23"/>
      <c r="T57" s="20">
        <f>C56*Data!$K$6</f>
        <v>3972.9632888103179</v>
      </c>
      <c r="U57" s="20">
        <f>$T57*$H57*($G56*(1-Data!$K$8)^$E56)</f>
        <v>1.7136834367733924E-5</v>
      </c>
      <c r="V57" s="22"/>
      <c r="W57" s="20">
        <f t="shared" si="0"/>
        <v>9.0156448663940379E-4</v>
      </c>
    </row>
    <row r="58" spans="2:23" x14ac:dyDescent="0.75">
      <c r="B58" s="4">
        <v>50</v>
      </c>
      <c r="C58" s="20">
        <f>$C$8*EXP(Data!N54*'Caso base'!B58)</f>
        <v>303739.42705151613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EXP(-Data!N54*'Caso base'!E58)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20">
        <f>K58*H58*(G57*(1-Data!$K$8)^E57)*(1-F58)</f>
        <v>1.1038379809977173E-4</v>
      </c>
      <c r="M58" s="24"/>
      <c r="N58" s="20">
        <f>MAX(Data!$K$3*Data!$H$3,'Caso base'!I58) -Data!$K$4</f>
        <v>297847.59211553342</v>
      </c>
      <c r="O58" s="20">
        <f>N58*H58*(G57*(1-Data!$K$8)^E57)*(F58)</f>
        <v>2.4754775975060941E-4</v>
      </c>
      <c r="P58" s="24"/>
      <c r="Q58" s="20">
        <f>Data!$K$11*(1+Data!$K$10)^'Caso base'!E57*Data!$K$12</f>
        <v>131.94058966047081</v>
      </c>
      <c r="R58" s="20">
        <f>$Q58*$H58*($G57*(1-Data!$K$8)^$E57)</f>
        <v>1.585565975720617E-7</v>
      </c>
      <c r="S58" s="24"/>
      <c r="T58" s="20">
        <f>C57*Data!$K$6</f>
        <v>4110.284455187907</v>
      </c>
      <c r="U58" s="20">
        <f>$T58*$H58*($G57*(1-Data!$K$8)^$E57)</f>
        <v>4.9394406978551037E-6</v>
      </c>
      <c r="V58" s="25"/>
      <c r="W58" s="20">
        <f t="shared" si="0"/>
        <v>3.6302955514580829E-4</v>
      </c>
    </row>
    <row r="60" spans="2:23" x14ac:dyDescent="0.75">
      <c r="K60" s="43" t="s">
        <v>62</v>
      </c>
      <c r="L60" s="20">
        <f>SUM(L9:L58)</f>
        <v>89612.547620833837</v>
      </c>
      <c r="N60" s="43" t="s">
        <v>62</v>
      </c>
      <c r="O60" s="20">
        <f>SUM(O9:O58)</f>
        <v>8771.8282613110823</v>
      </c>
      <c r="P60" s="1"/>
      <c r="Q60" s="43" t="s">
        <v>62</v>
      </c>
      <c r="R60" s="20">
        <f>SUM(R9:R58)</f>
        <v>321.36342286169361</v>
      </c>
      <c r="S60" s="1"/>
      <c r="T60" s="43" t="s">
        <v>62</v>
      </c>
      <c r="U60" s="20">
        <f>SUM(U9:U58)</f>
        <v>8567.3729140749292</v>
      </c>
      <c r="V60" s="15" t="s">
        <v>15</v>
      </c>
      <c r="W60" s="20">
        <f>SUM(W9:W58)</f>
        <v>107273.11221908146</v>
      </c>
    </row>
    <row r="61" spans="2:23" x14ac:dyDescent="0.75">
      <c r="V61" s="15" t="s">
        <v>32</v>
      </c>
      <c r="W61" s="15">
        <f>SUMPRODUCT(W9:W58,E9:E58)/W60</f>
        <v>6.1476852359466259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7510-A2AA-4B92-B092-DE2B4695D4A2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V2" s="34" t="s">
        <v>34</v>
      </c>
      <c r="W2" s="35">
        <f>C8-W60</f>
        <v>-7020.9386674124544</v>
      </c>
    </row>
    <row r="3" spans="2:23" x14ac:dyDescent="0.75">
      <c r="V3" s="34" t="s">
        <v>40</v>
      </c>
      <c r="W3" s="35">
        <f>MAX('Caso base'!W2-'ir risk (up)'!W2,0)</f>
        <v>0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30">
        <f>$C$8*EXP(Data!Q5*'ir risk (up)'!B9)</f>
        <v>100828.41250292773</v>
      </c>
      <c r="E9" s="15">
        <v>1</v>
      </c>
      <c r="F9" s="15">
        <f>Data!C5</f>
        <v>7.1098899999999998E-3</v>
      </c>
      <c r="G9" s="15">
        <f>Data!E5</f>
        <v>0.99289011000000005</v>
      </c>
      <c r="H9" s="31">
        <f>EXP(-Data!Q5*'ir risk (up)'!E9)</f>
        <v>0.99178393785676544</v>
      </c>
      <c r="I9" s="20">
        <f>C9-C8*(Data!$K$5)</f>
        <v>98828.412502927735</v>
      </c>
      <c r="J9" s="23"/>
      <c r="K9" s="20">
        <f>I9-Data!$K$4</f>
        <v>98808.412502927735</v>
      </c>
      <c r="L9" s="20">
        <f>K9*H9*(G8*(1-Data!$K$8)^E8)*((1-F9)*Data!$K$8)</f>
        <v>14594.977713664084</v>
      </c>
      <c r="M9" s="23"/>
      <c r="N9" s="20">
        <f>MAX(Data!$K$3*Data!$H$3,'ir risk (up)'!I9)-Data!$K$4</f>
        <v>109980.00000000001</v>
      </c>
      <c r="O9" s="20">
        <f>N9*H9*(G8*(1-Data!$K$8)^E8)*(F9)</f>
        <v>775.52118771808966</v>
      </c>
      <c r="P9" s="23"/>
      <c r="Q9" s="20">
        <f>Data!$K$11*(1+Data!$K$10)^'ir risk (up)'!E8*Data!$K$12</f>
        <v>50</v>
      </c>
      <c r="R9" s="20">
        <f>$Q9*$H9*($G8*(1-Data!$K$8)^$E8)</f>
        <v>49.589196892838274</v>
      </c>
      <c r="S9" s="23"/>
      <c r="T9" s="20">
        <f>C8*Data!$K$6</f>
        <v>1400</v>
      </c>
      <c r="U9" s="20">
        <f>$T9*$H9*($G8*(1-Data!$K$8)^$E8)</f>
        <v>1388.4975129994716</v>
      </c>
      <c r="V9" s="22"/>
      <c r="W9" s="20">
        <f>O9+L9+R9+U9</f>
        <v>16808.585611274484</v>
      </c>
    </row>
    <row r="10" spans="2:23" x14ac:dyDescent="0.75">
      <c r="B10" s="15">
        <v>2</v>
      </c>
      <c r="C10" s="30">
        <f>$C$8*EXP(Data!Q6*'ir risk (up)'!B10)</f>
        <v>102913.6395938356</v>
      </c>
      <c r="E10" s="15">
        <v>2</v>
      </c>
      <c r="F10" s="15">
        <f>Data!C6</f>
        <v>7.9253799999999992E-3</v>
      </c>
      <c r="G10" s="15">
        <f>Data!E6</f>
        <v>0.98502107858000831</v>
      </c>
      <c r="H10" s="31">
        <f>EXP(-Data!Q6*'ir risk (up)'!E10)</f>
        <v>0.97168849915973521</v>
      </c>
      <c r="I10" s="20">
        <f>C10-C9*(Data!$K$5)</f>
        <v>100897.07134377705</v>
      </c>
      <c r="J10" s="23"/>
      <c r="K10" s="20">
        <f>I10-Data!$K$4</f>
        <v>100877.07134377705</v>
      </c>
      <c r="L10" s="20">
        <f>K10*H10*(G9*(1-Data!$K$8)^E9)*((1-F10)*Data!$K$8)</f>
        <v>12310.487080651683</v>
      </c>
      <c r="M10" s="23"/>
      <c r="N10" s="20">
        <f>MAX(Data!$K$3*Data!$H$3,'ir risk (up)'!I10)-Data!$K$4</f>
        <v>109980.00000000001</v>
      </c>
      <c r="O10" s="20">
        <f>N10*H10*(G9*(1-Data!$K$8)^E9)*(F10)</f>
        <v>714.79413918148555</v>
      </c>
      <c r="P10" s="23"/>
      <c r="Q10" s="20">
        <f>Data!$K$11*(1+Data!$K$10)^'ir risk (up)'!E9*Data!$K$12</f>
        <v>51</v>
      </c>
      <c r="R10" s="20">
        <f>$Q10*$H10*($G9*(1-Data!$K$8)^$E9)</f>
        <v>41.823208700392868</v>
      </c>
      <c r="S10" s="23"/>
      <c r="T10" s="20">
        <f>C9*Data!$K$6</f>
        <v>1411.5977750409884</v>
      </c>
      <c r="U10" s="20">
        <f>$T10*$H10*($G9*(1-Data!$K$8)^$E9)</f>
        <v>1157.5989871872448</v>
      </c>
      <c r="V10" s="22"/>
      <c r="W10" s="20">
        <f t="shared" ref="W10:W58" si="0">O10+L10+R10+U10</f>
        <v>14224.703415720805</v>
      </c>
    </row>
    <row r="11" spans="2:23" x14ac:dyDescent="0.75">
      <c r="B11" s="15">
        <v>3</v>
      </c>
      <c r="C11" s="30">
        <f>$C$8*EXP(Data!Q7*'ir risk (up)'!B11)</f>
        <v>105241.76066056349</v>
      </c>
      <c r="E11" s="15">
        <v>3</v>
      </c>
      <c r="F11" s="15">
        <f>Data!C7</f>
        <v>8.7428100000000002E-3</v>
      </c>
      <c r="G11" s="15">
        <f>Data!E7</f>
        <v>0.9764092264439882</v>
      </c>
      <c r="H11" s="31">
        <f>EXP(-Data!Q7*'ir risk (up)'!E11)</f>
        <v>0.95019314930059218</v>
      </c>
      <c r="I11" s="20">
        <f>C11-C10*(Data!$K$5)</f>
        <v>103183.48786868679</v>
      </c>
      <c r="J11" s="23"/>
      <c r="K11" s="20">
        <f>I11-Data!$K$4</f>
        <v>103163.48786868679</v>
      </c>
      <c r="L11" s="20">
        <f>K11*H11*(G10*(1-Data!$K$8)^E10)*((1-F11)*Data!$K$8)</f>
        <v>10372.869086673041</v>
      </c>
      <c r="M11" s="23"/>
      <c r="N11" s="20">
        <f>MAX(Data!$K$3*Data!$H$3,'ir risk (up)'!I11)-Data!$K$4</f>
        <v>109980.00000000001</v>
      </c>
      <c r="O11" s="20">
        <f>N11*H11*(G10*(1-Data!$K$8)^E10)*(F11)</f>
        <v>650.21955443515719</v>
      </c>
      <c r="P11" s="23"/>
      <c r="Q11" s="20">
        <f>Data!$K$11*(1+Data!$K$10)^'ir risk (up)'!E10*Data!$K$12</f>
        <v>52.019999999999996</v>
      </c>
      <c r="R11" s="20">
        <f>$Q11*$H11*($G10*(1-Data!$K$8)^$E10)</f>
        <v>35.17755237508981</v>
      </c>
      <c r="S11" s="23"/>
      <c r="T11" s="20">
        <f>C10*Data!$K$6</f>
        <v>1440.7909543136984</v>
      </c>
      <c r="U11" s="20">
        <f>$T11*$H11*($G10*(1-Data!$K$8)^$E10)</f>
        <v>974.30794419311337</v>
      </c>
      <c r="V11" s="22"/>
      <c r="W11" s="20">
        <f t="shared" si="0"/>
        <v>12032.574137676402</v>
      </c>
    </row>
    <row r="12" spans="2:23" x14ac:dyDescent="0.75">
      <c r="B12" s="15">
        <v>4</v>
      </c>
      <c r="C12" s="30">
        <f>$C$8*EXP(Data!Q8*'ir risk (up)'!B12)</f>
        <v>107590.2667570695</v>
      </c>
      <c r="E12" s="15">
        <v>4</v>
      </c>
      <c r="F12" s="15">
        <f>Data!C8</f>
        <v>9.7442299999999996E-3</v>
      </c>
      <c r="G12" s="15">
        <f>Data!E8</f>
        <v>0.96689487036739585</v>
      </c>
      <c r="H12" s="31">
        <f>EXP(-Data!Q8*'ir risk (up)'!E12)</f>
        <v>0.9294521057912446</v>
      </c>
      <c r="I12" s="20">
        <f>C12-C11*(Data!$K$5)</f>
        <v>105485.43154385824</v>
      </c>
      <c r="J12" s="23"/>
      <c r="K12" s="20">
        <f>I12-Data!$K$4</f>
        <v>105465.43154385824</v>
      </c>
      <c r="L12" s="20">
        <f>K12*H12*(G11*(1-Data!$K$8)^E11)*((1-F12)*Data!$K$8)</f>
        <v>8731.0091254796662</v>
      </c>
      <c r="M12" s="23"/>
      <c r="N12" s="20">
        <f>MAX(Data!$K$3*Data!$H$3,'ir risk (up)'!I12)-Data!$K$4</f>
        <v>109980.00000000001</v>
      </c>
      <c r="O12" s="20">
        <f>N12*H12*(G11*(1-Data!$K$8)^E11)*(F12)</f>
        <v>597.27853745502671</v>
      </c>
      <c r="P12" s="23"/>
      <c r="Q12" s="20">
        <f>Data!$K$11*(1+Data!$K$10)^'ir risk (up)'!E11*Data!$K$12</f>
        <v>53.060399999999994</v>
      </c>
      <c r="R12" s="20">
        <f>$Q12*$H12*($G11*(1-Data!$K$8)^$E11)</f>
        <v>29.572373794558601</v>
      </c>
      <c r="S12" s="23"/>
      <c r="T12" s="20">
        <f>C11*Data!$K$6</f>
        <v>1473.384649247889</v>
      </c>
      <c r="U12" s="20">
        <f>$T12*$H12*($G11*(1-Data!$K$8)^$E11)</f>
        <v>821.16760504487706</v>
      </c>
      <c r="V12" s="22"/>
      <c r="W12" s="20">
        <f t="shared" si="0"/>
        <v>10179.02764177413</v>
      </c>
    </row>
    <row r="13" spans="2:23" x14ac:dyDescent="0.75">
      <c r="B13" s="15">
        <v>5</v>
      </c>
      <c r="C13" s="30">
        <f>$C$8*EXP(Data!Q9*'ir risk (up)'!B13)</f>
        <v>109938.39747737972</v>
      </c>
      <c r="E13" s="15">
        <v>5</v>
      </c>
      <c r="F13" s="15">
        <f>Data!C9</f>
        <v>1.074365E-2</v>
      </c>
      <c r="G13" s="15">
        <f>Data!E9</f>
        <v>0.95650689029337321</v>
      </c>
      <c r="H13" s="31">
        <f>EXP(-Data!Q9*'ir risk (up)'!E13)</f>
        <v>0.90960030612212095</v>
      </c>
      <c r="I13" s="20">
        <f>C13-C12*(Data!$K$5)</f>
        <v>107786.59214223834</v>
      </c>
      <c r="J13" s="23"/>
      <c r="K13" s="20">
        <f>I13-Data!$K$4</f>
        <v>107766.59214223834</v>
      </c>
      <c r="L13" s="20">
        <f>K13*H13*(G12*(1-Data!$K$8)^E12)*((1-F13)*Data!$K$8)</f>
        <v>7341.5846755477978</v>
      </c>
      <c r="M13" s="23"/>
      <c r="N13" s="20">
        <f>MAX(Data!$K$3*Data!$H$3,'ir risk (up)'!I13)-Data!$K$4</f>
        <v>109980.00000000001</v>
      </c>
      <c r="O13" s="20">
        <f>N13*H13*(G12*(1-Data!$K$8)^E12)*(F13)</f>
        <v>542.46425221808363</v>
      </c>
      <c r="P13" s="23"/>
      <c r="Q13" s="20">
        <f>Data!$K$11*(1+Data!$K$10)^'ir risk (up)'!E12*Data!$K$12</f>
        <v>54.121608000000002</v>
      </c>
      <c r="R13" s="20">
        <f>$Q13*$H13*($G12*(1-Data!$K$8)^$E12)</f>
        <v>24.847130918451274</v>
      </c>
      <c r="S13" s="23"/>
      <c r="T13" s="20">
        <f>C12*Data!$K$6</f>
        <v>1506.2637345989731</v>
      </c>
      <c r="U13" s="20">
        <f>$T13*$H13*($G12*(1-Data!$K$8)^$E12)</f>
        <v>691.52291652709243</v>
      </c>
      <c r="V13" s="22"/>
      <c r="W13" s="20">
        <f t="shared" si="0"/>
        <v>8600.4189752114253</v>
      </c>
    </row>
    <row r="14" spans="2:23" x14ac:dyDescent="0.75">
      <c r="B14" s="15">
        <v>6</v>
      </c>
      <c r="C14" s="30">
        <f>$C$8*EXP(Data!Q10*'ir risk (up)'!B14)</f>
        <v>112364.73986635213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31">
        <f>EXP(-Data!Q10*'ir risk (up)'!E14)</f>
        <v>0.88995889741693979</v>
      </c>
      <c r="I14" s="20">
        <f>C14-C13*(Data!$K$5)</f>
        <v>110165.97191680454</v>
      </c>
      <c r="J14" s="23"/>
      <c r="K14" s="20">
        <f>I14-Data!$K$4</f>
        <v>110145.97191680454</v>
      </c>
      <c r="L14" s="20">
        <f>K14*H14*(G13*(1-Data!$K$8)^E13)*((1-F14)*Data!$K$8)</f>
        <v>6167.1285819329596</v>
      </c>
      <c r="M14" s="23"/>
      <c r="N14" s="20">
        <f>MAX(Data!$K$3*Data!$H$3,'ir risk (up)'!I14)-Data!$K$4</f>
        <v>110145.97191680454</v>
      </c>
      <c r="O14" s="20">
        <f>N14*H14*(G13*(1-Data!$K$8)^E13)*(F14)</f>
        <v>488.48867476984657</v>
      </c>
      <c r="P14" s="23"/>
      <c r="Q14" s="20">
        <f>Data!$K$11*(1+Data!$K$10)^'ir risk (up)'!E13*Data!$K$12</f>
        <v>55.204040159999998</v>
      </c>
      <c r="R14" s="20">
        <f>$Q14*$H14*($G13*(1-Data!$K$8)^$E13)</f>
        <v>20.850839431638967</v>
      </c>
      <c r="S14" s="23"/>
      <c r="T14" s="20">
        <f>C13*Data!$K$6</f>
        <v>1539.1375646833162</v>
      </c>
      <c r="U14" s="20">
        <f>$T14*$H14*($G13*(1-Data!$K$8)^$E13)</f>
        <v>581.33988257745773</v>
      </c>
      <c r="V14" s="22"/>
      <c r="W14" s="20">
        <f t="shared" si="0"/>
        <v>7257.8079787119023</v>
      </c>
    </row>
    <row r="15" spans="2:23" x14ac:dyDescent="0.75">
      <c r="B15" s="15">
        <v>7</v>
      </c>
      <c r="C15" s="30">
        <f>$C$8*EXP(Data!Q11*'ir risk (up)'!B15)</f>
        <v>114890.57871649809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31">
        <f>EXP(-Data!Q11*'ir risk (up)'!E15)</f>
        <v>0.87039338749226947</v>
      </c>
      <c r="I15" s="20">
        <f>C15-C14*(Data!$K$5)</f>
        <v>112643.28391917104</v>
      </c>
      <c r="J15" s="23"/>
      <c r="K15" s="20">
        <f>I15-Data!$K$4</f>
        <v>112623.28391917104</v>
      </c>
      <c r="L15" s="20">
        <f>K15*H15*(G14*(1-Data!$K$8)^E14)*((1-F15)*Data!$K$8)</f>
        <v>5174.265105976734</v>
      </c>
      <c r="M15" s="23"/>
      <c r="N15" s="20">
        <f>MAX(Data!$K$3*Data!$H$3,'ir risk (up)'!I15)-Data!$K$4</f>
        <v>112623.28391917104</v>
      </c>
      <c r="O15" s="20">
        <f>N15*H15*(G14*(1-Data!$K$8)^E14)*(F15)</f>
        <v>452.37975771804798</v>
      </c>
      <c r="P15" s="23"/>
      <c r="Q15" s="20">
        <f>Data!$K$11*(1+Data!$K$10)^'ir risk (up)'!E14*Data!$K$12</f>
        <v>56.308120963200004</v>
      </c>
      <c r="R15" s="20">
        <f>$Q15*$H15*($G14*(1-Data!$K$8)^$E14)</f>
        <v>17.472647652071711</v>
      </c>
      <c r="S15" s="23"/>
      <c r="T15" s="20">
        <f>C14*Data!$K$6</f>
        <v>1573.10635812893</v>
      </c>
      <c r="U15" s="20">
        <f>$T15*$H15*($G14*(1-Data!$K$8)^$E14)</f>
        <v>488.14154414394568</v>
      </c>
      <c r="V15" s="22"/>
      <c r="W15" s="20">
        <f t="shared" si="0"/>
        <v>6132.2590554907993</v>
      </c>
    </row>
    <row r="16" spans="2:23" x14ac:dyDescent="0.75">
      <c r="B16" s="15">
        <v>8</v>
      </c>
      <c r="C16" s="30">
        <f>$C$8*EXP(Data!Q12*'ir risk (up)'!B16)</f>
        <v>117586.02413209998</v>
      </c>
      <c r="E16" s="15">
        <v>8</v>
      </c>
      <c r="F16" s="15">
        <f>Data!C12</f>
        <v>1.4286E-2</v>
      </c>
      <c r="G16" s="15">
        <f>Data!E12</f>
        <v>0.91971023218701531</v>
      </c>
      <c r="H16" s="31">
        <f>EXP(-Data!Q12*'ir risk (up)'!E16)</f>
        <v>0.85044120454023298</v>
      </c>
      <c r="I16" s="20">
        <f>C16-C15*(Data!$K$5)</f>
        <v>115288.21255777002</v>
      </c>
      <c r="J16" s="23"/>
      <c r="K16" s="20">
        <f>I16-Data!$K$4</f>
        <v>115268.21255777002</v>
      </c>
      <c r="L16" s="20">
        <f>K16*H16*(G15*(1-Data!$K$8)^E15)*((1-F16)*Data!$K$8)</f>
        <v>4335.3943761637511</v>
      </c>
      <c r="M16" s="23"/>
      <c r="N16" s="20">
        <f>MAX(Data!$K$3*Data!$H$3,'ir risk (up)'!I16)-Data!$K$4</f>
        <v>115268.21255777002</v>
      </c>
      <c r="O16" s="20">
        <f>N16*H16*(G15*(1-Data!$K$8)^E15)*(F16)</f>
        <v>418.88718267756741</v>
      </c>
      <c r="P16" s="23"/>
      <c r="Q16" s="20">
        <f>Data!$K$11*(1+Data!$K$10)^'ir risk (up)'!E15*Data!$K$12</f>
        <v>57.434283382463988</v>
      </c>
      <c r="R16" s="20">
        <f>$Q16*$H16*($G15*(1-Data!$K$8)^$E15)</f>
        <v>14.609927943606886</v>
      </c>
      <c r="S16" s="23"/>
      <c r="T16" s="20">
        <f>C15*Data!$K$6</f>
        <v>1608.4681020309733</v>
      </c>
      <c r="U16" s="20">
        <f>$T16*$H16*($G15*(1-Data!$K$8)^$E15)</f>
        <v>409.15637292407865</v>
      </c>
      <c r="V16" s="22"/>
      <c r="W16" s="20">
        <f t="shared" si="0"/>
        <v>5178.0478597090041</v>
      </c>
    </row>
    <row r="17" spans="2:23" x14ac:dyDescent="0.75">
      <c r="B17" s="15">
        <v>9</v>
      </c>
      <c r="C17" s="30">
        <f>$C$8*EXP(Data!Q13*'ir risk (up)'!B17)</f>
        <v>120445.83935874364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31">
        <f>EXP(-Data!Q13*'ir risk (up)'!E17)</f>
        <v>0.83024868714770261</v>
      </c>
      <c r="I17" s="20">
        <f>C17-C16*(Data!$K$5)</f>
        <v>118094.11887610164</v>
      </c>
      <c r="J17" s="23"/>
      <c r="K17" s="20">
        <f>I17-Data!$K$4</f>
        <v>118074.11887610164</v>
      </c>
      <c r="L17" s="20">
        <f>K17*H17*(G16*(1-Data!$K$8)^E16)*((1-F17)*Data!$K$8)</f>
        <v>3626.8185221348622</v>
      </c>
      <c r="M17" s="23"/>
      <c r="N17" s="20">
        <f>MAX(Data!$K$3*Data!$H$3,'ir risk (up)'!I17)-Data!$K$4</f>
        <v>118074.11887610164</v>
      </c>
      <c r="O17" s="20">
        <f>N17*H17*(G16*(1-Data!$K$8)^E16)*(F17)</f>
        <v>388.95706522789311</v>
      </c>
      <c r="P17" s="23"/>
      <c r="Q17" s="20">
        <f>Data!$K$11*(1+Data!$K$10)^'ir risk (up)'!E16*Data!$K$12</f>
        <v>58.582969050113277</v>
      </c>
      <c r="R17" s="20">
        <f>$Q17*$H17*($G16*(1-Data!$K$8)^$E16)</f>
        <v>12.18939076825415</v>
      </c>
      <c r="S17" s="23"/>
      <c r="T17" s="20">
        <f>C16*Data!$K$6</f>
        <v>1646.2043378493997</v>
      </c>
      <c r="U17" s="20">
        <f>$T17*$H17*($G16*(1-Data!$K$8)^$E16)</f>
        <v>342.52664697271109</v>
      </c>
      <c r="V17" s="22"/>
      <c r="W17" s="20">
        <f t="shared" si="0"/>
        <v>4370.4916251037203</v>
      </c>
    </row>
    <row r="18" spans="2:23" x14ac:dyDescent="0.75">
      <c r="B18" s="15">
        <v>10</v>
      </c>
      <c r="C18" s="30">
        <f>$C$8*EXP(Data!Q14*'ir risk (up)'!B18)</f>
        <v>123478.88700002444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31">
        <f>EXP(-Data!Q14*'ir risk (up)'!E18)</f>
        <v>0.80985504833696975</v>
      </c>
      <c r="I18" s="20">
        <f>C18-C17*(Data!$K$5)</f>
        <v>121069.97021284956</v>
      </c>
      <c r="J18" s="23"/>
      <c r="K18" s="20">
        <f>I18-Data!$K$4</f>
        <v>121049.97021284956</v>
      </c>
      <c r="L18" s="20">
        <f>K18*H18*(G17*(1-Data!$K$8)^E17)*((1-F18)*Data!$K$8)</f>
        <v>3029.1021663043844</v>
      </c>
      <c r="M18" s="23"/>
      <c r="N18" s="20">
        <f>MAX(Data!$K$3*Data!$H$3,'ir risk (up)'!I18)-Data!$K$4</f>
        <v>121049.97021284956</v>
      </c>
      <c r="O18" s="20">
        <f>N18*H18*(G17*(1-Data!$K$8)^E17)*(F18)</f>
        <v>358.3863945439029</v>
      </c>
      <c r="P18" s="23"/>
      <c r="Q18" s="20">
        <f>Data!$K$11*(1+Data!$K$10)^'ir risk (up)'!E17*Data!$K$12</f>
        <v>59.754628431115542</v>
      </c>
      <c r="R18" s="20">
        <f>$Q18*$H18*($G17*(1-Data!$K$8)^$E17)</f>
        <v>10.145405845183857</v>
      </c>
      <c r="S18" s="23"/>
      <c r="T18" s="20">
        <f>C17*Data!$K$6</f>
        <v>1686.2417510224111</v>
      </c>
      <c r="U18" s="20">
        <f>$T18*$H18*($G17*(1-Data!$K$8)^$E17)</f>
        <v>286.29760348919729</v>
      </c>
      <c r="V18" s="22"/>
      <c r="W18" s="20">
        <f t="shared" si="0"/>
        <v>3683.9315701826681</v>
      </c>
    </row>
    <row r="19" spans="2:23" x14ac:dyDescent="0.75">
      <c r="B19" s="15">
        <v>11</v>
      </c>
      <c r="C19" s="30">
        <f>$C$8*EXP(Data!Q15*'ir risk (up)'!B19)</f>
        <v>126583.24892510351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31">
        <f>EXP(-Data!Q15*'ir risk (up)'!E19)</f>
        <v>0.78999394350486118</v>
      </c>
      <c r="I19" s="20">
        <f>C19-C18*(Data!$K$5)</f>
        <v>124113.67118510303</v>
      </c>
      <c r="J19" s="23"/>
      <c r="K19" s="20">
        <f>I19-Data!$K$4</f>
        <v>124093.67118510303</v>
      </c>
      <c r="L19" s="20">
        <f>K19*H19*(G18*(1-Data!$K$8)^E18)*((1-F19)*Data!$K$8)</f>
        <v>2524.7876230914171</v>
      </c>
      <c r="M19" s="23"/>
      <c r="N19" s="20">
        <f>MAX(Data!$K$3*Data!$H$3,'ir risk (up)'!I19)-Data!$K$4</f>
        <v>124093.67118510303</v>
      </c>
      <c r="O19" s="20">
        <f>N19*H19*(G18*(1-Data!$K$8)^E18)*(F19)</f>
        <v>333.05067571881932</v>
      </c>
      <c r="P19" s="23"/>
      <c r="Q19" s="20">
        <f>Data!$K$11*(1+Data!$K$10)^'ir risk (up)'!E18*Data!$K$12</f>
        <v>60.949720999737856</v>
      </c>
      <c r="R19" s="20">
        <f>$Q19*$H19*($G18*(1-Data!$K$8)^$E18)</f>
        <v>8.4307282596496869</v>
      </c>
      <c r="S19" s="23"/>
      <c r="T19" s="20">
        <f>C18*Data!$K$6</f>
        <v>1728.7044180003422</v>
      </c>
      <c r="U19" s="20">
        <f>$T19*$H19*($G18*(1-Data!$K$8)^$E18)</f>
        <v>239.11901400630583</v>
      </c>
      <c r="V19" s="22"/>
      <c r="W19" s="20">
        <f t="shared" si="0"/>
        <v>3105.3880410761922</v>
      </c>
    </row>
    <row r="20" spans="2:23" x14ac:dyDescent="0.75">
      <c r="B20" s="15">
        <v>12</v>
      </c>
      <c r="C20" s="30">
        <f>$C$8*EXP(Data!Q16*'ir risk (up)'!B20)</f>
        <v>129744.89624686804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31">
        <f>EXP(-Data!Q16*'ir risk (up)'!E20)</f>
        <v>0.77074322684514796</v>
      </c>
      <c r="I20" s="20">
        <f>C20-C19*(Data!$K$5)</f>
        <v>127213.23126836597</v>
      </c>
      <c r="J20" s="23"/>
      <c r="K20" s="20">
        <f>I20-Data!$K$4</f>
        <v>127193.23126836597</v>
      </c>
      <c r="L20" s="20">
        <f>K20*H20*(G19*(1-Data!$K$8)^E19)*((1-F20)*Data!$K$8)</f>
        <v>2100.6868214756792</v>
      </c>
      <c r="M20" s="23"/>
      <c r="N20" s="20">
        <f>MAX(Data!$K$3*Data!$H$3,'ir risk (up)'!I20)-Data!$K$4</f>
        <v>127193.23126836597</v>
      </c>
      <c r="O20" s="20">
        <f>N20*H20*(G19*(1-Data!$K$8)^E19)*(F20)</f>
        <v>302.56168431412868</v>
      </c>
      <c r="P20" s="23"/>
      <c r="Q20" s="20">
        <f>Data!$K$11*(1+Data!$K$10)^'ir risk (up)'!E19*Data!$K$12</f>
        <v>62.1687154197326</v>
      </c>
      <c r="R20" s="20">
        <f>$Q20*$H20*($G19*(1-Data!$K$8)^$E19)</f>
        <v>6.9929550258409305</v>
      </c>
      <c r="S20" s="23"/>
      <c r="T20" s="20">
        <f>C19*Data!$K$6</f>
        <v>1772.1654849514493</v>
      </c>
      <c r="U20" s="20">
        <f>$T20*$H20*($G19*(1-Data!$K$8)^$E19)</f>
        <v>199.33938558877773</v>
      </c>
      <c r="V20" s="22"/>
      <c r="W20" s="20">
        <f t="shared" si="0"/>
        <v>2609.5808464044262</v>
      </c>
    </row>
    <row r="21" spans="2:23" x14ac:dyDescent="0.75">
      <c r="B21" s="15">
        <v>13</v>
      </c>
      <c r="C21" s="30">
        <f>$C$8*EXP(Data!Q17*'ir risk (up)'!B21)</f>
        <v>132988.17120897025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31">
        <f>EXP(-Data!Q17*'ir risk (up)'!E21)</f>
        <v>0.75194657608206028</v>
      </c>
      <c r="I21" s="20">
        <f>C21-C20*(Data!$K$5)</f>
        <v>130393.27328403288</v>
      </c>
      <c r="J21" s="23"/>
      <c r="K21" s="20">
        <f>I21-Data!$K$4</f>
        <v>130373.27328403288</v>
      </c>
      <c r="L21" s="20">
        <f>K21*H21*(G20*(1-Data!$K$8)^E20)*((1-F21)*Data!$K$8)</f>
        <v>1743.9878098083777</v>
      </c>
      <c r="M21" s="23"/>
      <c r="N21" s="20">
        <f>MAX(Data!$K$3*Data!$H$3,'ir risk (up)'!I21)-Data!$K$4</f>
        <v>130373.27328403288</v>
      </c>
      <c r="O21" s="20">
        <f>N21*H21*(G20*(1-Data!$K$8)^E20)*(F21)</f>
        <v>277.35697673170961</v>
      </c>
      <c r="P21" s="23"/>
      <c r="Q21" s="20">
        <f>Data!$K$11*(1+Data!$K$10)^'ir risk (up)'!E20*Data!$K$12</f>
        <v>63.412089728127263</v>
      </c>
      <c r="R21" s="20">
        <f>$Q21*$H21*($G20*(1-Data!$K$8)^$E20)</f>
        <v>5.7899433144263064</v>
      </c>
      <c r="S21" s="23"/>
      <c r="T21" s="20">
        <f>C20*Data!$K$6</f>
        <v>1816.4285474561525</v>
      </c>
      <c r="U21" s="20">
        <f>$T21*$H21*($G20*(1-Data!$K$8)^$E20)</f>
        <v>165.85194352634426</v>
      </c>
      <c r="V21" s="22"/>
      <c r="W21" s="20">
        <f t="shared" si="0"/>
        <v>2192.9866733808581</v>
      </c>
    </row>
    <row r="22" spans="2:23" x14ac:dyDescent="0.75">
      <c r="B22" s="15">
        <v>14</v>
      </c>
      <c r="C22" s="30">
        <f>$C$8*EXP(Data!Q18*'ir risk (up)'!B22)</f>
        <v>136222.58277951239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31">
        <f>EXP(-Data!Q18*'ir risk (up)'!E22)</f>
        <v>0.73409267361975039</v>
      </c>
      <c r="I22" s="20">
        <f>C22-C21*(Data!$K$5)</f>
        <v>133562.81935533299</v>
      </c>
      <c r="J22" s="23"/>
      <c r="K22" s="20">
        <f>I22-Data!$K$4</f>
        <v>133542.81935533299</v>
      </c>
      <c r="L22" s="20">
        <f>K22*H22*(G21*(1-Data!$K$8)^E21)*((1-F22)*Data!$K$8)</f>
        <v>1444.7681645843959</v>
      </c>
      <c r="M22" s="23"/>
      <c r="N22" s="20">
        <f>MAX(Data!$K$3*Data!$H$3,'ir risk (up)'!I22)-Data!$K$4</f>
        <v>133542.81935533299</v>
      </c>
      <c r="O22" s="20">
        <f>N22*H22*(G21*(1-Data!$K$8)^E21)*(F22)</f>
        <v>250.71595699788651</v>
      </c>
      <c r="P22" s="23"/>
      <c r="Q22" s="20">
        <f>Data!$K$11*(1+Data!$K$10)^'ir risk (up)'!E21*Data!$K$12</f>
        <v>64.680331522689798</v>
      </c>
      <c r="R22" s="20">
        <f>$Q22*$H22*($G21*(1-Data!$K$8)^$E21)</f>
        <v>4.7865068299990474</v>
      </c>
      <c r="S22" s="23"/>
      <c r="T22" s="20">
        <f>C21*Data!$K$6</f>
        <v>1861.8343969255836</v>
      </c>
      <c r="U22" s="20">
        <f>$T22*$H22*($G21*(1-Data!$K$8)^$E21)</f>
        <v>137.78041712858652</v>
      </c>
      <c r="V22" s="22"/>
      <c r="W22" s="20">
        <f t="shared" si="0"/>
        <v>1838.051045540868</v>
      </c>
    </row>
    <row r="23" spans="2:23" x14ac:dyDescent="0.75">
      <c r="B23" s="15">
        <v>15</v>
      </c>
      <c r="C23" s="30">
        <f>$C$8*EXP(Data!Q19*'ir risk (up)'!B23)</f>
        <v>139263.82921157085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31">
        <f>EXP(-Data!Q19*'ir risk (up)'!E23)</f>
        <v>0.71806154236990805</v>
      </c>
      <c r="I23" s="20">
        <f>C23-C22*(Data!$K$5)</f>
        <v>136539.37755598061</v>
      </c>
      <c r="J23" s="23"/>
      <c r="K23" s="20">
        <f>I23-Data!$K$4</f>
        <v>136519.37755598061</v>
      </c>
      <c r="L23" s="20">
        <f>K23*H23*(G22*(1-Data!$K$8)^E22)*((1-F23)*Data!$K$8)</f>
        <v>1193.3591663212012</v>
      </c>
      <c r="M23" s="23"/>
      <c r="N23" s="20">
        <f>MAX(Data!$K$3*Data!$H$3,'ir risk (up)'!I23)-Data!$K$4</f>
        <v>136519.37755598061</v>
      </c>
      <c r="O23" s="20">
        <f>N23*H23*(G22*(1-Data!$K$8)^E22)*(F23)</f>
        <v>231.0003221633165</v>
      </c>
      <c r="P23" s="23"/>
      <c r="Q23" s="20">
        <f>Data!$K$11*(1+Data!$K$10)^'ir risk (up)'!E22*Data!$K$12</f>
        <v>65.973938153143607</v>
      </c>
      <c r="R23" s="20">
        <f>$Q23*$H23*($G22*(1-Data!$K$8)^$E22)</f>
        <v>3.9562932593118227</v>
      </c>
      <c r="S23" s="23"/>
      <c r="T23" s="20">
        <f>C22*Data!$K$6</f>
        <v>1907.1161589131734</v>
      </c>
      <c r="U23" s="20">
        <f>$T23*$H23*($G22*(1-Data!$K$8)^$E22)</f>
        <v>114.36502072558669</v>
      </c>
      <c r="V23" s="22"/>
      <c r="W23" s="20">
        <f t="shared" si="0"/>
        <v>1542.6808024694162</v>
      </c>
    </row>
    <row r="24" spans="2:23" x14ac:dyDescent="0.75">
      <c r="B24" s="15">
        <v>16</v>
      </c>
      <c r="C24" s="30">
        <f>$C$8*EXP(Data!Q20*'ir risk (up)'!B24)</f>
        <v>142031.68776601853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31">
        <f>EXP(-Data!Q20*'ir risk (up)'!E24)</f>
        <v>0.70406823697496934</v>
      </c>
      <c r="I24" s="20">
        <f>C24-C23*(Data!$K$5)</f>
        <v>139246.41118178712</v>
      </c>
      <c r="J24" s="23"/>
      <c r="K24" s="20">
        <f>I24-Data!$K$4</f>
        <v>139226.41118178712</v>
      </c>
      <c r="L24" s="20">
        <f>K24*H24*(G23*(1-Data!$K$8)^E23)*((1-F24)*Data!$K$8)</f>
        <v>982.36357243647399</v>
      </c>
      <c r="M24" s="23"/>
      <c r="N24" s="20">
        <f>MAX(Data!$K$3*Data!$H$3,'ir risk (up)'!I24)-Data!$K$4</f>
        <v>139226.41118178712</v>
      </c>
      <c r="O24" s="20">
        <f>N24*H24*(G23*(1-Data!$K$8)^E23)*(F24)</f>
        <v>212.97315528334917</v>
      </c>
      <c r="P24" s="23"/>
      <c r="Q24" s="20">
        <f>Data!$K$11*(1+Data!$K$10)^'ir risk (up)'!E23*Data!$K$12</f>
        <v>67.293416916206468</v>
      </c>
      <c r="R24" s="20">
        <f>$Q24*$H24*($G23*(1-Data!$K$8)^$E23)</f>
        <v>3.2683624016186639</v>
      </c>
      <c r="S24" s="23"/>
      <c r="T24" s="20">
        <f>C23*Data!$K$6</f>
        <v>1949.6936089619919</v>
      </c>
      <c r="U24" s="20">
        <f>$T24*$H24*($G23*(1-Data!$K$8)^$E23)</f>
        <v>94.694333832718712</v>
      </c>
      <c r="V24" s="22"/>
      <c r="W24" s="20">
        <f t="shared" si="0"/>
        <v>1293.2994239541604</v>
      </c>
    </row>
    <row r="25" spans="2:23" x14ac:dyDescent="0.75">
      <c r="B25" s="15">
        <v>17</v>
      </c>
      <c r="C25" s="30">
        <f>$C$8*EXP(Data!Q21*'ir risk (up)'!B25)</f>
        <v>144663.47543560373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31">
        <f>EXP(-Data!Q21*'ir risk (up)'!E25)</f>
        <v>0.69125948826325934</v>
      </c>
      <c r="I25" s="20">
        <f>C25-C24*(Data!$K$5)</f>
        <v>141822.84168028337</v>
      </c>
      <c r="J25" s="23"/>
      <c r="K25" s="20">
        <f>I25-Data!$K$4</f>
        <v>141802.84168028337</v>
      </c>
      <c r="L25" s="20">
        <f>K25*H25*(G24*(1-Data!$K$8)^E24)*((1-F25)*Data!$K$8)</f>
        <v>805.21208811778774</v>
      </c>
      <c r="M25" s="23"/>
      <c r="N25" s="20">
        <f>MAX(Data!$K$3*Data!$H$3,'ir risk (up)'!I25)-Data!$K$4</f>
        <v>141802.84168028337</v>
      </c>
      <c r="O25" s="20">
        <f>N25*H25*(G24*(1-Data!$K$8)^E24)*(F25)</f>
        <v>198.51377276831715</v>
      </c>
      <c r="P25" s="23"/>
      <c r="Q25" s="20">
        <f>Data!$K$11*(1+Data!$K$10)^'ir risk (up)'!E24*Data!$K$12</f>
        <v>68.639285254530606</v>
      </c>
      <c r="R25" s="20">
        <f>$Q25*$H25*($G24*(1-Data!$K$8)^$E24)</f>
        <v>2.6944950725944761</v>
      </c>
      <c r="S25" s="23"/>
      <c r="T25" s="20">
        <f>C24*Data!$K$6</f>
        <v>1988.4436287242595</v>
      </c>
      <c r="U25" s="20">
        <f>$T25*$H25*($G24*(1-Data!$K$8)^$E24)</f>
        <v>78.058090783743211</v>
      </c>
      <c r="V25" s="22"/>
      <c r="W25" s="20">
        <f t="shared" si="0"/>
        <v>1084.4784467424427</v>
      </c>
    </row>
    <row r="26" spans="2:23" x14ac:dyDescent="0.75">
      <c r="B26" s="15">
        <v>18</v>
      </c>
      <c r="C26" s="30">
        <f>$C$8*EXP(Data!Q22*'ir risk (up)'!B26)</f>
        <v>147335.188651581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31">
        <f>EXP(-Data!Q22*'ir risk (up)'!E26)</f>
        <v>0.67872448472903846</v>
      </c>
      <c r="I26" s="20">
        <f>C26-C25*(Data!$K$5)</f>
        <v>144441.91914286892</v>
      </c>
      <c r="J26" s="23"/>
      <c r="K26" s="20">
        <f>I26-Data!$K$4</f>
        <v>144421.91914286892</v>
      </c>
      <c r="L26" s="20">
        <f>K26*H26*(G25*(1-Data!$K$8)^E25)*((1-F26)*Data!$K$8)</f>
        <v>657.44635270407753</v>
      </c>
      <c r="M26" s="23"/>
      <c r="N26" s="20">
        <f>MAX(Data!$K$3*Data!$H$3,'ir risk (up)'!I26)-Data!$K$4</f>
        <v>144421.91914286892</v>
      </c>
      <c r="O26" s="20">
        <f>N26*H26*(G25*(1-Data!$K$8)^E25)*(F26)</f>
        <v>179.89900007654316</v>
      </c>
      <c r="P26" s="23"/>
      <c r="Q26" s="20">
        <f>Data!$K$11*(1+Data!$K$10)^'ir risk (up)'!E25*Data!$K$12</f>
        <v>70.012070959621227</v>
      </c>
      <c r="R26" s="20">
        <f>$Q26*$H26*($G25*(1-Data!$K$8)^$E25)</f>
        <v>2.2119655250806005</v>
      </c>
      <c r="S26" s="23"/>
      <c r="T26" s="20">
        <f>C25*Data!$K$6</f>
        <v>2025.2886560984523</v>
      </c>
      <c r="U26" s="20">
        <f>$T26*$H26*($G25*(1-Data!$K$8)^$E25)</f>
        <v>63.987090000670278</v>
      </c>
      <c r="V26" s="22"/>
      <c r="W26" s="20">
        <f t="shared" si="0"/>
        <v>903.54440830637157</v>
      </c>
    </row>
    <row r="27" spans="2:23" x14ac:dyDescent="0.75">
      <c r="B27" s="15">
        <v>19</v>
      </c>
      <c r="C27" s="30">
        <f>$C$8*EXP(Data!Q23*'ir risk (up)'!B27)</f>
        <v>150255.95190694375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31">
        <f>EXP(-Data!Q23*'ir risk (up)'!E27)</f>
        <v>0.66553104040718347</v>
      </c>
      <c r="I27" s="20">
        <f>C27-C26*(Data!$K$5)</f>
        <v>147309.24813391213</v>
      </c>
      <c r="J27" s="23"/>
      <c r="K27" s="20">
        <f>I27-Data!$K$4</f>
        <v>147289.24813391213</v>
      </c>
      <c r="L27" s="20">
        <f>K27*H27*(G26*(1-Data!$K$8)^E26)*((1-F27)*Data!$K$8)</f>
        <v>534.01173911613159</v>
      </c>
      <c r="M27" s="23"/>
      <c r="N27" s="20">
        <f>MAX(Data!$K$3*Data!$H$3,'ir risk (up)'!I27)-Data!$K$4</f>
        <v>147289.24813391213</v>
      </c>
      <c r="O27" s="20">
        <f>N27*H27*(G26*(1-Data!$K$8)^E26)*(F27)</f>
        <v>165.5602988776661</v>
      </c>
      <c r="P27" s="23"/>
      <c r="Q27" s="20">
        <f>Data!$K$11*(1+Data!$K$10)^'ir risk (up)'!E26*Data!$K$12</f>
        <v>71.412312378813638</v>
      </c>
      <c r="R27" s="20">
        <f>$Q27*$H27*($G26*(1-Data!$K$8)^$E26)</f>
        <v>1.8063536069552104</v>
      </c>
      <c r="S27" s="23"/>
      <c r="T27" s="20">
        <f>C26*Data!$K$6</f>
        <v>2062.6926411221343</v>
      </c>
      <c r="U27" s="20">
        <f>$T27*$H27*($G26*(1-Data!$K$8)^$E26)</f>
        <v>52.175208563003203</v>
      </c>
      <c r="V27" s="22"/>
      <c r="W27" s="20">
        <f t="shared" si="0"/>
        <v>753.55360016375619</v>
      </c>
    </row>
    <row r="28" spans="2:23" x14ac:dyDescent="0.75">
      <c r="B28" s="15">
        <v>20</v>
      </c>
      <c r="C28" s="30">
        <f>$C$8*EXP(Data!Q24*'ir risk (up)'!B28)</f>
        <v>153541.39209028429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31">
        <f>EXP(-Data!Q24*'ir risk (up)'!E28)</f>
        <v>0.6512901741909356</v>
      </c>
      <c r="I28" s="20">
        <f>C28-C27*(Data!$K$5)</f>
        <v>150536.27305214541</v>
      </c>
      <c r="J28" s="23"/>
      <c r="K28" s="20">
        <f>I28-Data!$K$4</f>
        <v>150516.27305214541</v>
      </c>
      <c r="L28" s="20">
        <f>K28*H28*(G27*(1-Data!$K$8)^E27)*((1-F28)*Data!$K$8)</f>
        <v>431.56871787542821</v>
      </c>
      <c r="M28" s="23"/>
      <c r="N28" s="20">
        <f>MAX(Data!$K$3*Data!$H$3,'ir risk (up)'!I28)-Data!$K$4</f>
        <v>150516.27305214541</v>
      </c>
      <c r="O28" s="20">
        <f>N28*H28*(G27*(1-Data!$K$8)^E27)*(F28)</f>
        <v>149.07148759806711</v>
      </c>
      <c r="P28" s="23"/>
      <c r="Q28" s="20">
        <f>Data!$K$11*(1+Data!$K$10)^'ir risk (up)'!E27*Data!$K$12</f>
        <v>72.840558626389907</v>
      </c>
      <c r="R28" s="20">
        <f>$Q28*$H28*($G27*(1-Data!$K$8)^$E27)</f>
        <v>1.4644916632614469</v>
      </c>
      <c r="S28" s="23"/>
      <c r="T28" s="20">
        <f>C27*Data!$K$6</f>
        <v>2103.5833266972127</v>
      </c>
      <c r="U28" s="20">
        <f>$T28*$H28*($G27*(1-Data!$K$8)^$E27)</f>
        <v>42.293473622643639</v>
      </c>
      <c r="V28" s="22"/>
      <c r="W28" s="20">
        <f t="shared" si="0"/>
        <v>624.3981707594005</v>
      </c>
    </row>
    <row r="29" spans="2:23" x14ac:dyDescent="0.75">
      <c r="B29" s="15">
        <v>21</v>
      </c>
      <c r="C29" s="30">
        <f>$C$8*EXP(Data!Q25*'ir risk (up)'!B29)</f>
        <v>157396.82842270745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31">
        <f>EXP(-Data!Q25*'ir risk (up)'!E29)</f>
        <v>0.63533681715262003</v>
      </c>
      <c r="I29" s="20">
        <f>C29-C28*(Data!$K$5)</f>
        <v>154326.00058090177</v>
      </c>
      <c r="J29" s="23"/>
      <c r="K29" s="20">
        <f>I29-Data!$K$4</f>
        <v>154306.00058090177</v>
      </c>
      <c r="L29" s="20">
        <f>K29*H29*(G28*(1-Data!$K$8)^E28)*((1-F29)*Data!$K$8)</f>
        <v>346.8338721193511</v>
      </c>
      <c r="M29" s="23"/>
      <c r="N29" s="20">
        <f>MAX(Data!$K$3*Data!$H$3,'ir risk (up)'!I29)-Data!$K$4</f>
        <v>154306.00058090177</v>
      </c>
      <c r="O29" s="20">
        <f>N29*H29*(G28*(1-Data!$K$8)^E28)*(F29)</f>
        <v>133.49274865178501</v>
      </c>
      <c r="P29" s="23"/>
      <c r="Q29" s="20">
        <f>Data!$K$11*(1+Data!$K$10)^'ir risk (up)'!E28*Data!$K$12</f>
        <v>74.297369798917714</v>
      </c>
      <c r="R29" s="20">
        <f>$Q29*$H29*($G28*(1-Data!$K$8)^$E28)</f>
        <v>1.1775981219066871</v>
      </c>
      <c r="S29" s="23"/>
      <c r="T29" s="20">
        <f>C28*Data!$K$6</f>
        <v>2149.5794892639801</v>
      </c>
      <c r="U29" s="20">
        <f>$T29*$H29*($G28*(1-Data!$K$8)^$E28)</f>
        <v>34.070395443302388</v>
      </c>
      <c r="V29" s="22"/>
      <c r="W29" s="20">
        <f t="shared" si="0"/>
        <v>515.57461433634512</v>
      </c>
    </row>
    <row r="30" spans="2:23" x14ac:dyDescent="0.75">
      <c r="B30" s="15">
        <v>22</v>
      </c>
      <c r="C30" s="30">
        <f>$C$8*EXP(Data!Q26*'ir risk (up)'!B30)</f>
        <v>161756.18747753825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31">
        <f>EXP(-Data!Q26*'ir risk (up)'!E30)</f>
        <v>0.61821437287452252</v>
      </c>
      <c r="I30" s="20">
        <f>C30-C29*(Data!$K$5)</f>
        <v>158608.2509090841</v>
      </c>
      <c r="J30" s="23"/>
      <c r="K30" s="20">
        <f>I30-Data!$K$4</f>
        <v>158588.2509090841</v>
      </c>
      <c r="L30" s="20">
        <f>K30*H30*(G29*(1-Data!$K$8)^E29)*((1-F30)*Data!$K$8)</f>
        <v>277.05182109048138</v>
      </c>
      <c r="M30" s="23"/>
      <c r="N30" s="20">
        <f>MAX(Data!$K$3*Data!$H$3,'ir risk (up)'!I30)-Data!$K$4</f>
        <v>158588.2509090841</v>
      </c>
      <c r="O30" s="20">
        <f>N30*H30*(G29*(1-Data!$K$8)^E29)*(F30)</f>
        <v>118.48510751463654</v>
      </c>
      <c r="P30" s="23"/>
      <c r="Q30" s="20">
        <f>Data!$K$11*(1+Data!$K$10)^'ir risk (up)'!E29*Data!$K$12</f>
        <v>75.783317194896057</v>
      </c>
      <c r="R30" s="20">
        <f>$Q30*$H30*($G29*(1-Data!$K$8)^$E29)</f>
        <v>0.93923667450750536</v>
      </c>
      <c r="S30" s="23"/>
      <c r="T30" s="20">
        <f>C29*Data!$K$6</f>
        <v>2203.5555979179044</v>
      </c>
      <c r="U30" s="20">
        <f>$T30*$H30*($G29*(1-Data!$K$8)^$E29)</f>
        <v>27.31023539861884</v>
      </c>
      <c r="V30" s="22"/>
      <c r="W30" s="20">
        <f t="shared" si="0"/>
        <v>423.78640067824426</v>
      </c>
    </row>
    <row r="31" spans="2:23" x14ac:dyDescent="0.75">
      <c r="B31" s="15">
        <v>23</v>
      </c>
      <c r="C31" s="30">
        <f>$C$8*EXP(Data!Q27*'ir risk (up)'!B31)</f>
        <v>166629.06694752284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31">
        <f>EXP(-Data!Q27*'ir risk (up)'!E31)</f>
        <v>0.60013538953256818</v>
      </c>
      <c r="I31" s="20">
        <f>C31-C30*(Data!$K$5)</f>
        <v>163393.94319797208</v>
      </c>
      <c r="J31" s="23"/>
      <c r="K31" s="20">
        <f>I31-Data!$K$4</f>
        <v>163373.94319797208</v>
      </c>
      <c r="L31" s="20">
        <f>K31*H31*(G30*(1-Data!$K$8)^E30)*((1-F31)*Data!$K$8)</f>
        <v>220.03876501090531</v>
      </c>
      <c r="M31" s="23"/>
      <c r="N31" s="20">
        <f>MAX(Data!$K$3*Data!$H$3,'ir risk (up)'!I31)-Data!$K$4</f>
        <v>163373.94319797208</v>
      </c>
      <c r="O31" s="20">
        <f>N31*H31*(G30*(1-Data!$K$8)^E30)*(F31)</f>
        <v>103.11446819970767</v>
      </c>
      <c r="P31" s="23"/>
      <c r="Q31" s="20">
        <f>Data!$K$11*(1+Data!$K$10)^'ir risk (up)'!E30*Data!$K$12</f>
        <v>77.298983538793991</v>
      </c>
      <c r="R31" s="20">
        <f>$Q31*$H31*($G30*(1-Data!$K$8)^$E30)</f>
        <v>0.74285078983544217</v>
      </c>
      <c r="S31" s="23"/>
      <c r="T31" s="20">
        <f>C30*Data!$K$6</f>
        <v>2264.5866246855353</v>
      </c>
      <c r="U31" s="20">
        <f>$T31*$H31*($G30*(1-Data!$K$8)^$E30)</f>
        <v>21.762898886686632</v>
      </c>
      <c r="V31" s="22"/>
      <c r="W31" s="20">
        <f t="shared" si="0"/>
        <v>345.65898288713504</v>
      </c>
    </row>
    <row r="32" spans="2:23" x14ac:dyDescent="0.75">
      <c r="B32" s="15">
        <v>24</v>
      </c>
      <c r="C32" s="30">
        <f>$C$8*EXP(Data!Q28*'ir risk (up)'!B32)</f>
        <v>171971.74429917755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31">
        <f>EXP(-Data!Q28*'ir risk (up)'!E32)</f>
        <v>0.58149087460572002</v>
      </c>
      <c r="I32" s="20">
        <f>C32-C31*(Data!$K$5)</f>
        <v>168639.16296022708</v>
      </c>
      <c r="J32" s="23"/>
      <c r="K32" s="20">
        <f>I32-Data!$K$4</f>
        <v>168619.16296022708</v>
      </c>
      <c r="L32" s="20">
        <f>K32*H32*(G31*(1-Data!$K$8)^E31)*((1-F32)*Data!$K$8)</f>
        <v>173.31526307877058</v>
      </c>
      <c r="M32" s="23"/>
      <c r="N32" s="20">
        <f>MAX(Data!$K$3*Data!$H$3,'ir risk (up)'!I32)-Data!$K$4</f>
        <v>168619.16296022708</v>
      </c>
      <c r="O32" s="20">
        <f>N32*H32*(G31*(1-Data!$K$8)^E31)*(F32)</f>
        <v>91.502365104416526</v>
      </c>
      <c r="P32" s="23"/>
      <c r="Q32" s="20">
        <f>Data!$K$11*(1+Data!$K$10)^'ir risk (up)'!E31*Data!$K$12</f>
        <v>78.844963209569855</v>
      </c>
      <c r="R32" s="20">
        <f>$Q32*$H32*($G31*(1-Data!$K$8)^$E31)</f>
        <v>0.58305791480011182</v>
      </c>
      <c r="S32" s="23"/>
      <c r="T32" s="20">
        <f>C31*Data!$K$6</f>
        <v>2332.8069372653199</v>
      </c>
      <c r="U32" s="20">
        <f>$T32*$H32*($G31*(1-Data!$K$8)^$E31)</f>
        <v>17.251089899780212</v>
      </c>
      <c r="V32" s="22"/>
      <c r="W32" s="20">
        <f t="shared" si="0"/>
        <v>282.65177599776746</v>
      </c>
    </row>
    <row r="33" spans="2:23" x14ac:dyDescent="0.75">
      <c r="B33" s="15">
        <v>25</v>
      </c>
      <c r="C33" s="30">
        <f>$C$8*EXP(Data!Q29*'ir risk (up)'!B33)</f>
        <v>177801.93143558395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31">
        <f>EXP(-Data!Q29*'ir risk (up)'!E33)</f>
        <v>0.56242358669893922</v>
      </c>
      <c r="I33" s="20">
        <f>C33-C32*(Data!$K$5)</f>
        <v>174362.49654960039</v>
      </c>
      <c r="J33" s="23"/>
      <c r="K33" s="20">
        <f>I33-Data!$K$4</f>
        <v>174342.49654960039</v>
      </c>
      <c r="L33" s="20">
        <f>K33*H33*(G32*(1-Data!$K$8)^E32)*((1-F33)*Data!$K$8)</f>
        <v>135.05502467898199</v>
      </c>
      <c r="M33" s="23"/>
      <c r="N33" s="20">
        <f>MAX(Data!$K$3*Data!$H$3,'ir risk (up)'!I33)-Data!$K$4</f>
        <v>174342.49654960039</v>
      </c>
      <c r="O33" s="20">
        <f>N33*H33*(G32*(1-Data!$K$8)^E32)*(F33)</f>
        <v>81.791332741735303</v>
      </c>
      <c r="P33" s="23"/>
      <c r="Q33" s="20">
        <f>Data!$K$11*(1+Data!$K$10)^'ir risk (up)'!E32*Data!$K$12</f>
        <v>80.421862473761252</v>
      </c>
      <c r="R33" s="20">
        <f>$Q33*$H33*($G32*(1-Data!$K$8)^$E32)</f>
        <v>0.45305642829880272</v>
      </c>
      <c r="S33" s="23"/>
      <c r="T33" s="20">
        <f>C32*Data!$K$6</f>
        <v>2407.6044201884856</v>
      </c>
      <c r="U33" s="20">
        <f>$T33*$H33*($G32*(1-Data!$K$8)^$E32)</f>
        <v>13.563235491131374</v>
      </c>
      <c r="V33" s="22"/>
      <c r="W33" s="20">
        <f t="shared" si="0"/>
        <v>230.86264934014747</v>
      </c>
    </row>
    <row r="34" spans="2:23" x14ac:dyDescent="0.75">
      <c r="B34" s="15">
        <v>26</v>
      </c>
      <c r="C34" s="30">
        <f>$C$8*EXP(Data!Q30*'ir risk (up)'!B34)</f>
        <v>184083.63382310755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31">
        <f>EXP(-Data!Q30*'ir risk (up)'!E34)</f>
        <v>0.54323134503143022</v>
      </c>
      <c r="I34" s="20">
        <f>C34-C33*(Data!$K$5)</f>
        <v>180527.59519439586</v>
      </c>
      <c r="J34" s="23"/>
      <c r="K34" s="20">
        <f>I34-Data!$K$4</f>
        <v>180507.59519439586</v>
      </c>
      <c r="L34" s="20">
        <f>K34*H34*(G33*(1-Data!$K$8)^E33)*((1-F34)*Data!$K$8)</f>
        <v>103.77017497181504</v>
      </c>
      <c r="M34" s="23"/>
      <c r="N34" s="20">
        <f>MAX(Data!$K$3*Data!$H$3,'ir risk (up)'!I34)-Data!$K$4</f>
        <v>180507.59519439586</v>
      </c>
      <c r="O34" s="20">
        <f>N34*H34*(G33*(1-Data!$K$8)^E33)*(F34)</f>
        <v>73.534456941214771</v>
      </c>
      <c r="P34" s="23"/>
      <c r="Q34" s="20">
        <f>Data!$K$11*(1+Data!$K$10)^'ir risk (up)'!E33*Data!$K$12</f>
        <v>82.030299723236482</v>
      </c>
      <c r="R34" s="20">
        <f>$Q34*$H34*($G33*(1-Data!$K$8)^$E33)</f>
        <v>0.34780093607917212</v>
      </c>
      <c r="S34" s="23"/>
      <c r="T34" s="20">
        <f>C33*Data!$K$6</f>
        <v>2489.2270400981752</v>
      </c>
      <c r="U34" s="20">
        <f>$T34*$H34*($G33*(1-Data!$K$8)^$E33)</f>
        <v>10.554094006491752</v>
      </c>
      <c r="V34" s="22"/>
      <c r="W34" s="20">
        <f t="shared" si="0"/>
        <v>188.20652685560077</v>
      </c>
    </row>
    <row r="35" spans="2:23" x14ac:dyDescent="0.75">
      <c r="B35" s="15">
        <v>27</v>
      </c>
      <c r="C35" s="30">
        <f>$C$8*EXP(Data!Q31*'ir risk (up)'!B35)</f>
        <v>190810.38494922922</v>
      </c>
      <c r="E35" s="15">
        <v>27</v>
      </c>
      <c r="F35" s="15">
        <f>Data!C31</f>
        <v>0.10923843</v>
      </c>
      <c r="G35" s="15">
        <f>Data!E31</f>
        <v>0.36541747936325358</v>
      </c>
      <c r="H35" s="31">
        <f>EXP(-Data!Q31*'ir risk (up)'!E35)</f>
        <v>0.52408048978365607</v>
      </c>
      <c r="I35" s="20">
        <f>C35-C34*(Data!$K$5)</f>
        <v>187128.71227276706</v>
      </c>
      <c r="J35" s="23"/>
      <c r="K35" s="20">
        <f>I35-Data!$K$4</f>
        <v>187108.71227276706</v>
      </c>
      <c r="L35" s="20">
        <f>K35*H35*(G34*(1-Data!$K$8)^E34)*((1-F35)*Data!$K$8)</f>
        <v>78.571428181136383</v>
      </c>
      <c r="M35" s="23"/>
      <c r="N35" s="20">
        <f>MAX(Data!$K$3*Data!$H$3,'ir risk (up)'!I35)-Data!$K$4</f>
        <v>187108.71227276706</v>
      </c>
      <c r="O35" s="20">
        <f>N35*H35*(G34*(1-Data!$K$8)^E34)*(F35)</f>
        <v>64.23731292737213</v>
      </c>
      <c r="P35" s="23"/>
      <c r="Q35" s="20">
        <f>Data!$K$11*(1+Data!$K$10)^'ir risk (up)'!E34*Data!$K$12</f>
        <v>83.670905717701217</v>
      </c>
      <c r="R35" s="20">
        <f>$Q35*$H35*($G34*(1-Data!$K$8)^$E34)</f>
        <v>0.26296162599190276</v>
      </c>
      <c r="S35" s="23"/>
      <c r="T35" s="20">
        <f>C34*Data!$K$6</f>
        <v>2577.1708735235056</v>
      </c>
      <c r="U35" s="20">
        <f>$T35*$H35*($G34*(1-Data!$K$8)^$E34)</f>
        <v>8.0995542900803272</v>
      </c>
      <c r="V35" s="22"/>
      <c r="W35" s="20">
        <f t="shared" si="0"/>
        <v>151.17125702458074</v>
      </c>
    </row>
    <row r="36" spans="2:23" x14ac:dyDescent="0.75">
      <c r="B36" s="15">
        <v>28</v>
      </c>
      <c r="C36" s="30">
        <f>$C$8*EXP(Data!Q32*'ir risk (up)'!B36)</f>
        <v>198020.42580162079</v>
      </c>
      <c r="E36" s="15">
        <v>28</v>
      </c>
      <c r="F36" s="15">
        <f>Data!C32</f>
        <v>0.12370281</v>
      </c>
      <c r="G36" s="15">
        <f>Data!E32</f>
        <v>0.32021431034290215</v>
      </c>
      <c r="H36" s="31">
        <f>EXP(-Data!Q32*'ir risk (up)'!E36)</f>
        <v>0.50499840910442839</v>
      </c>
      <c r="I36" s="20">
        <f>C36-C35*(Data!$K$5)</f>
        <v>194204.21810263619</v>
      </c>
      <c r="J36" s="23"/>
      <c r="K36" s="20">
        <f>I36-Data!$K$4</f>
        <v>194184.21810263619</v>
      </c>
      <c r="L36" s="20">
        <f>K36*H36*(G35*(1-Data!$K$8)^E35)*((1-F36)*Data!$K$8)</f>
        <v>58.525742283044067</v>
      </c>
      <c r="M36" s="23"/>
      <c r="N36" s="20">
        <f>MAX(Data!$K$3*Data!$H$3,'ir risk (up)'!I36)-Data!$K$4</f>
        <v>194184.21810263619</v>
      </c>
      <c r="O36" s="20">
        <f>N36*H36*(G35*(1-Data!$K$8)^E35)*(F36)</f>
        <v>55.078717284245897</v>
      </c>
      <c r="P36" s="23"/>
      <c r="Q36" s="20">
        <f>Data!$K$11*(1+Data!$K$10)^'ir risk (up)'!E35*Data!$K$12</f>
        <v>85.344323832055224</v>
      </c>
      <c r="R36" s="20">
        <f>$Q36*$H36*($G35*(1-Data!$K$8)^$E35)</f>
        <v>0.19568834653449019</v>
      </c>
      <c r="S36" s="23"/>
      <c r="T36" s="20">
        <f>C35*Data!$K$6</f>
        <v>2671.3453892892089</v>
      </c>
      <c r="U36" s="20">
        <f>$T36*$H36*($G35*(1-Data!$K$8)^$E35)</f>
        <v>6.1252012879173421</v>
      </c>
      <c r="V36" s="22"/>
      <c r="W36" s="20">
        <f t="shared" si="0"/>
        <v>119.9253492017418</v>
      </c>
    </row>
    <row r="37" spans="2:23" x14ac:dyDescent="0.75">
      <c r="B37" s="15">
        <v>29</v>
      </c>
      <c r="C37" s="30">
        <f>$C$8*EXP(Data!Q33*'ir risk (up)'!B37)</f>
        <v>205636.52857949492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31">
        <f>EXP(-Data!Q33*'ir risk (up)'!E37)</f>
        <v>0.48629492381915035</v>
      </c>
      <c r="I37" s="20">
        <f>C37-C36*(Data!$K$5)</f>
        <v>201676.1200634625</v>
      </c>
      <c r="J37" s="23"/>
      <c r="K37" s="20">
        <f>I37-Data!$K$4</f>
        <v>201656.1200634625</v>
      </c>
      <c r="L37" s="20">
        <f>K37*H37*(G36*(1-Data!$K$8)^E36)*((1-F37)*Data!$K$8)</f>
        <v>42.806284685633358</v>
      </c>
      <c r="M37" s="23"/>
      <c r="N37" s="20">
        <f>MAX(Data!$K$3*Data!$H$3,'ir risk (up)'!I37)-Data!$K$4</f>
        <v>201656.1200634625</v>
      </c>
      <c r="O37" s="20">
        <f>N37*H37*(G36*(1-Data!$K$8)^E36)*(F37)</f>
        <v>46.276141906743156</v>
      </c>
      <c r="P37" s="23"/>
      <c r="Q37" s="20">
        <f>Data!$K$11*(1+Data!$K$10)^'ir risk (up)'!E36*Data!$K$12</f>
        <v>87.051210308696341</v>
      </c>
      <c r="R37" s="20">
        <f>$Q37*$H37*($G36*(1-Data!$K$8)^$E36)</f>
        <v>0.14316775222922321</v>
      </c>
      <c r="S37" s="23"/>
      <c r="T37" s="20">
        <f>C36*Data!$K$6</f>
        <v>2772.2859612226912</v>
      </c>
      <c r="U37" s="20">
        <f>$T37*$H37*($G36*(1-Data!$K$8)^$E36)</f>
        <v>4.5594075969468042</v>
      </c>
      <c r="V37" s="22"/>
      <c r="W37" s="20">
        <f t="shared" si="0"/>
        <v>93.785001941552537</v>
      </c>
    </row>
    <row r="38" spans="2:23" x14ac:dyDescent="0.75">
      <c r="B38" s="15">
        <v>30</v>
      </c>
      <c r="C38" s="30">
        <f>$C$8*EXP(Data!Q34*'ir risk (up)'!B38)</f>
        <v>213806.24035657934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31">
        <f>EXP(-Data!Q34*'ir risk (up)'!E38)</f>
        <v>0.46771319599102035</v>
      </c>
      <c r="I38" s="20">
        <f>C38-C37*(Data!$K$5)</f>
        <v>209693.50978498944</v>
      </c>
      <c r="J38" s="23"/>
      <c r="K38" s="20">
        <f>I38-Data!$K$4</f>
        <v>209673.50978498944</v>
      </c>
      <c r="L38" s="20">
        <f>K38*H38*(G37*(1-Data!$K$8)^E37)*((1-F38)*Data!$K$8)</f>
        <v>30.68699576668488</v>
      </c>
      <c r="M38" s="23"/>
      <c r="N38" s="20">
        <f>MAX(Data!$K$3*Data!$H$3,'ir risk (up)'!I38)-Data!$K$4</f>
        <v>209673.50978498944</v>
      </c>
      <c r="O38" s="20">
        <f>N38*H38*(G37*(1-Data!$K$8)^E37)*(F38)</f>
        <v>37.995702467255491</v>
      </c>
      <c r="P38" s="23"/>
      <c r="Q38" s="20">
        <f>Data!$K$11*(1+Data!$K$10)^'ir risk (up)'!E37*Data!$K$12</f>
        <v>88.792234514870259</v>
      </c>
      <c r="R38" s="20">
        <f>$Q38*$H38*($G37*(1-Data!$K$8)^$E37)</f>
        <v>0.10272559550925453</v>
      </c>
      <c r="S38" s="23"/>
      <c r="T38" s="20">
        <f>C37*Data!$K$6</f>
        <v>2878.9114001129287</v>
      </c>
      <c r="U38" s="20">
        <f>$T38*$H38*($G37*(1-Data!$K$8)^$E37)</f>
        <v>3.3306728861008041</v>
      </c>
      <c r="V38" s="22"/>
      <c r="W38" s="20">
        <f t="shared" si="0"/>
        <v>72.116096715550427</v>
      </c>
    </row>
    <row r="39" spans="2:23" x14ac:dyDescent="0.75">
      <c r="B39" s="15">
        <v>31</v>
      </c>
      <c r="C39" s="30">
        <f>$C$8*EXP(Data!Q35*'ir risk (up)'!B39)</f>
        <v>222371.67329534903</v>
      </c>
      <c r="E39" s="15">
        <v>31</v>
      </c>
      <c r="F39" s="15">
        <f>Data!C35</f>
        <v>0.17330804</v>
      </c>
      <c r="G39" s="15">
        <f>Data!E35</f>
        <v>0.19210328627692511</v>
      </c>
      <c r="H39" s="31">
        <f>EXP(-Data!Q35*'ir risk (up)'!E39)</f>
        <v>0.44969756497349483</v>
      </c>
      <c r="I39" s="20">
        <f>C39-C38*(Data!$K$5)</f>
        <v>218095.54848821744</v>
      </c>
      <c r="J39" s="23"/>
      <c r="K39" s="20">
        <f>I39-Data!$K$4</f>
        <v>218075.54848821744</v>
      </c>
      <c r="L39" s="20">
        <f>K39*H39*(G38*(1-Data!$K$8)^E38)*((1-F39)*Data!$K$8)</f>
        <v>21.563603329278465</v>
      </c>
      <c r="M39" s="23"/>
      <c r="N39" s="20">
        <f>MAX(Data!$K$3*Data!$H$3,'ir risk (up)'!I39)-Data!$K$4</f>
        <v>218075.54848821744</v>
      </c>
      <c r="O39" s="20">
        <f>N39*H39*(G38*(1-Data!$K$8)^E38)*(F39)</f>
        <v>30.137350703436745</v>
      </c>
      <c r="P39" s="23"/>
      <c r="Q39" s="20">
        <f>Data!$K$11*(1+Data!$K$10)^'ir risk (up)'!E38*Data!$K$12</f>
        <v>90.568079205167678</v>
      </c>
      <c r="R39" s="20">
        <f>$Q39*$H39*($G38*(1-Data!$K$8)^$E38)</f>
        <v>7.22195112499118E-2</v>
      </c>
      <c r="S39" s="23"/>
      <c r="T39" s="20">
        <f>C38*Data!$K$6</f>
        <v>2993.2873649921107</v>
      </c>
      <c r="U39" s="20">
        <f>$T39*$H39*($G38*(1-Data!$K$8)^$E38)</f>
        <v>2.38686469258732</v>
      </c>
      <c r="V39" s="22"/>
      <c r="W39" s="20">
        <f t="shared" si="0"/>
        <v>54.160038236552438</v>
      </c>
    </row>
    <row r="40" spans="2:23" x14ac:dyDescent="0.75">
      <c r="B40" s="15">
        <v>32</v>
      </c>
      <c r="C40" s="30">
        <f>$C$8*EXP(Data!Q36*'ir risk (up)'!B40)</f>
        <v>231488.49762067213</v>
      </c>
      <c r="E40" s="15">
        <v>32</v>
      </c>
      <c r="F40" s="15">
        <f>Data!C36</f>
        <v>0.19215108</v>
      </c>
      <c r="G40" s="15">
        <f>Data!E36</f>
        <v>0.15519043234726476</v>
      </c>
      <c r="H40" s="31">
        <f>EXP(-Data!Q36*'ir risk (up)'!E40)</f>
        <v>0.43198690659725425</v>
      </c>
      <c r="I40" s="20">
        <f>C40-C39*(Data!$K$5)</f>
        <v>227041.06415476516</v>
      </c>
      <c r="J40" s="23"/>
      <c r="K40" s="20">
        <f>I40-Data!$K$4</f>
        <v>227021.06415476516</v>
      </c>
      <c r="L40" s="20">
        <f>K40*H40*(G39*(1-Data!$K$8)^E39)*((1-F40)*Data!$K$8)</f>
        <v>14.807428286349801</v>
      </c>
      <c r="M40" s="23"/>
      <c r="N40" s="20">
        <f>MAX(Data!$K$3*Data!$H$3,'ir risk (up)'!I40)-Data!$K$4</f>
        <v>227021.06415476516</v>
      </c>
      <c r="O40" s="20">
        <f>N40*H40*(G39*(1-Data!$K$8)^E39)*(F40)</f>
        <v>23.480160434326951</v>
      </c>
      <c r="P40" s="23"/>
      <c r="Q40" s="20">
        <f>Data!$K$11*(1+Data!$K$10)^'ir risk (up)'!E39*Data!$K$12</f>
        <v>92.379440789271001</v>
      </c>
      <c r="R40" s="20">
        <f>$Q40*$H40*($G39*(1-Data!$K$8)^$E39)</f>
        <v>4.9724154144296095E-2</v>
      </c>
      <c r="S40" s="23"/>
      <c r="T40" s="20">
        <f>C39*Data!$K$6</f>
        <v>3113.2034261348863</v>
      </c>
      <c r="U40" s="20">
        <f>$T40*$H40*($G39*(1-Data!$K$8)^$E39)</f>
        <v>1.6757127529793461</v>
      </c>
      <c r="V40" s="22"/>
      <c r="W40" s="20">
        <f t="shared" si="0"/>
        <v>40.013025627800388</v>
      </c>
    </row>
    <row r="41" spans="2:23" x14ac:dyDescent="0.75">
      <c r="B41" s="15">
        <v>33</v>
      </c>
      <c r="C41" s="30">
        <f>$C$8*EXP(Data!Q37*'ir risk (up)'!B41)</f>
        <v>241116.49199713935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31">
        <f>EXP(-Data!Q37*'ir risk (up)'!E41)</f>
        <v>0.41473728807064103</v>
      </c>
      <c r="I41" s="20">
        <f>C41-C40*(Data!$K$5)</f>
        <v>236486.7220447259</v>
      </c>
      <c r="J41" s="23"/>
      <c r="K41" s="20">
        <f>I41-Data!$K$4</f>
        <v>236466.7220447259</v>
      </c>
      <c r="L41" s="20">
        <f>K41*H41*(G40*(1-Data!$K$8)^E40)*((1-F41)*Data!$K$8)</f>
        <v>9.9412426991664002</v>
      </c>
      <c r="M41" s="23"/>
      <c r="N41" s="20">
        <f>MAX(Data!$K$3*Data!$H$3,'ir risk (up)'!I41)-Data!$K$4</f>
        <v>236466.7220447259</v>
      </c>
      <c r="O41" s="20">
        <f>N41*H41*(G40*(1-Data!$K$8)^E40)*(F41)</f>
        <v>17.635040839406908</v>
      </c>
      <c r="P41" s="23"/>
      <c r="Q41" s="20">
        <f>Data!$K$11*(1+Data!$K$10)^'ir risk (up)'!E40*Data!$K$12</f>
        <v>94.227029605056444</v>
      </c>
      <c r="R41" s="20">
        <f>$Q41*$H41*($G40*(1-Data!$K$8)^$E40)</f>
        <v>3.3436372136125464E-2</v>
      </c>
      <c r="S41" s="23"/>
      <c r="T41" s="20">
        <f>C40*Data!$K$6</f>
        <v>3240.83896668941</v>
      </c>
      <c r="U41" s="20">
        <f>$T41*$H41*($G40*(1-Data!$K$8)^$E40)</f>
        <v>1.1500086352893848</v>
      </c>
      <c r="V41" s="22"/>
      <c r="W41" s="20">
        <f t="shared" si="0"/>
        <v>28.759728545998819</v>
      </c>
    </row>
    <row r="42" spans="2:23" x14ac:dyDescent="0.75">
      <c r="B42" s="15">
        <v>34</v>
      </c>
      <c r="C42" s="30">
        <f>$C$8*EXP(Data!Q38*'ir risk (up)'!B42)</f>
        <v>251195.1647967204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31">
        <f>EXP(-Data!Q38*'ir risk (up)'!E42)</f>
        <v>0.39809683470987572</v>
      </c>
      <c r="I42" s="20">
        <f>C42-C41*(Data!$K$5)</f>
        <v>246372.83495677763</v>
      </c>
      <c r="J42" s="23"/>
      <c r="K42" s="20">
        <f>I42-Data!$K$4</f>
        <v>246352.83495677763</v>
      </c>
      <c r="L42" s="20">
        <f>K42*H42*(G41*(1-Data!$K$8)^E41)*((1-F42)*Data!$K$8)</f>
        <v>6.511105631555127</v>
      </c>
      <c r="M42" s="23"/>
      <c r="N42" s="20">
        <f>MAX(Data!$K$3*Data!$H$3,'ir risk (up)'!I42)-Data!$K$4</f>
        <v>246352.83495677763</v>
      </c>
      <c r="O42" s="20">
        <f>N42*H42*(G41*(1-Data!$K$8)^E41)*(F42)</f>
        <v>12.926749490763317</v>
      </c>
      <c r="P42" s="23"/>
      <c r="Q42" s="20">
        <f>Data!$K$11*(1+Data!$K$10)^'ir risk (up)'!E41*Data!$K$12</f>
        <v>96.111570197157576</v>
      </c>
      <c r="R42" s="20">
        <f>$Q42*$H42*($G41*(1-Data!$K$8)^$E41)</f>
        <v>2.1978073705442185E-2</v>
      </c>
      <c r="S42" s="23"/>
      <c r="T42" s="20">
        <f>C41*Data!$K$6</f>
        <v>3375.630887959951</v>
      </c>
      <c r="U42" s="20">
        <f>$T42*$H42*($G41*(1-Data!$K$8)^$E41)</f>
        <v>0.7719139777423506</v>
      </c>
      <c r="V42" s="22"/>
      <c r="W42" s="20">
        <f t="shared" si="0"/>
        <v>20.231747173766237</v>
      </c>
    </row>
    <row r="43" spans="2:23" x14ac:dyDescent="0.75">
      <c r="B43" s="15">
        <v>35</v>
      </c>
      <c r="C43" s="30">
        <f>$C$8*EXP(Data!Q39*'ir risk (up)'!B43)</f>
        <v>261823.38829637007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31">
        <f>EXP(-Data!Q39*'ir risk (up)'!E43)</f>
        <v>0.38193684930394889</v>
      </c>
      <c r="I43" s="20">
        <f>C43-C42*(Data!$K$5)</f>
        <v>256799.48500043567</v>
      </c>
      <c r="J43" s="23"/>
      <c r="K43" s="20">
        <f>I43-Data!$K$4</f>
        <v>256779.48500043567</v>
      </c>
      <c r="L43" s="20">
        <f>K43*H43*(G42*(1-Data!$K$8)^E42)*((1-F43)*Data!$K$8)</f>
        <v>4.1467271819205145</v>
      </c>
      <c r="M43" s="23"/>
      <c r="N43" s="20">
        <f>MAX(Data!$K$3*Data!$H$3,'ir risk (up)'!I43)-Data!$K$4</f>
        <v>256779.48500043567</v>
      </c>
      <c r="O43" s="20">
        <f>N43*H43*(G42*(1-Data!$K$8)^E42)*(F43)</f>
        <v>9.251892769677335</v>
      </c>
      <c r="P43" s="23"/>
      <c r="Q43" s="20">
        <f>Data!$K$11*(1+Data!$K$10)^'ir risk (up)'!E42*Data!$K$12</f>
        <v>98.03380160110072</v>
      </c>
      <c r="R43" s="20">
        <f>$Q43*$H43*($G42*(1-Data!$K$8)^$E42)</f>
        <v>1.40865137747264E-2</v>
      </c>
      <c r="S43" s="23"/>
      <c r="T43" s="20">
        <f>C42*Data!$K$6</f>
        <v>3516.7323071540859</v>
      </c>
      <c r="U43" s="20">
        <f>$T43*$H43*($G42*(1-Data!$K$8)^$E42)</f>
        <v>0.50532058614153719</v>
      </c>
      <c r="V43" s="22"/>
      <c r="W43" s="20">
        <f t="shared" si="0"/>
        <v>13.918027051514112</v>
      </c>
    </row>
    <row r="44" spans="2:23" x14ac:dyDescent="0.75">
      <c r="B44" s="15">
        <v>36</v>
      </c>
      <c r="C44" s="30">
        <f>$C$8*EXP(Data!Q40*'ir risk (up)'!B44)</f>
        <v>273026.86201072065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31">
        <f>EXP(-Data!Q40*'ir risk (up)'!E44)</f>
        <v>0.3662643274861116</v>
      </c>
      <c r="I44" s="20">
        <f>C44-C43*(Data!$K$5)</f>
        <v>267790.39424479328</v>
      </c>
      <c r="J44" s="23"/>
      <c r="K44" s="20">
        <f>I44-Data!$K$4</f>
        <v>267770.39424479328</v>
      </c>
      <c r="L44" s="20">
        <f>K44*H44*(G43*(1-Data!$K$8)^E43)*((1-F44)*Data!$K$8)</f>
        <v>2.5559698911061868</v>
      </c>
      <c r="M44" s="23"/>
      <c r="N44" s="20">
        <f>MAX(Data!$K$3*Data!$H$3,'ir risk (up)'!I44)-Data!$K$4</f>
        <v>267770.39424479328</v>
      </c>
      <c r="O44" s="20">
        <f>N44*H44*(G43*(1-Data!$K$8)^E43)*(F44)</f>
        <v>6.4586079579066462</v>
      </c>
      <c r="P44" s="23"/>
      <c r="Q44" s="20">
        <f>Data!$K$11*(1+Data!$K$10)^'ir risk (up)'!E43*Data!$K$12</f>
        <v>99.994477633122742</v>
      </c>
      <c r="R44" s="20">
        <f>$Q44*$H44*($G43*(1-Data!$K$8)^$E43)</f>
        <v>8.7750961527917771E-3</v>
      </c>
      <c r="S44" s="23"/>
      <c r="T44" s="20">
        <f>C43*Data!$K$6</f>
        <v>3665.5274361491811</v>
      </c>
      <c r="U44" s="20">
        <f>$T44*$H44*($G43*(1-Data!$K$8)^$E43)</f>
        <v>0.32167132089953288</v>
      </c>
      <c r="V44" s="22"/>
      <c r="W44" s="20">
        <f t="shared" si="0"/>
        <v>9.3450242660651579</v>
      </c>
    </row>
    <row r="45" spans="2:23" x14ac:dyDescent="0.75">
      <c r="B45" s="15">
        <v>37</v>
      </c>
      <c r="C45" s="30">
        <f>$C$8*EXP(Data!Q41*'ir risk (up)'!B45)</f>
        <v>284832.18605561875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31">
        <f>EXP(-Data!Q41*'ir risk (up)'!E45)</f>
        <v>0.35108391851640369</v>
      </c>
      <c r="I45" s="20">
        <f>C45-C44*(Data!$K$5)</f>
        <v>279371.64881540433</v>
      </c>
      <c r="J45" s="23"/>
      <c r="K45" s="20">
        <f>I45-Data!$K$4</f>
        <v>279351.64881540433</v>
      </c>
      <c r="L45" s="20">
        <f>K45*H45*(G44*(1-Data!$K$8)^E44)*((1-F45)*Data!$K$8)</f>
        <v>1.5327980752287464</v>
      </c>
      <c r="M45" s="23"/>
      <c r="N45" s="20">
        <f>MAX(Data!$K$3*Data!$H$3,'ir risk (up)'!I45)-Data!$K$4</f>
        <v>279351.64881540433</v>
      </c>
      <c r="O45" s="20">
        <f>N45*H45*(G44*(1-Data!$K$8)^E44)*(F45)</f>
        <v>4.265342153734494</v>
      </c>
      <c r="P45" s="23"/>
      <c r="Q45" s="20">
        <f>Data!$K$11*(1+Data!$K$10)^'ir risk (up)'!E44*Data!$K$12</f>
        <v>101.99436718578518</v>
      </c>
      <c r="R45" s="20">
        <f>$Q45*$H45*($G44*(1-Data!$K$8)^$E44)</f>
        <v>5.2882666397081656E-3</v>
      </c>
      <c r="S45" s="23"/>
      <c r="T45" s="20">
        <f>C44*Data!$K$6</f>
        <v>3822.3760681500894</v>
      </c>
      <c r="U45" s="20">
        <f>$T45*$H45*($G44*(1-Data!$K$8)^$E44)</f>
        <v>0.19818490376823616</v>
      </c>
      <c r="V45" s="22"/>
      <c r="W45" s="20">
        <f t="shared" si="0"/>
        <v>6.001613399371184</v>
      </c>
    </row>
    <row r="46" spans="2:23" x14ac:dyDescent="0.75">
      <c r="B46" s="15">
        <v>38</v>
      </c>
      <c r="C46" s="30">
        <f>$C$8*EXP(Data!Q42*'ir risk (up)'!B46)</f>
        <v>297153.89987431787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31">
        <f>EXP(-Data!Q42*'ir risk (up)'!E46)</f>
        <v>0.33652595521140832</v>
      </c>
      <c r="I46" s="20">
        <f>C46-C45*(Data!$K$5)</f>
        <v>291457.25615320547</v>
      </c>
      <c r="J46" s="23"/>
      <c r="K46" s="20">
        <f>I46-Data!$K$4</f>
        <v>291437.25615320547</v>
      </c>
      <c r="L46" s="20">
        <f>K46*H46*(G45*(1-Data!$K$8)^E45)*((1-F46)*Data!$K$8)</f>
        <v>0.89211835229732994</v>
      </c>
      <c r="M46" s="23"/>
      <c r="N46" s="20">
        <f>MAX(Data!$K$3*Data!$H$3,'ir risk (up)'!I46)-Data!$K$4</f>
        <v>291437.25615320547</v>
      </c>
      <c r="O46" s="20">
        <f>N46*H46*(G45*(1-Data!$K$8)^E45)*(F46)</f>
        <v>2.7384292591196129</v>
      </c>
      <c r="P46" s="23"/>
      <c r="Q46" s="20">
        <f>Data!$K$11*(1+Data!$K$10)^'ir risk (up)'!E45*Data!$K$12</f>
        <v>104.0342545295009</v>
      </c>
      <c r="R46" s="20">
        <f>$Q46*$H46*($G45*(1-Data!$K$8)^$E45)</f>
        <v>3.1005972836277203E-3</v>
      </c>
      <c r="S46" s="23"/>
      <c r="T46" s="20">
        <f>C45*Data!$K$6</f>
        <v>3987.6506047786625</v>
      </c>
      <c r="U46" s="20">
        <f>$T46*$H46*($G45*(1-Data!$K$8)^$E45)</f>
        <v>0.11884641927940265</v>
      </c>
      <c r="V46" s="22"/>
      <c r="W46" s="20">
        <f t="shared" si="0"/>
        <v>3.7524946279799734</v>
      </c>
    </row>
    <row r="47" spans="2:23" x14ac:dyDescent="0.75">
      <c r="B47" s="15">
        <v>39</v>
      </c>
      <c r="C47" s="30">
        <f>$C$8*EXP(Data!Q43*'ir risk (up)'!B47)</f>
        <v>310117.16757450456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31">
        <f>EXP(-Data!Q43*'ir risk (up)'!E47)</f>
        <v>0.32245876867160328</v>
      </c>
      <c r="I47" s="20">
        <f>C47-C46*(Data!$K$5)</f>
        <v>304174.08957701823</v>
      </c>
      <c r="J47" s="23"/>
      <c r="K47" s="20">
        <f>I47-Data!$K$4</f>
        <v>304154.08957701823</v>
      </c>
      <c r="L47" s="20">
        <f>K47*H47*(G46*(1-Data!$K$8)^E46)*((1-F47)*Data!$K$8)</f>
        <v>0.50306504304130251</v>
      </c>
      <c r="M47" s="23"/>
      <c r="N47" s="20">
        <f>MAX(Data!$K$3*Data!$H$3,'ir risk (up)'!I47)-Data!$K$4</f>
        <v>304154.08957701823</v>
      </c>
      <c r="O47" s="20">
        <f>N47*H47*(G46*(1-Data!$K$8)^E46)*(F47)</f>
        <v>1.7016194572356709</v>
      </c>
      <c r="P47" s="23"/>
      <c r="Q47" s="20">
        <f>Data!$K$11*(1+Data!$K$10)^'ir risk (up)'!E46*Data!$K$12</f>
        <v>106.11493962009094</v>
      </c>
      <c r="R47" s="20">
        <f>$Q47*$H47*($G46*(1-Data!$K$8)^$E46)</f>
        <v>1.7637508162031009E-3</v>
      </c>
      <c r="S47" s="23"/>
      <c r="T47" s="20">
        <f>C46*Data!$K$6</f>
        <v>4160.1545982404505</v>
      </c>
      <c r="U47" s="20">
        <f>$T47*$H47*($G46*(1-Data!$K$8)^$E46)</f>
        <v>6.9146494305580883E-2</v>
      </c>
      <c r="V47" s="22"/>
      <c r="W47" s="20">
        <f t="shared" si="0"/>
        <v>2.2755947453987573</v>
      </c>
    </row>
    <row r="48" spans="2:23" x14ac:dyDescent="0.75">
      <c r="B48" s="15">
        <v>40</v>
      </c>
      <c r="C48" s="30">
        <f>$C$8*EXP(Data!Q44*'ir risk (up)'!B48)</f>
        <v>323749.53800077352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31">
        <f>EXP(-Data!Q44*'ir risk (up)'!E48)</f>
        <v>0.3088807496607488</v>
      </c>
      <c r="I48" s="20">
        <f>C48-C47*(Data!$K$5)</f>
        <v>317547.19464928342</v>
      </c>
      <c r="J48" s="23"/>
      <c r="K48" s="20">
        <f>I48-Data!$K$4</f>
        <v>317527.19464928342</v>
      </c>
      <c r="L48" s="20">
        <f>K48*H48*(G47*(1-Data!$K$8)^E47)*((1-F48)*Data!$K$8)</f>
        <v>0.27374413202816039</v>
      </c>
      <c r="M48" s="23"/>
      <c r="N48" s="20">
        <f>MAX(Data!$K$3*Data!$H$3,'ir risk (up)'!I48)-Data!$K$4</f>
        <v>317527.19464928342</v>
      </c>
      <c r="O48" s="20">
        <f>N48*H48*(G47*(1-Data!$K$8)^E47)*(F48)</f>
        <v>1.0257667452683858</v>
      </c>
      <c r="P48" s="23"/>
      <c r="Q48" s="20">
        <f>Data!$K$11*(1+Data!$K$10)^'ir risk (up)'!E47*Data!$K$12</f>
        <v>108.23723841249272</v>
      </c>
      <c r="R48" s="20">
        <f>$Q48*$H48*($G47*(1-Data!$K$8)^$E47)</f>
        <v>9.7174317930903524E-4</v>
      </c>
      <c r="S48" s="23"/>
      <c r="T48" s="20">
        <f>C47*Data!$K$6</f>
        <v>4341.6403460430638</v>
      </c>
      <c r="U48" s="20">
        <f>$T48*$H48*($G47*(1-Data!$K$8)^$E47)</f>
        <v>3.8978815933956017E-2</v>
      </c>
      <c r="V48" s="22"/>
      <c r="W48" s="20">
        <f t="shared" si="0"/>
        <v>1.3394614364098112</v>
      </c>
    </row>
    <row r="49" spans="2:23" x14ac:dyDescent="0.75">
      <c r="B49" s="15">
        <v>41</v>
      </c>
      <c r="C49" s="30">
        <f>$C$8*EXP(Data!Q45*'ir risk (up)'!B49)</f>
        <v>337940.61540808564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31">
        <f>EXP(-Data!Q45*'ir risk (up)'!E49)</f>
        <v>0.2959099777907529</v>
      </c>
      <c r="I49" s="20">
        <f>C49-C48*(Data!$K$5)</f>
        <v>331465.62464807014</v>
      </c>
      <c r="J49" s="23"/>
      <c r="K49" s="20">
        <f>I49-Data!$K$4</f>
        <v>331445.62464807014</v>
      </c>
      <c r="L49" s="20">
        <f>K49*H49*(G48*(1-Data!$K$8)^E48)*((1-F49)*Data!$K$8)</f>
        <v>0.14186533484002287</v>
      </c>
      <c r="M49" s="23"/>
      <c r="N49" s="20">
        <f>MAX(Data!$K$3*Data!$H$3,'ir risk (up)'!I49)-Data!$K$4</f>
        <v>331445.62464807014</v>
      </c>
      <c r="O49" s="20">
        <f>N49*H49*(G48*(1-Data!$K$8)^E48)*(F49)</f>
        <v>0.60544831592119142</v>
      </c>
      <c r="P49" s="23"/>
      <c r="Q49" s="20">
        <f>Data!$K$11*(1+Data!$K$10)^'ir risk (up)'!E48*Data!$K$12</f>
        <v>110.40198318074259</v>
      </c>
      <c r="R49" s="20">
        <f>$Q49*$H49*($G48*(1-Data!$K$8)^$E48)</f>
        <v>5.1669849932671778E-4</v>
      </c>
      <c r="S49" s="23"/>
      <c r="T49" s="20">
        <f>C48*Data!$K$6</f>
        <v>4532.4935320108298</v>
      </c>
      <c r="U49" s="20">
        <f>$T49*$H49*($G48*(1-Data!$K$8)^$E48)</f>
        <v>2.1212776607137555E-2</v>
      </c>
      <c r="V49" s="22"/>
      <c r="W49" s="20">
        <f t="shared" si="0"/>
        <v>0.76904312586767853</v>
      </c>
    </row>
    <row r="50" spans="2:23" x14ac:dyDescent="0.75">
      <c r="B50" s="15">
        <v>42</v>
      </c>
      <c r="C50" s="30">
        <f>$C$8*EXP(Data!Q46*'ir risk (up)'!B50)</f>
        <v>352986.63180947711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31">
        <f>EXP(-Data!Q46*'ir risk (up)'!E50)</f>
        <v>0.28329684749640754</v>
      </c>
      <c r="I50" s="20">
        <f>C50-C49*(Data!$K$5)</f>
        <v>346227.81950131542</v>
      </c>
      <c r="J50" s="23"/>
      <c r="K50" s="20">
        <f>I50-Data!$K$4</f>
        <v>346207.81950131542</v>
      </c>
      <c r="L50" s="20">
        <f>K50*H50*(G49*(1-Data!$K$8)^E49)*((1-F50)*Data!$K$8)</f>
        <v>6.9029418488694233E-2</v>
      </c>
      <c r="M50" s="23"/>
      <c r="N50" s="20">
        <f>MAX(Data!$K$3*Data!$H$3,'ir risk (up)'!I50)-Data!$K$4</f>
        <v>346207.81950131542</v>
      </c>
      <c r="O50" s="20">
        <f>N50*H50*(G49*(1-Data!$K$8)^E49)*(F50)</f>
        <v>0.3437198702333763</v>
      </c>
      <c r="P50" s="23"/>
      <c r="Q50" s="20">
        <f>Data!$K$11*(1+Data!$K$10)^'ir risk (up)'!E49*Data!$K$12</f>
        <v>112.61002284435745</v>
      </c>
      <c r="R50" s="20">
        <f>$Q50*$H50*($G49*(1-Data!$K$8)^$E49)</f>
        <v>2.6148744566891537E-4</v>
      </c>
      <c r="S50" s="23"/>
      <c r="T50" s="20">
        <f>C49*Data!$K$6</f>
        <v>4731.168615713199</v>
      </c>
      <c r="U50" s="20">
        <f>$T50*$H50*($G49*(1-Data!$K$8)^$E49)</f>
        <v>1.0986066471735665E-2</v>
      </c>
      <c r="V50" s="22"/>
      <c r="W50" s="20">
        <f t="shared" si="0"/>
        <v>0.42399684263947507</v>
      </c>
    </row>
    <row r="51" spans="2:23" x14ac:dyDescent="0.75">
      <c r="B51" s="15">
        <v>43</v>
      </c>
      <c r="C51" s="30">
        <f>$C$8*EXP(Data!Q47*'ir risk (up)'!B51)</f>
        <v>368628.80380668386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31">
        <f>EXP(-Data!Q47*'ir risk (up)'!E51)</f>
        <v>0.27127560019005448</v>
      </c>
      <c r="I51" s="20">
        <f>C51-C50*(Data!$K$5)</f>
        <v>361569.07117049431</v>
      </c>
      <c r="J51" s="23"/>
      <c r="K51" s="20">
        <f>I51-Data!$K$4</f>
        <v>361549.07117049431</v>
      </c>
      <c r="L51" s="20">
        <f>K51*H51*(G50*(1-Data!$K$8)^E50)*((1-F51)*Data!$K$8)</f>
        <v>3.1635759781150956E-2</v>
      </c>
      <c r="M51" s="23"/>
      <c r="N51" s="20">
        <f>MAX(Data!$K$3*Data!$H$3,'ir risk (up)'!I51)-Data!$K$4</f>
        <v>361549.07117049431</v>
      </c>
      <c r="O51" s="20">
        <f>N51*H51*(G50*(1-Data!$K$8)^E50)*(F51)</f>
        <v>0.18026107098196328</v>
      </c>
      <c r="P51" s="23"/>
      <c r="Q51" s="20">
        <f>Data!$K$11*(1+Data!$K$10)^'ir risk (up)'!E50*Data!$K$12</f>
        <v>114.86222330124458</v>
      </c>
      <c r="R51" s="20">
        <f>$Q51*$H51*($G50*(1-Data!$K$8)^$E50)</f>
        <v>1.2427140785465187E-4</v>
      </c>
      <c r="S51" s="23"/>
      <c r="T51" s="20">
        <f>C50*Data!$K$6</f>
        <v>4941.8128453326799</v>
      </c>
      <c r="U51" s="20">
        <f>$T51*$H51*($G50*(1-Data!$K$8)^$E50)</f>
        <v>5.3466320082717813E-3</v>
      </c>
      <c r="V51" s="22"/>
      <c r="W51" s="20">
        <f t="shared" si="0"/>
        <v>0.21736773417924068</v>
      </c>
    </row>
    <row r="52" spans="2:23" x14ac:dyDescent="0.75">
      <c r="B52" s="15">
        <v>44</v>
      </c>
      <c r="C52" s="30">
        <f>$C$8*EXP(Data!Q48*'ir risk (up)'!B52)</f>
        <v>385033.43935672974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31">
        <f>EXP(-Data!Q48*'ir risk (up)'!E52)</f>
        <v>0.25971770183667342</v>
      </c>
      <c r="I52" s="20">
        <f>C52-C51*(Data!$K$5)</f>
        <v>377660.86328059604</v>
      </c>
      <c r="J52" s="23"/>
      <c r="K52" s="20">
        <f>I52-Data!$K$4</f>
        <v>377640.86328059604</v>
      </c>
      <c r="L52" s="20">
        <f>K52*H52*(G51*(1-Data!$K$8)^E51)*((1-F52)*Data!$K$8)</f>
        <v>1.3589994278011939E-2</v>
      </c>
      <c r="M52" s="23"/>
      <c r="N52" s="20">
        <f>MAX(Data!$K$3*Data!$H$3,'ir risk (up)'!I52)-Data!$K$4</f>
        <v>377640.86328059604</v>
      </c>
      <c r="O52" s="20">
        <f>N52*H52*(G51*(1-Data!$K$8)^E51)*(F52)</f>
        <v>8.867039611167718E-2</v>
      </c>
      <c r="P52" s="23"/>
      <c r="Q52" s="20">
        <f>Data!$K$11*(1+Data!$K$10)^'ir risk (up)'!E51*Data!$K$12</f>
        <v>117.15946776726946</v>
      </c>
      <c r="R52" s="20">
        <f>$Q52*$H52*($G51*(1-Data!$K$8)^$E51)</f>
        <v>5.561691482002557E-5</v>
      </c>
      <c r="S52" s="23"/>
      <c r="T52" s="20">
        <f>C51*Data!$K$6</f>
        <v>5160.803253293574</v>
      </c>
      <c r="U52" s="20">
        <f>$T52*$H52*($G51*(1-Data!$K$8)^$E51)</f>
        <v>2.449891250031146E-3</v>
      </c>
      <c r="V52" s="22"/>
      <c r="W52" s="20">
        <f t="shared" si="0"/>
        <v>0.10476589855454028</v>
      </c>
    </row>
    <row r="53" spans="2:23" x14ac:dyDescent="0.75">
      <c r="B53" s="15">
        <v>45</v>
      </c>
      <c r="C53" s="30">
        <f>$C$8*EXP(Data!Q49*'ir risk (up)'!B53)</f>
        <v>402228.4400243109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31">
        <f>EXP(-Data!Q49*'ir risk (up)'!E53)</f>
        <v>0.24861494128549427</v>
      </c>
      <c r="I53" s="20">
        <f>C53-C52*(Data!$K$5)</f>
        <v>394527.77123717632</v>
      </c>
      <c r="J53" s="23"/>
      <c r="K53" s="20">
        <f>I53-Data!$K$4</f>
        <v>394507.77123717632</v>
      </c>
      <c r="L53" s="20">
        <f>K53*H53*(G52*(1-Data!$K$8)^E52)*((1-F53)*Data!$K$8)</f>
        <v>5.4450292724572127E-3</v>
      </c>
      <c r="M53" s="23"/>
      <c r="N53" s="20">
        <f>MAX(Data!$K$3*Data!$H$3,'ir risk (up)'!I53)-Data!$K$4</f>
        <v>394507.77123717632</v>
      </c>
      <c r="O53" s="20">
        <f>N53*H53*(G52*(1-Data!$K$8)^E52)*(F53)</f>
        <v>4.0710172277533214E-2</v>
      </c>
      <c r="P53" s="23"/>
      <c r="Q53" s="20">
        <f>Data!$K$11*(1+Data!$K$10)^'ir risk (up)'!E52*Data!$K$12</f>
        <v>119.50265712261488</v>
      </c>
      <c r="R53" s="20">
        <f>$Q53*$H53*($G52*(1-Data!$K$8)^$E52)</f>
        <v>2.3327660960098643E-5</v>
      </c>
      <c r="S53" s="23"/>
      <c r="T53" s="20">
        <f>C52*Data!$K$6</f>
        <v>5390.4681509942166</v>
      </c>
      <c r="U53" s="20">
        <f>$T53*$H53*($G52*(1-Data!$K$8)^$E52)</f>
        <v>1.052252865922312E-3</v>
      </c>
      <c r="V53" s="22"/>
      <c r="W53" s="20">
        <f t="shared" si="0"/>
        <v>4.7230782076872833E-2</v>
      </c>
    </row>
    <row r="54" spans="2:23" x14ac:dyDescent="0.75">
      <c r="B54" s="15">
        <v>46</v>
      </c>
      <c r="C54" s="30">
        <f>$C$8*EXP(Data!Q50*'ir risk (up)'!B54)</f>
        <v>420241.76893776708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31">
        <f>EXP(-Data!Q50*'ir risk (up)'!E54)</f>
        <v>0.23795825972455592</v>
      </c>
      <c r="I54" s="20">
        <f>C54-C53*(Data!$K$5)</f>
        <v>412197.20013728086</v>
      </c>
      <c r="J54" s="23"/>
      <c r="K54" s="20">
        <f>I54-Data!$K$4</f>
        <v>412177.20013728086</v>
      </c>
      <c r="L54" s="20">
        <f>K54*H54*(G53*(1-Data!$K$8)^E53)*((1-F54)*Data!$K$8)</f>
        <v>2.0245721309730767E-3</v>
      </c>
      <c r="M54" s="23"/>
      <c r="N54" s="20">
        <f>MAX(Data!$K$3*Data!$H$3,'ir risk (up)'!I54)-Data!$K$4</f>
        <v>412177.20013728086</v>
      </c>
      <c r="O54" s="20">
        <f>N54*H54*(G53*(1-Data!$K$8)^E53)*(F54)</f>
        <v>1.7358157656825243E-2</v>
      </c>
      <c r="P54" s="23"/>
      <c r="Q54" s="20">
        <f>Data!$K$11*(1+Data!$K$10)^'ir risk (up)'!E53*Data!$K$12</f>
        <v>121.89271026506717</v>
      </c>
      <c r="R54" s="20">
        <f>$Q54*$H54*($G53*(1-Data!$K$8)^$E53)</f>
        <v>9.1248054846854727E-6</v>
      </c>
      <c r="S54" s="23"/>
      <c r="T54" s="20">
        <f>C53*Data!$K$6</f>
        <v>5631.1981603403528</v>
      </c>
      <c r="U54" s="20">
        <f>$T54*$H54*($G53*(1-Data!$K$8)^$E53)</f>
        <v>4.2154766882355766E-4</v>
      </c>
      <c r="V54" s="22"/>
      <c r="W54" s="20">
        <f t="shared" si="0"/>
        <v>1.9813402262106563E-2</v>
      </c>
    </row>
    <row r="55" spans="2:23" x14ac:dyDescent="0.75">
      <c r="B55" s="15">
        <v>47</v>
      </c>
      <c r="C55" s="30">
        <f>$C$8*EXP(Data!Q51*'ir risk (up)'!B55)</f>
        <v>438894.9918696672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31">
        <f>EXP(-Data!Q51*'ir risk (up)'!E55)</f>
        <v>0.22784493296222363</v>
      </c>
      <c r="I55" s="20">
        <f>C55-C54*(Data!$K$5)</f>
        <v>430490.15649091185</v>
      </c>
      <c r="J55" s="23"/>
      <c r="K55" s="20">
        <f>I55-Data!$K$4</f>
        <v>430470.15649091185</v>
      </c>
      <c r="L55" s="20">
        <f>K55*H55*(G54*(1-Data!$K$8)^E54)*((1-F55)*Data!$K$8)</f>
        <v>6.9503308969460673E-4</v>
      </c>
      <c r="M55" s="23"/>
      <c r="N55" s="20">
        <f>MAX(Data!$K$3*Data!$H$3,'ir risk (up)'!I55)-Data!$K$4</f>
        <v>430470.15649091185</v>
      </c>
      <c r="O55" s="20">
        <f>N55*H55*(G54*(1-Data!$K$8)^E54)*(F55)</f>
        <v>6.8389600335678922E-3</v>
      </c>
      <c r="P55" s="23"/>
      <c r="Q55" s="20">
        <f>Data!$K$11*(1+Data!$K$10)^'ir risk (up)'!E54*Data!$K$12</f>
        <v>124.33056447036851</v>
      </c>
      <c r="R55" s="20">
        <f>$Q55*$H55*($G54*(1-Data!$K$8)^$E54)</f>
        <v>3.3135494194845506E-6</v>
      </c>
      <c r="S55" s="23"/>
      <c r="T55" s="20">
        <f>C54*Data!$K$6</f>
        <v>5883.3847651287388</v>
      </c>
      <c r="U55" s="20">
        <f>$T55*$H55*($G54*(1-Data!$K$8)^$E54)</f>
        <v>1.5679882300978989E-4</v>
      </c>
      <c r="V55" s="22"/>
      <c r="W55" s="20">
        <f t="shared" si="0"/>
        <v>7.6941054956917738E-3</v>
      </c>
    </row>
    <row r="56" spans="2:23" x14ac:dyDescent="0.75">
      <c r="B56" s="15">
        <v>48</v>
      </c>
      <c r="C56" s="30">
        <f>$C$8*EXP(Data!Q52*'ir risk (up)'!B56)</f>
        <v>458614.59084988898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31">
        <f>EXP(-Data!Q52*'ir risk (up)'!E56)</f>
        <v>0.21804801241644622</v>
      </c>
      <c r="I56" s="20">
        <f>C56-C55*(Data!$K$5)</f>
        <v>449836.6910124956</v>
      </c>
      <c r="J56" s="23"/>
      <c r="K56" s="20">
        <f>I56-Data!$K$4</f>
        <v>449816.6910124956</v>
      </c>
      <c r="L56" s="20">
        <f>K56*H56*(G55*(1-Data!$K$8)^E55)*((1-F56)*Data!$K$8)</f>
        <v>2.1918958886808483E-4</v>
      </c>
      <c r="M56" s="23"/>
      <c r="N56" s="20">
        <f>MAX(Data!$K$3*Data!$H$3,'ir risk (up)'!I56)-Data!$K$4</f>
        <v>449816.6910124956</v>
      </c>
      <c r="O56" s="20">
        <f>N56*H56*(G55*(1-Data!$K$8)^E55)*(F56)</f>
        <v>2.4773047608813745E-3</v>
      </c>
      <c r="P56" s="23"/>
      <c r="Q56" s="20">
        <f>Data!$K$11*(1+Data!$K$10)^'ir risk (up)'!E55*Data!$K$12</f>
        <v>126.81717575977585</v>
      </c>
      <c r="R56" s="20">
        <f>$Q56*$H56*($G55*(1-Data!$K$8)^$E55)</f>
        <v>1.1104037874960204E-6</v>
      </c>
      <c r="S56" s="23"/>
      <c r="T56" s="20">
        <f>C55*Data!$K$6</f>
        <v>6144.5298861753408</v>
      </c>
      <c r="U56" s="20">
        <f>$T56*$H56*($G55*(1-Data!$K$8)^$E55)</f>
        <v>5.3801144972002253E-5</v>
      </c>
      <c r="V56" s="22"/>
      <c r="W56" s="20">
        <f t="shared" si="0"/>
        <v>2.7514058985089575E-3</v>
      </c>
    </row>
    <row r="57" spans="2:23" x14ac:dyDescent="0.75">
      <c r="B57" s="15">
        <v>49</v>
      </c>
      <c r="C57" s="30">
        <f>$C$8*EXP(Data!Q53*'ir risk (up)'!B57)</f>
        <v>479234.57034526271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31">
        <f>EXP(-Data!Q53*'ir risk (up)'!E57)</f>
        <v>0.20866608168095091</v>
      </c>
      <c r="I57" s="20">
        <f>C57-C56*(Data!$K$5)</f>
        <v>470062.2785282649</v>
      </c>
      <c r="J57" s="23"/>
      <c r="K57" s="20">
        <f>I57-Data!$K$4</f>
        <v>470042.2785282649</v>
      </c>
      <c r="L57" s="20">
        <f>K57*H57*(G56*(1-Data!$K$8)^E56)*((1-F57)*Data!$K$8)</f>
        <v>6.3178336070661884E-5</v>
      </c>
      <c r="M57" s="23"/>
      <c r="N57" s="20">
        <f>MAX(Data!$K$3*Data!$H$3,'ir risk (up)'!I57)-Data!$K$4</f>
        <v>470042.2785282649</v>
      </c>
      <c r="O57" s="20">
        <f>N57*H57*(G56*(1-Data!$K$8)^E56)*(F57)</f>
        <v>8.2088853311547568E-4</v>
      </c>
      <c r="P57" s="23"/>
      <c r="Q57" s="20">
        <f>Data!$K$11*(1+Data!$K$10)^'ir risk (up)'!E56*Data!$K$12</f>
        <v>129.35351927497138</v>
      </c>
      <c r="R57" s="20">
        <f>$Q57*$H57*($G56*(1-Data!$K$8)^$E56)</f>
        <v>3.4181412066136267E-7</v>
      </c>
      <c r="S57" s="23"/>
      <c r="T57" s="20">
        <f>C56*Data!$K$6</f>
        <v>6420.6042718984454</v>
      </c>
      <c r="U57" s="20">
        <f>$T57*$H57*($G56*(1-Data!$K$8)^$E56)</f>
        <v>1.6966320016762001E-5</v>
      </c>
      <c r="V57" s="22"/>
      <c r="W57" s="20">
        <f t="shared" si="0"/>
        <v>9.0137500332356088E-4</v>
      </c>
    </row>
    <row r="58" spans="2:23" x14ac:dyDescent="0.75">
      <c r="B58" s="15">
        <v>50</v>
      </c>
      <c r="C58" s="30">
        <f>$C$8*EXP(Data!Q54*'ir risk (up)'!B58)</f>
        <v>500781.65413010458</v>
      </c>
      <c r="E58" s="15">
        <v>50</v>
      </c>
      <c r="F58" s="15">
        <f>Data!C54</f>
        <v>0.69160641</v>
      </c>
      <c r="G58" s="15">
        <f>Data!E54</f>
        <v>3.2350801816429304E-6</v>
      </c>
      <c r="H58" s="31">
        <f>EXP(-Data!Q54*'ir risk (up)'!E58)</f>
        <v>0.19968782637157012</v>
      </c>
      <c r="I58" s="20">
        <f>C58-C57*(Data!$K$5)</f>
        <v>491196.96272319934</v>
      </c>
      <c r="J58" s="24"/>
      <c r="K58" s="20">
        <f>I58-Data!$K$4</f>
        <v>491176.96272319934</v>
      </c>
      <c r="L58" s="20">
        <f>K58*H58*(G57*(1-Data!$K$8)^E57)*(1-F58)</f>
        <v>1.1040836740099429E-4</v>
      </c>
      <c r="M58" s="24"/>
      <c r="N58" s="20">
        <f>MAX(Data!$K$3*Data!$H$3,'ir risk (up)'!I58)-Data!$K$4</f>
        <v>491176.96272319934</v>
      </c>
      <c r="O58" s="20">
        <f>N58*H58*(G57*(1-Data!$K$8)^E57)*(F58)</f>
        <v>2.4760285910016062E-4</v>
      </c>
      <c r="P58" s="24"/>
      <c r="Q58" s="20">
        <f>Data!$K$11*(1+Data!$K$10)^'ir risk (up)'!E57*Data!$K$12</f>
        <v>131.94058966047081</v>
      </c>
      <c r="R58" s="20">
        <f>$Q58*$H58*($G57*(1-Data!$K$8)^$E57)</f>
        <v>9.6169437727173116E-8</v>
      </c>
      <c r="S58" s="24"/>
      <c r="T58" s="20">
        <f>C57*Data!$K$6</f>
        <v>6709.283984833678</v>
      </c>
      <c r="U58" s="20">
        <f>$T58*$H58*($G57*(1-Data!$K$8)^$E57)</f>
        <v>4.8902924417253198E-6</v>
      </c>
      <c r="V58" s="25"/>
      <c r="W58" s="20">
        <f t="shared" si="0"/>
        <v>3.6299768838060739E-4</v>
      </c>
    </row>
    <row r="60" spans="2:23" x14ac:dyDescent="0.75">
      <c r="K60" s="43" t="s">
        <v>62</v>
      </c>
      <c r="L60" s="20">
        <f>SUM(L9:L58)</f>
        <v>89631.476342466864</v>
      </c>
      <c r="N60" s="43" t="s">
        <v>62</v>
      </c>
      <c r="O60" s="20">
        <f>SUM(O9:O58)</f>
        <v>8604.4959427642589</v>
      </c>
      <c r="P60" s="1"/>
      <c r="Q60" s="43" t="s">
        <v>62</v>
      </c>
      <c r="R60" s="20">
        <f>SUM(R9:R58)</f>
        <v>302.84025293427032</v>
      </c>
      <c r="S60" s="1"/>
      <c r="T60" s="43" t="s">
        <v>62</v>
      </c>
      <c r="U60" s="20">
        <f>SUM(U9:U58)</f>
        <v>8482.1261292470081</v>
      </c>
      <c r="V60" s="15" t="s">
        <v>15</v>
      </c>
      <c r="W60" s="20">
        <f>SUM(W9:W58)</f>
        <v>107020.93866741245</v>
      </c>
    </row>
    <row r="61" spans="2:23" x14ac:dyDescent="0.75">
      <c r="V61" s="15" t="s">
        <v>32</v>
      </c>
      <c r="W61" s="15">
        <f>SUMPRODUCT(W9:W58,E9:E58)/W60</f>
        <v>6.1489325777563577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8AFF-ED23-4690-B872-6AA9D228169D}">
  <dimension ref="B2:X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4" x14ac:dyDescent="0.75">
      <c r="V2" s="34" t="s">
        <v>34</v>
      </c>
      <c r="W2" s="35">
        <f>C8-W60</f>
        <v>-7416.1714888995339</v>
      </c>
    </row>
    <row r="3" spans="2:24" x14ac:dyDescent="0.75">
      <c r="V3" s="34" t="s">
        <v>40</v>
      </c>
      <c r="W3" s="35">
        <f>MAX('Caso base'!W2-W2,0)</f>
        <v>143.05926981806988</v>
      </c>
    </row>
    <row r="4" spans="2:24" x14ac:dyDescent="0.75">
      <c r="V4" s="27"/>
      <c r="W4" s="33"/>
      <c r="X4" s="22"/>
    </row>
    <row r="5" spans="2:24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4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4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4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4" x14ac:dyDescent="0.75">
      <c r="B9" s="15">
        <v>1</v>
      </c>
      <c r="C9" s="30">
        <f>$C$8*EXP(Data!T5*'ir risk (down)'!B9)</f>
        <v>99825.153035716154</v>
      </c>
      <c r="E9" s="15">
        <v>1</v>
      </c>
      <c r="F9" s="15">
        <f>Data!C5</f>
        <v>7.1098899999999998E-3</v>
      </c>
      <c r="G9" s="15">
        <f>Data!E5</f>
        <v>0.99289011000000005</v>
      </c>
      <c r="H9" s="31">
        <f>EXP(-Data!T5*'ir risk (down)'!E9)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20">
        <f>K9*H9*(G8*(1-Data!$K$8)^E8)*((1-F9)*Data!$K$8)</f>
        <v>14591.979005750349</v>
      </c>
      <c r="M9" s="23"/>
      <c r="N9" s="20">
        <f>MAX(Data!$K$3*Data!$H$3,'ir risk (down)'!I9)-Data!$K$4</f>
        <v>109980.00000000001</v>
      </c>
      <c r="O9" s="20">
        <f>N9*H9*(G8*(1-Data!$K$8)^E8)*(F9)</f>
        <v>783.31530523196898</v>
      </c>
      <c r="P9" s="23"/>
      <c r="Q9" s="20">
        <f>Data!$K$11*(1+Data!$K$10)^'ir risk (down)'!E8*Data!$K$12</f>
        <v>50</v>
      </c>
      <c r="R9" s="20">
        <f>$Q9*$H9*($G8*(1-Data!$K$8)^$E8)</f>
        <v>50.087576607181006</v>
      </c>
      <c r="S9" s="23"/>
      <c r="T9" s="20">
        <f>C8*Data!$K$6</f>
        <v>1400</v>
      </c>
      <c r="U9" s="20">
        <f>$T9*$H9*($G8*(1-Data!$K$8)^$E8)</f>
        <v>1402.4521450010682</v>
      </c>
      <c r="V9" s="22"/>
      <c r="W9" s="20">
        <f>O9+L9+R9+U9</f>
        <v>16827.834032590566</v>
      </c>
    </row>
    <row r="10" spans="2:24" x14ac:dyDescent="0.75">
      <c r="B10" s="15">
        <v>2</v>
      </c>
      <c r="C10" s="30">
        <f>$C$8*EXP(Data!T6*'ir risk (down)'!B10)</f>
        <v>100306.46865790915</v>
      </c>
      <c r="E10" s="15">
        <v>2</v>
      </c>
      <c r="F10" s="15">
        <f>Data!C6</f>
        <v>7.9253799999999992E-3</v>
      </c>
      <c r="G10" s="15">
        <f>Data!E6</f>
        <v>0.98502107858000831</v>
      </c>
      <c r="H10" s="31">
        <f>EXP(-Data!T6*'ir risk (down)'!E10)</f>
        <v>0.99694467702821499</v>
      </c>
      <c r="I10" s="20">
        <f>C10-C9*(Data!$K$5)</f>
        <v>98309.965597194823</v>
      </c>
      <c r="J10" s="23"/>
      <c r="K10" s="20">
        <f>I10-Data!$K$4</f>
        <v>98289.965597194823</v>
      </c>
      <c r="L10" s="20">
        <f>K10*H10*(G9*(1-Data!$K$8)^E9)*((1-F10)*Data!$K$8)</f>
        <v>12306.539524068477</v>
      </c>
      <c r="M10" s="23"/>
      <c r="N10" s="20">
        <f>MAX(Data!$K$3*Data!$H$3,'ir risk (down)'!I10)-Data!$K$4</f>
        <v>109980.00000000001</v>
      </c>
      <c r="O10" s="20">
        <f>N10*H10*(G9*(1-Data!$K$8)^E9)*(F10)</f>
        <v>733.37310552113627</v>
      </c>
      <c r="P10" s="23"/>
      <c r="Q10" s="20">
        <f>Data!$K$11*(1+Data!$K$10)^'ir risk (down)'!E9*Data!$K$12</f>
        <v>51</v>
      </c>
      <c r="R10" s="20">
        <f>$Q10*$H10*($G9*(1-Data!$K$8)^$E9)</f>
        <v>42.910279710167195</v>
      </c>
      <c r="S10" s="23"/>
      <c r="T10" s="20">
        <f>C9*Data!$K$6</f>
        <v>1397.5521425000261</v>
      </c>
      <c r="U10" s="20">
        <f>$T10*$H10*($G9*(1-Data!$K$8)^$E9)</f>
        <v>1175.8696734160699</v>
      </c>
      <c r="V10" s="22"/>
      <c r="W10" s="20">
        <f t="shared" ref="W10:W58" si="0">O10+L10+R10+U10</f>
        <v>14258.69258271585</v>
      </c>
    </row>
    <row r="11" spans="2:24" x14ac:dyDescent="0.75">
      <c r="B11" s="15">
        <v>3</v>
      </c>
      <c r="C11" s="30">
        <f>$C$8*EXP(Data!T7*'ir risk (down)'!B11)</f>
        <v>100931.30995245877</v>
      </c>
      <c r="E11" s="15">
        <v>3</v>
      </c>
      <c r="F11" s="15">
        <f>Data!C7</f>
        <v>8.7428100000000002E-3</v>
      </c>
      <c r="G11" s="15">
        <f>Data!E7</f>
        <v>0.9764092264439882</v>
      </c>
      <c r="H11" s="31">
        <f>EXP(-Data!T7*'ir risk (down)'!E11)</f>
        <v>0.99077283399078586</v>
      </c>
      <c r="I11" s="20">
        <f>C11-C10*(Data!$K$5)</f>
        <v>98925.180579300591</v>
      </c>
      <c r="J11" s="23"/>
      <c r="K11" s="20">
        <f>I11-Data!$K$4</f>
        <v>98905.180579300591</v>
      </c>
      <c r="L11" s="20">
        <f>K11*H11*(G10*(1-Data!$K$8)^E10)*((1-F11)*Data!$K$8)</f>
        <v>10369.411644376962</v>
      </c>
      <c r="M11" s="23"/>
      <c r="N11" s="20">
        <f>MAX(Data!$K$3*Data!$H$3,'ir risk (down)'!I11)-Data!$K$4</f>
        <v>109980.00000000001</v>
      </c>
      <c r="O11" s="20">
        <f>N11*H11*(G10*(1-Data!$K$8)^E10)*(F11)</f>
        <v>677.98833441194256</v>
      </c>
      <c r="P11" s="23"/>
      <c r="Q11" s="20">
        <f>Data!$K$11*(1+Data!$K$10)^'ir risk (down)'!E10*Data!$K$12</f>
        <v>52.019999999999996</v>
      </c>
      <c r="R11" s="20">
        <f>$Q11*$H11*($G10*(1-Data!$K$8)^$E10)</f>
        <v>36.679872176705565</v>
      </c>
      <c r="S11" s="23"/>
      <c r="T11" s="20">
        <f>C10*Data!$K$6</f>
        <v>1404.2905612107281</v>
      </c>
      <c r="U11" s="20">
        <f>$T11*$H11*($G10*(1-Data!$K$8)^$E10)</f>
        <v>990.18066674670581</v>
      </c>
      <c r="V11" s="22"/>
      <c r="W11" s="20">
        <f t="shared" si="0"/>
        <v>12074.260517712317</v>
      </c>
    </row>
    <row r="12" spans="2:24" x14ac:dyDescent="0.75">
      <c r="B12" s="15">
        <v>4</v>
      </c>
      <c r="C12" s="30">
        <f>$C$8*EXP(Data!T8*'ir risk (down)'!B12)</f>
        <v>101673.85455570879</v>
      </c>
      <c r="E12" s="15">
        <v>4</v>
      </c>
      <c r="F12" s="15">
        <f>Data!C8</f>
        <v>9.7442299999999996E-3</v>
      </c>
      <c r="G12" s="15">
        <f>Data!E8</f>
        <v>0.96689487036739585</v>
      </c>
      <c r="H12" s="31">
        <f>EXP(-Data!T8*'ir risk (down)'!E12)</f>
        <v>0.98353702077074623</v>
      </c>
      <c r="I12" s="20">
        <f>C12-C11*(Data!$K$5)</f>
        <v>99655.228356659616</v>
      </c>
      <c r="J12" s="23"/>
      <c r="K12" s="20">
        <f>I12-Data!$K$4</f>
        <v>99635.228356659616</v>
      </c>
      <c r="L12" s="20">
        <f>K12*H12*(G11*(1-Data!$K$8)^E11)*((1-F12)*Data!$K$8)</f>
        <v>8728.3253139966091</v>
      </c>
      <c r="M12" s="23"/>
      <c r="N12" s="20">
        <f>MAX(Data!$K$3*Data!$H$3,'ir risk (down)'!I12)-Data!$K$4</f>
        <v>109980.00000000001</v>
      </c>
      <c r="O12" s="20">
        <f>N12*H12*(G11*(1-Data!$K$8)^E11)*(F12)</f>
        <v>632.03423784674942</v>
      </c>
      <c r="P12" s="23"/>
      <c r="Q12" s="20">
        <f>Data!$K$11*(1+Data!$K$10)^'ir risk (down)'!E11*Data!$K$12</f>
        <v>53.060399999999994</v>
      </c>
      <c r="R12" s="20">
        <f>$Q12*$H12*($G11*(1-Data!$K$8)^$E11)</f>
        <v>31.293193310115196</v>
      </c>
      <c r="S12" s="23"/>
      <c r="T12" s="20">
        <f>C11*Data!$K$6</f>
        <v>1413.038339334423</v>
      </c>
      <c r="U12" s="20">
        <f>$T12*$H12*($G11*(1-Data!$K$8)^$E11)</f>
        <v>833.36126202207777</v>
      </c>
      <c r="V12" s="22"/>
      <c r="W12" s="20">
        <f t="shared" si="0"/>
        <v>10225.01400717555</v>
      </c>
    </row>
    <row r="13" spans="2:24" x14ac:dyDescent="0.75">
      <c r="B13" s="15">
        <v>5</v>
      </c>
      <c r="C13" s="30">
        <f>$C$8*EXP(Data!T9*'ir risk (down)'!B13)</f>
        <v>102444.39729621472</v>
      </c>
      <c r="E13" s="15">
        <v>5</v>
      </c>
      <c r="F13" s="15">
        <f>Data!C9</f>
        <v>1.074365E-2</v>
      </c>
      <c r="G13" s="15">
        <f>Data!E9</f>
        <v>0.95650689029337321</v>
      </c>
      <c r="H13" s="31">
        <f>EXP(-Data!T9*'ir risk (down)'!E13)</f>
        <v>0.9761392778841107</v>
      </c>
      <c r="I13" s="20">
        <f>C13-C12*(Data!$K$5)</f>
        <v>100410.92020510054</v>
      </c>
      <c r="J13" s="23"/>
      <c r="K13" s="20">
        <f>I13-Data!$K$4</f>
        <v>100390.92020510054</v>
      </c>
      <c r="L13" s="20">
        <f>K13*H13*(G12*(1-Data!$K$8)^E12)*((1-F13)*Data!$K$8)</f>
        <v>7339.4123463148453</v>
      </c>
      <c r="M13" s="23"/>
      <c r="N13" s="20">
        <f>MAX(Data!$K$3*Data!$H$3,'ir risk (down)'!I13)-Data!$K$4</f>
        <v>109980.00000000001</v>
      </c>
      <c r="O13" s="20">
        <f>N13*H13*(G12*(1-Data!$K$8)^E12)*(F13)</f>
        <v>582.14653169544113</v>
      </c>
      <c r="P13" s="23"/>
      <c r="Q13" s="20">
        <f>Data!$K$11*(1+Data!$K$10)^'ir risk (down)'!E12*Data!$K$12</f>
        <v>54.121608000000002</v>
      </c>
      <c r="R13" s="20">
        <f>$Q13*$H13*($G12*(1-Data!$K$8)^$E12)</f>
        <v>26.664745239182736</v>
      </c>
      <c r="S13" s="23"/>
      <c r="T13" s="20">
        <f>C12*Data!$K$6</f>
        <v>1423.433963779923</v>
      </c>
      <c r="U13" s="20">
        <f>$T13*$H13*($G12*(1-Data!$K$8)^$E12)</f>
        <v>701.30037542476032</v>
      </c>
      <c r="V13" s="22"/>
      <c r="W13" s="20">
        <f t="shared" si="0"/>
        <v>8649.523998674229</v>
      </c>
    </row>
    <row r="14" spans="2:24" x14ac:dyDescent="0.75">
      <c r="B14" s="15">
        <v>6</v>
      </c>
      <c r="C14" s="30">
        <f>$C$8*EXP(Data!T10*'ir risk (down)'!B14)</f>
        <v>103336.45168867562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31">
        <f>EXP(-Data!T10*'ir risk (down)'!E14)</f>
        <v>0.96771273220482323</v>
      </c>
      <c r="I14" s="20">
        <f>C14-C13*(Data!$K$5)</f>
        <v>101287.56374275133</v>
      </c>
      <c r="J14" s="23"/>
      <c r="K14" s="20">
        <f>I14-Data!$K$4</f>
        <v>101267.56374275133</v>
      </c>
      <c r="L14" s="20">
        <f>K14*H14*(G13*(1-Data!$K$8)^E13)*((1-F14)*Data!$K$8)</f>
        <v>6165.399909833669</v>
      </c>
      <c r="M14" s="23"/>
      <c r="N14" s="20">
        <f>MAX(Data!$K$3*Data!$H$3,'ir risk (down)'!I14)-Data!$K$4</f>
        <v>109980.00000000001</v>
      </c>
      <c r="O14" s="20">
        <f>N14*H14*(G13*(1-Data!$K$8)^E13)*(F14)</f>
        <v>530.36652020833662</v>
      </c>
      <c r="P14" s="23"/>
      <c r="Q14" s="20">
        <f>Data!$K$11*(1+Data!$K$10)^'ir risk (down)'!E13*Data!$K$12</f>
        <v>55.204040159999998</v>
      </c>
      <c r="R14" s="20">
        <f>$Q14*$H14*($G13*(1-Data!$K$8)^$E13)</f>
        <v>22.672533364990144</v>
      </c>
      <c r="S14" s="23"/>
      <c r="T14" s="20">
        <f>C13*Data!$K$6</f>
        <v>1434.2215621470061</v>
      </c>
      <c r="U14" s="20">
        <f>$T14*$H14*($G13*(1-Data!$K$8)^$E13)</f>
        <v>589.04087683292278</v>
      </c>
      <c r="V14" s="22"/>
      <c r="W14" s="20">
        <f t="shared" si="0"/>
        <v>7307.4798402399183</v>
      </c>
    </row>
    <row r="15" spans="2:24" x14ac:dyDescent="0.75">
      <c r="B15" s="15">
        <v>7</v>
      </c>
      <c r="C15" s="30">
        <f>$C$8*EXP(Data!T11*'ir risk (down)'!B15)</f>
        <v>104289.44787507632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31">
        <f>EXP(-Data!T11*'ir risk (down)'!E15)</f>
        <v>0.95886978057248451</v>
      </c>
      <c r="I15" s="20">
        <f>C15-C14*(Data!$K$5)</f>
        <v>102222.71884130281</v>
      </c>
      <c r="J15" s="23"/>
      <c r="K15" s="20">
        <f>I15-Data!$K$4</f>
        <v>102202.71884130281</v>
      </c>
      <c r="L15" s="20">
        <f>K15*H15*(G14*(1-Data!$K$8)^E14)*((1-F15)*Data!$K$8)</f>
        <v>5172.8154896634514</v>
      </c>
      <c r="M15" s="23"/>
      <c r="N15" s="20">
        <f>MAX(Data!$K$3*Data!$H$3,'ir risk (down)'!I15)-Data!$K$4</f>
        <v>109980.00000000001</v>
      </c>
      <c r="O15" s="20">
        <f>N15*H15*(G14*(1-Data!$K$8)^E14)*(F15)</f>
        <v>486.66794435453852</v>
      </c>
      <c r="P15" s="23"/>
      <c r="Q15" s="20">
        <f>Data!$K$11*(1+Data!$K$10)^'ir risk (down)'!E14*Data!$K$12</f>
        <v>56.308120963200004</v>
      </c>
      <c r="R15" s="20">
        <f>$Q15*$H15*($G14*(1-Data!$K$8)^$E14)</f>
        <v>19.248760458110834</v>
      </c>
      <c r="S15" s="23"/>
      <c r="T15" s="20">
        <f>C14*Data!$K$6</f>
        <v>1446.7103236414587</v>
      </c>
      <c r="U15" s="20">
        <f>$T15*$H15*($G14*(1-Data!$K$8)^$E14)</f>
        <v>494.553538560628</v>
      </c>
      <c r="V15" s="22"/>
      <c r="W15" s="20">
        <f t="shared" si="0"/>
        <v>6173.2857330367287</v>
      </c>
    </row>
    <row r="16" spans="2:24" x14ac:dyDescent="0.75">
      <c r="B16" s="15">
        <v>8</v>
      </c>
      <c r="C16" s="30">
        <f>$C$8*EXP(Data!T12*'ir risk (down)'!B16)</f>
        <v>105388.14842380748</v>
      </c>
      <c r="E16" s="15">
        <v>8</v>
      </c>
      <c r="F16" s="15">
        <f>Data!C12</f>
        <v>1.4286E-2</v>
      </c>
      <c r="G16" s="15">
        <f>Data!E12</f>
        <v>0.91971023218701531</v>
      </c>
      <c r="H16" s="31">
        <f>EXP(-Data!T12*'ir risk (down)'!E16)</f>
        <v>0.94887329833199452</v>
      </c>
      <c r="I16" s="20">
        <f>C16-C15*(Data!$K$5)</f>
        <v>103302.35946630595</v>
      </c>
      <c r="J16" s="23"/>
      <c r="K16" s="20">
        <f>I16-Data!$K$4</f>
        <v>103282.35946630595</v>
      </c>
      <c r="L16" s="20">
        <f>K16*H16*(G15*(1-Data!$K$8)^E15)*((1-F16)*Data!$K$8)</f>
        <v>4334.2018545266119</v>
      </c>
      <c r="M16" s="23"/>
      <c r="N16" s="20">
        <f>MAX(Data!$K$3*Data!$H$3,'ir risk (down)'!I16)-Data!$K$4</f>
        <v>109980.00000000001</v>
      </c>
      <c r="O16" s="20">
        <f>N16*H16*(G15*(1-Data!$K$8)^E15)*(F16)</f>
        <v>445.92842856364445</v>
      </c>
      <c r="P16" s="23"/>
      <c r="Q16" s="20">
        <f>Data!$K$11*(1+Data!$K$10)^'ir risk (down)'!E15*Data!$K$12</f>
        <v>57.434283382463988</v>
      </c>
      <c r="R16" s="20">
        <f>$Q16*$H16*($G15*(1-Data!$K$8)^$E15)</f>
        <v>16.300915856655443</v>
      </c>
      <c r="S16" s="23"/>
      <c r="T16" s="20">
        <f>C15*Data!$K$6</f>
        <v>1460.0522702510686</v>
      </c>
      <c r="U16" s="20">
        <f>$T16*$H16*($G15*(1-Data!$K$8)^$E15)</f>
        <v>414.38993928403698</v>
      </c>
      <c r="V16" s="22"/>
      <c r="W16" s="20">
        <f t="shared" si="0"/>
        <v>5210.8211382309482</v>
      </c>
    </row>
    <row r="17" spans="2:23" x14ac:dyDescent="0.75">
      <c r="B17" s="15">
        <v>9</v>
      </c>
      <c r="C17" s="30">
        <f>$C$8*EXP(Data!T13*'ir risk (down)'!B17)</f>
        <v>106646.55964068499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31">
        <f>EXP(-Data!T13*'ir risk (down)'!E17)</f>
        <v>0.93767675522699767</v>
      </c>
      <c r="I17" s="20">
        <f>C17-C16*(Data!$K$5)</f>
        <v>104538.79667220885</v>
      </c>
      <c r="J17" s="23"/>
      <c r="K17" s="20">
        <f>I17-Data!$K$4</f>
        <v>104518.79667220885</v>
      </c>
      <c r="L17" s="20">
        <f>K17*H17*(G16*(1-Data!$K$8)^E16)*((1-F17)*Data!$K$8)</f>
        <v>3625.8552740280657</v>
      </c>
      <c r="M17" s="23"/>
      <c r="N17" s="20">
        <f>MAX(Data!$K$3*Data!$H$3,'ir risk (down)'!I17)-Data!$K$4</f>
        <v>109980.00000000001</v>
      </c>
      <c r="O17" s="20">
        <f>N17*H17*(G16*(1-Data!$K$8)^E16)*(F17)</f>
        <v>409.17172894709108</v>
      </c>
      <c r="P17" s="23"/>
      <c r="Q17" s="20">
        <f>Data!$K$11*(1+Data!$K$10)^'ir risk (down)'!E16*Data!$K$12</f>
        <v>58.582969050113277</v>
      </c>
      <c r="R17" s="20">
        <f>$Q17*$H17*($G16*(1-Data!$K$8)^$E16)</f>
        <v>13.766608199089037</v>
      </c>
      <c r="S17" s="23"/>
      <c r="T17" s="20">
        <f>C16*Data!$K$6</f>
        <v>1475.4340779333047</v>
      </c>
      <c r="U17" s="20">
        <f>$T17*$H17*($G16*(1-Data!$K$8)^$E16)</f>
        <v>346.71719791321721</v>
      </c>
      <c r="V17" s="22"/>
      <c r="W17" s="20">
        <f t="shared" si="0"/>
        <v>4395.5108090874637</v>
      </c>
    </row>
    <row r="18" spans="2:23" x14ac:dyDescent="0.75">
      <c r="B18" s="15">
        <v>10</v>
      </c>
      <c r="C18" s="30">
        <f>$C$8*EXP(Data!T14*'ir risk (down)'!B18)</f>
        <v>107950.21903371655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31">
        <f>EXP(-Data!T14*'ir risk (down)'!E18)</f>
        <v>0.92635291428882216</v>
      </c>
      <c r="I18" s="20">
        <f>C18-C17*(Data!$K$5)</f>
        <v>105817.28784090285</v>
      </c>
      <c r="J18" s="23"/>
      <c r="K18" s="20">
        <f>I18-Data!$K$4</f>
        <v>105797.28784090285</v>
      </c>
      <c r="L18" s="20">
        <f>K18*H18*(G17*(1-Data!$K$8)^E17)*((1-F18)*Data!$K$8)</f>
        <v>3028.2585183466203</v>
      </c>
      <c r="M18" s="23"/>
      <c r="N18" s="20">
        <f>MAX(Data!$K$3*Data!$H$3,'ir risk (down)'!I18)-Data!$K$4</f>
        <v>109980.00000000001</v>
      </c>
      <c r="O18" s="20">
        <f>N18*H18*(G17*(1-Data!$K$8)^E17)*(F18)</f>
        <v>372.45149422569847</v>
      </c>
      <c r="P18" s="23"/>
      <c r="Q18" s="20">
        <f>Data!$K$11*(1+Data!$K$10)^'ir risk (down)'!E17*Data!$K$12</f>
        <v>59.754628431115542</v>
      </c>
      <c r="R18" s="20">
        <f>$Q18*$H18*($G17*(1-Data!$K$8)^$E17)</f>
        <v>11.604825197580841</v>
      </c>
      <c r="S18" s="23"/>
      <c r="T18" s="20">
        <f>C17*Data!$K$6</f>
        <v>1493.0518349695899</v>
      </c>
      <c r="U18" s="20">
        <f>$T18*$H18*($G17*(1-Data!$K$8)^$E17)</f>
        <v>289.96256876943556</v>
      </c>
      <c r="V18" s="22"/>
      <c r="W18" s="20">
        <f t="shared" si="0"/>
        <v>3702.2774065393351</v>
      </c>
    </row>
    <row r="19" spans="2:23" x14ac:dyDescent="0.75">
      <c r="B19" s="15">
        <v>11</v>
      </c>
      <c r="C19" s="30">
        <f>$C$8*EXP(Data!T15*'ir risk (down)'!B19)</f>
        <v>109198.81220281975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31">
        <f>EXP(-Data!T15*'ir risk (down)'!E19)</f>
        <v>0.91576087672332562</v>
      </c>
      <c r="I19" s="20">
        <f>C19-C18*(Data!$K$5)</f>
        <v>107039.80782214542</v>
      </c>
      <c r="J19" s="23"/>
      <c r="K19" s="20">
        <f>I19-Data!$K$4</f>
        <v>107019.80782214542</v>
      </c>
      <c r="L19" s="20">
        <f>K19*H19*(G18*(1-Data!$K$8)^E18)*((1-F19)*Data!$K$8)</f>
        <v>2524.048584436659</v>
      </c>
      <c r="M19" s="23"/>
      <c r="N19" s="20">
        <f>MAX(Data!$K$3*Data!$H$3,'ir risk (down)'!I19)-Data!$K$4</f>
        <v>109980.00000000001</v>
      </c>
      <c r="O19" s="20">
        <f>N19*H19*(G18*(1-Data!$K$8)^E18)*(F19)</f>
        <v>342.16274813465208</v>
      </c>
      <c r="P19" s="23"/>
      <c r="Q19" s="20">
        <f>Data!$K$11*(1+Data!$K$10)^'ir risk (down)'!E18*Data!$K$12</f>
        <v>60.949720999737856</v>
      </c>
      <c r="R19" s="20">
        <f>$Q19*$H19*($G18*(1-Data!$K$8)^$E18)</f>
        <v>9.7728991037833275</v>
      </c>
      <c r="S19" s="23"/>
      <c r="T19" s="20">
        <f>C18*Data!$K$6</f>
        <v>1511.3030664720318</v>
      </c>
      <c r="U19" s="20">
        <f>$T19*$H19*($G18*(1-Data!$K$8)^$E18)</f>
        <v>242.32780957164738</v>
      </c>
      <c r="V19" s="22"/>
      <c r="W19" s="20">
        <f t="shared" si="0"/>
        <v>3118.312041246742</v>
      </c>
    </row>
    <row r="20" spans="2:23" x14ac:dyDescent="0.75">
      <c r="B20" s="15">
        <v>12</v>
      </c>
      <c r="C20" s="30">
        <f>$C$8*EXP(Data!T16*'ir risk (down)'!B20)</f>
        <v>110486.15135372433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31">
        <f>EXP(-Data!T16*'ir risk (down)'!E20)</f>
        <v>0.90509080798594721</v>
      </c>
      <c r="I20" s="20">
        <f>C20-C19*(Data!$K$5)</f>
        <v>108302.17510966794</v>
      </c>
      <c r="J20" s="23"/>
      <c r="K20" s="20">
        <f>I20-Data!$K$4</f>
        <v>108282.17510966794</v>
      </c>
      <c r="L20" s="20">
        <f>K20*H20*(G19*(1-Data!$K$8)^E19)*((1-F20)*Data!$K$8)</f>
        <v>2100.0842548489409</v>
      </c>
      <c r="M20" s="23"/>
      <c r="N20" s="20">
        <f>MAX(Data!$K$3*Data!$H$3,'ir risk (down)'!I20)-Data!$K$4</f>
        <v>109980.00000000001</v>
      </c>
      <c r="O20" s="20">
        <f>N20*H20*(G19*(1-Data!$K$8)^E19)*(F20)</f>
        <v>307.21759243031966</v>
      </c>
      <c r="P20" s="23"/>
      <c r="Q20" s="20">
        <f>Data!$K$11*(1+Data!$K$10)^'ir risk (down)'!E19*Data!$K$12</f>
        <v>62.1687154197326</v>
      </c>
      <c r="R20" s="20">
        <f>$Q20*$H20*($G19*(1-Data!$K$8)^$E19)</f>
        <v>8.2118909308552208</v>
      </c>
      <c r="S20" s="23"/>
      <c r="T20" s="20">
        <f>C19*Data!$K$6</f>
        <v>1528.7833708394767</v>
      </c>
      <c r="U20" s="20">
        <f>$T20*$H20*($G19*(1-Data!$K$8)^$E19)</f>
        <v>201.93761787547277</v>
      </c>
      <c r="V20" s="22"/>
      <c r="W20" s="20">
        <f t="shared" si="0"/>
        <v>2617.4513560855885</v>
      </c>
    </row>
    <row r="21" spans="2:23" x14ac:dyDescent="0.75">
      <c r="B21" s="15">
        <v>13</v>
      </c>
      <c r="C21" s="30">
        <f>$C$8*EXP(Data!T17*'ir risk (down)'!B21)</f>
        <v>111814.38122973588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31">
        <f>EXP(-Data!T17*'ir risk (down)'!E21)</f>
        <v>0.89433934079139754</v>
      </c>
      <c r="I21" s="20">
        <f>C21-C20*(Data!$K$5)</f>
        <v>109604.65820266139</v>
      </c>
      <c r="J21" s="23"/>
      <c r="K21" s="20">
        <f>I21-Data!$K$4</f>
        <v>109584.65820266139</v>
      </c>
      <c r="L21" s="20">
        <f>K21*H21*(G20*(1-Data!$K$8)^E20)*((1-F21)*Data!$K$8)</f>
        <v>1743.4920921049982</v>
      </c>
      <c r="M21" s="23"/>
      <c r="N21" s="20">
        <f>MAX(Data!$K$3*Data!$H$3,'ir risk (down)'!I21)-Data!$K$4</f>
        <v>109980.00000000001</v>
      </c>
      <c r="O21" s="20">
        <f>N21*H21*(G20*(1-Data!$K$8)^E20)*(F21)</f>
        <v>278.27845893823996</v>
      </c>
      <c r="P21" s="23"/>
      <c r="Q21" s="20">
        <f>Data!$K$11*(1+Data!$K$10)^'ir risk (down)'!E20*Data!$K$12</f>
        <v>63.412089728127263</v>
      </c>
      <c r="R21" s="20">
        <f>$Q21*$H21*($G20*(1-Data!$K$8)^$E20)</f>
        <v>6.8863590203760507</v>
      </c>
      <c r="S21" s="23"/>
      <c r="T21" s="20">
        <f>C20*Data!$K$6</f>
        <v>1546.8061189521407</v>
      </c>
      <c r="U21" s="20">
        <f>$T21*$H21*($G20*(1-Data!$K$8)^$E20)</f>
        <v>167.97841414291338</v>
      </c>
      <c r="V21" s="22"/>
      <c r="W21" s="20">
        <f t="shared" si="0"/>
        <v>2196.6353242065275</v>
      </c>
    </row>
    <row r="22" spans="2:23" x14ac:dyDescent="0.75">
      <c r="B22" s="15">
        <v>14</v>
      </c>
      <c r="C22" s="30">
        <f>$C$8*EXP(Data!T18*'ir risk (down)'!B22)</f>
        <v>112952.81735535384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31">
        <f>EXP(-Data!T18*'ir risk (down)'!E22)</f>
        <v>0.88532541588047531</v>
      </c>
      <c r="I22" s="20">
        <f>C22-C21*(Data!$K$5)</f>
        <v>110716.52973075912</v>
      </c>
      <c r="J22" s="23"/>
      <c r="K22" s="20">
        <f>I22-Data!$K$4</f>
        <v>110696.52973075912</v>
      </c>
      <c r="L22" s="20">
        <f>K22*H22*(G21*(1-Data!$K$8)^E21)*((1-F22)*Data!$K$8)</f>
        <v>1444.3208182858348</v>
      </c>
      <c r="M22" s="23"/>
      <c r="N22" s="20">
        <f>MAX(Data!$K$3*Data!$H$3,'ir risk (down)'!I22)-Data!$K$4</f>
        <v>110696.52973075912</v>
      </c>
      <c r="O22" s="20">
        <f>N22*H22*(G21*(1-Data!$K$8)^E21)*(F22)</f>
        <v>250.63832734206869</v>
      </c>
      <c r="P22" s="23"/>
      <c r="Q22" s="20">
        <f>Data!$K$11*(1+Data!$K$10)^'ir risk (down)'!E21*Data!$K$12</f>
        <v>64.680331522689798</v>
      </c>
      <c r="R22" s="20">
        <f>$Q22*$H22*($G21*(1-Data!$K$8)^$E21)</f>
        <v>5.7725901676532292</v>
      </c>
      <c r="S22" s="23"/>
      <c r="T22" s="20">
        <f>C21*Data!$K$6</f>
        <v>1565.4013372163024</v>
      </c>
      <c r="U22" s="20">
        <f>$T22*$H22*($G21*(1-Data!$K$8)^$E21)</f>
        <v>139.70893708972528</v>
      </c>
      <c r="V22" s="22"/>
      <c r="W22" s="20">
        <f t="shared" si="0"/>
        <v>1840.4406728852823</v>
      </c>
    </row>
    <row r="23" spans="2:23" x14ac:dyDescent="0.75">
      <c r="B23" s="15">
        <v>15</v>
      </c>
      <c r="C23" s="30">
        <f>$C$8*EXP(Data!T19*'ir risk (down)'!B23)</f>
        <v>114145.0703118025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31">
        <f>EXP(-Data!T19*'ir risk (down)'!E23)</f>
        <v>0.87607813221225106</v>
      </c>
      <c r="I23" s="20">
        <f>C23-C22*(Data!$K$5)</f>
        <v>111886.01396469542</v>
      </c>
      <c r="J23" s="23"/>
      <c r="K23" s="20">
        <f>I23-Data!$K$4</f>
        <v>111866.01396469542</v>
      </c>
      <c r="L23" s="20">
        <f>K23*H23*(G22*(1-Data!$K$8)^E22)*((1-F23)*Data!$K$8)</f>
        <v>1193.043309965268</v>
      </c>
      <c r="M23" s="23"/>
      <c r="N23" s="20">
        <f>MAX(Data!$K$3*Data!$H$3,'ir risk (down)'!I23)-Data!$K$4</f>
        <v>111866.01396469542</v>
      </c>
      <c r="O23" s="20">
        <f>N23*H23*(G22*(1-Data!$K$8)^E22)*(F23)</f>
        <v>230.939181375164</v>
      </c>
      <c r="P23" s="23"/>
      <c r="Q23" s="20">
        <f>Data!$K$11*(1+Data!$K$10)^'ir risk (down)'!E22*Data!$K$12</f>
        <v>65.973938153143607</v>
      </c>
      <c r="R23" s="20">
        <f>$Q23*$H23*($G22*(1-Data!$K$8)^$E22)</f>
        <v>4.8269149711910151</v>
      </c>
      <c r="S23" s="23"/>
      <c r="T23" s="20">
        <f>C22*Data!$K$6</f>
        <v>1581.3394429749537</v>
      </c>
      <c r="U23" s="20">
        <f>$T23*$H23*($G22*(1-Data!$K$8)^$E22)</f>
        <v>115.69706531861718</v>
      </c>
      <c r="V23" s="22"/>
      <c r="W23" s="20">
        <f t="shared" si="0"/>
        <v>1544.5064716302402</v>
      </c>
    </row>
    <row r="24" spans="2:23" x14ac:dyDescent="0.75">
      <c r="B24" s="15">
        <v>16</v>
      </c>
      <c r="C24" s="30">
        <f>$C$8*EXP(Data!T20*'ir risk (down)'!B24)</f>
        <v>114733.28639349955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31">
        <f>EXP(-Data!T20*'ir risk (down)'!E24)</f>
        <v>0.87158664362695093</v>
      </c>
      <c r="I24" s="20">
        <f>C24-C23*(Data!$K$5)</f>
        <v>112450.3849872635</v>
      </c>
      <c r="J24" s="23"/>
      <c r="K24" s="20">
        <f>I24-Data!$K$4</f>
        <v>112430.3849872635</v>
      </c>
      <c r="L24" s="20">
        <f>K24*H24*(G23*(1-Data!$K$8)^E23)*((1-F24)*Data!$K$8)</f>
        <v>982.04216088283738</v>
      </c>
      <c r="M24" s="23"/>
      <c r="N24" s="20">
        <f>MAX(Data!$K$3*Data!$H$3,'ir risk (down)'!I24)-Data!$K$4</f>
        <v>112430.3849872635</v>
      </c>
      <c r="O24" s="20">
        <f>N24*H24*(G23*(1-Data!$K$8)^E23)*(F24)</f>
        <v>212.90347432749621</v>
      </c>
      <c r="P24" s="23"/>
      <c r="Q24" s="20">
        <f>Data!$K$11*(1+Data!$K$10)^'ir risk (down)'!E23*Data!$K$12</f>
        <v>67.293416916206468</v>
      </c>
      <c r="R24" s="20">
        <f>$Q24*$H24*($G23*(1-Data!$K$8)^$E23)</f>
        <v>4.0460013194496742</v>
      </c>
      <c r="S24" s="23"/>
      <c r="T24" s="20">
        <f>C23*Data!$K$6</f>
        <v>1598.0309843652351</v>
      </c>
      <c r="U24" s="20">
        <f>$T24*$H24*($G23*(1-Data!$K$8)^$E23)</f>
        <v>96.081247877696427</v>
      </c>
      <c r="V24" s="22"/>
      <c r="W24" s="20">
        <f t="shared" si="0"/>
        <v>1295.0728844074797</v>
      </c>
    </row>
    <row r="25" spans="2:23" x14ac:dyDescent="0.75">
      <c r="B25" s="15">
        <v>17</v>
      </c>
      <c r="C25" s="30">
        <f>$C$8*EXP(Data!T21*'ir risk (down)'!B25)</f>
        <v>115428.37249017513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31">
        <f>EXP(-Data!T21*'ir risk (down)'!E25)</f>
        <v>0.86633812677651378</v>
      </c>
      <c r="I25" s="20">
        <f>C25-C24*(Data!$K$5)</f>
        <v>113133.70676230514</v>
      </c>
      <c r="J25" s="23"/>
      <c r="K25" s="20">
        <f>I25-Data!$K$4</f>
        <v>113113.70676230514</v>
      </c>
      <c r="L25" s="20">
        <f>K25*H25*(G24*(1-Data!$K$8)^E24)*((1-F25)*Data!$K$8)</f>
        <v>804.98337060701635</v>
      </c>
      <c r="M25" s="23"/>
      <c r="N25" s="20">
        <f>MAX(Data!$K$3*Data!$H$3,'ir risk (down)'!I25)-Data!$K$4</f>
        <v>113113.70676230514</v>
      </c>
      <c r="O25" s="20">
        <f>N25*H25*(G24*(1-Data!$K$8)^E24)*(F25)</f>
        <v>198.45738566654433</v>
      </c>
      <c r="P25" s="23"/>
      <c r="Q25" s="20">
        <f>Data!$K$11*(1+Data!$K$10)^'ir risk (down)'!E24*Data!$K$12</f>
        <v>68.639285254530606</v>
      </c>
      <c r="R25" s="20">
        <f>$Q25*$H25*($G24*(1-Data!$K$8)^$E24)</f>
        <v>3.376942889659162</v>
      </c>
      <c r="S25" s="23"/>
      <c r="T25" s="20">
        <f>C24*Data!$K$6</f>
        <v>1606.2660095089939</v>
      </c>
      <c r="U25" s="20">
        <f>$T25*$H25*($G24*(1-Data!$K$8)^$E24)</f>
        <v>79.025714787065894</v>
      </c>
      <c r="V25" s="22"/>
      <c r="W25" s="20">
        <f t="shared" si="0"/>
        <v>1085.8434139502858</v>
      </c>
    </row>
    <row r="26" spans="2:23" x14ac:dyDescent="0.75">
      <c r="B26" s="15">
        <v>18</v>
      </c>
      <c r="C26" s="30">
        <f>$C$8*EXP(Data!T22*'ir risk (down)'!B26)</f>
        <v>116113.73512709902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31">
        <f>EXP(-Data!T22*'ir risk (down)'!E26)</f>
        <v>0.86122455616933868</v>
      </c>
      <c r="I26" s="20">
        <f>C26-C25*(Data!$K$5)</f>
        <v>113805.16767729551</v>
      </c>
      <c r="J26" s="23"/>
      <c r="K26" s="20">
        <f>I26-Data!$K$4</f>
        <v>113785.16767729551</v>
      </c>
      <c r="L26" s="20">
        <f>K26*H26*(G25*(1-Data!$K$8)^E25)*((1-F26)*Data!$K$8)</f>
        <v>657.25780236164235</v>
      </c>
      <c r="M26" s="23"/>
      <c r="N26" s="20">
        <f>MAX(Data!$K$3*Data!$H$3,'ir risk (down)'!I26)-Data!$K$4</f>
        <v>113785.16767729551</v>
      </c>
      <c r="O26" s="20">
        <f>N26*H26*(G25*(1-Data!$K$8)^E25)*(F26)</f>
        <v>179.84740648578301</v>
      </c>
      <c r="P26" s="23"/>
      <c r="Q26" s="20">
        <f>Data!$K$11*(1+Data!$K$10)^'ir risk (down)'!E25*Data!$K$12</f>
        <v>70.012070959621227</v>
      </c>
      <c r="R26" s="20">
        <f>$Q26*$H26*($G25*(1-Data!$K$8)^$E25)</f>
        <v>2.806733911124387</v>
      </c>
      <c r="S26" s="23"/>
      <c r="T26" s="20">
        <f>C25*Data!$K$6</f>
        <v>1615.9972148624518</v>
      </c>
      <c r="U26" s="20">
        <f>$T26*$H26*($G25*(1-Data!$K$8)^$E25)</f>
        <v>64.784173944131894</v>
      </c>
      <c r="V26" s="22"/>
      <c r="W26" s="20">
        <f t="shared" si="0"/>
        <v>904.69611670268171</v>
      </c>
    </row>
    <row r="27" spans="2:23" x14ac:dyDescent="0.75">
      <c r="B27" s="15">
        <v>19</v>
      </c>
      <c r="C27" s="30">
        <f>$C$8*EXP(Data!T23*'ir risk (down)'!B27)</f>
        <v>116681.75499574482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31">
        <f>EXP(-Data!T23*'ir risk (down)'!E27)</f>
        <v>0.85703201844750121</v>
      </c>
      <c r="I27" s="20">
        <f>C27-C26*(Data!$K$5)</f>
        <v>114359.48029320284</v>
      </c>
      <c r="J27" s="23"/>
      <c r="K27" s="20">
        <f>I27-Data!$K$4</f>
        <v>114339.48029320284</v>
      </c>
      <c r="L27" s="20">
        <f>K27*H27*(G26*(1-Data!$K$8)^E26)*((1-F27)*Data!$K$8)</f>
        <v>533.83212389656842</v>
      </c>
      <c r="M27" s="23"/>
      <c r="N27" s="20">
        <f>MAX(Data!$K$3*Data!$H$3,'ir risk (down)'!I27)-Data!$K$4</f>
        <v>114339.48029320284</v>
      </c>
      <c r="O27" s="20">
        <f>N27*H27*(G26*(1-Data!$K$8)^E26)*(F27)</f>
        <v>165.50461255608246</v>
      </c>
      <c r="P27" s="23"/>
      <c r="Q27" s="20">
        <f>Data!$K$11*(1+Data!$K$10)^'ir risk (down)'!E26*Data!$K$12</f>
        <v>71.412312378813638</v>
      </c>
      <c r="R27" s="20">
        <f>$Q27*$H27*($G26*(1-Data!$K$8)^$E26)</f>
        <v>2.3261167155352998</v>
      </c>
      <c r="S27" s="23"/>
      <c r="T27" s="20">
        <f>C26*Data!$K$6</f>
        <v>1625.5922917793862</v>
      </c>
      <c r="U27" s="20">
        <f>$T27*$H27*($G26*(1-Data!$K$8)^$E26)</f>
        <v>52.950496582367975</v>
      </c>
      <c r="V27" s="22"/>
      <c r="W27" s="20">
        <f t="shared" si="0"/>
        <v>754.61334975055411</v>
      </c>
    </row>
    <row r="28" spans="2:23" x14ac:dyDescent="0.75">
      <c r="B28" s="15">
        <v>20</v>
      </c>
      <c r="C28" s="30">
        <f>$C$8*EXP(Data!T24*'ir risk (down)'!B28)</f>
        <v>117633.06794988913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31">
        <f>EXP(-Data!T24*'ir risk (down)'!E28)</f>
        <v>0.85010109608464279</v>
      </c>
      <c r="I28" s="20">
        <f>C28-C27*(Data!$K$5)</f>
        <v>115299.43284997423</v>
      </c>
      <c r="J28" s="23"/>
      <c r="K28" s="20">
        <f>I28-Data!$K$4</f>
        <v>115279.43284997423</v>
      </c>
      <c r="L28" s="20">
        <f>K28*H28*(G27*(1-Data!$K$8)^E27)*((1-F28)*Data!$K$8)</f>
        <v>431.43401479287689</v>
      </c>
      <c r="M28" s="23"/>
      <c r="N28" s="20">
        <f>MAX(Data!$K$3*Data!$H$3,'ir risk (down)'!I28)-Data!$K$4</f>
        <v>115279.43284997423</v>
      </c>
      <c r="O28" s="20">
        <f>N28*H28*(G27*(1-Data!$K$8)^E27)*(F28)</f>
        <v>149.02495876484022</v>
      </c>
      <c r="P28" s="23"/>
      <c r="Q28" s="20">
        <f>Data!$K$11*(1+Data!$K$10)^'ir risk (down)'!E27*Data!$K$12</f>
        <v>72.840558626389907</v>
      </c>
      <c r="R28" s="20">
        <f>$Q28*$H28*($G27*(1-Data!$K$8)^$E27)</f>
        <v>1.9115380785406981</v>
      </c>
      <c r="S28" s="23"/>
      <c r="T28" s="20">
        <f>C27*Data!$K$6</f>
        <v>1633.5445699404274</v>
      </c>
      <c r="U28" s="20">
        <f>$T28*$H28*($G27*(1-Data!$K$8)^$E27)</f>
        <v>42.868735596204139</v>
      </c>
      <c r="V28" s="22"/>
      <c r="W28" s="20">
        <f t="shared" si="0"/>
        <v>625.23924723246205</v>
      </c>
    </row>
    <row r="29" spans="2:23" x14ac:dyDescent="0.75">
      <c r="B29" s="15">
        <v>21</v>
      </c>
      <c r="C29" s="30">
        <f>$C$8*EXP(Data!T25*'ir risk (down)'!B29)</f>
        <v>118916.33587654652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31">
        <f>EXP(-Data!T25*'ir risk (down)'!E29)</f>
        <v>0.84092735672427221</v>
      </c>
      <c r="I29" s="20">
        <f>C29-C28*(Data!$K$5)</f>
        <v>116563.67451754874</v>
      </c>
      <c r="J29" s="23"/>
      <c r="K29" s="20">
        <f>I29-Data!$K$4</f>
        <v>116543.67451754874</v>
      </c>
      <c r="L29" s="20">
        <f>K29*H29*(G28*(1-Data!$K$8)^E28)*((1-F29)*Data!$K$8)</f>
        <v>346.72236341420319</v>
      </c>
      <c r="M29" s="23"/>
      <c r="N29" s="20">
        <f>MAX(Data!$K$3*Data!$H$3,'ir risk (down)'!I29)-Data!$K$4</f>
        <v>116543.67451754874</v>
      </c>
      <c r="O29" s="20">
        <f>N29*H29*(G28*(1-Data!$K$8)^E28)*(F29)</f>
        <v>133.44983011139612</v>
      </c>
      <c r="P29" s="23"/>
      <c r="Q29" s="20">
        <f>Data!$K$11*(1+Data!$K$10)^'ir risk (down)'!E28*Data!$K$12</f>
        <v>74.297369798917714</v>
      </c>
      <c r="R29" s="20">
        <f>$Q29*$H29*($G28*(1-Data!$K$8)^$E28)</f>
        <v>1.5586606178067195</v>
      </c>
      <c r="S29" s="23"/>
      <c r="T29" s="20">
        <f>C28*Data!$K$6</f>
        <v>1646.8629512984478</v>
      </c>
      <c r="U29" s="20">
        <f>$T29*$H29*($G28*(1-Data!$K$8)^$E28)</f>
        <v>34.549008020889964</v>
      </c>
      <c r="V29" s="22"/>
      <c r="W29" s="20">
        <f t="shared" si="0"/>
        <v>516.27986216429599</v>
      </c>
    </row>
    <row r="30" spans="2:23" x14ac:dyDescent="0.75">
      <c r="B30" s="15">
        <v>22</v>
      </c>
      <c r="C30" s="30">
        <f>$C$8*EXP(Data!T26*'ir risk (down)'!B30)</f>
        <v>120430.18241735024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31">
        <f>EXP(-Data!T26*'ir risk (down)'!E30)</f>
        <v>0.83035662649293729</v>
      </c>
      <c r="I30" s="20">
        <f>C30-C29*(Data!$K$5)</f>
        <v>118051.85569981931</v>
      </c>
      <c r="J30" s="23"/>
      <c r="K30" s="20">
        <f>I30-Data!$K$4</f>
        <v>118031.85569981931</v>
      </c>
      <c r="L30" s="20">
        <f>K30*H30*(G29*(1-Data!$K$8)^E29)*((1-F30)*Data!$K$8)</f>
        <v>276.9585604107462</v>
      </c>
      <c r="M30" s="23"/>
      <c r="N30" s="20">
        <f>MAX(Data!$K$3*Data!$H$3,'ir risk (down)'!I30)-Data!$K$4</f>
        <v>118031.85569981931</v>
      </c>
      <c r="O30" s="20">
        <f>N30*H30*(G29*(1-Data!$K$8)^E29)*(F30)</f>
        <v>118.44522327340752</v>
      </c>
      <c r="P30" s="23"/>
      <c r="Q30" s="20">
        <f>Data!$K$11*(1+Data!$K$10)^'ir risk (down)'!E29*Data!$K$12</f>
        <v>75.783317194896057</v>
      </c>
      <c r="R30" s="20">
        <f>$Q30*$H30*($G29*(1-Data!$K$8)^$E29)</f>
        <v>1.2615387650988694</v>
      </c>
      <c r="S30" s="23"/>
      <c r="T30" s="20">
        <f>C29*Data!$K$6</f>
        <v>1664.8287022716513</v>
      </c>
      <c r="U30" s="20">
        <f>$T30*$H30*($G29*(1-Data!$K$8)^$E29)</f>
        <v>27.713829677890931</v>
      </c>
      <c r="V30" s="22"/>
      <c r="W30" s="20">
        <f t="shared" si="0"/>
        <v>424.37915212714353</v>
      </c>
    </row>
    <row r="31" spans="2:23" x14ac:dyDescent="0.75">
      <c r="B31" s="15">
        <v>23</v>
      </c>
      <c r="C31" s="30">
        <f>$C$8*EXP(Data!T27*'ir risk (down)'!B31)</f>
        <v>122180.58875830591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31">
        <f>EXP(-Data!T27*'ir risk (down)'!E31)</f>
        <v>0.81846061650445223</v>
      </c>
      <c r="I31" s="20">
        <f>C31-C30*(Data!$K$5)</f>
        <v>119771.9851099589</v>
      </c>
      <c r="J31" s="23"/>
      <c r="K31" s="20">
        <f>I31-Data!$K$4</f>
        <v>119751.9851099589</v>
      </c>
      <c r="L31" s="20">
        <f>K31*H31*(G30*(1-Data!$K$8)^E30)*((1-F31)*Data!$K$8)</f>
        <v>219.96200905798852</v>
      </c>
      <c r="M31" s="23"/>
      <c r="N31" s="20">
        <f>MAX(Data!$K$3*Data!$H$3,'ir risk (down)'!I31)-Data!$K$4</f>
        <v>119751.9851099589</v>
      </c>
      <c r="O31" s="20">
        <f>N31*H31*(G30*(1-Data!$K$8)^E30)*(F31)</f>
        <v>103.07849885918813</v>
      </c>
      <c r="P31" s="23"/>
      <c r="Q31" s="20">
        <f>Data!$K$11*(1+Data!$K$10)^'ir risk (down)'!E30*Data!$K$12</f>
        <v>77.298983538793991</v>
      </c>
      <c r="R31" s="20">
        <f>$Q31*$H31*($G30*(1-Data!$K$8)^$E30)</f>
        <v>1.0130949216194167</v>
      </c>
      <c r="S31" s="23"/>
      <c r="T31" s="20">
        <f>C30*Data!$K$6</f>
        <v>1686.0225538429033</v>
      </c>
      <c r="U31" s="20">
        <f>$T31*$H31*($G30*(1-Data!$K$8)^$E30)</f>
        <v>22.097326624958804</v>
      </c>
      <c r="V31" s="22"/>
      <c r="W31" s="20">
        <f t="shared" si="0"/>
        <v>346.15092946375489</v>
      </c>
    </row>
    <row r="32" spans="2:23" x14ac:dyDescent="0.75">
      <c r="B32" s="15">
        <v>24</v>
      </c>
      <c r="C32" s="30">
        <f>$C$8*EXP(Data!T28*'ir risk (down)'!B32)</f>
        <v>124110.23790006716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31">
        <f>EXP(-Data!T28*'ir risk (down)'!E32)</f>
        <v>0.80573530187347964</v>
      </c>
      <c r="I32" s="20">
        <f>C32-C31*(Data!$K$5)</f>
        <v>121666.62612490104</v>
      </c>
      <c r="J32" s="23"/>
      <c r="K32" s="20">
        <f>I32-Data!$K$4</f>
        <v>121646.62612490104</v>
      </c>
      <c r="L32" s="20">
        <f>K32*H32*(G31*(1-Data!$K$8)^E31)*((1-F32)*Data!$K$8)</f>
        <v>173.25247126900911</v>
      </c>
      <c r="M32" s="23"/>
      <c r="N32" s="20">
        <f>MAX(Data!$K$3*Data!$H$3,'ir risk (down)'!I32)-Data!$K$4</f>
        <v>121646.62612490104</v>
      </c>
      <c r="O32" s="20">
        <f>N32*H32*(G31*(1-Data!$K$8)^E31)*(F32)</f>
        <v>91.469213961232143</v>
      </c>
      <c r="P32" s="23"/>
      <c r="Q32" s="20">
        <f>Data!$K$11*(1+Data!$K$10)^'ir risk (down)'!E31*Data!$K$12</f>
        <v>78.844963209569855</v>
      </c>
      <c r="R32" s="20">
        <f>$Q32*$H32*($G31*(1-Data!$K$8)^$E31)</f>
        <v>0.80790665083047275</v>
      </c>
      <c r="S32" s="23"/>
      <c r="T32" s="20">
        <f>C31*Data!$K$6</f>
        <v>1710.5282426162828</v>
      </c>
      <c r="U32" s="20">
        <f>$T32*$H32*($G31*(1-Data!$K$8)^$E31)</f>
        <v>17.527399181731383</v>
      </c>
      <c r="V32" s="22"/>
      <c r="W32" s="20">
        <f t="shared" si="0"/>
        <v>283.05699106280309</v>
      </c>
    </row>
    <row r="33" spans="2:23" x14ac:dyDescent="0.75">
      <c r="B33" s="15">
        <v>25</v>
      </c>
      <c r="C33" s="30">
        <f>$C$8*EXP(Data!T29*'ir risk (down)'!B33)</f>
        <v>126269.71141498021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31">
        <f>EXP(-Data!T29*'ir risk (down)'!E33)</f>
        <v>0.79195555988366939</v>
      </c>
      <c r="I33" s="20">
        <f>C33-C32*(Data!$K$5)</f>
        <v>123787.50665697886</v>
      </c>
      <c r="J33" s="23"/>
      <c r="K33" s="20">
        <f>I33-Data!$K$4</f>
        <v>123767.50665697886</v>
      </c>
      <c r="L33" s="20">
        <f>K33*H33*(G32*(1-Data!$K$8)^E32)*((1-F33)*Data!$K$8)</f>
        <v>135.0054853052383</v>
      </c>
      <c r="M33" s="23"/>
      <c r="N33" s="20">
        <f>MAX(Data!$K$3*Data!$H$3,'ir risk (down)'!I33)-Data!$K$4</f>
        <v>123767.50665697886</v>
      </c>
      <c r="O33" s="20">
        <f>N33*H33*(G32*(1-Data!$K$8)^E32)*(F33)</f>
        <v>81.761330959785184</v>
      </c>
      <c r="P33" s="23"/>
      <c r="Q33" s="20">
        <f>Data!$K$11*(1+Data!$K$10)^'ir risk (down)'!E32*Data!$K$12</f>
        <v>80.421862473761252</v>
      </c>
      <c r="R33" s="20">
        <f>$Q33*$H33*($G32*(1-Data!$K$8)^$E32)</f>
        <v>0.63795432093842264</v>
      </c>
      <c r="S33" s="23"/>
      <c r="T33" s="20">
        <f>C32*Data!$K$6</f>
        <v>1737.5433306009404</v>
      </c>
      <c r="U33" s="20">
        <f>$T33*$H33*($G32*(1-Data!$K$8)^$E32)</f>
        <v>13.783233084613814</v>
      </c>
      <c r="V33" s="22"/>
      <c r="W33" s="20">
        <f t="shared" si="0"/>
        <v>231.18800367057571</v>
      </c>
    </row>
    <row r="34" spans="2:23" x14ac:dyDescent="0.75">
      <c r="B34" s="15">
        <v>26</v>
      </c>
      <c r="C34" s="30">
        <f>$C$8*EXP(Data!T30*'ir risk (down)'!B34)</f>
        <v>128585.00279468365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31">
        <f>EXP(-Data!T30*'ir risk (down)'!E34)</f>
        <v>0.77769567077486967</v>
      </c>
      <c r="I34" s="20">
        <f>C34-C33*(Data!$K$5)</f>
        <v>126059.60856638405</v>
      </c>
      <c r="J34" s="23"/>
      <c r="K34" s="20">
        <f>I34-Data!$K$4</f>
        <v>126039.60856638405</v>
      </c>
      <c r="L34" s="20">
        <f>K34*H34*(G33*(1-Data!$K$8)^E33)*((1-F34)*Data!$K$8)</f>
        <v>103.731097889266</v>
      </c>
      <c r="M34" s="23"/>
      <c r="N34" s="20">
        <f>MAX(Data!$K$3*Data!$H$3,'ir risk (down)'!I34)-Data!$K$4</f>
        <v>126039.60856638405</v>
      </c>
      <c r="O34" s="20">
        <f>N34*H34*(G33*(1-Data!$K$8)^E33)*(F34)</f>
        <v>73.506765824331993</v>
      </c>
      <c r="P34" s="23"/>
      <c r="Q34" s="20">
        <f>Data!$K$11*(1+Data!$K$10)^'ir risk (down)'!E33*Data!$K$12</f>
        <v>82.030299723236482</v>
      </c>
      <c r="R34" s="20">
        <f>$Q34*$H34*($G33*(1-Data!$K$8)^$E33)</f>
        <v>0.49791545490544131</v>
      </c>
      <c r="S34" s="23"/>
      <c r="T34" s="20">
        <f>C33*Data!$K$6</f>
        <v>1767.775959809723</v>
      </c>
      <c r="U34" s="20">
        <f>$T34*$H34*($G33*(1-Data!$K$8)^$E33)</f>
        <v>10.73021766553693</v>
      </c>
      <c r="V34" s="22"/>
      <c r="W34" s="20">
        <f t="shared" si="0"/>
        <v>188.46599683404037</v>
      </c>
    </row>
    <row r="35" spans="2:23" x14ac:dyDescent="0.75">
      <c r="B35" s="15">
        <v>27</v>
      </c>
      <c r="C35" s="30">
        <f>$C$8*EXP(Data!T31*'ir risk (down)'!B35)</f>
        <v>131067.20225638435</v>
      </c>
      <c r="E35" s="15">
        <v>27</v>
      </c>
      <c r="F35" s="15">
        <f>Data!C31</f>
        <v>0.10923843</v>
      </c>
      <c r="G35" s="15">
        <f>Data!E31</f>
        <v>0.36541747936325358</v>
      </c>
      <c r="H35" s="31">
        <f>EXP(-Data!T31*'ir risk (down)'!E35)</f>
        <v>0.7629673806906101</v>
      </c>
      <c r="I35" s="20">
        <f>C35-C34*(Data!$K$5)</f>
        <v>128495.50220049068</v>
      </c>
      <c r="J35" s="23"/>
      <c r="K35" s="20">
        <f>I35-Data!$K$4</f>
        <v>128475.50220049068</v>
      </c>
      <c r="L35" s="20">
        <f>K35*H35*(G34*(1-Data!$K$8)^E34)*((1-F35)*Data!$K$8)</f>
        <v>78.541454564155956</v>
      </c>
      <c r="M35" s="23"/>
      <c r="N35" s="20">
        <f>MAX(Data!$K$3*Data!$H$3,'ir risk (down)'!I35)-Data!$K$4</f>
        <v>128475.50220049068</v>
      </c>
      <c r="O35" s="20">
        <f>N35*H35*(G34*(1-Data!$K$8)^E34)*(F35)</f>
        <v>64.212807523078126</v>
      </c>
      <c r="P35" s="23"/>
      <c r="Q35" s="20">
        <f>Data!$K$11*(1+Data!$K$10)^'ir risk (down)'!E34*Data!$K$12</f>
        <v>83.670905717701217</v>
      </c>
      <c r="R35" s="20">
        <f>$Q35*$H35*($G34*(1-Data!$K$8)^$E34)</f>
        <v>0.38282505629623376</v>
      </c>
      <c r="S35" s="23"/>
      <c r="T35" s="20">
        <f>C34*Data!$K$6</f>
        <v>1800.190039125571</v>
      </c>
      <c r="U35" s="20">
        <f>$T35*$H35*($G34*(1-Data!$K$8)^$E34)</f>
        <v>8.2365291394995541</v>
      </c>
      <c r="V35" s="22"/>
      <c r="W35" s="20">
        <f t="shared" si="0"/>
        <v>151.37361628302989</v>
      </c>
    </row>
    <row r="36" spans="2:23" x14ac:dyDescent="0.75">
      <c r="B36" s="15">
        <v>28</v>
      </c>
      <c r="C36" s="30">
        <f>$C$8*EXP(Data!T32*'ir risk (down)'!B36)</f>
        <v>133690.86885320555</v>
      </c>
      <c r="E36" s="15">
        <v>28</v>
      </c>
      <c r="F36" s="15">
        <f>Data!C32</f>
        <v>0.12370281</v>
      </c>
      <c r="G36" s="15">
        <f>Data!E32</f>
        <v>0.32021431034290215</v>
      </c>
      <c r="H36" s="31">
        <f>EXP(-Data!T32*'ir risk (down)'!E36)</f>
        <v>0.74799424117589808</v>
      </c>
      <c r="I36" s="20">
        <f>C36-C35*(Data!$K$5)</f>
        <v>131069.52480807787</v>
      </c>
      <c r="J36" s="23"/>
      <c r="K36" s="20">
        <f>I36-Data!$K$4</f>
        <v>131049.52480807787</v>
      </c>
      <c r="L36" s="20">
        <f>K36*H36*(G35*(1-Data!$K$8)^E35)*((1-F36)*Data!$K$8)</f>
        <v>58.50280570487746</v>
      </c>
      <c r="M36" s="23"/>
      <c r="N36" s="20">
        <f>MAX(Data!$K$3*Data!$H$3,'ir risk (down)'!I36)-Data!$K$4</f>
        <v>131049.52480807787</v>
      </c>
      <c r="O36" s="20">
        <f>N36*H36*(G35*(1-Data!$K$8)^E35)*(F36)</f>
        <v>55.057131615187707</v>
      </c>
      <c r="P36" s="23"/>
      <c r="Q36" s="20">
        <f>Data!$K$11*(1+Data!$K$10)^'ir risk (down)'!E35*Data!$K$12</f>
        <v>85.344323832055224</v>
      </c>
      <c r="R36" s="20">
        <f>$Q36*$H36*($G35*(1-Data!$K$8)^$E35)</f>
        <v>0.28984993543368498</v>
      </c>
      <c r="S36" s="23"/>
      <c r="T36" s="20">
        <f>C35*Data!$K$6</f>
        <v>1834.9408315893809</v>
      </c>
      <c r="U36" s="20">
        <f>$T36*$H36*($G35*(1-Data!$K$8)^$E35)</f>
        <v>6.2319022247739593</v>
      </c>
      <c r="V36" s="22"/>
      <c r="W36" s="20">
        <f t="shared" si="0"/>
        <v>120.0816894802728</v>
      </c>
    </row>
    <row r="37" spans="2:23" x14ac:dyDescent="0.75">
      <c r="B37" s="15">
        <v>29</v>
      </c>
      <c r="C37" s="30">
        <f>$C$8*EXP(Data!T33*'ir risk (down)'!B37)</f>
        <v>136462.54563057082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31">
        <f>EXP(-Data!T33*'ir risk (down)'!E37)</f>
        <v>0.73280180681018769</v>
      </c>
      <c r="I37" s="20">
        <f>C37-C36*(Data!$K$5)</f>
        <v>133788.72825350671</v>
      </c>
      <c r="J37" s="23"/>
      <c r="K37" s="20">
        <f>I37-Data!$K$4</f>
        <v>133768.72825350671</v>
      </c>
      <c r="L37" s="20">
        <f>K37*H37*(G36*(1-Data!$K$8)^E36)*((1-F37)*Data!$K$8)</f>
        <v>42.789530567964611</v>
      </c>
      <c r="M37" s="23"/>
      <c r="N37" s="20">
        <f>MAX(Data!$K$3*Data!$H$3,'ir risk (down)'!I37)-Data!$K$4</f>
        <v>133768.72825350671</v>
      </c>
      <c r="O37" s="20">
        <f>N37*H37*(G36*(1-Data!$K$8)^E36)*(F37)</f>
        <v>46.258029708208404</v>
      </c>
      <c r="P37" s="23"/>
      <c r="Q37" s="20">
        <f>Data!$K$11*(1+Data!$K$10)^'ir risk (down)'!E36*Data!$K$12</f>
        <v>87.051210308696341</v>
      </c>
      <c r="R37" s="20">
        <f>$Q37*$H37*($G36*(1-Data!$K$8)^$E36)</f>
        <v>0.21574065936486037</v>
      </c>
      <c r="S37" s="23"/>
      <c r="T37" s="20">
        <f>C36*Data!$K$6</f>
        <v>1871.6721639448779</v>
      </c>
      <c r="U37" s="20">
        <f>$T37*$H37*($G36*(1-Data!$K$8)^$E36)</f>
        <v>4.638600489670436</v>
      </c>
      <c r="V37" s="22"/>
      <c r="W37" s="20">
        <f t="shared" si="0"/>
        <v>93.901901425208308</v>
      </c>
    </row>
    <row r="38" spans="2:23" x14ac:dyDescent="0.75">
      <c r="B38" s="15">
        <v>30</v>
      </c>
      <c r="C38" s="30">
        <f>$C$8*EXP(Data!T34*'ir risk (down)'!B38)</f>
        <v>139431.04611670176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31">
        <f>EXP(-Data!T34*'ir risk (down)'!E38)</f>
        <v>0.71720038531663488</v>
      </c>
      <c r="I38" s="20">
        <f>C38-C37*(Data!$K$5)</f>
        <v>136701.79520409036</v>
      </c>
      <c r="J38" s="23"/>
      <c r="K38" s="20">
        <f>I38-Data!$K$4</f>
        <v>136681.79520409036</v>
      </c>
      <c r="L38" s="20">
        <f>K38*H38*(G37*(1-Data!$K$8)^E37)*((1-F38)*Data!$K$8)</f>
        <v>30.674844770468432</v>
      </c>
      <c r="M38" s="23"/>
      <c r="N38" s="20">
        <f>MAX(Data!$K$3*Data!$H$3,'ir risk (down)'!I38)-Data!$K$4</f>
        <v>136681.79520409036</v>
      </c>
      <c r="O38" s="20">
        <f>N38*H38*(G37*(1-Data!$K$8)^E37)*(F38)</f>
        <v>37.980657474241802</v>
      </c>
      <c r="P38" s="23"/>
      <c r="Q38" s="20">
        <f>Data!$K$11*(1+Data!$K$10)^'ir risk (down)'!E37*Data!$K$12</f>
        <v>88.792234514870259</v>
      </c>
      <c r="R38" s="20">
        <f>$Q38*$H38*($G37*(1-Data!$K$8)^$E37)</f>
        <v>0.15752139839674872</v>
      </c>
      <c r="S38" s="23"/>
      <c r="T38" s="20">
        <f>C37*Data!$K$6</f>
        <v>1910.4756388279916</v>
      </c>
      <c r="U38" s="20">
        <f>$T38*$H38*($G37*(1-Data!$K$8)^$E37)</f>
        <v>3.3892692967503568</v>
      </c>
      <c r="V38" s="22"/>
      <c r="W38" s="20">
        <f t="shared" si="0"/>
        <v>72.202292939857344</v>
      </c>
    </row>
    <row r="39" spans="2:23" x14ac:dyDescent="0.75">
      <c r="B39" s="15">
        <v>31</v>
      </c>
      <c r="C39" s="30">
        <f>$C$8*EXP(Data!T35*'ir risk (down)'!B39)</f>
        <v>142522.54332778809</v>
      </c>
      <c r="E39" s="15">
        <v>31</v>
      </c>
      <c r="F39" s="15">
        <f>Data!C35</f>
        <v>0.17330804</v>
      </c>
      <c r="G39" s="15">
        <f>Data!E35</f>
        <v>0.19210328627692511</v>
      </c>
      <c r="H39" s="31">
        <f>EXP(-Data!T35*'ir risk (down)'!E39)</f>
        <v>0.70164338682905525</v>
      </c>
      <c r="I39" s="20">
        <f>C39-C38*(Data!$K$5)</f>
        <v>139733.92240545407</v>
      </c>
      <c r="J39" s="23"/>
      <c r="K39" s="20">
        <f>I39-Data!$K$4</f>
        <v>139713.92240545407</v>
      </c>
      <c r="L39" s="20">
        <f>K39*H39*(G38*(1-Data!$K$8)^E38)*((1-F39)*Data!$K$8)</f>
        <v>21.555095258907784</v>
      </c>
      <c r="M39" s="23"/>
      <c r="N39" s="20">
        <f>MAX(Data!$K$3*Data!$H$3,'ir risk (down)'!I39)-Data!$K$4</f>
        <v>139713.92240545407</v>
      </c>
      <c r="O39" s="20">
        <f>N39*H39*(G38*(1-Data!$K$8)^E38)*(F39)</f>
        <v>30.12545980112996</v>
      </c>
      <c r="P39" s="23"/>
      <c r="Q39" s="20">
        <f>Data!$K$11*(1+Data!$K$10)^'ir risk (down)'!E38*Data!$K$12</f>
        <v>90.568079205167678</v>
      </c>
      <c r="R39" s="20">
        <f>$Q39*$H39*($G38*(1-Data!$K$8)^$E38)</f>
        <v>0.11268093584521365</v>
      </c>
      <c r="S39" s="23"/>
      <c r="T39" s="20">
        <f>C38*Data!$K$6</f>
        <v>1952.0346456338248</v>
      </c>
      <c r="U39" s="20">
        <f>$T39*$H39*($G38*(1-Data!$K$8)^$E38)</f>
        <v>2.4286381316978285</v>
      </c>
      <c r="V39" s="22"/>
      <c r="W39" s="20">
        <f t="shared" si="0"/>
        <v>54.22187412758079</v>
      </c>
    </row>
    <row r="40" spans="2:23" x14ac:dyDescent="0.75">
      <c r="B40" s="15">
        <v>32</v>
      </c>
      <c r="C40" s="30">
        <f>$C$8*EXP(Data!T36*'ir risk (down)'!B40)</f>
        <v>145737.95582807157</v>
      </c>
      <c r="E40" s="15">
        <v>32</v>
      </c>
      <c r="F40" s="15">
        <f>Data!C36</f>
        <v>0.19215108</v>
      </c>
      <c r="G40" s="15">
        <f>Data!E36</f>
        <v>0.15519043234726476</v>
      </c>
      <c r="H40" s="31">
        <f>EXP(-Data!T36*'ir risk (down)'!E40)</f>
        <v>0.68616304813531848</v>
      </c>
      <c r="I40" s="20">
        <f>C40-C39*(Data!$K$5)</f>
        <v>142887.50496151581</v>
      </c>
      <c r="J40" s="23"/>
      <c r="K40" s="20">
        <f>I40-Data!$K$4</f>
        <v>142867.50496151581</v>
      </c>
      <c r="L40" s="20">
        <f>K40*H40*(G39*(1-Data!$K$8)^E39)*((1-F40)*Data!$K$8)</f>
        <v>14.80143034913219</v>
      </c>
      <c r="M40" s="23"/>
      <c r="N40" s="20">
        <f>MAX(Data!$K$3*Data!$H$3,'ir risk (down)'!I40)-Data!$K$4</f>
        <v>142867.50496151581</v>
      </c>
      <c r="O40" s="20">
        <f>N40*H40*(G39*(1-Data!$K$8)^E39)*(F40)</f>
        <v>23.470649496612374</v>
      </c>
      <c r="P40" s="23"/>
      <c r="Q40" s="20">
        <f>Data!$K$11*(1+Data!$K$10)^'ir risk (down)'!E39*Data!$K$12</f>
        <v>92.379440789271001</v>
      </c>
      <c r="R40" s="20">
        <f>$Q40*$H40*($G39*(1-Data!$K$8)^$E39)</f>
        <v>7.8981276174210552E-2</v>
      </c>
      <c r="S40" s="23"/>
      <c r="T40" s="20">
        <f>C39*Data!$K$6</f>
        <v>1995.3156065890335</v>
      </c>
      <c r="U40" s="20">
        <f>$T40*$H40*($G39*(1-Data!$K$8)^$E39)</f>
        <v>1.7059268992351793</v>
      </c>
      <c r="V40" s="22"/>
      <c r="W40" s="20">
        <f t="shared" si="0"/>
        <v>40.056988021153956</v>
      </c>
    </row>
    <row r="41" spans="2:23" x14ac:dyDescent="0.75">
      <c r="B41" s="15">
        <v>33</v>
      </c>
      <c r="C41" s="30">
        <f>$C$8*EXP(Data!T37*'ir risk (down)'!B41)</f>
        <v>149127.28246059504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31">
        <f>EXP(-Data!T37*'ir risk (down)'!E41)</f>
        <v>0.67056811034173913</v>
      </c>
      <c r="I41" s="20">
        <f>C41-C40*(Data!$K$5)</f>
        <v>146212.5233440336</v>
      </c>
      <c r="J41" s="23"/>
      <c r="K41" s="20">
        <f>I41-Data!$K$4</f>
        <v>146192.5233440336</v>
      </c>
      <c r="L41" s="20">
        <f>K41*H41*(G40*(1-Data!$K$8)^E40)*((1-F41)*Data!$K$8)</f>
        <v>9.9372363729481066</v>
      </c>
      <c r="M41" s="23"/>
      <c r="N41" s="20">
        <f>MAX(Data!$K$3*Data!$H$3,'ir risk (down)'!I41)-Data!$K$4</f>
        <v>146192.5233440336</v>
      </c>
      <c r="O41" s="20">
        <f>N41*H41*(G40*(1-Data!$K$8)^E40)*(F41)</f>
        <v>17.627933908350744</v>
      </c>
      <c r="P41" s="23"/>
      <c r="Q41" s="20">
        <f>Data!$K$11*(1+Data!$K$10)^'ir risk (down)'!E40*Data!$K$12</f>
        <v>94.227029605056444</v>
      </c>
      <c r="R41" s="20">
        <f>$Q41*$H41*($G40*(1-Data!$K$8)^$E40)</f>
        <v>5.4061608456546263E-2</v>
      </c>
      <c r="S41" s="23"/>
      <c r="T41" s="20">
        <f>C40*Data!$K$6</f>
        <v>2040.3313815930021</v>
      </c>
      <c r="U41" s="20">
        <f>$T41*$H41*($G40*(1-Data!$K$8)^$E40)</f>
        <v>1.1706152336077229</v>
      </c>
      <c r="V41" s="22"/>
      <c r="W41" s="20">
        <f t="shared" si="0"/>
        <v>28.789847123363121</v>
      </c>
    </row>
    <row r="42" spans="2:23" x14ac:dyDescent="0.75">
      <c r="B42" s="15">
        <v>34</v>
      </c>
      <c r="C42" s="30">
        <f>$C$8*EXP(Data!T38*'ir risk (down)'!B42)</f>
        <v>152647.32358158292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31">
        <f>EXP(-Data!T38*'ir risk (down)'!E42)</f>
        <v>0.65510483678120068</v>
      </c>
      <c r="I42" s="20">
        <f>C42-C41*(Data!$K$5)</f>
        <v>149664.77793237101</v>
      </c>
      <c r="J42" s="23"/>
      <c r="K42" s="20">
        <f>I42-Data!$K$4</f>
        <v>149644.77793237101</v>
      </c>
      <c r="L42" s="20">
        <f>K42*H42*(G41*(1-Data!$K$8)^E41)*((1-F42)*Data!$K$8)</f>
        <v>6.5084987273940511</v>
      </c>
      <c r="M42" s="23"/>
      <c r="N42" s="20">
        <f>MAX(Data!$K$3*Data!$H$3,'ir risk (down)'!I42)-Data!$K$4</f>
        <v>149644.77793237101</v>
      </c>
      <c r="O42" s="20">
        <f>N42*H42*(G41*(1-Data!$K$8)^E41)*(F42)</f>
        <v>12.921573903245074</v>
      </c>
      <c r="P42" s="23"/>
      <c r="Q42" s="20">
        <f>Data!$K$11*(1+Data!$K$10)^'ir risk (down)'!E41*Data!$K$12</f>
        <v>96.111570197157576</v>
      </c>
      <c r="R42" s="20">
        <f>$Q42*$H42*($G41*(1-Data!$K$8)^$E41)</f>
        <v>3.6166935107790565E-2</v>
      </c>
      <c r="S42" s="23"/>
      <c r="T42" s="20">
        <f>C41*Data!$K$6</f>
        <v>2087.7819544483305</v>
      </c>
      <c r="U42" s="20">
        <f>$T42*$H42*($G41*(1-Data!$K$8)^$E41)</f>
        <v>0.78563563482372534</v>
      </c>
      <c r="V42" s="22"/>
      <c r="W42" s="20">
        <f t="shared" si="0"/>
        <v>20.251875200570641</v>
      </c>
    </row>
    <row r="43" spans="2:23" x14ac:dyDescent="0.75">
      <c r="B43" s="15">
        <v>35</v>
      </c>
      <c r="C43" s="30">
        <f>$C$8*EXP(Data!T39*'ir risk (down)'!B43)</f>
        <v>156298.89786391705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31">
        <f>EXP(-Data!T39*'ir risk (down)'!E43)</f>
        <v>0.63979977700844592</v>
      </c>
      <c r="I43" s="20">
        <f>C43-C42*(Data!$K$5)</f>
        <v>153245.95139228538</v>
      </c>
      <c r="J43" s="23"/>
      <c r="K43" s="20">
        <f>I43-Data!$K$4</f>
        <v>153225.95139228538</v>
      </c>
      <c r="L43" s="20">
        <f>K43*H43*(G42*(1-Data!$K$8)^E42)*((1-F43)*Data!$K$8)</f>
        <v>4.1450520639182118</v>
      </c>
      <c r="M43" s="23"/>
      <c r="N43" s="20">
        <f>MAX(Data!$K$3*Data!$H$3,'ir risk (down)'!I43)-Data!$K$4</f>
        <v>153225.95139228538</v>
      </c>
      <c r="O43" s="20">
        <f>N43*H43*(G42*(1-Data!$K$8)^E42)*(F43)</f>
        <v>9.2481553614867416</v>
      </c>
      <c r="P43" s="23"/>
      <c r="Q43" s="20">
        <f>Data!$K$11*(1+Data!$K$10)^'ir risk (down)'!E42*Data!$K$12</f>
        <v>98.03380160110072</v>
      </c>
      <c r="R43" s="20">
        <f>$Q43*$H43*($G42*(1-Data!$K$8)^$E42)</f>
        <v>2.3596959519148367E-2</v>
      </c>
      <c r="S43" s="23"/>
      <c r="T43" s="20">
        <f>C42*Data!$K$6</f>
        <v>2137.062530142161</v>
      </c>
      <c r="U43" s="20">
        <f>$T43*$H43*($G42*(1-Data!$K$8)^$E42)</f>
        <v>0.51439582256378757</v>
      </c>
      <c r="V43" s="22"/>
      <c r="W43" s="20">
        <f t="shared" si="0"/>
        <v>13.931200207487889</v>
      </c>
    </row>
    <row r="44" spans="2:23" x14ac:dyDescent="0.75">
      <c r="B44" s="15">
        <v>36</v>
      </c>
      <c r="C44" s="30">
        <f>$C$8*EXP(Data!T40*'ir risk (down)'!B44)</f>
        <v>160140.28078069084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31">
        <f>EXP(-Data!T40*'ir risk (down)'!E44)</f>
        <v>0.62445250821651899</v>
      </c>
      <c r="I44" s="20">
        <f>C44-C43*(Data!$K$5)</f>
        <v>157014.30282341249</v>
      </c>
      <c r="J44" s="23"/>
      <c r="K44" s="20">
        <f>I44-Data!$K$4</f>
        <v>156994.30282341249</v>
      </c>
      <c r="L44" s="20">
        <f>K44*H44*(G43*(1-Data!$K$8)^E43)*((1-F44)*Data!$K$8)</f>
        <v>2.554946791733987</v>
      </c>
      <c r="M44" s="23"/>
      <c r="N44" s="20">
        <f>MAX(Data!$K$3*Data!$H$3,'ir risk (down)'!I44)-Data!$K$4</f>
        <v>156994.30282341249</v>
      </c>
      <c r="O44" s="20">
        <f>N44*H44*(G43*(1-Data!$K$8)^E43)*(F44)</f>
        <v>6.456022717067146</v>
      </c>
      <c r="P44" s="23"/>
      <c r="Q44" s="20">
        <f>Data!$K$11*(1+Data!$K$10)^'ir risk (down)'!E43*Data!$K$12</f>
        <v>99.994477633122742</v>
      </c>
      <c r="R44" s="20">
        <f>$Q44*$H44*($G43*(1-Data!$K$8)^$E43)</f>
        <v>1.4960864029707435E-2</v>
      </c>
      <c r="S44" s="23"/>
      <c r="T44" s="20">
        <f>C43*Data!$K$6</f>
        <v>2188.1845700948388</v>
      </c>
      <c r="U44" s="20">
        <f>$T44*$H44*($G43*(1-Data!$K$8)^$E43)</f>
        <v>0.32738939789459598</v>
      </c>
      <c r="V44" s="22"/>
      <c r="W44" s="20">
        <f t="shared" si="0"/>
        <v>9.3533197707254345</v>
      </c>
    </row>
    <row r="45" spans="2:23" x14ac:dyDescent="0.75">
      <c r="B45" s="15">
        <v>37</v>
      </c>
      <c r="C45" s="30">
        <f>$C$8*EXP(Data!T41*'ir risk (down)'!B45)</f>
        <v>164120.38049856416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31">
        <f>EXP(-Data!T41*'ir risk (down)'!E45)</f>
        <v>0.60930884815292552</v>
      </c>
      <c r="I45" s="20">
        <f>C45-C44*(Data!$K$5)</f>
        <v>160917.57488295034</v>
      </c>
      <c r="J45" s="23"/>
      <c r="K45" s="20">
        <f>I45-Data!$K$4</f>
        <v>160897.57488295034</v>
      </c>
      <c r="L45" s="20">
        <f>K45*H45*(G44*(1-Data!$K$8)^E44)*((1-F45)*Data!$K$8)</f>
        <v>1.5321798744998025</v>
      </c>
      <c r="M45" s="23"/>
      <c r="N45" s="20">
        <f>MAX(Data!$K$3*Data!$H$3,'ir risk (down)'!I45)-Data!$K$4</f>
        <v>160897.57488295034</v>
      </c>
      <c r="O45" s="20">
        <f>N45*H45*(G44*(1-Data!$K$8)^E44)*(F45)</f>
        <v>4.2636218765034304</v>
      </c>
      <c r="P45" s="23"/>
      <c r="Q45" s="20">
        <f>Data!$K$11*(1+Data!$K$10)^'ir risk (down)'!E44*Data!$K$12</f>
        <v>101.99436718578518</v>
      </c>
      <c r="R45" s="20">
        <f>$Q45*$H45*($G44*(1-Data!$K$8)^$E44)</f>
        <v>9.1778275364542902E-3</v>
      </c>
      <c r="S45" s="23"/>
      <c r="T45" s="20">
        <f>C44*Data!$K$6</f>
        <v>2241.9639309296717</v>
      </c>
      <c r="U45" s="20">
        <f>$T45*$H45*($G44*(1-Data!$K$8)^$E44)</f>
        <v>0.2017401437820906</v>
      </c>
      <c r="V45" s="22"/>
      <c r="W45" s="20">
        <f t="shared" si="0"/>
        <v>6.0067197223217779</v>
      </c>
    </row>
    <row r="46" spans="2:23" x14ac:dyDescent="0.75">
      <c r="B46" s="15">
        <v>38</v>
      </c>
      <c r="C46" s="30">
        <f>$C$8*EXP(Data!T42*'ir risk (down)'!B46)</f>
        <v>168175.854680374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31">
        <f>EXP(-Data!T42*'ir risk (down)'!E46)</f>
        <v>0.59461567886813849</v>
      </c>
      <c r="I46" s="20">
        <f>C46-C45*(Data!$K$5)</f>
        <v>164893.44707040273</v>
      </c>
      <c r="J46" s="23"/>
      <c r="K46" s="20">
        <f>I46-Data!$K$4</f>
        <v>164873.44707040273</v>
      </c>
      <c r="L46" s="20">
        <f>K46*H46*(G45*(1-Data!$K$8)^E45)*((1-F46)*Data!$K$8)</f>
        <v>0.89175573913037021</v>
      </c>
      <c r="M46" s="23"/>
      <c r="N46" s="20">
        <f>MAX(Data!$K$3*Data!$H$3,'ir risk (down)'!I46)-Data!$K$4</f>
        <v>164873.44707040273</v>
      </c>
      <c r="O46" s="20">
        <f>N46*H46*(G45*(1-Data!$K$8)^E45)*(F46)</f>
        <v>2.7373161887477417</v>
      </c>
      <c r="P46" s="23"/>
      <c r="Q46" s="20">
        <f>Data!$K$11*(1+Data!$K$10)^'ir risk (down)'!E45*Data!$K$12</f>
        <v>104.0342545295009</v>
      </c>
      <c r="R46" s="20">
        <f>$Q46*$H46*($G45*(1-Data!$K$8)^$E45)</f>
        <v>5.4785187595494632E-3</v>
      </c>
      <c r="S46" s="23"/>
      <c r="T46" s="20">
        <f>C45*Data!$K$6</f>
        <v>2297.6853269798985</v>
      </c>
      <c r="U46" s="20">
        <f>$T46*$H46*($G45*(1-Data!$K$8)^$E45)</f>
        <v>0.12099776390315148</v>
      </c>
      <c r="V46" s="22"/>
      <c r="W46" s="20">
        <f t="shared" si="0"/>
        <v>3.7555482105408129</v>
      </c>
    </row>
    <row r="47" spans="2:23" x14ac:dyDescent="0.75">
      <c r="B47" s="15">
        <v>39</v>
      </c>
      <c r="C47" s="30">
        <f>$C$8*EXP(Data!T43*'ir risk (down)'!B47)</f>
        <v>172431.52238706106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31">
        <f>EXP(-Data!T43*'ir risk (down)'!E47)</f>
        <v>0.57994036482220268</v>
      </c>
      <c r="I47" s="20">
        <f>C47-C46*(Data!$K$5)</f>
        <v>169068.00529345358</v>
      </c>
      <c r="J47" s="23"/>
      <c r="K47" s="20">
        <f>I47-Data!$K$4</f>
        <v>169048.00529345358</v>
      </c>
      <c r="L47" s="20">
        <f>K47*H47*(G46*(1-Data!$K$8)^E46)*((1-F47)*Data!$K$8)</f>
        <v>0.50286299383743716</v>
      </c>
      <c r="M47" s="23"/>
      <c r="N47" s="20">
        <f>MAX(Data!$K$3*Data!$H$3,'ir risk (down)'!I47)-Data!$K$4</f>
        <v>169048.00529345358</v>
      </c>
      <c r="O47" s="20">
        <f>N47*H47*(G46*(1-Data!$K$8)^E46)*(F47)</f>
        <v>1.7009360250207473</v>
      </c>
      <c r="P47" s="23"/>
      <c r="Q47" s="20">
        <f>Data!$K$11*(1+Data!$K$10)^'ir risk (down)'!E46*Data!$K$12</f>
        <v>106.11493962009094</v>
      </c>
      <c r="R47" s="20">
        <f>$Q47*$H47*($G46*(1-Data!$K$8)^$E46)</f>
        <v>3.1720963769045151E-3</v>
      </c>
      <c r="S47" s="23"/>
      <c r="T47" s="20">
        <f>C46*Data!$K$6</f>
        <v>2354.4619655252359</v>
      </c>
      <c r="U47" s="20">
        <f>$T47*$H47*($G46*(1-Data!$K$8)^$E46)</f>
        <v>7.0381986713094688E-2</v>
      </c>
      <c r="V47" s="22"/>
      <c r="W47" s="20">
        <f t="shared" si="0"/>
        <v>2.2773531019481834</v>
      </c>
    </row>
    <row r="48" spans="2:23" x14ac:dyDescent="0.75">
      <c r="B48" s="15">
        <v>40</v>
      </c>
      <c r="C48" s="30">
        <f>$C$8*EXP(Data!T44*'ir risk (down)'!B48)</f>
        <v>176826.70514337352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31">
        <f>EXP(-Data!T44*'ir risk (down)'!E48)</f>
        <v>0.56552543869953709</v>
      </c>
      <c r="I48" s="20">
        <f>C48-C47*(Data!$K$5)</f>
        <v>173378.0746956323</v>
      </c>
      <c r="J48" s="23"/>
      <c r="K48" s="20">
        <f>I48-Data!$K$4</f>
        <v>173358.0746956323</v>
      </c>
      <c r="L48" s="20">
        <f>K48*H48*(G47*(1-Data!$K$8)^E47)*((1-F48)*Data!$K$8)</f>
        <v>0.27363350269809045</v>
      </c>
      <c r="M48" s="23"/>
      <c r="N48" s="20">
        <f>MAX(Data!$K$3*Data!$H$3,'ir risk (down)'!I48)-Data!$K$4</f>
        <v>173358.0746956323</v>
      </c>
      <c r="O48" s="20">
        <f>N48*H48*(G47*(1-Data!$K$8)^E47)*(F48)</f>
        <v>1.0253521979792941</v>
      </c>
      <c r="P48" s="23"/>
      <c r="Q48" s="20">
        <f>Data!$K$11*(1+Data!$K$10)^'ir risk (down)'!E47*Data!$K$12</f>
        <v>108.23723841249272</v>
      </c>
      <c r="R48" s="20">
        <f>$Q48*$H48*($G47*(1-Data!$K$8)^$E47)</f>
        <v>1.7791509777984034E-3</v>
      </c>
      <c r="S48" s="23"/>
      <c r="T48" s="20">
        <f>C47*Data!$K$6</f>
        <v>2414.0413134188548</v>
      </c>
      <c r="U48" s="20">
        <f>$T48*$H48*($G47*(1-Data!$K$8)^$E47)</f>
        <v>3.9680834675833485E-2</v>
      </c>
      <c r="V48" s="22"/>
      <c r="W48" s="20">
        <f t="shared" si="0"/>
        <v>1.3404456863310166</v>
      </c>
    </row>
    <row r="49" spans="2:23" x14ac:dyDescent="0.75">
      <c r="B49" s="15">
        <v>41</v>
      </c>
      <c r="C49" s="30">
        <f>$C$8*EXP(Data!T45*'ir risk (down)'!B49)</f>
        <v>181361.12076996305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31">
        <f>EXP(-Data!T45*'ir risk (down)'!E49)</f>
        <v>0.55138609408374339</v>
      </c>
      <c r="I49" s="20">
        <f>C49-C48*(Data!$K$5)</f>
        <v>177824.58666709557</v>
      </c>
      <c r="J49" s="23"/>
      <c r="K49" s="20">
        <f>I49-Data!$K$4</f>
        <v>177804.58666709557</v>
      </c>
      <c r="L49" s="20">
        <f>K49*H49*(G48*(1-Data!$K$8)^E48)*((1-F49)*Data!$K$8)</f>
        <v>0.14180879171733154</v>
      </c>
      <c r="M49" s="23"/>
      <c r="N49" s="20">
        <f>MAX(Data!$K$3*Data!$H$3,'ir risk (down)'!I49)-Data!$K$4</f>
        <v>177804.58666709557</v>
      </c>
      <c r="O49" s="20">
        <f>N49*H49*(G48*(1-Data!$K$8)^E48)*(F49)</f>
        <v>0.60520700299968744</v>
      </c>
      <c r="P49" s="23"/>
      <c r="Q49" s="20">
        <f>Data!$K$11*(1+Data!$K$10)^'ir risk (down)'!E48*Data!$K$12</f>
        <v>110.40198318074259</v>
      </c>
      <c r="R49" s="20">
        <f>$Q49*$H49*($G48*(1-Data!$K$8)^$E48)</f>
        <v>9.6279405476537355E-4</v>
      </c>
      <c r="S49" s="23"/>
      <c r="T49" s="20">
        <f>C48*Data!$K$6</f>
        <v>2475.5738720072295</v>
      </c>
      <c r="U49" s="20">
        <f>$T49*$H49*($G48*(1-Data!$K$8)^$E48)</f>
        <v>2.1588994485715041E-2</v>
      </c>
      <c r="V49" s="22"/>
      <c r="W49" s="20">
        <f t="shared" si="0"/>
        <v>0.76956758325749941</v>
      </c>
    </row>
    <row r="50" spans="2:23" x14ac:dyDescent="0.75">
      <c r="B50" s="15">
        <v>42</v>
      </c>
      <c r="C50" s="30">
        <f>$C$8*EXP(Data!T46*'ir risk (down)'!B50)</f>
        <v>186112.28716306199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31">
        <f>EXP(-Data!T46*'ir risk (down)'!E50)</f>
        <v>0.53731003752796369</v>
      </c>
      <c r="I50" s="20">
        <f>C50-C49*(Data!$K$5)</f>
        <v>182485.06474766272</v>
      </c>
      <c r="J50" s="23"/>
      <c r="K50" s="20">
        <f>I50-Data!$K$4</f>
        <v>182465.06474766272</v>
      </c>
      <c r="L50" s="20">
        <f>K50*H50*(G49*(1-Data!$K$8)^E49)*((1-F50)*Data!$K$8)</f>
        <v>6.900177770835203E-2</v>
      </c>
      <c r="M50" s="23"/>
      <c r="N50" s="20">
        <f>MAX(Data!$K$3*Data!$H$3,'ir risk (down)'!I50)-Data!$K$4</f>
        <v>182465.06474766272</v>
      </c>
      <c r="O50" s="20">
        <f>N50*H50*(G49*(1-Data!$K$8)^E49)*(F50)</f>
        <v>0.34358223782040831</v>
      </c>
      <c r="P50" s="23"/>
      <c r="Q50" s="20">
        <f>Data!$K$11*(1+Data!$K$10)^'ir risk (down)'!E49*Data!$K$12</f>
        <v>112.61002284435745</v>
      </c>
      <c r="R50" s="20">
        <f>$Q50*$H50*($G49*(1-Data!$K$8)^$E49)</f>
        <v>4.959456149516029E-4</v>
      </c>
      <c r="S50" s="23"/>
      <c r="T50" s="20">
        <f>C49*Data!$K$6</f>
        <v>2539.0556907794826</v>
      </c>
      <c r="U50" s="20">
        <f>$T50*$H50*($G49*(1-Data!$K$8)^$E49)</f>
        <v>1.1182250959139146E-2</v>
      </c>
      <c r="V50" s="22"/>
      <c r="W50" s="20">
        <f t="shared" si="0"/>
        <v>0.42426221210285109</v>
      </c>
    </row>
    <row r="51" spans="2:23" x14ac:dyDescent="0.75">
      <c r="B51" s="15">
        <v>43</v>
      </c>
      <c r="C51" s="30">
        <f>$C$8*EXP(Data!T47*'ir risk (down)'!B51)</f>
        <v>190926.81479153986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31">
        <f>EXP(-Data!T47*'ir risk (down)'!E51)</f>
        <v>0.52376089817024007</v>
      </c>
      <c r="I51" s="20">
        <f>C51-C50*(Data!$K$5)</f>
        <v>187204.56904827862</v>
      </c>
      <c r="J51" s="23"/>
      <c r="K51" s="20">
        <f>I51-Data!$K$4</f>
        <v>187184.56904827862</v>
      </c>
      <c r="L51" s="20">
        <f>K51*H51*(G50*(1-Data!$K$8)^E50)*((1-F51)*Data!$K$8)</f>
        <v>3.1623024356893729E-2</v>
      </c>
      <c r="M51" s="23"/>
      <c r="N51" s="20">
        <f>MAX(Data!$K$3*Data!$H$3,'ir risk (down)'!I51)-Data!$K$4</f>
        <v>187184.56904827862</v>
      </c>
      <c r="O51" s="20">
        <f>N51*H51*(G50*(1-Data!$K$8)^E50)*(F51)</f>
        <v>0.18018850432853378</v>
      </c>
      <c r="P51" s="23"/>
      <c r="Q51" s="20">
        <f>Data!$K$11*(1+Data!$K$10)^'ir risk (down)'!E50*Data!$K$12</f>
        <v>114.86222330124458</v>
      </c>
      <c r="R51" s="20">
        <f>$Q51*$H51*($G50*(1-Data!$K$8)^$E50)</f>
        <v>2.3993497442907497E-4</v>
      </c>
      <c r="S51" s="23"/>
      <c r="T51" s="20">
        <f>C50*Data!$K$6</f>
        <v>2605.5720202828679</v>
      </c>
      <c r="U51" s="20">
        <f>$T51*$H51*($G50*(1-Data!$K$8)^$E50)</f>
        <v>5.4427629736896205E-3</v>
      </c>
      <c r="V51" s="22"/>
      <c r="W51" s="20">
        <f t="shared" si="0"/>
        <v>0.2174942266335462</v>
      </c>
    </row>
    <row r="52" spans="2:23" x14ac:dyDescent="0.75">
      <c r="B52" s="15">
        <v>44</v>
      </c>
      <c r="C52" s="30">
        <f>$C$8*EXP(Data!T48*'ir risk (down)'!B52)</f>
        <v>195963.84657925644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31">
        <f>EXP(-Data!T48*'ir risk (down)'!E52)</f>
        <v>0.51029820931564329</v>
      </c>
      <c r="I52" s="20">
        <f>C52-C51*(Data!$K$5)</f>
        <v>192145.31028342564</v>
      </c>
      <c r="J52" s="23"/>
      <c r="K52" s="20">
        <f>I52-Data!$K$4</f>
        <v>192125.31028342564</v>
      </c>
      <c r="L52" s="20">
        <f>K52*H52*(G51*(1-Data!$K$8)^E51)*((1-F52)*Data!$K$8)</f>
        <v>1.3584616015297807E-2</v>
      </c>
      <c r="M52" s="23"/>
      <c r="N52" s="20">
        <f>MAX(Data!$K$3*Data!$H$3,'ir risk (down)'!I52)-Data!$K$4</f>
        <v>192125.31028342564</v>
      </c>
      <c r="O52" s="20">
        <f>N52*H52*(G51*(1-Data!$K$8)^E51)*(F52)</f>
        <v>8.8635304655750202E-2</v>
      </c>
      <c r="P52" s="23"/>
      <c r="Q52" s="20">
        <f>Data!$K$11*(1+Data!$K$10)^'ir risk (down)'!E51*Data!$K$12</f>
        <v>117.15946776726946</v>
      </c>
      <c r="R52" s="20">
        <f>$Q52*$H52*($G51*(1-Data!$K$8)^$E51)</f>
        <v>1.0927715684996927E-4</v>
      </c>
      <c r="S52" s="23"/>
      <c r="T52" s="20">
        <f>C51*Data!$K$6</f>
        <v>2672.9754070815579</v>
      </c>
      <c r="U52" s="20">
        <f>$T52*$H52*($G51*(1-Data!$K$8)^$E51)</f>
        <v>2.4931416844261537E-3</v>
      </c>
      <c r="V52" s="22"/>
      <c r="W52" s="20">
        <f t="shared" si="0"/>
        <v>0.10482233951232414</v>
      </c>
    </row>
    <row r="53" spans="2:23" x14ac:dyDescent="0.75">
      <c r="B53" s="15">
        <v>45</v>
      </c>
      <c r="C53" s="30">
        <f>$C$8*EXP(Data!T49*'ir risk (down)'!B53)</f>
        <v>201143.82229405656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31">
        <f>EXP(-Data!T49*'ir risk (down)'!E53)</f>
        <v>0.49715670538371198</v>
      </c>
      <c r="I53" s="20">
        <f>C53-C52*(Data!$K$5)</f>
        <v>197224.54536247143</v>
      </c>
      <c r="J53" s="23"/>
      <c r="K53" s="20">
        <f>I53-Data!$K$4</f>
        <v>197204.54536247143</v>
      </c>
      <c r="L53" s="20">
        <f>K53*H53*(G52*(1-Data!$K$8)^E52)*((1-F53)*Data!$K$8)</f>
        <v>5.4428661327294067E-3</v>
      </c>
      <c r="M53" s="23"/>
      <c r="N53" s="20">
        <f>MAX(Data!$K$3*Data!$H$3,'ir risk (down)'!I53)-Data!$K$4</f>
        <v>197204.54536247143</v>
      </c>
      <c r="O53" s="20">
        <f>N53*H53*(G52*(1-Data!$K$8)^E52)*(F53)</f>
        <v>4.069399940011182E-2</v>
      </c>
      <c r="P53" s="23"/>
      <c r="Q53" s="20">
        <f>Data!$K$11*(1+Data!$K$10)^'ir risk (down)'!E52*Data!$K$12</f>
        <v>119.50265712261488</v>
      </c>
      <c r="R53" s="20">
        <f>$Q53*$H53*($G52*(1-Data!$K$8)^$E52)</f>
        <v>4.6648455669094374E-5</v>
      </c>
      <c r="S53" s="23"/>
      <c r="T53" s="20">
        <f>C52*Data!$K$6</f>
        <v>2743.4938521095901</v>
      </c>
      <c r="U53" s="20">
        <f>$T53*$H53*($G52*(1-Data!$K$8)^$E52)</f>
        <v>1.0709364496159649E-3</v>
      </c>
      <c r="V53" s="22"/>
      <c r="W53" s="20">
        <f t="shared" si="0"/>
        <v>4.7254450438126289E-2</v>
      </c>
    </row>
    <row r="54" spans="2:23" x14ac:dyDescent="0.75">
      <c r="B54" s="15">
        <v>46</v>
      </c>
      <c r="C54" s="30">
        <f>$C$8*EXP(Data!T50*'ir risk (down)'!B54)</f>
        <v>206559.84691632533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31">
        <f>EXP(-Data!T50*'ir risk (down)'!E54)</f>
        <v>0.48412119534784842</v>
      </c>
      <c r="I54" s="20">
        <f>C54-C53*(Data!$K$5)</f>
        <v>202536.97047044421</v>
      </c>
      <c r="J54" s="23"/>
      <c r="K54" s="20">
        <f>I54-Data!$K$4</f>
        <v>202516.97047044421</v>
      </c>
      <c r="L54" s="20">
        <f>K54*H54*(G53*(1-Data!$K$8)^E53)*((1-F54)*Data!$K$8)</f>
        <v>2.0237833767683959E-3</v>
      </c>
      <c r="M54" s="23"/>
      <c r="N54" s="20">
        <f>MAX(Data!$K$3*Data!$H$3,'ir risk (down)'!I54)-Data!$K$4</f>
        <v>202516.97047044421</v>
      </c>
      <c r="O54" s="20">
        <f>N54*H54*(G53*(1-Data!$K$8)^E53)*(F54)</f>
        <v>1.7351395082339564E-2</v>
      </c>
      <c r="P54" s="23"/>
      <c r="Q54" s="20">
        <f>Data!$K$11*(1+Data!$K$10)^'ir risk (down)'!E53*Data!$K$12</f>
        <v>121.89271026506717</v>
      </c>
      <c r="R54" s="20">
        <f>$Q54*$H54*($G53*(1-Data!$K$8)^$E53)</f>
        <v>1.8564229473168705E-5</v>
      </c>
      <c r="S54" s="23"/>
      <c r="T54" s="20">
        <f>C53*Data!$K$6</f>
        <v>2816.0135121167918</v>
      </c>
      <c r="U54" s="20">
        <f>$T54*$H54*($G53*(1-Data!$K$8)^$E53)</f>
        <v>4.2887815788818175E-4</v>
      </c>
      <c r="V54" s="22"/>
      <c r="W54" s="20">
        <f t="shared" si="0"/>
        <v>1.982262084646931E-2</v>
      </c>
    </row>
    <row r="55" spans="2:23" x14ac:dyDescent="0.75">
      <c r="B55" s="15">
        <v>47</v>
      </c>
      <c r="C55" s="30">
        <f>$C$8*EXP(Data!T51*'ir risk (down)'!B55)</f>
        <v>212024.15057449447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31">
        <f>EXP(-Data!T51*'ir risk (down)'!E55)</f>
        <v>0.47164438451489088</v>
      </c>
      <c r="I55" s="20">
        <f>C55-C54*(Data!$K$5)</f>
        <v>207892.95363616798</v>
      </c>
      <c r="J55" s="23"/>
      <c r="K55" s="20">
        <f>I55-Data!$K$4</f>
        <v>207872.95363616798</v>
      </c>
      <c r="L55" s="20">
        <f>K55*H55*(G54*(1-Data!$K$8)^E54)*((1-F55)*Data!$K$8)</f>
        <v>6.9476145067055286E-4</v>
      </c>
      <c r="M55" s="23"/>
      <c r="N55" s="20">
        <f>MAX(Data!$K$3*Data!$H$3,'ir risk (down)'!I55)-Data!$K$4</f>
        <v>207872.95363616798</v>
      </c>
      <c r="O55" s="20">
        <f>N55*H55*(G54*(1-Data!$K$8)^E54)*(F55)</f>
        <v>6.8362871702803635E-3</v>
      </c>
      <c r="P55" s="23"/>
      <c r="Q55" s="20">
        <f>Data!$K$11*(1+Data!$K$10)^'ir risk (down)'!E54*Data!$K$12</f>
        <v>124.33056447036851</v>
      </c>
      <c r="R55" s="20">
        <f>$Q55*$H55*($G54*(1-Data!$K$8)^$E54)</f>
        <v>6.8591254420021615E-6</v>
      </c>
      <c r="S55" s="23"/>
      <c r="T55" s="20">
        <f>C54*Data!$K$6</f>
        <v>2891.8378568285548</v>
      </c>
      <c r="U55" s="20">
        <f>$T55*$H55*($G54*(1-Data!$K$8)^$E54)</f>
        <v>1.5953823343772477E-4</v>
      </c>
      <c r="V55" s="22"/>
      <c r="W55" s="20">
        <f t="shared" si="0"/>
        <v>7.6974459798306426E-3</v>
      </c>
    </row>
    <row r="56" spans="2:23" x14ac:dyDescent="0.75">
      <c r="B56" s="15">
        <v>48</v>
      </c>
      <c r="C56" s="30">
        <f>$C$8*EXP(Data!T52*'ir risk (down)'!B56)</f>
        <v>217728.78570659895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31">
        <f>EXP(-Data!T52*'ir risk (down)'!E56)</f>
        <v>0.45928699632190706</v>
      </c>
      <c r="I56" s="20">
        <f>C56-C55*(Data!$K$5)</f>
        <v>213488.30269510907</v>
      </c>
      <c r="J56" s="23"/>
      <c r="K56" s="20">
        <f>I56-Data!$K$4</f>
        <v>213468.30269510907</v>
      </c>
      <c r="L56" s="20">
        <f>K56*H56*(G55*(1-Data!$K$8)^E55)*((1-F56)*Data!$K$8)</f>
        <v>2.191037294106533E-4</v>
      </c>
      <c r="M56" s="23"/>
      <c r="N56" s="20">
        <f>MAX(Data!$K$3*Data!$H$3,'ir risk (down)'!I56)-Data!$K$4</f>
        <v>213468.30269510907</v>
      </c>
      <c r="O56" s="20">
        <f>N56*H56*(G55*(1-Data!$K$8)^E55)*(F56)</f>
        <v>2.476334367881596E-3</v>
      </c>
      <c r="P56" s="23"/>
      <c r="Q56" s="20">
        <f>Data!$K$11*(1+Data!$K$10)^'ir risk (down)'!E55*Data!$K$12</f>
        <v>126.81717575977585</v>
      </c>
      <c r="R56" s="20">
        <f>$Q56*$H56*($G55*(1-Data!$K$8)^$E55)</f>
        <v>2.3389069893904259E-6</v>
      </c>
      <c r="S56" s="23"/>
      <c r="T56" s="20">
        <f>C55*Data!$K$6</f>
        <v>2968.3381080429226</v>
      </c>
      <c r="U56" s="20">
        <f>$T56*$H56*($G55*(1-Data!$K$8)^$E55)</f>
        <v>5.4745476755662264E-5</v>
      </c>
      <c r="V56" s="22"/>
      <c r="W56" s="20">
        <f t="shared" si="0"/>
        <v>2.7525224810373023E-3</v>
      </c>
    </row>
    <row r="57" spans="2:23" x14ac:dyDescent="0.75">
      <c r="B57" s="15">
        <v>49</v>
      </c>
      <c r="C57" s="30">
        <f>$C$8*EXP(Data!T53*'ir risk (down)'!B57)</f>
        <v>223685.30730549386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31">
        <f>EXP(-Data!T53*'ir risk (down)'!E57)</f>
        <v>0.44705663149983715</v>
      </c>
      <c r="I57" s="20">
        <f>C57-C56*(Data!$K$5)</f>
        <v>219330.73159136187</v>
      </c>
      <c r="J57" s="23"/>
      <c r="K57" s="20">
        <f>I57-Data!$K$4</f>
        <v>219310.73159136187</v>
      </c>
      <c r="L57" s="20">
        <f>K57*H57*(G56*(1-Data!$K$8)^E56)*((1-F57)*Data!$K$8)</f>
        <v>6.3154139922466055E-5</v>
      </c>
      <c r="M57" s="23"/>
      <c r="N57" s="20">
        <f>MAX(Data!$K$3*Data!$H$3,'ir risk (down)'!I57)-Data!$K$4</f>
        <v>219310.73159136187</v>
      </c>
      <c r="O57" s="20">
        <f>N57*H57*(G56*(1-Data!$K$8)^E56)*(F57)</f>
        <v>8.2057414780818759E-4</v>
      </c>
      <c r="P57" s="23"/>
      <c r="Q57" s="20">
        <f>Data!$K$11*(1+Data!$K$10)^'ir risk (down)'!E56*Data!$K$12</f>
        <v>129.35351927497138</v>
      </c>
      <c r="R57" s="20">
        <f>$Q57*$H57*($G56*(1-Data!$K$8)^$E56)</f>
        <v>7.3231963791601556E-7</v>
      </c>
      <c r="S57" s="23"/>
      <c r="T57" s="20">
        <f>C56*Data!$K$6</f>
        <v>3048.2029998923854</v>
      </c>
      <c r="U57" s="20">
        <f>$T57*$H57*($G56*(1-Data!$K$8)^$E56)</f>
        <v>1.7257040470855008E-5</v>
      </c>
      <c r="V57" s="22"/>
      <c r="W57" s="20">
        <f t="shared" si="0"/>
        <v>9.0171764783942459E-4</v>
      </c>
    </row>
    <row r="58" spans="2:23" x14ac:dyDescent="0.75">
      <c r="B58" s="15">
        <v>50</v>
      </c>
      <c r="C58" s="30">
        <f>$C$8*EXP(Data!T54*'ir risk (down)'!B58)</f>
        <v>229676.12996486377</v>
      </c>
      <c r="E58" s="15">
        <v>50</v>
      </c>
      <c r="F58" s="15">
        <f>Data!C54</f>
        <v>0.69160641</v>
      </c>
      <c r="G58" s="15">
        <f>Data!E54</f>
        <v>3.2350801816429304E-6</v>
      </c>
      <c r="H58" s="31">
        <f>EXP(-Data!T54*'ir risk (down)'!E58)</f>
        <v>0.43539570270231465</v>
      </c>
      <c r="I58" s="20">
        <f>C58-C57*(Data!$K$5)</f>
        <v>225202.42381875389</v>
      </c>
      <c r="J58" s="24"/>
      <c r="K58" s="20">
        <f>I58-Data!$K$4</f>
        <v>225182.42381875389</v>
      </c>
      <c r="L58" s="20">
        <f>K58*H58*(G57*(1-Data!$K$8)^E57)*(1-F58)</f>
        <v>1.1036491596233321E-4</v>
      </c>
      <c r="M58" s="24"/>
      <c r="N58" s="20">
        <f>MAX(Data!$K$3*Data!$H$3,'ir risk (down)'!I58)-Data!$K$4</f>
        <v>225182.42381875389</v>
      </c>
      <c r="O58" s="20">
        <f>N58*H58*(G57*(1-Data!$K$8)^E57)*(F58)</f>
        <v>2.4750541448887104E-4</v>
      </c>
      <c r="P58" s="24"/>
      <c r="Q58" s="20">
        <f>Data!$K$11*(1+Data!$K$10)^'ir risk (down)'!E57*Data!$K$12</f>
        <v>131.94058966047081</v>
      </c>
      <c r="R58" s="20">
        <f>$Q58*$H58*($G57*(1-Data!$K$8)^$E57)</f>
        <v>2.0968609192928938E-7</v>
      </c>
      <c r="S58" s="24"/>
      <c r="T58" s="20">
        <f>C57*Data!$K$6</f>
        <v>3131.5943022769143</v>
      </c>
      <c r="U58" s="20">
        <f>$T58*$H58*($G57*(1-Data!$K$8)^$E57)</f>
        <v>4.9768746103247691E-6</v>
      </c>
      <c r="V58" s="25"/>
      <c r="W58" s="20">
        <f t="shared" si="0"/>
        <v>3.6305689115345832E-4</v>
      </c>
    </row>
    <row r="60" spans="2:23" x14ac:dyDescent="0.75">
      <c r="K60" s="43" t="s">
        <v>62</v>
      </c>
      <c r="L60" s="20">
        <f>SUM(L9:L58)</f>
        <v>89605.845299959954</v>
      </c>
      <c r="N60" s="43" t="s">
        <v>62</v>
      </c>
      <c r="O60" s="20">
        <f>SUM(O9:O58)</f>
        <v>8884.5003269593217</v>
      </c>
      <c r="P60" s="1"/>
      <c r="Q60" s="43" t="s">
        <v>62</v>
      </c>
      <c r="R60" s="20">
        <f>SUM(R9:R58)</f>
        <v>328.33224448594478</v>
      </c>
      <c r="S60" s="1"/>
      <c r="T60" s="43" t="s">
        <v>62</v>
      </c>
      <c r="U60" s="20">
        <f>SUM(U9:U58)</f>
        <v>8597.4936174943141</v>
      </c>
      <c r="V60" s="15" t="s">
        <v>15</v>
      </c>
      <c r="W60" s="20">
        <f>SUM(W9:W58)</f>
        <v>107416.17148889953</v>
      </c>
    </row>
    <row r="61" spans="2:23" x14ac:dyDescent="0.75">
      <c r="V61" s="15" t="s">
        <v>32</v>
      </c>
      <c r="W61" s="15">
        <f>SUMPRODUCT(W9:W58,E9:E58)/W60</f>
        <v>6.1490022713598274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5A4A2-593A-47DE-9F75-1CB54FF2E1F2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2">
        <v>0.39</v>
      </c>
      <c r="V2" s="34" t="s">
        <v>34</v>
      </c>
      <c r="W2" s="35">
        <f>C8-W60</f>
        <v>-7661.8378119997069</v>
      </c>
    </row>
    <row r="3" spans="2:23" x14ac:dyDescent="0.75">
      <c r="V3" s="34" t="s">
        <v>40</v>
      </c>
      <c r="W3" s="35">
        <f>MAX('Caso base'!W2-'equity risk'!W2,0)</f>
        <v>388.72559291824291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30">
        <f>Data!H3*(1-$C$2)</f>
        <v>61000</v>
      </c>
      <c r="E8" s="15">
        <v>0</v>
      </c>
      <c r="F8" s="15"/>
      <c r="G8" s="15">
        <v>1</v>
      </c>
      <c r="H8" s="15">
        <v>1</v>
      </c>
      <c r="I8" s="20">
        <f>C8</f>
        <v>61000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30">
        <f>$C$8*EXP(Data!N5*'equity risk'!B9)</f>
        <v>60893.343351786854</v>
      </c>
      <c r="E9" s="15">
        <v>1</v>
      </c>
      <c r="F9" s="15">
        <f>Data!C5</f>
        <v>7.1098899999999998E-3</v>
      </c>
      <c r="G9" s="15">
        <f>Data!E5</f>
        <v>0.99289011000000005</v>
      </c>
      <c r="H9" s="15">
        <f>EXP(-Data!N5*'equity risk'!E9)</f>
        <v>1.0017515321436201</v>
      </c>
      <c r="I9" s="20">
        <f>C9-C8*(Data!$K$5)</f>
        <v>59673.343351786854</v>
      </c>
      <c r="J9" s="23"/>
      <c r="K9" s="20">
        <f>I9-Data!$K$4</f>
        <v>59653.343351786854</v>
      </c>
      <c r="L9" s="20">
        <f>K9*H9*(G8*(1-Data!$K$8)^E8)*((1-F9)*Data!$K$8)</f>
        <v>8899.94347735665</v>
      </c>
      <c r="M9" s="23"/>
      <c r="N9" s="20">
        <f>MAX(Data!$K$3*Data!$H$3,'equity risk'!I9)-Data!$K$4</f>
        <v>109980.00000000001</v>
      </c>
      <c r="O9" s="20">
        <f>N9*H9*(G8*(1-Data!$K$8)^E8)*(F9)</f>
        <v>783.31530523196898</v>
      </c>
      <c r="P9" s="23"/>
      <c r="Q9" s="20">
        <f>Data!$K$11*(1+Data!$K$10)^'equity risk'!E8*Data!$K$12</f>
        <v>50</v>
      </c>
      <c r="R9" s="20">
        <f>$Q9*$H9*($G8*(1-Data!$K$8)^$E8)</f>
        <v>50.087576607181006</v>
      </c>
      <c r="S9" s="23"/>
      <c r="T9" s="20">
        <f>C8*Data!$K$6</f>
        <v>854</v>
      </c>
      <c r="U9" s="20">
        <f>$T9*$H9*($G8*(1-Data!$K$8)^$E8)</f>
        <v>855.49580845065157</v>
      </c>
      <c r="V9" s="22"/>
      <c r="W9" s="20">
        <f>O9+L9+R9+U9</f>
        <v>10588.84216764645</v>
      </c>
    </row>
    <row r="10" spans="2:23" x14ac:dyDescent="0.75">
      <c r="B10" s="15">
        <v>2</v>
      </c>
      <c r="C10" s="30">
        <f>$C$8*EXP(Data!N6*'equity risk'!B10)</f>
        <v>61534.245926978794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EXP(-Data!N6*'equity risk'!E10)</f>
        <v>0.99131790893134908</v>
      </c>
      <c r="I10" s="20">
        <f>C10-C9*(Data!$K$5)</f>
        <v>60316.379059943058</v>
      </c>
      <c r="J10" s="23"/>
      <c r="K10" s="20">
        <f>I10-Data!$K$4</f>
        <v>60296.379059943058</v>
      </c>
      <c r="L10" s="20">
        <f>K10*H10*(G9*(1-Data!$K$8)^E9)*((1-F10)*Data!$K$8)</f>
        <v>7506.8872587166206</v>
      </c>
      <c r="M10" s="23"/>
      <c r="N10" s="20">
        <f>MAX(Data!$K$3*Data!$H$3,'equity risk'!I10)-Data!$K$4</f>
        <v>109980.00000000001</v>
      </c>
      <c r="O10" s="20">
        <f>N10*H10*(G9*(1-Data!$K$8)^E9)*(F10)</f>
        <v>729.233938636223</v>
      </c>
      <c r="P10" s="23"/>
      <c r="Q10" s="20">
        <f>Data!$K$11*(1+Data!$K$10)^'equity risk'!E9*Data!$K$12</f>
        <v>51</v>
      </c>
      <c r="R10" s="20">
        <f>$Q10*$H10*($G9*(1-Data!$K$8)^$E9)</f>
        <v>42.66809356035948</v>
      </c>
      <c r="S10" s="23"/>
      <c r="T10" s="20">
        <f>C9*Data!$K$6</f>
        <v>852.50680692501601</v>
      </c>
      <c r="U10" s="20">
        <f>$T10*$H10*($G9*(1-Data!$K$8)^$E9)</f>
        <v>713.23216075921368</v>
      </c>
      <c r="V10" s="22"/>
      <c r="W10" s="20">
        <f t="shared" ref="W10:W58" si="0">O10+L10+R10+U10</f>
        <v>8992.0214516724172</v>
      </c>
    </row>
    <row r="11" spans="2:23" x14ac:dyDescent="0.75">
      <c r="B11" s="15">
        <v>3</v>
      </c>
      <c r="C11" s="30">
        <f>$C$8*EXP(Data!N7*'equity risk'!B11)</f>
        <v>62300.151911253219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EXP(-Data!N7*'equity risk'!E11)</f>
        <v>0.97913083882836616</v>
      </c>
      <c r="I11" s="20">
        <f>C11-C10*(Data!$K$5)</f>
        <v>61069.466992713642</v>
      </c>
      <c r="J11" s="23"/>
      <c r="K11" s="20">
        <f>I11-Data!$K$4</f>
        <v>61049.466992713642</v>
      </c>
      <c r="L11" s="20">
        <f>K11*H11*(G10*(1-Data!$K$8)^E10)*((1-F11)*Data!$K$8)</f>
        <v>6325.335868305664</v>
      </c>
      <c r="M11" s="23"/>
      <c r="N11" s="20">
        <f>MAX(Data!$K$3*Data!$H$3,'equity risk'!I11)-Data!$K$4</f>
        <v>109980.00000000001</v>
      </c>
      <c r="O11" s="20">
        <f>N11*H11*(G10*(1-Data!$K$8)^E10)*(F11)</f>
        <v>670.02168793294345</v>
      </c>
      <c r="P11" s="23"/>
      <c r="Q11" s="20">
        <f>Data!$K$11*(1+Data!$K$10)^'equity risk'!E10*Data!$K$12</f>
        <v>52.019999999999996</v>
      </c>
      <c r="R11" s="20">
        <f>$Q11*$H11*($G10*(1-Data!$K$8)^$E10)</f>
        <v>36.2488683382986</v>
      </c>
      <c r="S11" s="23"/>
      <c r="T11" s="20">
        <f>C10*Data!$K$6</f>
        <v>861.47944297770312</v>
      </c>
      <c r="U11" s="20">
        <f>$T11*$H11*($G10*(1-Data!$K$8)^$E10)</f>
        <v>600.30094011244864</v>
      </c>
      <c r="V11" s="22"/>
      <c r="W11" s="20">
        <f t="shared" si="0"/>
        <v>7631.9073646893557</v>
      </c>
    </row>
    <row r="12" spans="2:23" x14ac:dyDescent="0.75">
      <c r="B12" s="15">
        <v>4</v>
      </c>
      <c r="C12" s="30">
        <f>$C$8*EXP(Data!N8*'equity risk'!B12)</f>
        <v>63056.671154021933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EXP(-Data!N8*'equity risk'!E12)</f>
        <v>0.96738376580333085</v>
      </c>
      <c r="I12" s="20">
        <f>C12-C11*(Data!$K$5)</f>
        <v>61810.668115796871</v>
      </c>
      <c r="J12" s="23"/>
      <c r="K12" s="20">
        <f>I12-Data!$K$4</f>
        <v>61790.668115796871</v>
      </c>
      <c r="L12" s="20">
        <f>K12*H12*(G11*(1-Data!$K$8)^E11)*((1-F12)*Data!$K$8)</f>
        <v>5324.1340123280006</v>
      </c>
      <c r="M12" s="23"/>
      <c r="N12" s="20">
        <f>MAX(Data!$K$3*Data!$H$3,'equity risk'!I12)-Data!$K$4</f>
        <v>109980.00000000001</v>
      </c>
      <c r="O12" s="20">
        <f>N12*H12*(G11*(1-Data!$K$8)^E11)*(F12)</f>
        <v>621.65393697706372</v>
      </c>
      <c r="P12" s="23"/>
      <c r="Q12" s="20">
        <f>Data!$K$11*(1+Data!$K$10)^'equity risk'!E11*Data!$K$12</f>
        <v>53.060399999999994</v>
      </c>
      <c r="R12" s="20">
        <f>$Q12*$H12*($G11*(1-Data!$K$8)^$E11)</f>
        <v>30.779245263821235</v>
      </c>
      <c r="S12" s="23"/>
      <c r="T12" s="20">
        <f>C11*Data!$K$6</f>
        <v>872.2021267575451</v>
      </c>
      <c r="U12" s="20">
        <f>$T12*$H12*($G11*(1-Data!$K$8)^$E11)</f>
        <v>505.94649077460741</v>
      </c>
      <c r="V12" s="22"/>
      <c r="W12" s="20">
        <f t="shared" si="0"/>
        <v>6482.5136853434933</v>
      </c>
    </row>
    <row r="13" spans="2:23" x14ac:dyDescent="0.75">
      <c r="B13" s="15">
        <v>5</v>
      </c>
      <c r="C13" s="30">
        <f>$C$8*EXP(Data!N9*'equity risk'!B13)</f>
        <v>63791.74952339258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EXP(-Data!N9*'equity risk'!E13)</f>
        <v>0.95623651108096919</v>
      </c>
      <c r="I13" s="20">
        <f>C13-C12*(Data!$K$5)</f>
        <v>62530.616100312138</v>
      </c>
      <c r="J13" s="23"/>
      <c r="K13" s="20">
        <f>I13-Data!$K$4</f>
        <v>62510.616100312138</v>
      </c>
      <c r="L13" s="20">
        <f>K13*H13*(G12*(1-Data!$K$8)^E12)*((1-F13)*Data!$K$8)</f>
        <v>4476.866727566794</v>
      </c>
      <c r="M13" s="23"/>
      <c r="N13" s="20">
        <f>MAX(Data!$K$3*Data!$H$3,'equity risk'!I13)-Data!$K$4</f>
        <v>109980.00000000001</v>
      </c>
      <c r="O13" s="20">
        <f>N13*H13*(G12*(1-Data!$K$8)^E12)*(F13)</f>
        <v>570.27698917410487</v>
      </c>
      <c r="P13" s="23"/>
      <c r="Q13" s="20">
        <f>Data!$K$11*(1+Data!$K$10)^'equity risk'!E12*Data!$K$12</f>
        <v>54.121608000000002</v>
      </c>
      <c r="R13" s="20">
        <f>$Q13*$H13*($G12*(1-Data!$K$8)^$E12)</f>
        <v>26.121070562438874</v>
      </c>
      <c r="S13" s="23"/>
      <c r="T13" s="20">
        <f>C12*Data!$K$6</f>
        <v>882.79339615630704</v>
      </c>
      <c r="U13" s="20">
        <f>$T13*$H13*($G12*(1-Data!$K$8)^$E12)</f>
        <v>426.06843080223985</v>
      </c>
      <c r="V13" s="22"/>
      <c r="W13" s="20">
        <f t="shared" si="0"/>
        <v>5499.3332181055775</v>
      </c>
    </row>
    <row r="14" spans="2:23" x14ac:dyDescent="0.75">
      <c r="B14" s="15">
        <v>6</v>
      </c>
      <c r="C14" s="30">
        <f>$C$8*EXP(Data!N10*'equity risk'!B14)</f>
        <v>64550.887367245843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EXP(-Data!N10*'equity risk'!E14)</f>
        <v>0.9449908822005193</v>
      </c>
      <c r="I14" s="20">
        <f>C14-C13*(Data!$K$5)</f>
        <v>63275.052376777989</v>
      </c>
      <c r="J14" s="23"/>
      <c r="K14" s="20">
        <f>I14-Data!$K$4</f>
        <v>63255.052376777989</v>
      </c>
      <c r="L14" s="20">
        <f>K14*H14*(G13*(1-Data!$K$8)^E13)*((1-F14)*Data!$K$8)</f>
        <v>3760.6877246661829</v>
      </c>
      <c r="M14" s="23"/>
      <c r="N14" s="20">
        <f>MAX(Data!$K$3*Data!$H$3,'equity risk'!I14)-Data!$K$4</f>
        <v>109980.00000000001</v>
      </c>
      <c r="O14" s="20">
        <f>N14*H14*(G13*(1-Data!$K$8)^E13)*(F14)</f>
        <v>517.91353894805923</v>
      </c>
      <c r="P14" s="23"/>
      <c r="Q14" s="20">
        <f>Data!$K$11*(1+Data!$K$10)^'equity risk'!E13*Data!$K$12</f>
        <v>55.204040159999998</v>
      </c>
      <c r="R14" s="20">
        <f>$Q14*$H14*($G13*(1-Data!$K$8)^$E13)</f>
        <v>22.14018333466333</v>
      </c>
      <c r="S14" s="23"/>
      <c r="T14" s="20">
        <f>C13*Data!$K$6</f>
        <v>893.08449332749615</v>
      </c>
      <c r="U14" s="20">
        <f>$T14*$H14*($G13*(1-Data!$K$8)^$E13)</f>
        <v>358.18129177333162</v>
      </c>
      <c r="V14" s="22"/>
      <c r="W14" s="20">
        <f t="shared" si="0"/>
        <v>4658.9227387222372</v>
      </c>
    </row>
    <row r="15" spans="2:23" x14ac:dyDescent="0.75">
      <c r="B15" s="15">
        <v>7</v>
      </c>
      <c r="C15" s="30">
        <f>$C$8*EXP(Data!N11*'equity risk'!B15)</f>
        <v>65345.191992015214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EXP(-Data!N11*'equity risk'!E15)</f>
        <v>0.93350402899503038</v>
      </c>
      <c r="I15" s="20">
        <f>C15-C14*(Data!$K$5)</f>
        <v>64054.174244670299</v>
      </c>
      <c r="J15" s="23"/>
      <c r="K15" s="20">
        <f>I15-Data!$K$4</f>
        <v>64034.174244670299</v>
      </c>
      <c r="L15" s="20">
        <f>K15*H15*(G14*(1-Data!$K$8)^E14)*((1-F15)*Data!$K$8)</f>
        <v>3155.2437624966838</v>
      </c>
      <c r="M15" s="23"/>
      <c r="N15" s="20">
        <f>MAX(Data!$K$3*Data!$H$3,'equity risk'!I15)-Data!$K$4</f>
        <v>109980.00000000001</v>
      </c>
      <c r="O15" s="20">
        <f>N15*H15*(G14*(1-Data!$K$8)^E14)*(F15)</f>
        <v>473.79372678368412</v>
      </c>
      <c r="P15" s="23"/>
      <c r="Q15" s="20">
        <f>Data!$K$11*(1+Data!$K$10)^'equity risk'!E14*Data!$K$12</f>
        <v>56.308120963200004</v>
      </c>
      <c r="R15" s="20">
        <f>$Q15*$H15*($G14*(1-Data!$K$8)^$E14)</f>
        <v>18.739557555019186</v>
      </c>
      <c r="S15" s="23"/>
      <c r="T15" s="20">
        <f>C14*Data!$K$6</f>
        <v>903.71242314144183</v>
      </c>
      <c r="U15" s="20">
        <f>$T15*$H15*($G14*(1-Data!$K$8)^$E14)</f>
        <v>300.75894341622285</v>
      </c>
      <c r="V15" s="22"/>
      <c r="W15" s="20">
        <f t="shared" si="0"/>
        <v>3948.5359902516097</v>
      </c>
    </row>
    <row r="16" spans="2:23" x14ac:dyDescent="0.75">
      <c r="B16" s="15">
        <v>8</v>
      </c>
      <c r="C16" s="30">
        <f>$C$8*EXP(Data!N12*'equity risk'!B16)</f>
        <v>66212.804399602494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EXP(-Data!N12*'equity risk'!E16)</f>
        <v>0.9212719586963487</v>
      </c>
      <c r="I16" s="20">
        <f>C16-C15*(Data!$K$5)</f>
        <v>64905.900559762187</v>
      </c>
      <c r="J16" s="23"/>
      <c r="K16" s="20">
        <f>I16-Data!$K$4</f>
        <v>64885.900559762187</v>
      </c>
      <c r="L16" s="20">
        <f>K16*H16*(G15*(1-Data!$K$8)^E15)*((1-F16)*Data!$K$8)</f>
        <v>2643.7047199994317</v>
      </c>
      <c r="M16" s="23"/>
      <c r="N16" s="20">
        <f>MAX(Data!$K$3*Data!$H$3,'equity risk'!I16)-Data!$K$4</f>
        <v>109980.00000000001</v>
      </c>
      <c r="O16" s="20">
        <f>N16*H16*(G15*(1-Data!$K$8)^E15)*(F16)</f>
        <v>432.95702128344027</v>
      </c>
      <c r="P16" s="23"/>
      <c r="Q16" s="20">
        <f>Data!$K$11*(1+Data!$K$10)^'equity risk'!E15*Data!$K$12</f>
        <v>57.434283382463988</v>
      </c>
      <c r="R16" s="20">
        <f>$Q16*$H16*($G15*(1-Data!$K$8)^$E15)</f>
        <v>15.82674600097234</v>
      </c>
      <c r="S16" s="23"/>
      <c r="T16" s="20">
        <f>C15*Data!$K$6</f>
        <v>914.83268788821306</v>
      </c>
      <c r="U16" s="20">
        <f>$T16*$H16*($G15*(1-Data!$K$8)^$E15)</f>
        <v>252.09376232966588</v>
      </c>
      <c r="V16" s="22"/>
      <c r="W16" s="20">
        <f t="shared" si="0"/>
        <v>3344.5822496135102</v>
      </c>
    </row>
    <row r="17" spans="2:23" x14ac:dyDescent="0.75">
      <c r="B17" s="15">
        <v>9</v>
      </c>
      <c r="C17" s="30">
        <f>$C$8*EXP(Data!N13*'equity risk'!B17)</f>
        <v>67148.317322935967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EXP(-Data!N13*'equity risk'!E17)</f>
        <v>0.90843676255702877</v>
      </c>
      <c r="I17" s="20">
        <f>C17-C16*(Data!$K$5)</f>
        <v>65824.061234943918</v>
      </c>
      <c r="J17" s="23"/>
      <c r="K17" s="20">
        <f>I17-Data!$K$4</f>
        <v>65804.061234943918</v>
      </c>
      <c r="L17" s="20">
        <f>K17*H17*(G16*(1-Data!$K$8)^E16)*((1-F17)*Data!$K$8)</f>
        <v>2211.6190027909447</v>
      </c>
      <c r="M17" s="23"/>
      <c r="N17" s="20">
        <f>MAX(Data!$K$3*Data!$H$3,'equity risk'!I17)-Data!$K$4</f>
        <v>109980.00000000001</v>
      </c>
      <c r="O17" s="20">
        <f>N17*H17*(G16*(1-Data!$K$8)^E16)*(F17)</f>
        <v>396.41234434202522</v>
      </c>
      <c r="P17" s="23"/>
      <c r="Q17" s="20">
        <f>Data!$K$11*(1+Data!$K$10)^'equity risk'!E16*Data!$K$12</f>
        <v>58.582969050113277</v>
      </c>
      <c r="R17" s="20">
        <f>$Q17*$H17*($G16*(1-Data!$K$8)^$E16)</f>
        <v>13.337317912657387</v>
      </c>
      <c r="S17" s="23"/>
      <c r="T17" s="20">
        <f>C16*Data!$K$6</f>
        <v>926.97926159443489</v>
      </c>
      <c r="U17" s="20">
        <f>$T17*$H17*($G16*(1-Data!$K$8)^$E16)</f>
        <v>211.04114917339561</v>
      </c>
      <c r="V17" s="22"/>
      <c r="W17" s="20">
        <f t="shared" si="0"/>
        <v>2832.4098142190232</v>
      </c>
    </row>
    <row r="18" spans="2:23" x14ac:dyDescent="0.75">
      <c r="B18" s="15">
        <v>10</v>
      </c>
      <c r="C18" s="30">
        <f>$C$8*EXP(Data!N14*'equity risk'!B18)</f>
        <v>68154.273549984224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EXP(-Data!N14*'equity risk'!E18)</f>
        <v>0.89502824727876684</v>
      </c>
      <c r="I18" s="20">
        <f>C18-C17*(Data!$K$5)</f>
        <v>66811.307203525503</v>
      </c>
      <c r="J18" s="23"/>
      <c r="K18" s="20">
        <f>I18-Data!$K$4</f>
        <v>66791.307203525503</v>
      </c>
      <c r="L18" s="20">
        <f>K18*H18*(G17*(1-Data!$K$8)^E17)*((1-F18)*Data!$K$8)</f>
        <v>1847.1349517798865</v>
      </c>
      <c r="M18" s="23"/>
      <c r="N18" s="20">
        <f>MAX(Data!$K$3*Data!$H$3,'equity risk'!I18)-Data!$K$4</f>
        <v>109980.00000000001</v>
      </c>
      <c r="O18" s="20">
        <f>N18*H18*(G17*(1-Data!$K$8)^E17)*(F18)</f>
        <v>359.85702957399019</v>
      </c>
      <c r="P18" s="23"/>
      <c r="Q18" s="20">
        <f>Data!$K$11*(1+Data!$K$10)^'equity risk'!E17*Data!$K$12</f>
        <v>59.754628431115542</v>
      </c>
      <c r="R18" s="20">
        <f>$Q18*$H18*($G17*(1-Data!$K$8)^$E17)</f>
        <v>11.212407492171884</v>
      </c>
      <c r="S18" s="23"/>
      <c r="T18" s="20">
        <f>C17*Data!$K$6</f>
        <v>940.07644252110356</v>
      </c>
      <c r="U18" s="20">
        <f>$T18*$H18*($G17*(1-Data!$K$8)^$E17)</f>
        <v>176.39671476643699</v>
      </c>
      <c r="V18" s="22"/>
      <c r="W18" s="20">
        <f t="shared" si="0"/>
        <v>2394.6011036124855</v>
      </c>
    </row>
    <row r="19" spans="2:23" x14ac:dyDescent="0.75">
      <c r="B19" s="15">
        <v>11</v>
      </c>
      <c r="C19" s="30">
        <f>$C$8*EXP(Data!N15*'equity risk'!B19)</f>
        <v>69172.533159745624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EXP(-Data!N15*'equity risk'!E19)</f>
        <v>0.88185291492980111</v>
      </c>
      <c r="I19" s="20">
        <f>C19-C18*(Data!$K$5)</f>
        <v>67809.447688745946</v>
      </c>
      <c r="J19" s="23"/>
      <c r="K19" s="20">
        <f>I19-Data!$K$4</f>
        <v>67789.447688745946</v>
      </c>
      <c r="L19" s="20">
        <f>K19*H19*(G18*(1-Data!$K$8)^E18)*((1-F19)*Data!$K$8)</f>
        <v>1539.6064015354002</v>
      </c>
      <c r="M19" s="23"/>
      <c r="N19" s="20">
        <f>MAX(Data!$K$3*Data!$H$3,'equity risk'!I19)-Data!$K$4</f>
        <v>109980.00000000001</v>
      </c>
      <c r="O19" s="20">
        <f>N19*H19*(G18*(1-Data!$K$8)^E18)*(F19)</f>
        <v>329.49345674449103</v>
      </c>
      <c r="P19" s="23"/>
      <c r="Q19" s="20">
        <f>Data!$K$11*(1+Data!$K$10)^'equity risk'!E18*Data!$K$12</f>
        <v>60.949720999737856</v>
      </c>
      <c r="R19" s="20">
        <f>$Q19*$H19*($G18*(1-Data!$K$8)^$E18)</f>
        <v>9.411037074244831</v>
      </c>
      <c r="S19" s="23"/>
      <c r="T19" s="20">
        <f>C18*Data!$K$6</f>
        <v>954.15982969977915</v>
      </c>
      <c r="U19" s="20">
        <f>$T19*$H19*($G18*(1-Data!$K$8)^$E18)</f>
        <v>147.32854203054313</v>
      </c>
      <c r="V19" s="22"/>
      <c r="W19" s="20">
        <f t="shared" si="0"/>
        <v>2025.8394373846791</v>
      </c>
    </row>
    <row r="20" spans="2:23" x14ac:dyDescent="0.75">
      <c r="B20" s="15">
        <v>12</v>
      </c>
      <c r="C20" s="30">
        <f>$C$8*EXP(Data!N16*'equity risk'!B20)</f>
        <v>70194.774025067643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EXP(-Data!N16*'equity risk'!E20)</f>
        <v>0.8690105616440329</v>
      </c>
      <c r="I20" s="20">
        <f>C20-C19*(Data!$K$5)</f>
        <v>68811.323361872724</v>
      </c>
      <c r="J20" s="23"/>
      <c r="K20" s="20">
        <f>I20-Data!$K$4</f>
        <v>68791.323361872724</v>
      </c>
      <c r="L20" s="20">
        <f>K20*H20*(G19*(1-Data!$K$8)^E19)*((1-F20)*Data!$K$8)</f>
        <v>1280.991690253544</v>
      </c>
      <c r="M20" s="23"/>
      <c r="N20" s="20">
        <f>MAX(Data!$K$3*Data!$H$3,'equity risk'!I20)-Data!$K$4</f>
        <v>109980.00000000001</v>
      </c>
      <c r="O20" s="20">
        <f>N20*H20*(G19*(1-Data!$K$8)^E19)*(F20)</f>
        <v>294.97076999255626</v>
      </c>
      <c r="P20" s="23"/>
      <c r="Q20" s="20">
        <f>Data!$K$11*(1+Data!$K$10)^'equity risk'!E19*Data!$K$12</f>
        <v>62.1687154197326</v>
      </c>
      <c r="R20" s="20">
        <f>$Q20*$H20*($G19*(1-Data!$K$8)^$E19)</f>
        <v>7.8845347748718222</v>
      </c>
      <c r="S20" s="23"/>
      <c r="T20" s="20">
        <f>C19*Data!$K$6</f>
        <v>968.41546423643877</v>
      </c>
      <c r="U20" s="20">
        <f>$T20*$H20*($G19*(1-Data!$K$8)^$E19)</f>
        <v>122.81909562944421</v>
      </c>
      <c r="V20" s="22"/>
      <c r="W20" s="20">
        <f t="shared" si="0"/>
        <v>1706.6660906504164</v>
      </c>
    </row>
    <row r="21" spans="2:23" x14ac:dyDescent="0.75">
      <c r="B21" s="15">
        <v>13</v>
      </c>
      <c r="C21" s="30">
        <f>$C$8*EXP(Data!N17*'equity risk'!B21)</f>
        <v>71233.54635809765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EXP(-Data!N17*'equity risk'!E21)</f>
        <v>0.85633810358601736</v>
      </c>
      <c r="I21" s="20">
        <f>C21-C20*(Data!$K$5)</f>
        <v>69829.650877596301</v>
      </c>
      <c r="J21" s="23"/>
      <c r="K21" s="20">
        <f>I21-Data!$K$4</f>
        <v>69809.650877596301</v>
      </c>
      <c r="L21" s="20">
        <f>K21*H21*(G20*(1-Data!$K$8)^E20)*((1-F21)*Data!$K$8)</f>
        <v>1063.4782792349274</v>
      </c>
      <c r="M21" s="23"/>
      <c r="N21" s="20">
        <f>MAX(Data!$K$3*Data!$H$3,'equity risk'!I21)-Data!$K$4</f>
        <v>109980.00000000001</v>
      </c>
      <c r="O21" s="20">
        <f>N21*H21*(G20*(1-Data!$K$8)^E20)*(F21)</f>
        <v>266.45417117080035</v>
      </c>
      <c r="P21" s="23"/>
      <c r="Q21" s="20">
        <f>Data!$K$11*(1+Data!$K$10)^'equity risk'!E20*Data!$K$12</f>
        <v>63.412089728127263</v>
      </c>
      <c r="R21" s="20">
        <f>$Q21*$H21*($G20*(1-Data!$K$8)^$E20)</f>
        <v>6.5937517843093127</v>
      </c>
      <c r="S21" s="23"/>
      <c r="T21" s="20">
        <f>C20*Data!$K$6</f>
        <v>982.726836350947</v>
      </c>
      <c r="U21" s="20">
        <f>$T21*$H21*($G20*(1-Data!$K$8)^$E20)</f>
        <v>102.18645779471099</v>
      </c>
      <c r="V21" s="22"/>
      <c r="W21" s="20">
        <f t="shared" si="0"/>
        <v>1438.7126599847479</v>
      </c>
    </row>
    <row r="22" spans="2:23" x14ac:dyDescent="0.75">
      <c r="B22" s="15">
        <v>14</v>
      </c>
      <c r="C22" s="30">
        <f>$C$8*EXP(Data!N18*'equity risk'!B22)</f>
        <v>72239.996753865416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EXP(-Data!N18*'equity risk'!E22)</f>
        <v>0.84440756839784892</v>
      </c>
      <c r="I22" s="20">
        <f>C22-C21*(Data!$K$5)</f>
        <v>70815.325826703469</v>
      </c>
      <c r="J22" s="23"/>
      <c r="K22" s="20">
        <f>I22-Data!$K$4</f>
        <v>70795.325826703469</v>
      </c>
      <c r="L22" s="20">
        <f>K22*H22*(G21*(1-Data!$K$8)^E21)*((1-F22)*Data!$K$8)</f>
        <v>881.01526828555438</v>
      </c>
      <c r="M22" s="23"/>
      <c r="N22" s="20">
        <f>MAX(Data!$K$3*Data!$H$3,'equity risk'!I22)-Data!$K$4</f>
        <v>109980.00000000001</v>
      </c>
      <c r="O22" s="20">
        <f>N22*H22*(G21*(1-Data!$K$8)^E21)*(F22)</f>
        <v>237.50698019628737</v>
      </c>
      <c r="P22" s="23"/>
      <c r="Q22" s="20">
        <f>Data!$K$11*(1+Data!$K$10)^'equity risk'!E21*Data!$K$12</f>
        <v>64.680331522689798</v>
      </c>
      <c r="R22" s="20">
        <f>$Q22*$H22*($G21*(1-Data!$K$8)^$E21)</f>
        <v>5.5057933945990687</v>
      </c>
      <c r="S22" s="23"/>
      <c r="T22" s="20">
        <f>C21*Data!$K$6</f>
        <v>997.26964901336714</v>
      </c>
      <c r="U22" s="20">
        <f>$T22*$H22*($G21*(1-Data!$K$8)^$E21)</f>
        <v>84.890731338409651</v>
      </c>
      <c r="V22" s="22"/>
      <c r="W22" s="20">
        <f t="shared" si="0"/>
        <v>1208.9187732148507</v>
      </c>
    </row>
    <row r="23" spans="2:23" x14ac:dyDescent="0.75">
      <c r="B23" s="15">
        <v>15</v>
      </c>
      <c r="C23" s="30">
        <f>$C$8*EXP(Data!N19*'equity risk'!B23)</f>
        <v>73117.948064236552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EXP(-Data!N19*'equity risk'!E23)</f>
        <v>0.83426848831164502</v>
      </c>
      <c r="I23" s="20">
        <f>C23-C22*(Data!$K$5)</f>
        <v>71673.14812915925</v>
      </c>
      <c r="J23" s="23"/>
      <c r="K23" s="20">
        <f>I23-Data!$K$4</f>
        <v>71653.14812915925</v>
      </c>
      <c r="L23" s="20">
        <f>K23*H23*(G22*(1-Data!$K$8)^E22)*((1-F23)*Data!$K$8)</f>
        <v>727.7066141960687</v>
      </c>
      <c r="M23" s="23"/>
      <c r="N23" s="20">
        <f>MAX(Data!$K$3*Data!$H$3,'equity risk'!I23)-Data!$K$4</f>
        <v>109980.00000000001</v>
      </c>
      <c r="O23" s="20">
        <f>N23*H23*(G22*(1-Data!$K$8)^E22)*(F23)</f>
        <v>216.2101976107802</v>
      </c>
      <c r="P23" s="23"/>
      <c r="Q23" s="20">
        <f>Data!$K$11*(1+Data!$K$10)^'equity risk'!E22*Data!$K$12</f>
        <v>65.973938153143607</v>
      </c>
      <c r="R23" s="20">
        <f>$Q23*$H23*($G22*(1-Data!$K$8)^$E22)</f>
        <v>4.5965569829435626</v>
      </c>
      <c r="S23" s="23"/>
      <c r="T23" s="20">
        <f>C22*Data!$K$6</f>
        <v>1011.3599545541158</v>
      </c>
      <c r="U23" s="20">
        <f>$T23*$H23*($G22*(1-Data!$K$8)^$E22)</f>
        <v>70.463789058402512</v>
      </c>
      <c r="V23" s="22"/>
      <c r="W23" s="20">
        <f t="shared" si="0"/>
        <v>1018.977157848195</v>
      </c>
    </row>
    <row r="24" spans="2:23" x14ac:dyDescent="0.75">
      <c r="B24" s="15">
        <v>16</v>
      </c>
      <c r="C24" s="30">
        <f>$C$8*EXP(Data!N20*'equity risk'!B24)</f>
        <v>73829.16654538257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EXP(-Data!N20*'equity risk'!E24)</f>
        <v>0.82623173001016459</v>
      </c>
      <c r="I24" s="20">
        <f>C24-C23*(Data!$K$5)</f>
        <v>72366.807584097842</v>
      </c>
      <c r="J24" s="23"/>
      <c r="K24" s="20">
        <f>I24-Data!$K$4</f>
        <v>72346.807584097842</v>
      </c>
      <c r="L24" s="20">
        <f>K24*H24*(G23*(1-Data!$K$8)^E23)*((1-F24)*Data!$K$8)</f>
        <v>599.04177601625997</v>
      </c>
      <c r="M24" s="23"/>
      <c r="N24" s="20">
        <f>MAX(Data!$K$3*Data!$H$3,'equity risk'!I24)-Data!$K$4</f>
        <v>109980.00000000001</v>
      </c>
      <c r="O24" s="20">
        <f>N24*H24*(G23*(1-Data!$K$8)^E23)*(F24)</f>
        <v>197.42587390864742</v>
      </c>
      <c r="P24" s="23"/>
      <c r="Q24" s="20">
        <f>Data!$K$11*(1+Data!$K$10)^'equity risk'!E23*Data!$K$12</f>
        <v>67.293416916206468</v>
      </c>
      <c r="R24" s="20">
        <f>$Q24*$H24*($G23*(1-Data!$K$8)^$E23)</f>
        <v>3.8354588086404031</v>
      </c>
      <c r="S24" s="23"/>
      <c r="T24" s="20">
        <f>C23*Data!$K$6</f>
        <v>1023.6512728993117</v>
      </c>
      <c r="U24" s="20">
        <f>$T24*$H24*($G23*(1-Data!$K$8)^$E23)</f>
        <v>58.344076902893534</v>
      </c>
      <c r="V24" s="22"/>
      <c r="W24" s="20">
        <f t="shared" si="0"/>
        <v>858.64718563644135</v>
      </c>
    </row>
    <row r="25" spans="2:23" x14ac:dyDescent="0.75">
      <c r="B25" s="15">
        <v>17</v>
      </c>
      <c r="C25" s="30">
        <f>$C$8*EXP(Data!N21*'equity risk'!B25)</f>
        <v>74448.96552766017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EXP(-Data!N21*'equity risk'!E25)</f>
        <v>0.81935322495967455</v>
      </c>
      <c r="I25" s="20">
        <f>C25-C24*(Data!$K$5)</f>
        <v>72972.382196752515</v>
      </c>
      <c r="J25" s="23"/>
      <c r="K25" s="20">
        <f>I25-Data!$K$4</f>
        <v>72952.382196752515</v>
      </c>
      <c r="L25" s="20">
        <f>K25*H25*(G24*(1-Data!$K$8)^E24)*((1-F25)*Data!$K$8)</f>
        <v>491.01514959817223</v>
      </c>
      <c r="M25" s="23"/>
      <c r="N25" s="20">
        <f>MAX(Data!$K$3*Data!$H$3,'equity risk'!I25)-Data!$K$4</f>
        <v>109980.00000000001</v>
      </c>
      <c r="O25" s="20">
        <f>N25*H25*(G24*(1-Data!$K$8)^E24)*(F25)</f>
        <v>182.49437653985535</v>
      </c>
      <c r="P25" s="23"/>
      <c r="Q25" s="20">
        <f>Data!$K$11*(1+Data!$K$10)^'equity risk'!E24*Data!$K$12</f>
        <v>68.639285254530606</v>
      </c>
      <c r="R25" s="20">
        <f>$Q25*$H25*($G24*(1-Data!$K$8)^$E24)</f>
        <v>3.1937980814050526</v>
      </c>
      <c r="S25" s="23"/>
      <c r="T25" s="20">
        <f>C24*Data!$K$6</f>
        <v>1033.6083316353561</v>
      </c>
      <c r="U25" s="20">
        <f>$T25*$H25*($G24*(1-Data!$K$8)^$E24)</f>
        <v>48.093978459418508</v>
      </c>
      <c r="V25" s="22"/>
      <c r="W25" s="20">
        <f t="shared" si="0"/>
        <v>724.79730267885111</v>
      </c>
    </row>
    <row r="26" spans="2:23" x14ac:dyDescent="0.75">
      <c r="B26" s="15">
        <v>18</v>
      </c>
      <c r="C26" s="30">
        <f>$C$8*EXP(Data!N22*'equity risk'!B26)</f>
        <v>75069.463445728688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EXP(-Data!N22*'equity risk'!E26)</f>
        <v>0.81258073789350871</v>
      </c>
      <c r="I26" s="20">
        <f>C26-C25*(Data!$K$5)</f>
        <v>73580.484135175488</v>
      </c>
      <c r="J26" s="23"/>
      <c r="K26" s="20">
        <f>I26-Data!$K$4</f>
        <v>73560.484135175488</v>
      </c>
      <c r="L26" s="20">
        <f>K26*H26*(G25*(1-Data!$K$8)^E25)*((1-F26)*Data!$K$8)</f>
        <v>400.9080661437315</v>
      </c>
      <c r="M26" s="23"/>
      <c r="N26" s="20">
        <f>MAX(Data!$K$3*Data!$H$3,'equity risk'!I26)-Data!$K$4</f>
        <v>109980.00000000001</v>
      </c>
      <c r="O26" s="20">
        <f>N26*H26*(G25*(1-Data!$K$8)^E25)*(F26)</f>
        <v>164.01454357787094</v>
      </c>
      <c r="P26" s="23"/>
      <c r="Q26" s="20">
        <f>Data!$K$11*(1+Data!$K$10)^'equity risk'!E25*Data!$K$12</f>
        <v>70.012070959621227</v>
      </c>
      <c r="R26" s="20">
        <f>$Q26*$H26*($G25*(1-Data!$K$8)^$E25)</f>
        <v>2.6482035332533469</v>
      </c>
      <c r="S26" s="23"/>
      <c r="T26" s="20">
        <f>C25*Data!$K$6</f>
        <v>1042.2855173872424</v>
      </c>
      <c r="U26" s="20">
        <f>$T26*$H26*($G25*(1-Data!$K$8)^$E25)</f>
        <v>39.424404277308085</v>
      </c>
      <c r="V26" s="22"/>
      <c r="W26" s="20">
        <f t="shared" si="0"/>
        <v>606.99521753216379</v>
      </c>
    </row>
    <row r="27" spans="2:23" x14ac:dyDescent="0.75">
      <c r="B27" s="15">
        <v>19</v>
      </c>
      <c r="C27" s="30">
        <f>$C$8*EXP(Data!N23*'equity risk'!B27)</f>
        <v>75795.87443386903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EXP(-Data!N23*'equity risk'!E27)</f>
        <v>0.80479314284079861</v>
      </c>
      <c r="I27" s="20">
        <f>C27-C26*(Data!$K$5)</f>
        <v>74294.485164954458</v>
      </c>
      <c r="J27" s="23"/>
      <c r="K27" s="20">
        <f>I27-Data!$K$4</f>
        <v>74274.485164954458</v>
      </c>
      <c r="L27" s="20">
        <f>K27*H27*(G26*(1-Data!$K$8)^E26)*((1-F27)*Data!$K$8)</f>
        <v>325.63821139657631</v>
      </c>
      <c r="M27" s="23"/>
      <c r="N27" s="20">
        <f>MAX(Data!$K$3*Data!$H$3,'equity risk'!I27)-Data!$K$4</f>
        <v>109980.00000000001</v>
      </c>
      <c r="O27" s="20">
        <f>N27*H27*(G26*(1-Data!$K$8)^E26)*(F27)</f>
        <v>149.49092301786183</v>
      </c>
      <c r="P27" s="23"/>
      <c r="Q27" s="20">
        <f>Data!$K$11*(1+Data!$K$10)^'equity risk'!E26*Data!$K$12</f>
        <v>71.412312378813638</v>
      </c>
      <c r="R27" s="20">
        <f>$Q27*$H27*($G26*(1-Data!$K$8)^$E26)</f>
        <v>2.1843323724373134</v>
      </c>
      <c r="S27" s="23"/>
      <c r="T27" s="20">
        <f>C26*Data!$K$6</f>
        <v>1050.9724882402018</v>
      </c>
      <c r="U27" s="20">
        <f>$T27*$H27*($G26*(1-Data!$K$8)^$E26)</f>
        <v>32.146742657294752</v>
      </c>
      <c r="V27" s="22"/>
      <c r="W27" s="20">
        <f t="shared" si="0"/>
        <v>509.46020944417018</v>
      </c>
    </row>
    <row r="28" spans="2:23" x14ac:dyDescent="0.75">
      <c r="B28" s="15">
        <v>20</v>
      </c>
      <c r="C28" s="30">
        <f>$C$8*EXP(Data!N24*'equity risk'!B28)</f>
        <v>76682.526340579294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EXP(-Data!N24*'equity risk'!E28)</f>
        <v>0.79548761511942612</v>
      </c>
      <c r="I28" s="20">
        <f>C28-C27*(Data!$K$5)</f>
        <v>75166.60885190191</v>
      </c>
      <c r="J28" s="23"/>
      <c r="K28" s="20">
        <f>I28-Data!$K$4</f>
        <v>75146.60885190191</v>
      </c>
      <c r="L28" s="20">
        <f>K28*H28*(G27*(1-Data!$K$8)^E27)*((1-F28)*Data!$K$8)</f>
        <v>263.1690329352835</v>
      </c>
      <c r="M28" s="23"/>
      <c r="N28" s="20">
        <f>MAX(Data!$K$3*Data!$H$3,'equity risk'!I28)-Data!$K$4</f>
        <v>109980.00000000001</v>
      </c>
      <c r="O28" s="20">
        <f>N28*H28*(G27*(1-Data!$K$8)^E27)*(F28)</f>
        <v>133.04046094222187</v>
      </c>
      <c r="P28" s="23"/>
      <c r="Q28" s="20">
        <f>Data!$K$11*(1+Data!$K$10)^'equity risk'!E27*Data!$K$12</f>
        <v>72.840558626389907</v>
      </c>
      <c r="R28" s="20">
        <f>$Q28*$H28*($G27*(1-Data!$K$8)^$E27)</f>
        <v>1.7887341568101058</v>
      </c>
      <c r="S28" s="23"/>
      <c r="T28" s="20">
        <f>C27*Data!$K$6</f>
        <v>1061.1422420741665</v>
      </c>
      <c r="U28" s="20">
        <f>$T28*$H28*($G27*(1-Data!$K$8)^$E27)</f>
        <v>26.058303360463839</v>
      </c>
      <c r="V28" s="22"/>
      <c r="W28" s="20">
        <f t="shared" si="0"/>
        <v>424.05653139477931</v>
      </c>
    </row>
    <row r="29" spans="2:23" x14ac:dyDescent="0.75">
      <c r="B29" s="15">
        <v>21</v>
      </c>
      <c r="C29" s="30">
        <f>$C$8*EXP(Data!N25*'equity risk'!B29)</f>
        <v>77825.867585922722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EXP(-Data!N25*'equity risk'!E29)</f>
        <v>0.78380109200393644</v>
      </c>
      <c r="I29" s="20">
        <f>C29-C28*(Data!$K$5)</f>
        <v>76292.217059111135</v>
      </c>
      <c r="J29" s="23"/>
      <c r="K29" s="20">
        <f>I29-Data!$K$4</f>
        <v>76272.217059111135</v>
      </c>
      <c r="L29" s="20">
        <f>K29*H29*(G28*(1-Data!$K$8)^E28)*((1-F29)*Data!$K$8)</f>
        <v>211.49830986154603</v>
      </c>
      <c r="M29" s="23"/>
      <c r="N29" s="20">
        <f>MAX(Data!$K$3*Data!$H$3,'equity risk'!I29)-Data!$K$4</f>
        <v>109980.00000000001</v>
      </c>
      <c r="O29" s="20">
        <f>N29*H29*(G28*(1-Data!$K$8)^E28)*(F29)</f>
        <v>117.37900314675925</v>
      </c>
      <c r="P29" s="23"/>
      <c r="Q29" s="20">
        <f>Data!$K$11*(1+Data!$K$10)^'equity risk'!E28*Data!$K$12</f>
        <v>74.297369798917714</v>
      </c>
      <c r="R29" s="20">
        <f>$Q29*$H29*($G28*(1-Data!$K$8)^$E28)</f>
        <v>1.4527769664425461</v>
      </c>
      <c r="S29" s="23"/>
      <c r="T29" s="20">
        <f>C28*Data!$K$6</f>
        <v>1073.5553687681102</v>
      </c>
      <c r="U29" s="20">
        <f>$T29*$H29*($G28*(1-Data!$K$8)^$E28)</f>
        <v>20.991813252180066</v>
      </c>
      <c r="V29" s="22"/>
      <c r="W29" s="20">
        <f t="shared" si="0"/>
        <v>351.32190322692793</v>
      </c>
    </row>
    <row r="30" spans="2:23" x14ac:dyDescent="0.75">
      <c r="B30" s="15">
        <v>22</v>
      </c>
      <c r="C30" s="30">
        <f>$C$8*EXP(Data!N26*'equity risk'!B30)</f>
        <v>79185.552493855066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EXP(-Data!N26*'equity risk'!E30)</f>
        <v>0.77034254455361295</v>
      </c>
      <c r="I30" s="20">
        <f>C30-C29*(Data!$K$5)</f>
        <v>77629.035142136607</v>
      </c>
      <c r="J30" s="23"/>
      <c r="K30" s="20">
        <f>I30-Data!$K$4</f>
        <v>77609.035142136607</v>
      </c>
      <c r="L30" s="20">
        <f>K30*H30*(G29*(1-Data!$K$8)^E29)*((1-F30)*Data!$K$8)</f>
        <v>168.94567180919492</v>
      </c>
      <c r="M30" s="23"/>
      <c r="N30" s="20">
        <f>MAX(Data!$K$3*Data!$H$3,'equity risk'!I30)-Data!$K$4</f>
        <v>109980.00000000001</v>
      </c>
      <c r="O30" s="20">
        <f>N30*H30*(G29*(1-Data!$K$8)^E29)*(F30)</f>
        <v>102.38851850422026</v>
      </c>
      <c r="P30" s="23"/>
      <c r="Q30" s="20">
        <f>Data!$K$11*(1+Data!$K$10)^'equity risk'!E29*Data!$K$12</f>
        <v>75.783317194896057</v>
      </c>
      <c r="R30" s="20">
        <f>$Q30*$H30*($G29*(1-Data!$K$8)^$E29)</f>
        <v>1.1703609646180761</v>
      </c>
      <c r="S30" s="23"/>
      <c r="T30" s="20">
        <f>C29*Data!$K$6</f>
        <v>1089.562146202918</v>
      </c>
      <c r="U30" s="20">
        <f>$T30*$H30*($G29*(1-Data!$K$8)^$E29)</f>
        <v>16.826671774764577</v>
      </c>
      <c r="V30" s="22"/>
      <c r="W30" s="20">
        <f t="shared" si="0"/>
        <v>289.33122305279784</v>
      </c>
    </row>
    <row r="31" spans="2:23" x14ac:dyDescent="0.75">
      <c r="B31" s="15">
        <v>23</v>
      </c>
      <c r="C31" s="30">
        <f>$C$8*EXP(Data!N27*'equity risk'!B31)</f>
        <v>80759.359634586581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EXP(-Data!N27*'equity risk'!E31)</f>
        <v>0.75533040722472133</v>
      </c>
      <c r="I31" s="20">
        <f>C31-C30*(Data!$K$5)</f>
        <v>79175.648584709474</v>
      </c>
      <c r="J31" s="23"/>
      <c r="K31" s="20">
        <f>I31-Data!$K$4</f>
        <v>79155.648584709474</v>
      </c>
      <c r="L31" s="20">
        <f>K31*H31*(G30*(1-Data!$K$8)^E30)*((1-F31)*Data!$K$8)</f>
        <v>134.17946318472914</v>
      </c>
      <c r="M31" s="23"/>
      <c r="N31" s="20">
        <f>MAX(Data!$K$3*Data!$H$3,'equity risk'!I31)-Data!$K$4</f>
        <v>109980.00000000001</v>
      </c>
      <c r="O31" s="20">
        <f>N31*H31*(G30*(1-Data!$K$8)^E30)*(F31)</f>
        <v>87.365156892203288</v>
      </c>
      <c r="P31" s="23"/>
      <c r="Q31" s="20">
        <f>Data!$K$11*(1+Data!$K$10)^'equity risk'!E30*Data!$K$12</f>
        <v>77.298983538793991</v>
      </c>
      <c r="R31" s="20">
        <f>$Q31*$H31*($G30*(1-Data!$K$8)^$E30)</f>
        <v>0.93495201146300799</v>
      </c>
      <c r="S31" s="23"/>
      <c r="T31" s="20">
        <f>C30*Data!$K$6</f>
        <v>1108.597734913971</v>
      </c>
      <c r="U31" s="20">
        <f>$T31*$H31*($G30*(1-Data!$K$8)^$E30)</f>
        <v>13.408787990607552</v>
      </c>
      <c r="V31" s="22"/>
      <c r="W31" s="20">
        <f t="shared" si="0"/>
        <v>235.88836007900298</v>
      </c>
    </row>
    <row r="32" spans="2:23" x14ac:dyDescent="0.75">
      <c r="B32" s="15">
        <v>24</v>
      </c>
      <c r="C32" s="30">
        <f>$C$8*EXP(Data!N28*'equity risk'!B32)</f>
        <v>82519.43688298724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EXP(-Data!N28*'equity risk'!E32)</f>
        <v>0.73921978026217205</v>
      </c>
      <c r="I32" s="20">
        <f>C32-C31*(Data!$K$5)</f>
        <v>80904.249690295503</v>
      </c>
      <c r="J32" s="23"/>
      <c r="K32" s="20">
        <f>I32-Data!$K$4</f>
        <v>80884.249690295503</v>
      </c>
      <c r="L32" s="20">
        <f>K32*H32*(G31*(1-Data!$K$8)^E31)*((1-F32)*Data!$K$8)</f>
        <v>105.68771744262585</v>
      </c>
      <c r="M32" s="23"/>
      <c r="N32" s="20">
        <f>MAX(Data!$K$3*Data!$H$3,'equity risk'!I32)-Data!$K$4</f>
        <v>109980.00000000001</v>
      </c>
      <c r="O32" s="20">
        <f>N32*H32*(G31*(1-Data!$K$8)^E31)*(F32)</f>
        <v>75.869947148251896</v>
      </c>
      <c r="P32" s="23"/>
      <c r="Q32" s="20">
        <f>Data!$K$11*(1+Data!$K$10)^'equity risk'!E31*Data!$K$12</f>
        <v>78.844963209569855</v>
      </c>
      <c r="R32" s="20">
        <f>$Q32*$H32*($G31*(1-Data!$K$8)^$E31)</f>
        <v>0.74121187877781225</v>
      </c>
      <c r="S32" s="23"/>
      <c r="T32" s="20">
        <f>C31*Data!$K$6</f>
        <v>1130.6310348842121</v>
      </c>
      <c r="U32" s="20">
        <f>$T32*$H32*($G31*(1-Data!$K$8)^$E31)</f>
        <v>10.628924403750773</v>
      </c>
      <c r="V32" s="22"/>
      <c r="W32" s="20">
        <f t="shared" si="0"/>
        <v>192.92780087340634</v>
      </c>
    </row>
    <row r="33" spans="2:23" x14ac:dyDescent="0.75">
      <c r="B33" s="15">
        <v>25</v>
      </c>
      <c r="C33" s="30">
        <f>$C$8*EXP(Data!N29*'equity risk'!B33)</f>
        <v>84468.092894521018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EXP(-Data!N29*'equity risk'!E33)</f>
        <v>0.72216618026611956</v>
      </c>
      <c r="I33" s="20">
        <f>C33-C32*(Data!$K$5)</f>
        <v>82817.704156861277</v>
      </c>
      <c r="J33" s="23"/>
      <c r="K33" s="20">
        <f>I33-Data!$K$4</f>
        <v>82797.704156861277</v>
      </c>
      <c r="L33" s="20">
        <f>K33*H33*(G32*(1-Data!$K$8)^E32)*((1-F33)*Data!$K$8)</f>
        <v>82.356788137798617</v>
      </c>
      <c r="M33" s="23"/>
      <c r="N33" s="20">
        <f>MAX(Data!$K$3*Data!$H$3,'equity risk'!I33)-Data!$K$4</f>
        <v>109980.00000000001</v>
      </c>
      <c r="O33" s="20">
        <f>N33*H33*(G32*(1-Data!$K$8)^E32)*(F33)</f>
        <v>66.25083555160974</v>
      </c>
      <c r="P33" s="23"/>
      <c r="Q33" s="20">
        <f>Data!$K$11*(1+Data!$K$10)^'equity risk'!E32*Data!$K$12</f>
        <v>80.421862473761252</v>
      </c>
      <c r="R33" s="20">
        <f>$Q33*$H33*($G32*(1-Data!$K$8)^$E32)</f>
        <v>0.58173596912943004</v>
      </c>
      <c r="S33" s="23"/>
      <c r="T33" s="20">
        <f>C32*Data!$K$6</f>
        <v>1155.2721163618214</v>
      </c>
      <c r="U33" s="20">
        <f>$T33*$H33*($G32*(1-Data!$K$8)^$E32)</f>
        <v>8.3567244471516915</v>
      </c>
      <c r="V33" s="22"/>
      <c r="W33" s="20">
        <f t="shared" si="0"/>
        <v>157.54608410568946</v>
      </c>
    </row>
    <row r="34" spans="2:23" x14ac:dyDescent="0.75">
      <c r="B34" s="15">
        <v>26</v>
      </c>
      <c r="C34" s="30">
        <f>$C$8*EXP(Data!N30*'equity risk'!B34)</f>
        <v>86582.166445671959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EXP(-Data!N30*'equity risk'!E34)</f>
        <v>0.7045330753911766</v>
      </c>
      <c r="I34" s="20">
        <f>C34-C33*(Data!$K$5)</f>
        <v>84892.804587781546</v>
      </c>
      <c r="J34" s="23"/>
      <c r="K34" s="20">
        <f>I34-Data!$K$4</f>
        <v>84872.804587781546</v>
      </c>
      <c r="L34" s="20">
        <f>K34*H34*(G33*(1-Data!$K$8)^E33)*((1-F34)*Data!$K$8)</f>
        <v>63.279375929776151</v>
      </c>
      <c r="M34" s="23"/>
      <c r="N34" s="20">
        <f>MAX(Data!$K$3*Data!$H$3,'equity risk'!I34)-Data!$K$4</f>
        <v>109980.00000000001</v>
      </c>
      <c r="O34" s="20">
        <f>N34*H34*(G33*(1-Data!$K$8)^E33)*(F34)</f>
        <v>58.106630168209556</v>
      </c>
      <c r="P34" s="23"/>
      <c r="Q34" s="20">
        <f>Data!$K$11*(1+Data!$K$10)^'equity risk'!E33*Data!$K$12</f>
        <v>82.030299723236482</v>
      </c>
      <c r="R34" s="20">
        <f>$Q34*$H34*($G33*(1-Data!$K$8)^$E33)</f>
        <v>0.4510734981715972</v>
      </c>
      <c r="S34" s="23"/>
      <c r="T34" s="20">
        <f>C33*Data!$K$6</f>
        <v>1182.5533005232942</v>
      </c>
      <c r="U34" s="20">
        <f>$T34*$H34*($G33*(1-Data!$K$8)^$E33)</f>
        <v>6.5027002929541968</v>
      </c>
      <c r="V34" s="22"/>
      <c r="W34" s="20">
        <f t="shared" si="0"/>
        <v>128.3397798891115</v>
      </c>
    </row>
    <row r="35" spans="2:23" x14ac:dyDescent="0.75">
      <c r="B35" s="15">
        <v>27</v>
      </c>
      <c r="C35" s="30">
        <f>$C$8*EXP(Data!N31*'equity risk'!B35)</f>
        <v>88853.048457825382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EXP(-Data!N31*'equity risk'!E35)</f>
        <v>0.68652681093945822</v>
      </c>
      <c r="I35" s="20">
        <f>C35-C34*(Data!$K$5)</f>
        <v>87121.405128911938</v>
      </c>
      <c r="J35" s="23"/>
      <c r="K35" s="20">
        <f>I35-Data!$K$4</f>
        <v>87101.405128911938</v>
      </c>
      <c r="L35" s="20">
        <f>K35*H35*(G34*(1-Data!$K$8)^E34)*((1-F35)*Data!$K$8)</f>
        <v>47.913214505307273</v>
      </c>
      <c r="M35" s="23"/>
      <c r="N35" s="20">
        <f>MAX(Data!$K$3*Data!$H$3,'equity risk'!I35)-Data!$K$4</f>
        <v>109980.00000000001</v>
      </c>
      <c r="O35" s="20">
        <f>N35*H35*(G34*(1-Data!$K$8)^E34)*(F35)</f>
        <v>49.461420121287389</v>
      </c>
      <c r="P35" s="23"/>
      <c r="Q35" s="20">
        <f>Data!$K$11*(1+Data!$K$10)^'equity risk'!E34*Data!$K$12</f>
        <v>83.670905717701217</v>
      </c>
      <c r="R35" s="20">
        <f>$Q35*$H35*($G34*(1-Data!$K$8)^$E34)</f>
        <v>0.3444703819564045</v>
      </c>
      <c r="S35" s="23"/>
      <c r="T35" s="20">
        <f>C34*Data!$K$6</f>
        <v>1212.1503302394074</v>
      </c>
      <c r="U35" s="20">
        <f>$T35*$H35*($G34*(1-Data!$K$8)^$E34)</f>
        <v>4.9903832600417832</v>
      </c>
      <c r="V35" s="22"/>
      <c r="W35" s="20">
        <f t="shared" si="0"/>
        <v>102.70948826859284</v>
      </c>
    </row>
    <row r="36" spans="2:23" x14ac:dyDescent="0.75">
      <c r="B36" s="15">
        <v>28</v>
      </c>
      <c r="C36" s="30">
        <f>$C$8*EXP(Data!N32*'equity risk'!B36)</f>
        <v>91292.977161172952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EXP(-Data!N32*'equity risk'!E36)</f>
        <v>0.66817845026904654</v>
      </c>
      <c r="I36" s="20">
        <f>C36-C35*(Data!$K$5)</f>
        <v>89515.916192016448</v>
      </c>
      <c r="J36" s="23"/>
      <c r="K36" s="20">
        <f>I36-Data!$K$4</f>
        <v>89495.916192016448</v>
      </c>
      <c r="L36" s="20">
        <f>K36*H36*(G35*(1-Data!$K$8)^E35)*((1-F36)*Data!$K$8)</f>
        <v>35.689352864990617</v>
      </c>
      <c r="M36" s="23"/>
      <c r="N36" s="20">
        <f>MAX(Data!$K$3*Data!$H$3,'equity risk'!I36)-Data!$K$4</f>
        <v>109980.00000000001</v>
      </c>
      <c r="O36" s="20">
        <f>N36*H36*(G35*(1-Data!$K$8)^E35)*(F36)</f>
        <v>41.274902602828583</v>
      </c>
      <c r="P36" s="23"/>
      <c r="Q36" s="20">
        <f>Data!$K$11*(1+Data!$K$10)^'equity risk'!E35*Data!$K$12</f>
        <v>85.344323832055224</v>
      </c>
      <c r="R36" s="20">
        <f>$Q36*$H36*($G35*(1-Data!$K$8)^$E35)</f>
        <v>0.25892108522680335</v>
      </c>
      <c r="S36" s="23"/>
      <c r="T36" s="20">
        <f>C35*Data!$K$6</f>
        <v>1243.9426784095554</v>
      </c>
      <c r="U36" s="20">
        <f>$T36*$H36*($G35*(1-Data!$K$8)^$E35)</f>
        <v>3.7739239564138951</v>
      </c>
      <c r="V36" s="22"/>
      <c r="W36" s="20">
        <f t="shared" si="0"/>
        <v>80.997100509459898</v>
      </c>
    </row>
    <row r="37" spans="2:23" x14ac:dyDescent="0.75">
      <c r="B37" s="15">
        <v>29</v>
      </c>
      <c r="C37" s="30">
        <f>$C$8*EXP(Data!N33*'equity risk'!B37)</f>
        <v>93860.896724612307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EXP(-Data!N33*'equity risk'!E37)</f>
        <v>0.64989790347916543</v>
      </c>
      <c r="I37" s="20">
        <f>C37-C36*(Data!$K$5)</f>
        <v>92035.037181388849</v>
      </c>
      <c r="J37" s="23"/>
      <c r="K37" s="20">
        <f>I37-Data!$K$4</f>
        <v>92015.037181388849</v>
      </c>
      <c r="L37" s="20">
        <f>K37*H37*(G36*(1-Data!$K$8)^E36)*((1-F37)*Data!$K$8)</f>
        <v>26.103595691168096</v>
      </c>
      <c r="M37" s="23"/>
      <c r="N37" s="20">
        <f>MAX(Data!$K$3*Data!$H$3,'equity risk'!I37)-Data!$K$4</f>
        <v>109980.00000000001</v>
      </c>
      <c r="O37" s="20">
        <f>N37*H37*(G36*(1-Data!$K$8)^E36)*(F37)</f>
        <v>33.729107715308025</v>
      </c>
      <c r="P37" s="23"/>
      <c r="Q37" s="20">
        <f>Data!$K$11*(1+Data!$K$10)^'equity risk'!E36*Data!$K$12</f>
        <v>87.051210308696341</v>
      </c>
      <c r="R37" s="20">
        <f>$Q37*$H37*($G36*(1-Data!$K$8)^$E36)</f>
        <v>0.19133331947795396</v>
      </c>
      <c r="S37" s="23"/>
      <c r="T37" s="20">
        <f>C36*Data!$K$6</f>
        <v>1278.1016802564213</v>
      </c>
      <c r="U37" s="20">
        <f>$T37*$H37*($G36*(1-Data!$K$8)^$E36)</f>
        <v>2.8091905471115766</v>
      </c>
      <c r="V37" s="22"/>
      <c r="W37" s="20">
        <f t="shared" si="0"/>
        <v>62.833227273065653</v>
      </c>
    </row>
    <row r="38" spans="2:23" x14ac:dyDescent="0.75">
      <c r="B38" s="15">
        <v>30</v>
      </c>
      <c r="C38" s="30">
        <f>$C$8*EXP(Data!N34*'equity risk'!B38)</f>
        <v>96618.850716481378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EXP(-Data!N34*'equity risk'!E38)</f>
        <v>0.63134677702800013</v>
      </c>
      <c r="I38" s="20">
        <f>C38-C37*(Data!$K$5)</f>
        <v>94741.63278198913</v>
      </c>
      <c r="J38" s="23"/>
      <c r="K38" s="20">
        <f>I38-Data!$K$4</f>
        <v>94721.63278198913</v>
      </c>
      <c r="L38" s="20">
        <f>K38*H38*(G37*(1-Data!$K$8)^E37)*((1-F38)*Data!$K$8)</f>
        <v>18.713211609383983</v>
      </c>
      <c r="M38" s="23"/>
      <c r="N38" s="20">
        <f>MAX(Data!$K$3*Data!$H$3,'equity risk'!I38)-Data!$K$4</f>
        <v>109980.00000000001</v>
      </c>
      <c r="O38" s="20">
        <f>N38*H38*(G37*(1-Data!$K$8)^E37)*(F38)</f>
        <v>26.902520627964151</v>
      </c>
      <c r="P38" s="23"/>
      <c r="Q38" s="20">
        <f>Data!$K$11*(1+Data!$K$10)^'equity risk'!E37*Data!$K$12</f>
        <v>88.792234514870259</v>
      </c>
      <c r="R38" s="20">
        <f>$Q38*$H38*($G37*(1-Data!$K$8)^$E37)</f>
        <v>0.13866504986165715</v>
      </c>
      <c r="S38" s="23"/>
      <c r="T38" s="20">
        <f>C37*Data!$K$6</f>
        <v>1314.0525541445722</v>
      </c>
      <c r="U38" s="20">
        <f>$T38*$H38*($G37*(1-Data!$K$8)^$E37)</f>
        <v>2.0521294901163833</v>
      </c>
      <c r="V38" s="22"/>
      <c r="W38" s="20">
        <f t="shared" si="0"/>
        <v>47.806526777326177</v>
      </c>
    </row>
    <row r="39" spans="2:23" x14ac:dyDescent="0.75">
      <c r="B39" s="15">
        <v>31</v>
      </c>
      <c r="C39" s="30">
        <f>$C$8*EXP(Data!N35*'equity risk'!B39)</f>
        <v>99489.67442667525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EXP(-Data!N35*'equity risk'!E39)</f>
        <v>0.61312895384894972</v>
      </c>
      <c r="I39" s="20">
        <f>C39-C38*(Data!$K$5)</f>
        <v>97557.297412345622</v>
      </c>
      <c r="J39" s="23"/>
      <c r="K39" s="20">
        <f>I39-Data!$K$4</f>
        <v>97537.297412345622</v>
      </c>
      <c r="L39" s="20">
        <f>K39*H39*(G38*(1-Data!$K$8)^E38)*((1-F39)*Data!$K$8)</f>
        <v>13.149715841017988</v>
      </c>
      <c r="M39" s="23"/>
      <c r="N39" s="20">
        <f>MAX(Data!$K$3*Data!$H$3,'equity risk'!I39)-Data!$K$4</f>
        <v>109980.00000000001</v>
      </c>
      <c r="O39" s="20">
        <f>N39*H39*(G38*(1-Data!$K$8)^E38)*(F39)</f>
        <v>20.722545564524559</v>
      </c>
      <c r="P39" s="23"/>
      <c r="Q39" s="20">
        <f>Data!$K$11*(1+Data!$K$10)^'equity risk'!E38*Data!$K$12</f>
        <v>90.568079205167678</v>
      </c>
      <c r="R39" s="20">
        <f>$Q39*$H39*($G38*(1-Data!$K$8)^$E38)</f>
        <v>9.8465895368481091E-2</v>
      </c>
      <c r="S39" s="23"/>
      <c r="T39" s="20">
        <f>C38*Data!$K$6</f>
        <v>1352.6639100307393</v>
      </c>
      <c r="U39" s="20">
        <f>$T39*$H39*($G38*(1-Data!$K$8)^$E38)</f>
        <v>1.4706203797486259</v>
      </c>
      <c r="V39" s="22"/>
      <c r="W39" s="20">
        <f t="shared" si="0"/>
        <v>35.441347680659653</v>
      </c>
    </row>
    <row r="40" spans="2:23" x14ac:dyDescent="0.75">
      <c r="B40" s="15">
        <v>32</v>
      </c>
      <c r="C40" s="30">
        <f>$C$8*EXP(Data!N36*'equity risk'!B40)</f>
        <v>102538.04128094074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EXP(-Data!N36*'equity risk'!E40)</f>
        <v>0.59490116290468265</v>
      </c>
      <c r="I40" s="20">
        <f>C40-C39*(Data!$K$5)</f>
        <v>100548.24779240724</v>
      </c>
      <c r="J40" s="23"/>
      <c r="K40" s="20">
        <f>I40-Data!$K$4</f>
        <v>100528.24779240724</v>
      </c>
      <c r="L40" s="20">
        <f>K40*H40*(G39*(1-Data!$K$8)^E39)*((1-F40)*Data!$K$8)</f>
        <v>9.0297521517806576</v>
      </c>
      <c r="M40" s="23"/>
      <c r="N40" s="20">
        <f>MAX(Data!$K$3*Data!$H$3,'equity risk'!I40)-Data!$K$4</f>
        <v>109980.00000000001</v>
      </c>
      <c r="O40" s="20">
        <f>N40*H40*(G39*(1-Data!$K$8)^E39)*(F40)</f>
        <v>15.664727863877477</v>
      </c>
      <c r="P40" s="23"/>
      <c r="Q40" s="20">
        <f>Data!$K$11*(1+Data!$K$10)^'equity risk'!E39*Data!$K$12</f>
        <v>92.379440789271001</v>
      </c>
      <c r="R40" s="20">
        <f>$Q40*$H40*($G39*(1-Data!$K$8)^$E39)</f>
        <v>6.8476513230231004E-2</v>
      </c>
      <c r="S40" s="23"/>
      <c r="T40" s="20">
        <f>C39*Data!$K$6</f>
        <v>1392.8554419734535</v>
      </c>
      <c r="U40" s="20">
        <f>$T40*$H40*($G39*(1-Data!$K$8)^$E39)</f>
        <v>1.0324579071404345</v>
      </c>
      <c r="V40" s="22"/>
      <c r="W40" s="20">
        <f t="shared" si="0"/>
        <v>25.7954144360288</v>
      </c>
    </row>
    <row r="41" spans="2:23" x14ac:dyDescent="0.75">
      <c r="B41" s="15">
        <v>33</v>
      </c>
      <c r="C41" s="30">
        <f>$C$8*EXP(Data!N37*'equity risk'!B41)</f>
        <v>105740.06485734148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EXP(-Data!N37*'equity risk'!E41)</f>
        <v>0.5768863493917632</v>
      </c>
      <c r="I41" s="20">
        <f>C41-C40*(Data!$K$5)</f>
        <v>103689.30403172267</v>
      </c>
      <c r="J41" s="23"/>
      <c r="K41" s="20">
        <f>I41-Data!$K$4</f>
        <v>103669.30403172267</v>
      </c>
      <c r="L41" s="20">
        <f>K41*H41*(G40*(1-Data!$K$8)^E40)*((1-F41)*Data!$K$8)</f>
        <v>6.0623081417300151</v>
      </c>
      <c r="M41" s="23"/>
      <c r="N41" s="20">
        <f>MAX(Data!$K$3*Data!$H$3,'equity risk'!I41)-Data!$K$4</f>
        <v>109980.00000000001</v>
      </c>
      <c r="O41" s="20">
        <f>N41*H41*(G40*(1-Data!$K$8)^E40)*(F41)</f>
        <v>11.408730809021138</v>
      </c>
      <c r="P41" s="23"/>
      <c r="Q41" s="20">
        <f>Data!$K$11*(1+Data!$K$10)^'equity risk'!E40*Data!$K$12</f>
        <v>94.227029605056444</v>
      </c>
      <c r="R41" s="20">
        <f>$Q41*$H41*($G40*(1-Data!$K$8)^$E40)</f>
        <v>4.6508927972804925E-2</v>
      </c>
      <c r="S41" s="23"/>
      <c r="T41" s="20">
        <f>C40*Data!$K$6</f>
        <v>1435.5325779331704</v>
      </c>
      <c r="U41" s="20">
        <f>$T41*$H41*($G40*(1-Data!$K$8)^$E40)</f>
        <v>0.70855551267559025</v>
      </c>
      <c r="V41" s="22"/>
      <c r="W41" s="20">
        <f t="shared" si="0"/>
        <v>18.226103391399551</v>
      </c>
    </row>
    <row r="42" spans="2:23" x14ac:dyDescent="0.75">
      <c r="B42" s="15">
        <v>34</v>
      </c>
      <c r="C42" s="30">
        <f>$C$8*EXP(Data!N38*'equity risk'!B42)</f>
        <v>109063.89074949887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EXP(-Data!N38*'equity risk'!E42)</f>
        <v>0.55930518873663315</v>
      </c>
      <c r="I42" s="20">
        <f>C42-C41*(Data!$K$5)</f>
        <v>106949.08945235204</v>
      </c>
      <c r="J42" s="23"/>
      <c r="K42" s="20">
        <f>I42-Data!$K$4</f>
        <v>106929.08945235204</v>
      </c>
      <c r="L42" s="20">
        <f>K42*H42*(G41*(1-Data!$K$8)^E41)*((1-F42)*Data!$K$8)</f>
        <v>3.9705728550881694</v>
      </c>
      <c r="M42" s="23"/>
      <c r="N42" s="20">
        <f>MAX(Data!$K$3*Data!$H$3,'equity risk'!I42)-Data!$K$4</f>
        <v>109980.00000000001</v>
      </c>
      <c r="O42" s="20">
        <f>N42*H42*(G41*(1-Data!$K$8)^E41)*(F42)</f>
        <v>8.1078481716469923</v>
      </c>
      <c r="P42" s="23"/>
      <c r="Q42" s="20">
        <f>Data!$K$11*(1+Data!$K$10)^'equity risk'!E41*Data!$K$12</f>
        <v>96.111570197157576</v>
      </c>
      <c r="R42" s="20">
        <f>$Q42*$H42*($G41*(1-Data!$K$8)^$E41)</f>
        <v>3.0878041697690078E-2</v>
      </c>
      <c r="S42" s="23"/>
      <c r="T42" s="20">
        <f>C41*Data!$K$6</f>
        <v>1480.3609080027807</v>
      </c>
      <c r="U42" s="20">
        <f>$T42*$H42*($G41*(1-Data!$K$8)^$E41)</f>
        <v>0.47559982373789234</v>
      </c>
      <c r="V42" s="22"/>
      <c r="W42" s="20">
        <f t="shared" si="0"/>
        <v>12.584898892170745</v>
      </c>
    </row>
    <row r="43" spans="2:23" x14ac:dyDescent="0.75">
      <c r="B43" s="15">
        <v>35</v>
      </c>
      <c r="C43" s="30">
        <f>$C$8*EXP(Data!N39*'equity risk'!B43)</f>
        <v>112547.33223877249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EXP(-Data!N39*'equity risk'!E43)</f>
        <v>0.54199418845918712</v>
      </c>
      <c r="I43" s="20">
        <f>C43-C42*(Data!$K$5)</f>
        <v>110366.05442378251</v>
      </c>
      <c r="J43" s="23"/>
      <c r="K43" s="20">
        <f>I43-Data!$K$4</f>
        <v>110346.05442378251</v>
      </c>
      <c r="L43" s="20">
        <f>K43*H43*(G42*(1-Data!$K$8)^E42)*((1-F43)*Data!$K$8)</f>
        <v>2.5287448872461904</v>
      </c>
      <c r="M43" s="23"/>
      <c r="N43" s="20">
        <f>MAX(Data!$K$3*Data!$H$3,'equity risk'!I43)-Data!$K$4</f>
        <v>110346.05442378251</v>
      </c>
      <c r="O43" s="20">
        <f>N43*H43*(G42*(1-Data!$K$8)^E42)*(F43)</f>
        <v>5.6419618441925294</v>
      </c>
      <c r="P43" s="23"/>
      <c r="Q43" s="20">
        <f>Data!$K$11*(1+Data!$K$10)^'equity risk'!E42*Data!$K$12</f>
        <v>98.03380160110072</v>
      </c>
      <c r="R43" s="20">
        <f>$Q43*$H43*($G42*(1-Data!$K$8)^$E42)</f>
        <v>1.9989714570526146E-2</v>
      </c>
      <c r="S43" s="23"/>
      <c r="T43" s="20">
        <f>C42*Data!$K$6</f>
        <v>1526.8944704929843</v>
      </c>
      <c r="U43" s="20">
        <f>$T43*$H43*($G42*(1-Data!$K$8)^$E42)</f>
        <v>0.31134347690263098</v>
      </c>
      <c r="V43" s="22"/>
      <c r="W43" s="20">
        <f t="shared" si="0"/>
        <v>8.5020399229118766</v>
      </c>
    </row>
    <row r="44" spans="2:23" x14ac:dyDescent="0.75">
      <c r="B44" s="15">
        <v>36</v>
      </c>
      <c r="C44" s="30">
        <f>$C$8*EXP(Data!N40*'equity risk'!B44)</f>
        <v>116195.47058386859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EXP(-Data!N40*'equity risk'!E44)</f>
        <v>0.52497743409000508</v>
      </c>
      <c r="I44" s="20">
        <f>C44-C43*(Data!$K$5)</f>
        <v>113944.52393909314</v>
      </c>
      <c r="J44" s="23"/>
      <c r="K44" s="20">
        <f>I44-Data!$K$4</f>
        <v>113924.52393909314</v>
      </c>
      <c r="L44" s="20">
        <f>K44*H44*(G43*(1-Data!$K$8)^E43)*((1-F44)*Data!$K$8)</f>
        <v>1.5586780213177673</v>
      </c>
      <c r="M44" s="23"/>
      <c r="N44" s="20">
        <f>MAX(Data!$K$3*Data!$H$3,'equity risk'!I44)-Data!$K$4</f>
        <v>113924.52393909314</v>
      </c>
      <c r="O44" s="20">
        <f>N44*H44*(G43*(1-Data!$K$8)^E43)*(F44)</f>
        <v>3.9385793656357637</v>
      </c>
      <c r="P44" s="23"/>
      <c r="Q44" s="20">
        <f>Data!$K$11*(1+Data!$K$10)^'equity risk'!E43*Data!$K$12</f>
        <v>99.994477633122742</v>
      </c>
      <c r="R44" s="20">
        <f>$Q44*$H44*($G43*(1-Data!$K$8)^$E43)</f>
        <v>1.2577603431391733E-2</v>
      </c>
      <c r="S44" s="23"/>
      <c r="T44" s="20">
        <f>C43*Data!$K$6</f>
        <v>1575.6626513428148</v>
      </c>
      <c r="U44" s="20">
        <f>$T44*$H44*($G43*(1-Data!$K$8)^$E43)</f>
        <v>0.19819154456666249</v>
      </c>
      <c r="V44" s="22"/>
      <c r="W44" s="20">
        <f t="shared" si="0"/>
        <v>5.7080265349515846</v>
      </c>
    </row>
    <row r="45" spans="2:23" x14ac:dyDescent="0.75">
      <c r="B45" s="15">
        <v>37</v>
      </c>
      <c r="C45" s="30">
        <f>$C$8*EXP(Data!N41*'equity risk'!B45)</f>
        <v>120013.4553212524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EXP(-Data!N41*'equity risk'!E45)</f>
        <v>0.50827634148783563</v>
      </c>
      <c r="I45" s="20">
        <f>C45-C44*(Data!$K$5)</f>
        <v>117689.54590957503</v>
      </c>
      <c r="J45" s="23"/>
      <c r="K45" s="20">
        <f>I45-Data!$K$4</f>
        <v>117669.54590957503</v>
      </c>
      <c r="L45" s="20">
        <f>K45*H45*(G44*(1-Data!$K$8)^E44)*((1-F45)*Data!$K$8)</f>
        <v>0.93473120879043403</v>
      </c>
      <c r="M45" s="23"/>
      <c r="N45" s="20">
        <f>MAX(Data!$K$3*Data!$H$3,'equity risk'!I45)-Data!$K$4</f>
        <v>117669.54590957503</v>
      </c>
      <c r="O45" s="20">
        <f>N45*H45*(G44*(1-Data!$K$8)^E44)*(F45)</f>
        <v>2.6010917495900734</v>
      </c>
      <c r="P45" s="23"/>
      <c r="Q45" s="20">
        <f>Data!$K$11*(1+Data!$K$10)^'equity risk'!E44*Data!$K$12</f>
        <v>101.99436718578518</v>
      </c>
      <c r="R45" s="20">
        <f>$Q45*$H45*($G44*(1-Data!$K$8)^$E44)</f>
        <v>7.6560066658748127E-3</v>
      </c>
      <c r="S45" s="23"/>
      <c r="T45" s="20">
        <f>C44*Data!$K$6</f>
        <v>1626.7365881741603</v>
      </c>
      <c r="U45" s="20">
        <f>$T45*$H45*($G44*(1-Data!$K$8)^$E44)</f>
        <v>0.12210778405044667</v>
      </c>
      <c r="V45" s="22"/>
      <c r="W45" s="20">
        <f t="shared" si="0"/>
        <v>3.6655867490968288</v>
      </c>
    </row>
    <row r="46" spans="2:23" x14ac:dyDescent="0.75">
      <c r="B46" s="15">
        <v>38</v>
      </c>
      <c r="C46" s="30">
        <f>$C$8*EXP(Data!N42*'equity risk'!B46)</f>
        <v>123959.37167980893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EXP(-Data!N42*'equity risk'!E46)</f>
        <v>0.49209671825027451</v>
      </c>
      <c r="I46" s="20">
        <f>C46-C45*(Data!$K$5)</f>
        <v>121559.10257338388</v>
      </c>
      <c r="J46" s="23"/>
      <c r="K46" s="20">
        <f>I46-Data!$K$4</f>
        <v>121539.10257338388</v>
      </c>
      <c r="L46" s="20">
        <f>K46*H46*(G45*(1-Data!$K$8)^E45)*((1-F46)*Data!$K$8)</f>
        <v>0.5440331109633364</v>
      </c>
      <c r="M46" s="23"/>
      <c r="N46" s="20">
        <f>MAX(Data!$K$3*Data!$H$3,'equity risk'!I46)-Data!$K$4</f>
        <v>121539.10257338388</v>
      </c>
      <c r="O46" s="20">
        <f>N46*H46*(G45*(1-Data!$K$8)^E45)*(F46)</f>
        <v>1.6699535270801606</v>
      </c>
      <c r="P46" s="23"/>
      <c r="Q46" s="20">
        <f>Data!$K$11*(1+Data!$K$10)^'equity risk'!E45*Data!$K$12</f>
        <v>104.0342545295009</v>
      </c>
      <c r="R46" s="20">
        <f>$Q46*$H46*($G45*(1-Data!$K$8)^$E45)</f>
        <v>4.5339556258904333E-3</v>
      </c>
      <c r="S46" s="23"/>
      <c r="T46" s="20">
        <f>C45*Data!$K$6</f>
        <v>1680.1883744975337</v>
      </c>
      <c r="U46" s="20">
        <f>$T46*$H46*($G45*(1-Data!$K$8)^$E45)</f>
        <v>7.3224915846814606E-2</v>
      </c>
      <c r="V46" s="22"/>
      <c r="W46" s="20">
        <f t="shared" si="0"/>
        <v>2.2917455095162018</v>
      </c>
    </row>
    <row r="47" spans="2:23" x14ac:dyDescent="0.75">
      <c r="B47" s="15">
        <v>39</v>
      </c>
      <c r="C47" s="30">
        <f>$C$8*EXP(Data!N43*'equity risk'!B47)</f>
        <v>128079.84572579274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EXP(-Data!N43*'equity risk'!E47)</f>
        <v>0.47626540814700408</v>
      </c>
      <c r="I47" s="20">
        <f>C47-C46*(Data!$K$5)</f>
        <v>125600.65829219656</v>
      </c>
      <c r="J47" s="23"/>
      <c r="K47" s="20">
        <f>I47-Data!$K$4</f>
        <v>125580.65829219656</v>
      </c>
      <c r="L47" s="20">
        <f>K47*H47*(G46*(1-Data!$K$8)^E46)*((1-F47)*Data!$K$8)</f>
        <v>0.30678073465622807</v>
      </c>
      <c r="M47" s="23"/>
      <c r="N47" s="20">
        <f>MAX(Data!$K$3*Data!$H$3,'equity risk'!I47)-Data!$K$4</f>
        <v>125580.65829219656</v>
      </c>
      <c r="O47" s="20">
        <f>N47*H47*(G46*(1-Data!$K$8)^E46)*(F47)</f>
        <v>1.0376870236106468</v>
      </c>
      <c r="P47" s="23"/>
      <c r="Q47" s="20">
        <f>Data!$K$11*(1+Data!$K$10)^'equity risk'!E46*Data!$K$12</f>
        <v>106.11493962009094</v>
      </c>
      <c r="R47" s="20">
        <f>$Q47*$H47*($G46*(1-Data!$K$8)^$E46)</f>
        <v>2.6050260807268149E-3</v>
      </c>
      <c r="S47" s="23"/>
      <c r="T47" s="20">
        <f>C46*Data!$K$6</f>
        <v>1735.431203517325</v>
      </c>
      <c r="U47" s="20">
        <f>$T47*$H47*($G46*(1-Data!$K$8)^$E46)</f>
        <v>4.2603271157248226E-2</v>
      </c>
      <c r="V47" s="22"/>
      <c r="W47" s="20">
        <f t="shared" si="0"/>
        <v>1.38967605550485</v>
      </c>
    </row>
    <row r="48" spans="2:23" x14ac:dyDescent="0.75">
      <c r="B48" s="15">
        <v>40</v>
      </c>
      <c r="C48" s="30">
        <f>$C$8*EXP(Data!N44*'equity risk'!B48)</f>
        <v>132379.64118218419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EXP(-Data!N44*'equity risk'!E48)</f>
        <v>0.46079593096985555</v>
      </c>
      <c r="I48" s="20">
        <f>C48-C47*(Data!$K$5)</f>
        <v>129818.04426766833</v>
      </c>
      <c r="J48" s="23"/>
      <c r="K48" s="20">
        <f>I48-Data!$K$4</f>
        <v>129798.04426766833</v>
      </c>
      <c r="L48" s="20">
        <f>K48*H48*(G47*(1-Data!$K$8)^E47)*((1-F48)*Data!$K$8)</f>
        <v>0.16693593485057359</v>
      </c>
      <c r="M48" s="23"/>
      <c r="N48" s="20">
        <f>MAX(Data!$K$3*Data!$H$3,'equity risk'!I48)-Data!$K$4</f>
        <v>129798.04426766833</v>
      </c>
      <c r="O48" s="20">
        <f>N48*H48*(G47*(1-Data!$K$8)^E47)*(F48)</f>
        <v>0.62553790392260455</v>
      </c>
      <c r="P48" s="23"/>
      <c r="Q48" s="20">
        <f>Data!$K$11*(1+Data!$K$10)^'equity risk'!E47*Data!$K$12</f>
        <v>108.23723841249272</v>
      </c>
      <c r="R48" s="20">
        <f>$Q48*$H48*($G47*(1-Data!$K$8)^$E47)</f>
        <v>1.4496704746576683E-3</v>
      </c>
      <c r="S48" s="23"/>
      <c r="T48" s="20">
        <f>C47*Data!$K$6</f>
        <v>1793.1178401610985</v>
      </c>
      <c r="U48" s="20">
        <f>$T48*$H48*($G47*(1-Data!$K$8)^$E47)</f>
        <v>2.4016041323569534E-2</v>
      </c>
      <c r="V48" s="22"/>
      <c r="W48" s="20">
        <f t="shared" si="0"/>
        <v>0.81793955057140533</v>
      </c>
    </row>
    <row r="49" spans="2:23" x14ac:dyDescent="0.75">
      <c r="B49" s="15">
        <v>41</v>
      </c>
      <c r="C49" s="30">
        <f>$C$8*EXP(Data!N45*'equity risk'!B49)</f>
        <v>136807.36810754662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EXP(-Data!N45*'equity risk'!E49)</f>
        <v>0.44588241732745604</v>
      </c>
      <c r="I49" s="20">
        <f>C49-C48*(Data!$K$5)</f>
        <v>134159.77528390294</v>
      </c>
      <c r="J49" s="23"/>
      <c r="K49" s="20">
        <f>I49-Data!$K$4</f>
        <v>134139.77528390294</v>
      </c>
      <c r="L49" s="20">
        <f>K49*H49*(G48*(1-Data!$K$8)^E48)*((1-F49)*Data!$K$8)</f>
        <v>8.6513186630399475E-2</v>
      </c>
      <c r="M49" s="23"/>
      <c r="N49" s="20">
        <f>MAX(Data!$K$3*Data!$H$3,'equity risk'!I49)-Data!$K$4</f>
        <v>134139.77528390294</v>
      </c>
      <c r="O49" s="20">
        <f>N49*H49*(G48*(1-Data!$K$8)^E48)*(F49)</f>
        <v>0.36921819702760761</v>
      </c>
      <c r="P49" s="23"/>
      <c r="Q49" s="20">
        <f>Data!$K$11*(1+Data!$K$10)^'equity risk'!E48*Data!$K$12</f>
        <v>110.40198318074259</v>
      </c>
      <c r="R49" s="20">
        <f>$Q49*$H49*($G48*(1-Data!$K$8)^$E48)</f>
        <v>7.7857048832662026E-4</v>
      </c>
      <c r="S49" s="23"/>
      <c r="T49" s="20">
        <f>C48*Data!$K$6</f>
        <v>1853.3149765505786</v>
      </c>
      <c r="U49" s="20">
        <f>$T49*$H49*($G48*(1-Data!$K$8)^$E48)</f>
        <v>1.3069840819378634E-2</v>
      </c>
      <c r="V49" s="22"/>
      <c r="W49" s="20">
        <f t="shared" si="0"/>
        <v>0.46957979496571234</v>
      </c>
    </row>
    <row r="50" spans="2:23" x14ac:dyDescent="0.75">
      <c r="B50" s="15">
        <v>42</v>
      </c>
      <c r="C50" s="30">
        <f>$C$8*EXP(Data!N46*'equity risk'!B50)</f>
        <v>141476.53375926364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EXP(-Data!N46*'equity risk'!E50)</f>
        <v>0.43116691071748731</v>
      </c>
      <c r="I50" s="20">
        <f>C50-C49*(Data!$K$5)</f>
        <v>138740.38639711271</v>
      </c>
      <c r="J50" s="23"/>
      <c r="K50" s="20">
        <f>I50-Data!$K$4</f>
        <v>138720.38639711271</v>
      </c>
      <c r="L50" s="20">
        <f>K50*H50*(G49*(1-Data!$K$8)^E49)*((1-F50)*Data!$K$8)</f>
        <v>4.2096046881214252E-2</v>
      </c>
      <c r="M50" s="23"/>
      <c r="N50" s="20">
        <f>MAX(Data!$K$3*Data!$H$3,'equity risk'!I50)-Data!$K$4</f>
        <v>138720.38639711271</v>
      </c>
      <c r="O50" s="20">
        <f>N50*H50*(G49*(1-Data!$K$8)^E49)*(F50)</f>
        <v>0.20960987486398841</v>
      </c>
      <c r="P50" s="23"/>
      <c r="Q50" s="20">
        <f>Data!$K$11*(1+Data!$K$10)^'equity risk'!E49*Data!$K$12</f>
        <v>112.61002284435745</v>
      </c>
      <c r="R50" s="20">
        <f>$Q50*$H50*($G49*(1-Data!$K$8)^$E49)</f>
        <v>3.9797383958500545E-4</v>
      </c>
      <c r="S50" s="23"/>
      <c r="T50" s="20">
        <f>C49*Data!$K$6</f>
        <v>1915.3031535056527</v>
      </c>
      <c r="U50" s="20">
        <f>$T50*$H50*($G49*(1-Data!$K$8)^$E49)</f>
        <v>6.7688517479783756E-3</v>
      </c>
      <c r="V50" s="22"/>
      <c r="W50" s="20">
        <f t="shared" si="0"/>
        <v>0.25887274733276605</v>
      </c>
    </row>
    <row r="51" spans="2:23" x14ac:dyDescent="0.75">
      <c r="B51" s="15">
        <v>43</v>
      </c>
      <c r="C51" s="30">
        <f>$C$8*EXP(Data!N47*'equity risk'!B51)</f>
        <v>146275.79756646728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EXP(-Data!N47*'equity risk'!E51)</f>
        <v>0.41702045734723675</v>
      </c>
      <c r="I51" s="20">
        <f>C51-C50*(Data!$K$5)</f>
        <v>143446.26689128202</v>
      </c>
      <c r="J51" s="23"/>
      <c r="K51" s="20">
        <f>I51-Data!$K$4</f>
        <v>143426.26689128202</v>
      </c>
      <c r="L51" s="20">
        <f>K51*H51*(G50*(1-Data!$K$8)^E50)*((1-F51)*Data!$K$8)</f>
        <v>1.9292403692974722E-2</v>
      </c>
      <c r="M51" s="23"/>
      <c r="N51" s="20">
        <f>MAX(Data!$K$3*Data!$H$3,'equity risk'!I51)-Data!$K$4</f>
        <v>143426.26689128202</v>
      </c>
      <c r="O51" s="20">
        <f>N51*H51*(G50*(1-Data!$K$8)^E50)*(F51)</f>
        <v>0.10992842832192869</v>
      </c>
      <c r="P51" s="23"/>
      <c r="Q51" s="20">
        <f>Data!$K$11*(1+Data!$K$10)^'equity risk'!E50*Data!$K$12</f>
        <v>114.86222330124458</v>
      </c>
      <c r="R51" s="20">
        <f>$Q51*$H51*($G50*(1-Data!$K$8)^$E50)</f>
        <v>1.9103715668650052E-4</v>
      </c>
      <c r="S51" s="23"/>
      <c r="T51" s="20">
        <f>C50*Data!$K$6</f>
        <v>1980.6714726296909</v>
      </c>
      <c r="U51" s="20">
        <f>$T51*$H51*($G50*(1-Data!$K$8)^$E50)</f>
        <v>3.294223597508408E-3</v>
      </c>
      <c r="V51" s="22"/>
      <c r="W51" s="20">
        <f t="shared" si="0"/>
        <v>0.13270609276909834</v>
      </c>
    </row>
    <row r="52" spans="2:23" x14ac:dyDescent="0.75">
      <c r="B52" s="15">
        <v>44</v>
      </c>
      <c r="C52" s="30">
        <f>$C$8*EXP(Data!N48*'equity risk'!B52)</f>
        <v>151265.09055119098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EXP(-Data!N48*'equity risk'!E52)</f>
        <v>0.4032655504169777</v>
      </c>
      <c r="I52" s="20">
        <f>C52-C51*(Data!$K$5)</f>
        <v>148339.57459986163</v>
      </c>
      <c r="J52" s="23"/>
      <c r="K52" s="20">
        <f>I52-Data!$K$4</f>
        <v>148319.57459986163</v>
      </c>
      <c r="L52" s="20">
        <f>K52*H52*(G51*(1-Data!$K$8)^E51)*((1-F52)*Data!$K$8)</f>
        <v>8.2875914816307877E-3</v>
      </c>
      <c r="M52" s="23"/>
      <c r="N52" s="20">
        <f>MAX(Data!$K$3*Data!$H$3,'equity risk'!I52)-Data!$K$4</f>
        <v>148319.57459986163</v>
      </c>
      <c r="O52" s="20">
        <f>N52*H52*(G51*(1-Data!$K$8)^E51)*(F52)</f>
        <v>5.4073902052846609E-2</v>
      </c>
      <c r="P52" s="23"/>
      <c r="Q52" s="20">
        <f>Data!$K$11*(1+Data!$K$10)^'equity risk'!E51*Data!$K$12</f>
        <v>117.15946776726946</v>
      </c>
      <c r="R52" s="20">
        <f>$Q52*$H52*($G51*(1-Data!$K$8)^$E51)</f>
        <v>8.6356785112383808E-5</v>
      </c>
      <c r="S52" s="23"/>
      <c r="T52" s="20">
        <f>C51*Data!$K$6</f>
        <v>2047.861165930542</v>
      </c>
      <c r="U52" s="20">
        <f>$T52*$H52*($G51*(1-Data!$K$8)^$E51)</f>
        <v>1.509452970523521E-3</v>
      </c>
      <c r="V52" s="22"/>
      <c r="W52" s="20">
        <f t="shared" si="0"/>
        <v>6.3957303290113302E-2</v>
      </c>
    </row>
    <row r="53" spans="2:23" x14ac:dyDescent="0.75">
      <c r="B53" s="15">
        <v>45</v>
      </c>
      <c r="C53" s="30">
        <f>$C$8*EXP(Data!N49*'equity risk'!B53)</f>
        <v>156448.02781287051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EXP(-Data!N49*'equity risk'!E53)</f>
        <v>0.38990584191296346</v>
      </c>
      <c r="I53" s="20">
        <f>C53-C52*(Data!$K$5)</f>
        <v>153422.72600184669</v>
      </c>
      <c r="J53" s="23"/>
      <c r="K53" s="20">
        <f>I53-Data!$K$4</f>
        <v>153402.72600184669</v>
      </c>
      <c r="L53" s="20">
        <f>K53*H53*(G52*(1-Data!$K$8)^E52)*((1-F53)*Data!$K$8)</f>
        <v>3.3205517293880683E-3</v>
      </c>
      <c r="M53" s="23"/>
      <c r="N53" s="20">
        <f>MAX(Data!$K$3*Data!$H$3,'equity risk'!I53)-Data!$K$4</f>
        <v>153402.72600184669</v>
      </c>
      <c r="O53" s="20">
        <f>N53*H53*(G52*(1-Data!$K$8)^E52)*(F53)</f>
        <v>2.4826355598056404E-2</v>
      </c>
      <c r="P53" s="23"/>
      <c r="Q53" s="20">
        <f>Data!$K$11*(1+Data!$K$10)^'equity risk'!E52*Data!$K$12</f>
        <v>119.50265712261488</v>
      </c>
      <c r="R53" s="20">
        <f>$Q53*$H53*($G52*(1-Data!$K$8)^$E52)</f>
        <v>3.6585054942705987E-5</v>
      </c>
      <c r="S53" s="23"/>
      <c r="T53" s="20">
        <f>C52*Data!$K$6</f>
        <v>2117.7112677166738</v>
      </c>
      <c r="U53" s="20">
        <f>$T53*$H53*($G52*(1-Data!$K$8)^$E52)</f>
        <v>6.4832519165417175E-4</v>
      </c>
      <c r="V53" s="22"/>
      <c r="W53" s="20">
        <f t="shared" si="0"/>
        <v>2.8831817574041352E-2</v>
      </c>
    </row>
    <row r="54" spans="2:23" x14ac:dyDescent="0.75">
      <c r="B54" s="15">
        <v>46</v>
      </c>
      <c r="C54" s="30">
        <f>$C$8*EXP(Data!N50*'equity risk'!B54)</f>
        <v>161827.97109248082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EXP(-Data!N50*'equity risk'!E54)</f>
        <v>0.37694348874422928</v>
      </c>
      <c r="I54" s="20">
        <f>C54-C53*(Data!$K$5)</f>
        <v>158699.01053622342</v>
      </c>
      <c r="J54" s="23"/>
      <c r="K54" s="20">
        <f>I54-Data!$K$4</f>
        <v>158679.01053622342</v>
      </c>
      <c r="L54" s="20">
        <f>K54*H54*(G53*(1-Data!$K$8)^E53)*((1-F54)*Data!$K$8)</f>
        <v>1.2346510636654902E-3</v>
      </c>
      <c r="M54" s="23"/>
      <c r="N54" s="20">
        <f>MAX(Data!$K$3*Data!$H$3,'equity risk'!I54)-Data!$K$4</f>
        <v>158679.01053622342</v>
      </c>
      <c r="O54" s="20">
        <f>N54*H54*(G53*(1-Data!$K$8)^E53)*(F54)</f>
        <v>1.0585578792874115E-2</v>
      </c>
      <c r="P54" s="23"/>
      <c r="Q54" s="20">
        <f>Data!$K$11*(1+Data!$K$10)^'equity risk'!E53*Data!$K$12</f>
        <v>121.89271026506717</v>
      </c>
      <c r="R54" s="20">
        <f>$Q54*$H54*($G53*(1-Data!$K$8)^$E53)</f>
        <v>1.4454366986425223E-5</v>
      </c>
      <c r="S54" s="23"/>
      <c r="T54" s="20">
        <f>C53*Data!$K$6</f>
        <v>2190.2723893801872</v>
      </c>
      <c r="U54" s="20">
        <f>$T54*$H54*($G53*(1-Data!$K$8)^$E53)</f>
        <v>2.5972841893079736E-4</v>
      </c>
      <c r="V54" s="22"/>
      <c r="W54" s="20">
        <f t="shared" si="0"/>
        <v>1.2094412642456826E-2</v>
      </c>
    </row>
    <row r="55" spans="2:23" x14ac:dyDescent="0.75">
      <c r="B55" s="15">
        <v>47</v>
      </c>
      <c r="C55" s="30">
        <f>$C$8*EXP(Data!N51*'equity risk'!B55)</f>
        <v>167329.32292844032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EXP(-Data!N51*'equity risk'!E55)</f>
        <v>0.36455056969355643</v>
      </c>
      <c r="I55" s="20">
        <f>C55-C54*(Data!$K$5)</f>
        <v>164092.76350659071</v>
      </c>
      <c r="J55" s="23"/>
      <c r="K55" s="20">
        <f>I55-Data!$K$4</f>
        <v>164072.76350659071</v>
      </c>
      <c r="L55" s="20">
        <f>K55*H55*(G54*(1-Data!$K$8)^E54)*((1-F55)*Data!$K$8)</f>
        <v>4.2385502147844614E-4</v>
      </c>
      <c r="M55" s="23"/>
      <c r="N55" s="20">
        <f>MAX(Data!$K$3*Data!$H$3,'equity risk'!I55)-Data!$K$4</f>
        <v>164072.76350659071</v>
      </c>
      <c r="O55" s="20">
        <f>N55*H55*(G54*(1-Data!$K$8)^E54)*(F55)</f>
        <v>4.1706324416753114E-3</v>
      </c>
      <c r="P55" s="23"/>
      <c r="Q55" s="20">
        <f>Data!$K$11*(1+Data!$K$10)^'equity risk'!E54*Data!$K$12</f>
        <v>124.33056447036851</v>
      </c>
      <c r="R55" s="20">
        <f>$Q55*$H55*($G54*(1-Data!$K$8)^$E54)</f>
        <v>5.301659830114035E-6</v>
      </c>
      <c r="S55" s="23"/>
      <c r="T55" s="20">
        <f>C54*Data!$K$6</f>
        <v>2265.5915952947316</v>
      </c>
      <c r="U55" s="20">
        <f>$T55*$H55*($G54*(1-Data!$K$8)^$E54)</f>
        <v>9.6608553201579876E-5</v>
      </c>
      <c r="V55" s="22"/>
      <c r="W55" s="20">
        <f t="shared" si="0"/>
        <v>4.696397676185452E-3</v>
      </c>
    </row>
    <row r="56" spans="2:23" x14ac:dyDescent="0.75">
      <c r="B56" s="15">
        <v>48</v>
      </c>
      <c r="C56" s="30">
        <f>$C$8*EXP(Data!N52*'equity risk'!B56)</f>
        <v>173107.6861553067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EXP(-Data!N52*'equity risk'!E56)</f>
        <v>0.35238181131525692</v>
      </c>
      <c r="I56" s="20">
        <f>C56-C55*(Data!$K$5)</f>
        <v>169761.09969673789</v>
      </c>
      <c r="J56" s="23"/>
      <c r="K56" s="20">
        <f>I56-Data!$K$4</f>
        <v>169741.09969673789</v>
      </c>
      <c r="L56" s="20">
        <f>K56*H56*(G55*(1-Data!$K$8)^E55)*((1-F56)*Data!$K$8)</f>
        <v>1.3366962153910723E-4</v>
      </c>
      <c r="M56" s="23"/>
      <c r="N56" s="20">
        <f>MAX(Data!$K$3*Data!$H$3,'equity risk'!I56)-Data!$K$4</f>
        <v>169741.09969673789</v>
      </c>
      <c r="O56" s="20">
        <f>N56*H56*(G55*(1-Data!$K$8)^E55)*(F56)</f>
        <v>1.5107487154571585E-3</v>
      </c>
      <c r="P56" s="23"/>
      <c r="Q56" s="20">
        <f>Data!$K$11*(1+Data!$K$10)^'equity risk'!E55*Data!$K$12</f>
        <v>126.81717575977585</v>
      </c>
      <c r="R56" s="20">
        <f>$Q56*$H56*($G55*(1-Data!$K$8)^$E55)</f>
        <v>1.7944951370703558E-6</v>
      </c>
      <c r="S56" s="23"/>
      <c r="T56" s="20">
        <f>C55*Data!$K$6</f>
        <v>2342.6105209981647</v>
      </c>
      <c r="U56" s="20">
        <f>$T56*$H56*($G55*(1-Data!$K$8)^$E55)</f>
        <v>3.314853183565716E-5</v>
      </c>
      <c r="V56" s="22"/>
      <c r="W56" s="20">
        <f t="shared" si="0"/>
        <v>1.6793613639689931E-3</v>
      </c>
    </row>
    <row r="57" spans="2:23" x14ac:dyDescent="0.75">
      <c r="B57" s="15">
        <v>49</v>
      </c>
      <c r="C57" s="30">
        <f>$C$8*EXP(Data!N53*'equity risk'!B57)</f>
        <v>179090.96554747308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EXP(-Data!N53*'equity risk'!E57)</f>
        <v>0.34060902968235013</v>
      </c>
      <c r="I57" s="20">
        <f>C57-C56*(Data!$K$5)</f>
        <v>175628.81182436695</v>
      </c>
      <c r="J57" s="23"/>
      <c r="K57" s="20">
        <f>I57-Data!$K$4</f>
        <v>175608.81182436695</v>
      </c>
      <c r="L57" s="20">
        <f>K57*H57*(G56*(1-Data!$K$8)^E56)*((1-F57)*Data!$K$8)</f>
        <v>3.8528478721498181E-5</v>
      </c>
      <c r="M57" s="23"/>
      <c r="N57" s="20">
        <f>MAX(Data!$K$3*Data!$H$3,'equity risk'!I57)-Data!$K$4</f>
        <v>175608.81182436695</v>
      </c>
      <c r="O57" s="20">
        <f>N57*H57*(G56*(1-Data!$K$8)^E56)*(F57)</f>
        <v>5.0060809365867992E-4</v>
      </c>
      <c r="P57" s="23"/>
      <c r="Q57" s="20">
        <f>Data!$K$11*(1+Data!$K$10)^'equity risk'!E56*Data!$K$12</f>
        <v>129.35351927497138</v>
      </c>
      <c r="R57" s="20">
        <f>$Q57*$H57*($G56*(1-Data!$K$8)^$E56)</f>
        <v>5.5794873336532727E-7</v>
      </c>
      <c r="S57" s="23"/>
      <c r="T57" s="20">
        <f>C56*Data!$K$6</f>
        <v>2423.5076061742939</v>
      </c>
      <c r="U57" s="20">
        <f>$T57*$H57*($G56*(1-Data!$K$8)^$E56)</f>
        <v>1.0453468964317693E-5</v>
      </c>
      <c r="V57" s="22"/>
      <c r="W57" s="20">
        <f t="shared" si="0"/>
        <v>5.5014799007786113E-4</v>
      </c>
    </row>
    <row r="58" spans="2:23" x14ac:dyDescent="0.75">
      <c r="B58" s="15">
        <v>50</v>
      </c>
      <c r="C58" s="30">
        <f>$C$8*EXP(Data!N54*'equity risk'!B58)</f>
        <v>185281.05050142485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EXP(-Data!N54*'equity risk'!E58)</f>
        <v>0.32922956683868165</v>
      </c>
      <c r="I58" s="20">
        <f>C58-C57*(Data!$K$5)</f>
        <v>181699.23119047537</v>
      </c>
      <c r="J58" s="24"/>
      <c r="K58" s="20">
        <f>I58-Data!$K$4</f>
        <v>181679.23119047537</v>
      </c>
      <c r="L58" s="20">
        <f>K58*H58*(G57*(1-Data!$K$8)^E57)*(1-F58)</f>
        <v>6.7331226122090585E-5</v>
      </c>
      <c r="M58" s="24"/>
      <c r="N58" s="20">
        <f>MAX(Data!$K$3*Data!$H$3,'equity risk'!I58)-Data!$K$4</f>
        <v>181679.23119047537</v>
      </c>
      <c r="O58" s="20">
        <f>N58*H58*(G57*(1-Data!$K$8)^E57)*(F58)</f>
        <v>1.5099765069435229E-4</v>
      </c>
      <c r="P58" s="24"/>
      <c r="Q58" s="20">
        <f>Data!$K$11*(1+Data!$K$10)^'equity risk'!E57*Data!$K$12</f>
        <v>131.94058966047081</v>
      </c>
      <c r="R58" s="20">
        <f>$Q58*$H58*($G57*(1-Data!$K$8)^$E57)</f>
        <v>1.585565975720617E-7</v>
      </c>
      <c r="S58" s="24"/>
      <c r="T58" s="20">
        <f>C57*Data!$K$6</f>
        <v>2507.2735176646233</v>
      </c>
      <c r="U58" s="20">
        <f>$T58*$H58*($G57*(1-Data!$K$8)^$E57)</f>
        <v>3.0130588256916134E-6</v>
      </c>
      <c r="V58" s="25"/>
      <c r="W58" s="20">
        <f t="shared" si="0"/>
        <v>2.2150049223970653E-4</v>
      </c>
    </row>
    <row r="60" spans="2:23" x14ac:dyDescent="0.75">
      <c r="K60" s="43" t="s">
        <v>62</v>
      </c>
      <c r="L60" s="20">
        <f>SUM(L9:L58)</f>
        <v>54656.908357342203</v>
      </c>
      <c r="N60" s="43" t="s">
        <v>62</v>
      </c>
      <c r="O60" s="20">
        <f>SUM(O9:O58)</f>
        <v>8457.4685542101815</v>
      </c>
      <c r="P60" s="1"/>
      <c r="Q60" s="43" t="s">
        <v>62</v>
      </c>
      <c r="R60" s="20">
        <f>SUM(R9:R58)</f>
        <v>321.36342286169361</v>
      </c>
      <c r="S60" s="1"/>
      <c r="T60" s="43" t="s">
        <v>62</v>
      </c>
      <c r="U60" s="20">
        <f>SUM(U9:U58)</f>
        <v>5226.0974775857039</v>
      </c>
      <c r="V60" s="15" t="s">
        <v>15</v>
      </c>
      <c r="W60" s="20">
        <f>SUM(W9:W58)</f>
        <v>68661.837811999707</v>
      </c>
    </row>
    <row r="61" spans="2:23" x14ac:dyDescent="0.75">
      <c r="V61" s="15" t="s">
        <v>32</v>
      </c>
      <c r="W61" s="15">
        <f>SUMPRODUCT(W9:W58,E9:E58)/W60</f>
        <v>6.2434297457458543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BE75-51F6-4756-8AAB-1CBA4BBF348C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2">
        <v>0.15</v>
      </c>
      <c r="V2" s="34" t="s">
        <v>34</v>
      </c>
      <c r="W2" s="35">
        <f>C8-W60</f>
        <v>-7245.0218192087632</v>
      </c>
    </row>
    <row r="3" spans="2:23" x14ac:dyDescent="0.75">
      <c r="V3" s="34" t="s">
        <v>40</v>
      </c>
      <c r="W3" s="35">
        <f>MAX('Caso base'!W2-'mortality risk'!W2,0)</f>
        <v>0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20">
        <f>$C$8*EXP(Data!N5*'mortality risk'!B9)</f>
        <v>99825.153035716154</v>
      </c>
      <c r="E9" s="15">
        <v>1</v>
      </c>
      <c r="F9" s="31">
        <f>Data!C5*(1+$C$2)</f>
        <v>8.1763734999999987E-3</v>
      </c>
      <c r="G9" s="31">
        <f>G8*(1-F9)</f>
        <v>0.9918236265</v>
      </c>
      <c r="H9" s="15">
        <f>EXP(-Data!N5*'mortality risk'!E9)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20">
        <f>K9*H9*(G8*(1-Data!$K$8)^E8)*((1-F9)*Data!$K$8)</f>
        <v>14576.305463748829</v>
      </c>
      <c r="M9" s="23"/>
      <c r="N9" s="20">
        <f>MAX(Data!$K$3*Data!$H$3,'mortality risk'!I9)-Data!$K$4</f>
        <v>109980.00000000001</v>
      </c>
      <c r="O9" s="20">
        <f>N9*H9*(G8*(1-Data!$K$8)^E8)*(F9)</f>
        <v>900.81260101676423</v>
      </c>
      <c r="P9" s="23"/>
      <c r="Q9" s="20">
        <f>Data!$K$11*(1+Data!$K$10)^'mortality risk'!E8*Data!$K$12</f>
        <v>50</v>
      </c>
      <c r="R9" s="20">
        <f>$Q9*$H9*($G8*(1-Data!$K$8)^$E8)</f>
        <v>50.087576607181006</v>
      </c>
      <c r="S9" s="23"/>
      <c r="T9" s="20">
        <f>C8*Data!$K$6</f>
        <v>1400</v>
      </c>
      <c r="U9" s="20">
        <f>$T9*$H9*($G8*(1-Data!$K$8)^$E8)</f>
        <v>1402.4521450010682</v>
      </c>
      <c r="V9" s="22"/>
      <c r="W9" s="20">
        <f>O9+L9+R9+U9</f>
        <v>16929.657786373842</v>
      </c>
    </row>
    <row r="10" spans="2:23" x14ac:dyDescent="0.75">
      <c r="B10" s="15">
        <v>2</v>
      </c>
      <c r="C10" s="20">
        <f>$C$8*EXP(Data!N6*'mortality risk'!B10)</f>
        <v>100875.81299504719</v>
      </c>
      <c r="E10" s="15">
        <v>2</v>
      </c>
      <c r="F10" s="31">
        <f>Data!C6*(1+$C$2)</f>
        <v>9.1141869999999976E-3</v>
      </c>
      <c r="G10" s="31">
        <f t="shared" ref="G10:G58" si="0">G9*(1-F10)</f>
        <v>0.98278396049706085</v>
      </c>
      <c r="H10" s="15">
        <f>EXP(-Data!N6*'mortality risk'!E10)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20">
        <f>K10*H10*(G9*(1-Data!$K$8)^E9)*((1-F10)*Data!$K$8)</f>
        <v>12280.01144302068</v>
      </c>
      <c r="M10" s="23"/>
      <c r="N10" s="20">
        <f>MAX(Data!$K$3*Data!$H$3,'mortality risk'!I10)-Data!$K$4</f>
        <v>109980.00000000001</v>
      </c>
      <c r="O10" s="20">
        <f>N10*H10*(G9*(1-Data!$K$8)^E9)*(F10)</f>
        <v>837.71825164298946</v>
      </c>
      <c r="P10" s="23"/>
      <c r="Q10" s="20">
        <f>Data!$K$11*(1+Data!$K$10)^'mortality risk'!E9*Data!$K$12</f>
        <v>51</v>
      </c>
      <c r="R10" s="20">
        <f>$Q10*$H10*($G9*(1-Data!$K$8)^$E9)</f>
        <v>42.622262891587297</v>
      </c>
      <c r="S10" s="23"/>
      <c r="T10" s="20">
        <f>C9*Data!$K$6</f>
        <v>1397.5521425000261</v>
      </c>
      <c r="U10" s="20">
        <f>$T10*$H10*($G9*(1-Data!$K$8)^$E9)</f>
        <v>1167.9771533791604</v>
      </c>
      <c r="V10" s="22"/>
      <c r="W10" s="20">
        <f t="shared" ref="W10:W58" si="1">O10+L10+R10+U10</f>
        <v>14328.329110934417</v>
      </c>
    </row>
    <row r="11" spans="2:23" x14ac:dyDescent="0.75">
      <c r="B11" s="15">
        <v>3</v>
      </c>
      <c r="C11" s="20">
        <f>$C$8*EXP(Data!N7*'mortality risk'!B11)</f>
        <v>102131.39657582495</v>
      </c>
      <c r="E11" s="15">
        <v>3</v>
      </c>
      <c r="F11" s="31">
        <f>Data!C7*(1+$C$2)</f>
        <v>1.00542315E-2</v>
      </c>
      <c r="G11" s="31">
        <f t="shared" si="0"/>
        <v>0.97290282304373654</v>
      </c>
      <c r="H11" s="15">
        <f>EXP(-Data!N7*'mortality risk'!E11)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20">
        <f>K11*H11*(G10*(1-Data!$K$8)^E10)*((1-F11)*Data!$K$8)</f>
        <v>10333.485376256924</v>
      </c>
      <c r="M11" s="23"/>
      <c r="N11" s="20">
        <f>MAX(Data!$K$3*Data!$H$3,'mortality risk'!I11)-Data!$K$4</f>
        <v>109980.00000000001</v>
      </c>
      <c r="O11" s="20">
        <f>N11*H11*(G10*(1-Data!$K$8)^E10)*(F11)</f>
        <v>768.77497321191083</v>
      </c>
      <c r="P11" s="23"/>
      <c r="Q11" s="20">
        <f>Data!$K$11*(1+Data!$K$10)^'mortality risk'!E10*Data!$K$12</f>
        <v>52.019999999999996</v>
      </c>
      <c r="R11" s="20">
        <f>$Q11*$H11*($G10*(1-Data!$K$8)^$E10)</f>
        <v>36.166542182433091</v>
      </c>
      <c r="S11" s="23"/>
      <c r="T11" s="20">
        <f>C10*Data!$K$6</f>
        <v>1412.2613819306607</v>
      </c>
      <c r="U11" s="20">
        <f>$T11*$H11*($G10*(1-Data!$K$8)^$E10)</f>
        <v>981.86487585960185</v>
      </c>
      <c r="V11" s="22"/>
      <c r="W11" s="20">
        <f t="shared" si="1"/>
        <v>12120.291767510869</v>
      </c>
    </row>
    <row r="12" spans="2:23" x14ac:dyDescent="0.75">
      <c r="B12" s="15">
        <v>4</v>
      </c>
      <c r="C12" s="20">
        <f>$C$8*EXP(Data!N8*'mortality risk'!B12)</f>
        <v>103371.59205577367</v>
      </c>
      <c r="E12" s="15">
        <v>4</v>
      </c>
      <c r="F12" s="31">
        <f>Data!C8*(1+$C$2)</f>
        <v>1.1205864499999999E-2</v>
      </c>
      <c r="G12" s="31">
        <f t="shared" si="0"/>
        <v>0.96200060583704095</v>
      </c>
      <c r="H12" s="15">
        <f>EXP(-Data!N8*'mortality risk'!E12)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20">
        <f>K12*H12*(G11*(1-Data!$K$8)^E11)*((1-F12)*Data!$K$8)</f>
        <v>8685.0045733507341</v>
      </c>
      <c r="M12" s="23"/>
      <c r="N12" s="20">
        <f>MAX(Data!$K$3*Data!$H$3,'mortality risk'!I12)-Data!$K$4</f>
        <v>109980.00000000001</v>
      </c>
      <c r="O12" s="20">
        <f>N12*H12*(G11*(1-Data!$K$8)^E11)*(F12)</f>
        <v>712.33472804276414</v>
      </c>
      <c r="P12" s="23"/>
      <c r="Q12" s="20">
        <f>Data!$K$11*(1+Data!$K$10)^'mortality risk'!E11*Data!$K$12</f>
        <v>53.060399999999994</v>
      </c>
      <c r="R12" s="20">
        <f>$Q12*$H12*($G11*(1-Data!$K$8)^$E11)</f>
        <v>30.668713278535414</v>
      </c>
      <c r="S12" s="23"/>
      <c r="T12" s="20">
        <f>C11*Data!$K$6</f>
        <v>1429.8395520615493</v>
      </c>
      <c r="U12" s="20">
        <f>$T12*$H12*($G11*(1-Data!$K$8)^$E11)</f>
        <v>826.44192762371131</v>
      </c>
      <c r="V12" s="22"/>
      <c r="W12" s="20">
        <f t="shared" si="1"/>
        <v>10254.449942295745</v>
      </c>
    </row>
    <row r="13" spans="2:23" x14ac:dyDescent="0.75">
      <c r="B13" s="15">
        <v>5</v>
      </c>
      <c r="C13" s="20">
        <f>$C$8*EXP(Data!N9*'mortality risk'!B13)</f>
        <v>104576.63856293866</v>
      </c>
      <c r="E13" s="15">
        <v>5</v>
      </c>
      <c r="F13" s="31">
        <f>Data!C9*(1+$C$2)</f>
        <v>1.23551975E-2</v>
      </c>
      <c r="G13" s="31">
        <f t="shared" si="0"/>
        <v>0.95011489835680463</v>
      </c>
      <c r="H13" s="15">
        <f>EXP(-Data!N9*'mortality risk'!E13)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20">
        <f>K13*H13*(G12*(1-Data!$K$8)^E12)*((1-F13)*Data!$K$8)</f>
        <v>7290.9906893674952</v>
      </c>
      <c r="M13" s="23"/>
      <c r="N13" s="20">
        <f>MAX(Data!$K$3*Data!$H$3,'mortality risk'!I13)-Data!$K$4</f>
        <v>109980.00000000001</v>
      </c>
      <c r="O13" s="20">
        <f>N13*H13*(G12*(1-Data!$K$8)^E12)*(F13)</f>
        <v>652.4988908077969</v>
      </c>
      <c r="P13" s="23"/>
      <c r="Q13" s="20">
        <f>Data!$K$11*(1+Data!$K$10)^'mortality risk'!E12*Data!$K$12</f>
        <v>54.121608000000002</v>
      </c>
      <c r="R13" s="20">
        <f>$Q13*$H13*($G12*(1-Data!$K$8)^$E12)</f>
        <v>25.988849952870364</v>
      </c>
      <c r="S13" s="23"/>
      <c r="T13" s="20">
        <f>C12*Data!$K$6</f>
        <v>1447.2022887808314</v>
      </c>
      <c r="U13" s="20">
        <f>$T13*$H13*($G12*(1-Data!$K$8)^$E12)</f>
        <v>694.93728151195353</v>
      </c>
      <c r="V13" s="22"/>
      <c r="W13" s="20">
        <f t="shared" si="1"/>
        <v>8664.4157116401166</v>
      </c>
    </row>
    <row r="14" spans="2:23" x14ac:dyDescent="0.75">
      <c r="B14" s="15">
        <v>6</v>
      </c>
      <c r="C14" s="20">
        <f>$C$8*EXP(Data!N10*'mortality risk'!B14)</f>
        <v>105821.12683155056</v>
      </c>
      <c r="E14" s="15">
        <v>6</v>
      </c>
      <c r="F14" s="31">
        <f>Data!C10*(1+$C$2)</f>
        <v>1.3503023999999997E-2</v>
      </c>
      <c r="G14" s="31">
        <f t="shared" si="0"/>
        <v>0.93728547408153506</v>
      </c>
      <c r="H14" s="15">
        <f>EXP(-Data!N10*'mortality risk'!E14)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20">
        <f>K14*H14*(G13*(1-Data!$K$8)^E13)*((1-F14)*Data!$K$8)</f>
        <v>6113.7028521514276</v>
      </c>
      <c r="M14" s="23"/>
      <c r="N14" s="20">
        <f>MAX(Data!$K$3*Data!$H$3,'mortality risk'!I14)-Data!$K$4</f>
        <v>109980.00000000001</v>
      </c>
      <c r="O14" s="20">
        <f>N14*H14*(G13*(1-Data!$K$8)^E13)*(F14)</f>
        <v>591.62038514324752</v>
      </c>
      <c r="P14" s="23"/>
      <c r="Q14" s="20">
        <f>Data!$K$11*(1+Data!$K$10)^'mortality risk'!E13*Data!$K$12</f>
        <v>55.204040159999998</v>
      </c>
      <c r="R14" s="20">
        <f>$Q14*$H14*($G13*(1-Data!$K$8)^$E13)</f>
        <v>21.992228442978323</v>
      </c>
      <c r="S14" s="23"/>
      <c r="T14" s="20">
        <f>C13*Data!$K$6</f>
        <v>1464.0729398811413</v>
      </c>
      <c r="U14" s="20">
        <f>$T14*$H14*($G13*(1-Data!$K$8)^$E13)</f>
        <v>583.25851618337299</v>
      </c>
      <c r="V14" s="22"/>
      <c r="W14" s="20">
        <f t="shared" si="1"/>
        <v>7310.5739819210266</v>
      </c>
    </row>
    <row r="15" spans="2:23" x14ac:dyDescent="0.75">
      <c r="B15" s="15">
        <v>7</v>
      </c>
      <c r="C15" s="20">
        <f>$C$8*EXP(Data!N11*'mortality risk'!B15)</f>
        <v>107123.26556068068</v>
      </c>
      <c r="E15" s="15">
        <v>7</v>
      </c>
      <c r="F15" s="31">
        <f>Data!C11*(1+$C$2)</f>
        <v>1.4886243999999998E-2</v>
      </c>
      <c r="G15" s="31">
        <f t="shared" si="0"/>
        <v>0.92333281381670163</v>
      </c>
      <c r="H15" s="15">
        <f>EXP(-Data!N11*'mortality risk'!E15)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20">
        <f>K15*H15*(G14*(1-Data!$K$8)^E14)*((1-F15)*Data!$K$8)</f>
        <v>5119.3421515881955</v>
      </c>
      <c r="M15" s="23"/>
      <c r="N15" s="20">
        <f>MAX(Data!$K$3*Data!$H$3,'mortality risk'!I15)-Data!$K$4</f>
        <v>109980.00000000001</v>
      </c>
      <c r="O15" s="20">
        <f>N15*H15*(G14*(1-Data!$K$8)^E14)*(F15)</f>
        <v>540.25710367538068</v>
      </c>
      <c r="P15" s="23"/>
      <c r="Q15" s="20">
        <f>Data!$K$11*(1+Data!$K$10)^'mortality risk'!E14*Data!$K$12</f>
        <v>56.308120963200004</v>
      </c>
      <c r="R15" s="20">
        <f>$Q15*$H15*($G14*(1-Data!$K$8)^$E14)</f>
        <v>18.581153553999581</v>
      </c>
      <c r="S15" s="23"/>
      <c r="T15" s="20">
        <f>C14*Data!$K$6</f>
        <v>1481.495775641708</v>
      </c>
      <c r="U15" s="20">
        <f>$T15*$H15*($G14*(1-Data!$K$8)^$E14)</f>
        <v>488.87975705655424</v>
      </c>
      <c r="V15" s="22"/>
      <c r="W15" s="20">
        <f t="shared" si="1"/>
        <v>6167.0601658741298</v>
      </c>
    </row>
    <row r="16" spans="2:23" x14ac:dyDescent="0.75">
      <c r="B16" s="15">
        <v>8</v>
      </c>
      <c r="C16" s="20">
        <f>$C$8*EXP(Data!N12*'mortality risk'!B16)</f>
        <v>108545.5809829549</v>
      </c>
      <c r="E16" s="15">
        <v>8</v>
      </c>
      <c r="F16" s="31">
        <f>Data!C12*(1+$C$2)</f>
        <v>1.64289E-2</v>
      </c>
      <c r="G16" s="31">
        <f t="shared" si="0"/>
        <v>0.90816347135178843</v>
      </c>
      <c r="H16" s="15">
        <f>EXP(-Data!N12*'mortality risk'!E16)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20">
        <f>K16*H16*(G15*(1-Data!$K$8)^E15)*((1-F16)*Data!$K$8)</f>
        <v>4280.0449145513585</v>
      </c>
      <c r="M16" s="23"/>
      <c r="N16" s="20">
        <f>MAX(Data!$K$3*Data!$H$3,'mortality risk'!I16)-Data!$K$4</f>
        <v>109980.00000000001</v>
      </c>
      <c r="O16" s="20">
        <f>N16*H16*(G15*(1-Data!$K$8)^E15)*(F16)</f>
        <v>492.72069532793165</v>
      </c>
      <c r="P16" s="23"/>
      <c r="Q16" s="20">
        <f>Data!$K$11*(1+Data!$K$10)^'mortality risk'!E15*Data!$K$12</f>
        <v>57.434283382463988</v>
      </c>
      <c r="R16" s="20">
        <f>$Q16*$H16*($G15*(1-Data!$K$8)^$E15)</f>
        <v>15.66209338598429</v>
      </c>
      <c r="S16" s="23"/>
      <c r="T16" s="20">
        <f>C15*Data!$K$6</f>
        <v>1499.7257178495295</v>
      </c>
      <c r="U16" s="20">
        <f>$T16*$H16*($G15*(1-Data!$K$8)^$E15)</f>
        <v>408.96904885024378</v>
      </c>
      <c r="V16" s="22"/>
      <c r="W16" s="20">
        <f t="shared" si="1"/>
        <v>5197.3967521155182</v>
      </c>
    </row>
    <row r="17" spans="2:23" x14ac:dyDescent="0.75">
      <c r="B17" s="15">
        <v>9</v>
      </c>
      <c r="C17" s="20">
        <f>$C$8*EXP(Data!N13*'mortality risk'!B17)</f>
        <v>110079.20872612453</v>
      </c>
      <c r="E17" s="15">
        <v>9</v>
      </c>
      <c r="F17" s="31">
        <f>Data!C13*(1+$C$2)</f>
        <v>1.8206822999999997E-2</v>
      </c>
      <c r="G17" s="31">
        <f t="shared" si="0"/>
        <v>0.89162869977382087</v>
      </c>
      <c r="H17" s="15">
        <f>EXP(-Data!N13*'mortality risk'!E17)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20">
        <f>K17*H17*(G16*(1-Data!$K$8)^E16)*((1-F17)*Data!$K$8)</f>
        <v>3571.8708139126488</v>
      </c>
      <c r="M17" s="23"/>
      <c r="N17" s="20">
        <f>MAX(Data!$K$3*Data!$H$3,'mortality risk'!I17)-Data!$K$4</f>
        <v>109980.00000000001</v>
      </c>
      <c r="O17" s="20">
        <f>N17*H17*(G16*(1-Data!$K$8)^E16)*(F17)</f>
        <v>450.15079515699261</v>
      </c>
      <c r="P17" s="23"/>
      <c r="Q17" s="20">
        <f>Data!$K$11*(1+Data!$K$10)^'mortality risk'!E16*Data!$K$12</f>
        <v>58.582969050113277</v>
      </c>
      <c r="R17" s="20">
        <f>$Q17*$H17*($G16*(1-Data!$K$8)^$E16)</f>
        <v>13.169870802979558</v>
      </c>
      <c r="S17" s="23"/>
      <c r="T17" s="20">
        <f>C16*Data!$K$6</f>
        <v>1519.6381337613686</v>
      </c>
      <c r="U17" s="20">
        <f>$T17*$H17*($G16*(1-Data!$K$8)^$E16)</f>
        <v>341.6255306520606</v>
      </c>
      <c r="V17" s="22"/>
      <c r="W17" s="20">
        <f t="shared" si="1"/>
        <v>4376.8170105246809</v>
      </c>
    </row>
    <row r="18" spans="2:23" x14ac:dyDescent="0.75">
      <c r="B18" s="15">
        <v>10</v>
      </c>
      <c r="C18" s="20">
        <f>$C$8*EXP(Data!N14*'mortality risk'!B18)</f>
        <v>111728.3172950561</v>
      </c>
      <c r="E18" s="15">
        <v>10</v>
      </c>
      <c r="F18" s="31">
        <f>Data!C14*(1+$C$2)</f>
        <v>2.0053343499999998E-2</v>
      </c>
      <c r="G18" s="31">
        <f t="shared" si="0"/>
        <v>0.87374856318279803</v>
      </c>
      <c r="H18" s="15">
        <f>EXP(-Data!N14*'mortality risk'!E18)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20">
        <f>K18*H18*(G17*(1-Data!$K$8)^E17)*((1-F18)*Data!$K$8)</f>
        <v>2975.2648398213373</v>
      </c>
      <c r="M18" s="23"/>
      <c r="N18" s="20">
        <f>MAX(Data!$K$3*Data!$H$3,'mortality risk'!I18)-Data!$K$4</f>
        <v>109980.00000000001</v>
      </c>
      <c r="O18" s="20">
        <f>N18*H18*(G17*(1-Data!$K$8)^E17)*(F18)</f>
        <v>407.65391815736757</v>
      </c>
      <c r="P18" s="23"/>
      <c r="Q18" s="20">
        <f>Data!$K$11*(1+Data!$K$10)^'mortality risk'!E17*Data!$K$12</f>
        <v>59.754628431115542</v>
      </c>
      <c r="R18" s="20">
        <f>$Q18*$H18*($G17*(1-Data!$K$8)^$E17)</f>
        <v>11.044922241508994</v>
      </c>
      <c r="S18" s="23"/>
      <c r="T18" s="20">
        <f>C17*Data!$K$6</f>
        <v>1541.1089221657435</v>
      </c>
      <c r="U18" s="20">
        <f>$T18*$H18*($G17*(1-Data!$K$8)^$E17)</f>
        <v>284.85539376482745</v>
      </c>
      <c r="V18" s="22"/>
      <c r="W18" s="20">
        <f t="shared" si="1"/>
        <v>3678.8190739850415</v>
      </c>
    </row>
    <row r="19" spans="2:23" x14ac:dyDescent="0.75">
      <c r="B19" s="15">
        <v>11</v>
      </c>
      <c r="C19" s="20">
        <f>$C$8*EXP(Data!N15*'mortality risk'!B19)</f>
        <v>113397.59534384529</v>
      </c>
      <c r="E19" s="15">
        <v>11</v>
      </c>
      <c r="F19" s="31">
        <f>Data!C15*(1+$C$2)</f>
        <v>2.2313369499999999E-2</v>
      </c>
      <c r="G19" s="31">
        <f t="shared" si="0"/>
        <v>0.85425228864240621</v>
      </c>
      <c r="H19" s="15">
        <f>EXP(-Data!N15*'mortality risk'!E19)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20">
        <f>K19*H19*(G18*(1-Data!$K$8)^E18)*((1-F19)*Data!$K$8)</f>
        <v>2472.5498167583423</v>
      </c>
      <c r="M19" s="23"/>
      <c r="N19" s="20">
        <f>MAX(Data!$K$3*Data!$H$3,'mortality risk'!I19)-Data!$K$4</f>
        <v>111143.02899794416</v>
      </c>
      <c r="O19" s="20">
        <f>N19*H19*(G18*(1-Data!$K$8)^E18)*(F19)</f>
        <v>376.20041669364718</v>
      </c>
      <c r="P19" s="23"/>
      <c r="Q19" s="20">
        <f>Data!$K$11*(1+Data!$K$10)^'mortality risk'!E18*Data!$K$12</f>
        <v>60.949720999737856</v>
      </c>
      <c r="R19" s="20">
        <f>$Q19*$H19*($G18*(1-Data!$K$8)^$E18)</f>
        <v>9.2457811311371589</v>
      </c>
      <c r="S19" s="23"/>
      <c r="T19" s="20">
        <f>C18*Data!$K$6</f>
        <v>1564.1964421307855</v>
      </c>
      <c r="U19" s="20">
        <f>$T19*$H19*($G18*(1-Data!$K$8)^$E18)</f>
        <v>237.28111815486236</v>
      </c>
      <c r="V19" s="22"/>
      <c r="W19" s="20">
        <f t="shared" si="1"/>
        <v>3095.2771327379887</v>
      </c>
    </row>
    <row r="20" spans="2:23" x14ac:dyDescent="0.75">
      <c r="B20" s="15">
        <v>12</v>
      </c>
      <c r="C20" s="20">
        <f>$C$8*EXP(Data!N16*'mortality risk'!B20)</f>
        <v>115073.4000410945</v>
      </c>
      <c r="E20" s="15">
        <v>12</v>
      </c>
      <c r="F20" s="31">
        <f>Data!C16*(1+$C$2)</f>
        <v>2.4319739999999996E-2</v>
      </c>
      <c r="G20" s="31">
        <f t="shared" si="0"/>
        <v>0.83347709508821788</v>
      </c>
      <c r="H20" s="15">
        <f>EXP(-Data!N16*'mortality risk'!E20)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20">
        <f>K20*H20*(G19*(1-Data!$K$8)^E19)*((1-F20)*Data!$K$8)</f>
        <v>2050.5541176358961</v>
      </c>
      <c r="M20" s="23"/>
      <c r="N20" s="20">
        <f>MAX(Data!$K$3*Data!$H$3,'mortality risk'!I20)-Data!$K$4</f>
        <v>112785.4481342176</v>
      </c>
      <c r="O20" s="20">
        <f>N20*H20*(G19*(1-Data!$K$8)^E19)*(F20)</f>
        <v>340.74648592244347</v>
      </c>
      <c r="P20" s="23"/>
      <c r="Q20" s="20">
        <f>Data!$K$11*(1+Data!$K$10)^'mortality risk'!E19*Data!$K$12</f>
        <v>62.1687154197326</v>
      </c>
      <c r="R20" s="20">
        <f>$Q20*$H20*($G19*(1-Data!$K$8)^$E19)</f>
        <v>7.7230933157037907</v>
      </c>
      <c r="S20" s="23"/>
      <c r="T20" s="20">
        <f>C19*Data!$K$6</f>
        <v>1587.5663348138339</v>
      </c>
      <c r="U20" s="20">
        <f>$T20*$H20*($G19*(1-Data!$K$8)^$E19)</f>
        <v>197.22014305519042</v>
      </c>
      <c r="V20" s="22"/>
      <c r="W20" s="20">
        <f t="shared" si="1"/>
        <v>2596.2438399292337</v>
      </c>
    </row>
    <row r="21" spans="2:23" x14ac:dyDescent="0.75">
      <c r="B21" s="15">
        <v>13</v>
      </c>
      <c r="C21" s="20">
        <f>$C$8*EXP(Data!N17*'mortality risk'!B21)</f>
        <v>116776.30550507811</v>
      </c>
      <c r="E21" s="15">
        <v>13</v>
      </c>
      <c r="F21" s="31">
        <f>Data!C17*(1+$C$2)</f>
        <v>2.6794528499999998E-2</v>
      </c>
      <c r="G21" s="31">
        <f t="shared" si="0"/>
        <v>0.81114446930977946</v>
      </c>
      <c r="H21" s="15">
        <f>EXP(-Data!N17*'mortality risk'!E21)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20">
        <f>K21*H21*(G20*(1-Data!$K$8)^E20)*((1-F21)*Data!$K$8)</f>
        <v>1696.273982431924</v>
      </c>
      <c r="M21" s="23"/>
      <c r="N21" s="20">
        <f>MAX(Data!$K$3*Data!$H$3,'mortality risk'!I21)-Data!$K$4</f>
        <v>114454.83750425623</v>
      </c>
      <c r="O21" s="20">
        <f>N21*H21*(G20*(1-Data!$K$8)^E20)*(F21)</f>
        <v>311.34817122107728</v>
      </c>
      <c r="P21" s="23"/>
      <c r="Q21" s="20">
        <f>Data!$K$11*(1+Data!$K$10)^'mortality risk'!E20*Data!$K$12</f>
        <v>63.412089728127263</v>
      </c>
      <c r="R21" s="20">
        <f>$Q21*$H21*($G20*(1-Data!$K$8)^$E20)</f>
        <v>6.4378093644068537</v>
      </c>
      <c r="S21" s="23"/>
      <c r="T21" s="20">
        <f>C20*Data!$K$6</f>
        <v>1611.027600575323</v>
      </c>
      <c r="U21" s="20">
        <f>$T21*$H21*($G20*(1-Data!$K$8)^$E20)</f>
        <v>163.5569592134307</v>
      </c>
      <c r="V21" s="22"/>
      <c r="W21" s="20">
        <f t="shared" si="1"/>
        <v>2177.616922230839</v>
      </c>
    </row>
    <row r="22" spans="2:23" x14ac:dyDescent="0.75">
      <c r="B22" s="15">
        <v>14</v>
      </c>
      <c r="C22" s="20">
        <f>$C$8*EXP(Data!N18*'mortality risk'!B22)</f>
        <v>118426.22418666462</v>
      </c>
      <c r="E22" s="15">
        <v>14</v>
      </c>
      <c r="F22" s="31">
        <f>Data!C18*(1+$C$2)</f>
        <v>2.9175131999999996E-2</v>
      </c>
      <c r="G22" s="31">
        <f t="shared" si="0"/>
        <v>0.78747922234659673</v>
      </c>
      <c r="H22" s="15">
        <f>EXP(-Data!N18*'mortality risk'!E22)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20">
        <f>K22*H22*(G21*(1-Data!$K$8)^E21)*((1-F22)*Data!$K$8)</f>
        <v>1399.7520451461587</v>
      </c>
      <c r="M22" s="23"/>
      <c r="N22" s="20">
        <f>MAX(Data!$K$3*Data!$H$3,'mortality risk'!I22)-Data!$K$4</f>
        <v>116070.69807656306</v>
      </c>
      <c r="O22" s="20">
        <f>N22*H22*(G21*(1-Data!$K$8)^E21)*(F22)</f>
        <v>280.43472467242935</v>
      </c>
      <c r="P22" s="23"/>
      <c r="Q22" s="20">
        <f>Data!$K$11*(1+Data!$K$10)^'mortality risk'!E21*Data!$K$12</f>
        <v>64.680331522689798</v>
      </c>
      <c r="R22" s="20">
        <f>$Q22*$H22*($G21*(1-Data!$K$8)^$E21)</f>
        <v>5.3563457168403188</v>
      </c>
      <c r="S22" s="23"/>
      <c r="T22" s="20">
        <f>C21*Data!$K$6</f>
        <v>1634.8682770710936</v>
      </c>
      <c r="U22" s="20">
        <f>$T22*$H22*($G21*(1-Data!$K$8)^$E21)</f>
        <v>135.38767485160378</v>
      </c>
      <c r="V22" s="22"/>
      <c r="W22" s="20">
        <f t="shared" si="1"/>
        <v>1820.9307903870322</v>
      </c>
    </row>
    <row r="23" spans="2:23" x14ac:dyDescent="0.75">
      <c r="B23" s="15">
        <v>15</v>
      </c>
      <c r="C23" s="20">
        <f>$C$8*EXP(Data!N19*'mortality risk'!B23)</f>
        <v>119865.48862989599</v>
      </c>
      <c r="E23" s="15">
        <v>15</v>
      </c>
      <c r="F23" s="31">
        <f>Data!C19*(1+$C$2)</f>
        <v>3.2448906E-2</v>
      </c>
      <c r="G23" s="31">
        <f t="shared" si="0"/>
        <v>0.76192638308371896</v>
      </c>
      <c r="H23" s="15">
        <f>EXP(-Data!N19*'mortality risk'!E23)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20">
        <f>K23*H23*(G22*(1-Data!$K$8)^E22)*((1-F23)*Data!$K$8)</f>
        <v>1151.1390478868691</v>
      </c>
      <c r="M23" s="23"/>
      <c r="N23" s="20">
        <f>MAX(Data!$K$3*Data!$H$3,'mortality risk'!I23)-Data!$K$4</f>
        <v>117476.9641461627</v>
      </c>
      <c r="O23" s="20">
        <f>N23*H23*(G22*(1-Data!$K$8)^E22)*(F23)</f>
        <v>257.37281810022608</v>
      </c>
      <c r="P23" s="23"/>
      <c r="Q23" s="20">
        <f>Data!$K$11*(1+Data!$K$10)^'mortality risk'!E22*Data!$K$12</f>
        <v>65.973938153143607</v>
      </c>
      <c r="R23" s="20">
        <f>$Q23*$H23*($G22*(1-Data!$K$8)^$E22)</f>
        <v>4.4543292198599369</v>
      </c>
      <c r="S23" s="23"/>
      <c r="T23" s="20">
        <f>C22*Data!$K$6</f>
        <v>1657.9671386133048</v>
      </c>
      <c r="U23" s="20">
        <f>$T23*$H23*($G22*(1-Data!$K$8)^$E22)</f>
        <v>111.94013390484434</v>
      </c>
      <c r="V23" s="22"/>
      <c r="W23" s="20">
        <f t="shared" si="1"/>
        <v>1524.9063291117996</v>
      </c>
    </row>
    <row r="24" spans="2:23" x14ac:dyDescent="0.75">
      <c r="B24" s="15">
        <v>16</v>
      </c>
      <c r="C24" s="20">
        <f>$C$8*EXP(Data!N20*'mortality risk'!B24)</f>
        <v>121031.42056620093</v>
      </c>
      <c r="E24" s="15">
        <v>16</v>
      </c>
      <c r="F24" s="31">
        <f>Data!C20*(1+$C$2)</f>
        <v>3.6219583499999999E-2</v>
      </c>
      <c r="G24" s="31">
        <f t="shared" si="0"/>
        <v>0.73432972683076525</v>
      </c>
      <c r="H24" s="15">
        <f>EXP(-Data!N20*'mortality risk'!E24)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20">
        <f>K24*H24*(G23*(1-Data!$K$8)^E23)*((1-F24)*Data!$K$8)</f>
        <v>942.98434103532509</v>
      </c>
      <c r="M24" s="23"/>
      <c r="N24" s="20">
        <f>MAX(Data!$K$3*Data!$H$3,'mortality risk'!I24)-Data!$K$4</f>
        <v>118614.11079360302</v>
      </c>
      <c r="O24" s="20">
        <f>N24*H24*(G23*(1-Data!$K$8)^E23)*(F24)</f>
        <v>236.25367697588635</v>
      </c>
      <c r="P24" s="23"/>
      <c r="Q24" s="20">
        <f>Data!$K$11*(1+Data!$K$10)^'mortality risk'!E23*Data!$K$12</f>
        <v>67.293416916206468</v>
      </c>
      <c r="R24" s="20">
        <f>$Q24*$H24*($G23*(1-Data!$K$8)^$E23)</f>
        <v>3.7005932118100073</v>
      </c>
      <c r="S24" s="23"/>
      <c r="T24" s="20">
        <f>C23*Data!$K$6</f>
        <v>1678.116840818544</v>
      </c>
      <c r="U24" s="20">
        <f>$T24*$H24*($G23*(1-Data!$K$8)^$E23)</f>
        <v>92.282842428552328</v>
      </c>
      <c r="V24" s="22"/>
      <c r="W24" s="20">
        <f t="shared" si="1"/>
        <v>1275.2214536515737</v>
      </c>
    </row>
    <row r="25" spans="2:23" x14ac:dyDescent="0.75">
      <c r="B25" s="15">
        <v>17</v>
      </c>
      <c r="C25" s="20">
        <f>$C$8*EXP(Data!N21*'mortality risk'!B25)</f>
        <v>122047.48447157405</v>
      </c>
      <c r="E25" s="15">
        <v>17</v>
      </c>
      <c r="F25" s="31">
        <f>Data!C21*(1+$C$2)</f>
        <v>4.1010862999999995E-2</v>
      </c>
      <c r="G25" s="31">
        <f t="shared" si="0"/>
        <v>0.7042142310068813</v>
      </c>
      <c r="H25" s="15">
        <f>EXP(-Data!N21*'mortality risk'!E25)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20">
        <f>K25*H25*(G24*(1-Data!$K$8)^E24)*((1-F25)*Data!$K$8)</f>
        <v>768.64553712125837</v>
      </c>
      <c r="M25" s="23"/>
      <c r="N25" s="20">
        <f>MAX(Data!$K$3*Data!$H$3,'mortality risk'!I25)-Data!$K$4</f>
        <v>119606.85606025002</v>
      </c>
      <c r="O25" s="20">
        <f>N25*H25*(G24*(1-Data!$K$8)^E24)*(F25)</f>
        <v>219.13919982489045</v>
      </c>
      <c r="P25" s="23"/>
      <c r="Q25" s="20">
        <f>Data!$K$11*(1+Data!$K$10)^'mortality risk'!E24*Data!$K$12</f>
        <v>68.639285254530606</v>
      </c>
      <c r="R25" s="20">
        <f>$Q25*$H25*($G24*(1-Data!$K$8)^$E24)</f>
        <v>3.0664637909752881</v>
      </c>
      <c r="S25" s="23"/>
      <c r="T25" s="20">
        <f>C24*Data!$K$6</f>
        <v>1694.4398879268131</v>
      </c>
      <c r="U25" s="20">
        <f>$T25*$H25*($G24*(1-Data!$K$8)^$E24)</f>
        <v>75.699193880647741</v>
      </c>
      <c r="V25" s="22"/>
      <c r="W25" s="20">
        <f t="shared" si="1"/>
        <v>1066.5503946177719</v>
      </c>
    </row>
    <row r="26" spans="2:23" x14ac:dyDescent="0.75">
      <c r="B26" s="15">
        <v>18</v>
      </c>
      <c r="C26" s="20">
        <f>$C$8*EXP(Data!N22*'mortality risk'!B26)</f>
        <v>123064.69417332573</v>
      </c>
      <c r="E26" s="15">
        <v>18</v>
      </c>
      <c r="F26" s="31">
        <f>Data!C22*(1+$C$2)</f>
        <v>4.5340681999999993E-2</v>
      </c>
      <c r="G26" s="31">
        <f t="shared" si="0"/>
        <v>0.67228467749892373</v>
      </c>
      <c r="H26" s="15">
        <f>EXP(-Data!N22*'mortality risk'!E26)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20">
        <f>K26*H26*(G25*(1-Data!$K$8)^E25)*((1-F26)*Data!$K$8)</f>
        <v>623.7255352800064</v>
      </c>
      <c r="M26" s="23"/>
      <c r="N26" s="20">
        <f>MAX(Data!$K$3*Data!$H$3,'mortality risk'!I26)-Data!$K$4</f>
        <v>120603.74448389425</v>
      </c>
      <c r="O26" s="20">
        <f>N26*H26*(G25*(1-Data!$K$8)^E25)*(F26)</f>
        <v>197.48853939963359</v>
      </c>
      <c r="P26" s="23"/>
      <c r="Q26" s="20">
        <f>Data!$K$11*(1+Data!$K$10)^'mortality risk'!E25*Data!$K$12</f>
        <v>70.012070959621227</v>
      </c>
      <c r="R26" s="20">
        <f>$Q26*$H26*($G25*(1-Data!$K$8)^$E25)</f>
        <v>2.5285176053873943</v>
      </c>
      <c r="S26" s="23"/>
      <c r="T26" s="20">
        <f>C25*Data!$K$6</f>
        <v>1708.6647826020367</v>
      </c>
      <c r="U26" s="20">
        <f>$T26*$H26*($G25*(1-Data!$K$8)^$E25)</f>
        <v>61.709201360525618</v>
      </c>
      <c r="V26" s="22"/>
      <c r="W26" s="20">
        <f t="shared" si="1"/>
        <v>885.45179364555304</v>
      </c>
    </row>
    <row r="27" spans="2:23" x14ac:dyDescent="0.75">
      <c r="B27" s="15">
        <v>19</v>
      </c>
      <c r="C27" s="20">
        <f>$C$8*EXP(Data!N23*'mortality risk'!B27)</f>
        <v>124255.5318588017</v>
      </c>
      <c r="E27" s="15">
        <v>19</v>
      </c>
      <c r="F27" s="31">
        <f>Data!C23*(1+$C$2)</f>
        <v>5.1103814999999997E-2</v>
      </c>
      <c r="G27" s="31">
        <f t="shared" si="0"/>
        <v>0.63792836571268408</v>
      </c>
      <c r="H27" s="15">
        <f>EXP(-Data!N23*'mortality risk'!E27)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20">
        <f>K27*H27*(G26*(1-Data!$K$8)^E26)*((1-F27)*Data!$K$8)</f>
        <v>503.08749624842505</v>
      </c>
      <c r="M27" s="23"/>
      <c r="N27" s="20">
        <f>MAX(Data!$K$3*Data!$H$3,'mortality risk'!I27)-Data!$K$4</f>
        <v>121774.23797533519</v>
      </c>
      <c r="O27" s="20">
        <f>N27*H27*(G26*(1-Data!$K$8)^E26)*(F27)</f>
        <v>180.62875400918389</v>
      </c>
      <c r="P27" s="23"/>
      <c r="Q27" s="20">
        <f>Data!$K$11*(1+Data!$K$10)^'mortality risk'!E26*Data!$K$12</f>
        <v>71.412312378813638</v>
      </c>
      <c r="R27" s="20">
        <f>$Q27*$H27*($G26*(1-Data!$K$8)^$E26)</f>
        <v>2.0727705967125494</v>
      </c>
      <c r="S27" s="23"/>
      <c r="T27" s="20">
        <f>C26*Data!$K$6</f>
        <v>1722.9057184265603</v>
      </c>
      <c r="U27" s="20">
        <f>$T27*$H27*($G26*(1-Data!$K$8)^$E26)</f>
        <v>50.008019557170542</v>
      </c>
      <c r="V27" s="22"/>
      <c r="W27" s="20">
        <f t="shared" si="1"/>
        <v>735.79704041149205</v>
      </c>
    </row>
    <row r="28" spans="2:23" x14ac:dyDescent="0.75">
      <c r="B28" s="15">
        <v>20</v>
      </c>
      <c r="C28" s="20">
        <f>$C$8*EXP(Data!N24*'mortality risk'!B28)</f>
        <v>125709.05957472016</v>
      </c>
      <c r="E28" s="15">
        <v>20</v>
      </c>
      <c r="F28" s="31">
        <f>Data!C24*(1+$C$2)</f>
        <v>5.6649402499999994E-2</v>
      </c>
      <c r="G28" s="31">
        <f t="shared" si="0"/>
        <v>0.60179010495725904</v>
      </c>
      <c r="H28" s="15">
        <f>EXP(-Data!N24*'mortality risk'!E28)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20">
        <f>K28*H28*(G27*(1-Data!$K$8)^E27)*((1-F28)*Data!$K$8)</f>
        <v>403.4167634080161</v>
      </c>
      <c r="M28" s="23"/>
      <c r="N28" s="20">
        <f>MAX(Data!$K$3*Data!$H$3,'mortality risk'!I28)-Data!$K$4</f>
        <v>123203.94893754412</v>
      </c>
      <c r="O28" s="20">
        <f>N28*H28*(G27*(1-Data!$K$8)^E27)*(F28)</f>
        <v>161.50459624881915</v>
      </c>
      <c r="P28" s="23"/>
      <c r="Q28" s="20">
        <f>Data!$K$11*(1+Data!$K$10)^'mortality risk'!E27*Data!$K$12</f>
        <v>72.840558626389907</v>
      </c>
      <c r="R28" s="20">
        <f>$Q28*$H28*($G27*(1-Data!$K$8)^$E27)</f>
        <v>1.6855366204430589</v>
      </c>
      <c r="S28" s="23"/>
      <c r="T28" s="20">
        <f>C27*Data!$K$6</f>
        <v>1739.5774460232237</v>
      </c>
      <c r="U28" s="20">
        <f>$T28*$H28*($G27*(1-Data!$K$8)^$E27)</f>
        <v>40.253967633722311</v>
      </c>
      <c r="V28" s="22"/>
      <c r="W28" s="20">
        <f t="shared" si="1"/>
        <v>606.86086391100048</v>
      </c>
    </row>
    <row r="29" spans="2:23" x14ac:dyDescent="0.75">
      <c r="B29" s="15">
        <v>21</v>
      </c>
      <c r="C29" s="20">
        <f>$C$8*EXP(Data!N25*'mortality risk'!B29)</f>
        <v>127583.38948511923</v>
      </c>
      <c r="E29" s="15">
        <v>21</v>
      </c>
      <c r="F29" s="31">
        <f>Data!C25*(1+$C$2)</f>
        <v>6.2769552999999992E-2</v>
      </c>
      <c r="G29" s="31">
        <f t="shared" si="0"/>
        <v>0.56401600906926885</v>
      </c>
      <c r="H29" s="15">
        <f>EXP(-Data!N25*'mortality risk'!E29)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20">
        <f>K29*H29*(G28*(1-Data!$K$8)^E28)*((1-F29)*Data!$K$8)</f>
        <v>321.40158579474098</v>
      </c>
      <c r="M29" s="23"/>
      <c r="N29" s="20">
        <f>MAX(Data!$K$3*Data!$H$3,'mortality risk'!I29)-Data!$K$4</f>
        <v>125049.20829362483</v>
      </c>
      <c r="O29" s="20">
        <f>N29*H29*(G28*(1-Data!$K$8)^E28)*(F29)</f>
        <v>143.50247895028133</v>
      </c>
      <c r="P29" s="23"/>
      <c r="Q29" s="20">
        <f>Data!$K$11*(1+Data!$K$10)^'mortality risk'!E28*Data!$K$12</f>
        <v>74.297369798917714</v>
      </c>
      <c r="R29" s="20">
        <f>$Q29*$H29*($G28*(1-Data!$K$8)^$E28)</f>
        <v>1.3583223934143556</v>
      </c>
      <c r="S29" s="23"/>
      <c r="T29" s="20">
        <f>C28*Data!$K$6</f>
        <v>1759.9268340460821</v>
      </c>
      <c r="U29" s="20">
        <f>$T29*$H29*($G28*(1-Data!$K$8)^$E28)</f>
        <v>32.175405884831832</v>
      </c>
      <c r="V29" s="22"/>
      <c r="W29" s="20">
        <f t="shared" si="1"/>
        <v>498.43779302326851</v>
      </c>
    </row>
    <row r="30" spans="2:23" x14ac:dyDescent="0.75">
      <c r="B30" s="15">
        <v>22</v>
      </c>
      <c r="C30" s="20">
        <f>$C$8*EXP(Data!N26*'mortality risk'!B30)</f>
        <v>129812.38113746731</v>
      </c>
      <c r="E30" s="15">
        <v>22</v>
      </c>
      <c r="F30" s="31">
        <f>Data!C26*(1+$C$2)</f>
        <v>6.9324886500000002E-2</v>
      </c>
      <c r="G30" s="31">
        <f t="shared" si="0"/>
        <v>0.52491566325635886</v>
      </c>
      <c r="H30" s="15">
        <f>EXP(-Data!N26*'mortality risk'!E30)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20">
        <f>K30*H30*(G29*(1-Data!$K$8)^E29)*((1-F30)*Data!$K$8)</f>
        <v>254.2659527010542</v>
      </c>
      <c r="M30" s="23"/>
      <c r="N30" s="20">
        <f>MAX(Data!$K$3*Data!$H$3,'mortality risk'!I30)-Data!$K$4</f>
        <v>127240.71334776492</v>
      </c>
      <c r="O30" s="20">
        <f>N30*H30*(G29*(1-Data!$K$8)^E29)*(F30)</f>
        <v>126.26646367513477</v>
      </c>
      <c r="P30" s="23"/>
      <c r="Q30" s="20">
        <f>Data!$K$11*(1+Data!$K$10)^'mortality risk'!E29*Data!$K$12</f>
        <v>75.783317194896057</v>
      </c>
      <c r="R30" s="20">
        <f>$Q30*$H30*($G29*(1-Data!$K$8)^$E29)</f>
        <v>1.084791731662393</v>
      </c>
      <c r="S30" s="23"/>
      <c r="T30" s="20">
        <f>C29*Data!$K$6</f>
        <v>1786.1674527916693</v>
      </c>
      <c r="U30" s="20">
        <f>$T30*$H30*($G29*(1-Data!$K$8)^$E29)</f>
        <v>25.567892194132902</v>
      </c>
      <c r="V30" s="22"/>
      <c r="W30" s="20">
        <f t="shared" si="1"/>
        <v>407.18510030198428</v>
      </c>
    </row>
    <row r="31" spans="2:23" x14ac:dyDescent="0.75">
      <c r="B31" s="15">
        <v>23</v>
      </c>
      <c r="C31" s="20">
        <f>$C$8*EXP(Data!N27*'mortality risk'!B31)</f>
        <v>132392.39284358456</v>
      </c>
      <c r="E31" s="15">
        <v>23</v>
      </c>
      <c r="F31" s="31">
        <f>Data!C27*(1+$C$2)</f>
        <v>7.5527802499999991E-2</v>
      </c>
      <c r="G31" s="31">
        <f t="shared" si="0"/>
        <v>0.48526993671277607</v>
      </c>
      <c r="H31" s="15">
        <f>EXP(-Data!N27*'mortality risk'!E31)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20">
        <f>K31*H31*(G30*(1-Data!$K$8)^E30)*((1-F31)*Data!$K$8)</f>
        <v>199.81259038185081</v>
      </c>
      <c r="M31" s="23"/>
      <c r="N31" s="20">
        <f>MAX(Data!$K$3*Data!$H$3,'mortality risk'!I31)-Data!$K$4</f>
        <v>129776.14522083521</v>
      </c>
      <c r="O31" s="20">
        <f>N31*H31*(G30*(1-Data!$K$8)^E30)*(F31)</f>
        <v>108.82898663103622</v>
      </c>
      <c r="P31" s="23"/>
      <c r="Q31" s="20">
        <f>Data!$K$11*(1+Data!$K$10)^'mortality risk'!E30*Data!$K$12</f>
        <v>77.298983538793991</v>
      </c>
      <c r="R31" s="20">
        <f>$Q31*$H31*($G30*(1-Data!$K$8)^$E30)</f>
        <v>0.85825560690222524</v>
      </c>
      <c r="S31" s="23"/>
      <c r="T31" s="20">
        <f>C30*Data!$K$6</f>
        <v>1817.3733359245423</v>
      </c>
      <c r="U31" s="20">
        <f>$T31*$H31*($G30*(1-Data!$K$8)^$E30)</f>
        <v>20.178413531259938</v>
      </c>
      <c r="V31" s="22"/>
      <c r="W31" s="20">
        <f t="shared" si="1"/>
        <v>329.67824615104917</v>
      </c>
    </row>
    <row r="32" spans="2:23" x14ac:dyDescent="0.75">
      <c r="B32" s="15">
        <v>24</v>
      </c>
      <c r="C32" s="20">
        <f>$C$8*EXP(Data!N28*'mortality risk'!B32)</f>
        <v>135277.76538194629</v>
      </c>
      <c r="E32" s="15">
        <v>24</v>
      </c>
      <c r="F32" s="31">
        <f>Data!C28*(1+$C$2)</f>
        <v>8.4388932E-2</v>
      </c>
      <c r="G32" s="31">
        <f t="shared" si="0"/>
        <v>0.4443185250218773</v>
      </c>
      <c r="H32" s="15">
        <f>EXP(-Data!N28*'mortality risk'!E32)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20">
        <f>K32*H32*(G31*(1-Data!$K$8)^E31)*((1-F32)*Data!$K$8)</f>
        <v>155.51438079521819</v>
      </c>
      <c r="M32" s="23"/>
      <c r="N32" s="20">
        <f>MAX(Data!$K$3*Data!$H$3,'mortality risk'!I32)-Data!$K$4</f>
        <v>132609.91752507459</v>
      </c>
      <c r="O32" s="20">
        <f>N32*H32*(G31*(1-Data!$K$8)^E31)*(F32)</f>
        <v>95.555074016425593</v>
      </c>
      <c r="P32" s="23"/>
      <c r="Q32" s="20">
        <f>Data!$K$11*(1+Data!$K$10)^'mortality risk'!E31*Data!$K$12</f>
        <v>78.844963209569855</v>
      </c>
      <c r="R32" s="20">
        <f>$Q32*$H32*($G31*(1-Data!$K$8)^$E31)</f>
        <v>0.67323426616377935</v>
      </c>
      <c r="S32" s="23"/>
      <c r="T32" s="20">
        <f>C31*Data!$K$6</f>
        <v>1853.4934998101839</v>
      </c>
      <c r="U32" s="20">
        <f>$T32*$H32*($G31*(1-Data!$K$8)^$E31)</f>
        <v>15.826443255066261</v>
      </c>
      <c r="V32" s="22"/>
      <c r="W32" s="20">
        <f t="shared" si="1"/>
        <v>267.56913233287378</v>
      </c>
    </row>
    <row r="33" spans="2:23" x14ac:dyDescent="0.75">
      <c r="B33" s="15">
        <v>25</v>
      </c>
      <c r="C33" s="20">
        <f>$C$8*EXP(Data!N29*'mortality risk'!B33)</f>
        <v>138472.28343364102</v>
      </c>
      <c r="E33" s="15">
        <v>25</v>
      </c>
      <c r="F33" s="31">
        <f>Data!C29*(1+$C$2)</f>
        <v>9.57687225E-2</v>
      </c>
      <c r="G33" s="31">
        <f t="shared" si="0"/>
        <v>0.40176670749744781</v>
      </c>
      <c r="H33" s="15">
        <f>EXP(-Data!N29*'mortality risk'!E33)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20">
        <f>K33*H33*(G32*(1-Data!$K$8)^E32)*((1-F33)*Data!$K$8)</f>
        <v>119.53248244309725</v>
      </c>
      <c r="M33" s="23"/>
      <c r="N33" s="20">
        <f>MAX(Data!$K$3*Data!$H$3,'mortality risk'!I33)-Data!$K$4</f>
        <v>135746.7281260021</v>
      </c>
      <c r="O33" s="20">
        <f>N33*H33*(G32*(1-Data!$K$8)^E32)*(F33)</f>
        <v>84.399300825476416</v>
      </c>
      <c r="P33" s="23"/>
      <c r="Q33" s="20">
        <f>Data!$K$11*(1+Data!$K$10)^'mortality risk'!E32*Data!$K$12</f>
        <v>80.421862473761252</v>
      </c>
      <c r="R33" s="20">
        <f>$Q33*$H33*($G32*(1-Data!$K$8)^$E32)</f>
        <v>0.52210747448725559</v>
      </c>
      <c r="S33" s="23"/>
      <c r="T33" s="20">
        <f>C32*Data!$K$6</f>
        <v>1893.8887153472481</v>
      </c>
      <c r="U33" s="20">
        <f>$T33*$H33*($G32*(1-Data!$K$8)^$E32)</f>
        <v>12.295331439911365</v>
      </c>
      <c r="V33" s="22"/>
      <c r="W33" s="20">
        <f t="shared" si="1"/>
        <v>216.74922218297229</v>
      </c>
    </row>
    <row r="34" spans="2:23" x14ac:dyDescent="0.75">
      <c r="B34" s="15">
        <v>26</v>
      </c>
      <c r="C34" s="20">
        <f>$C$8*EXP(Data!N30*'mortality risk'!B34)</f>
        <v>141937.97777979009</v>
      </c>
      <c r="E34" s="15">
        <v>26</v>
      </c>
      <c r="F34" s="31">
        <f>Data!C30*(1+$C$2)</f>
        <v>0.110493518</v>
      </c>
      <c r="G34" s="31">
        <f t="shared" si="0"/>
        <v>0.35737409057077785</v>
      </c>
      <c r="H34" s="15">
        <f>EXP(-Data!N30*'mortality risk'!E34)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20">
        <f>K34*H34*(G33*(1-Data!$K$8)^E33)*((1-F34)*Data!$K$8)</f>
        <v>90.378989424072799</v>
      </c>
      <c r="M34" s="23"/>
      <c r="N34" s="20">
        <f>MAX(Data!$K$3*Data!$H$3,'mortality risk'!I34)-Data!$K$4</f>
        <v>139148.53211111727</v>
      </c>
      <c r="O34" s="20">
        <f>N34*H34*(G33*(1-Data!$K$8)^E33)*(F34)</f>
        <v>74.845191851381372</v>
      </c>
      <c r="P34" s="23"/>
      <c r="Q34" s="20">
        <f>Data!$K$11*(1+Data!$K$10)^'mortality risk'!E33*Data!$K$12</f>
        <v>82.030299723236482</v>
      </c>
      <c r="R34" s="20">
        <f>$Q34*$H34*($G33*(1-Data!$K$8)^$E33)</f>
        <v>0.39932157351330522</v>
      </c>
      <c r="S34" s="23"/>
      <c r="T34" s="20">
        <f>C33*Data!$K$6</f>
        <v>1938.6119680709742</v>
      </c>
      <c r="U34" s="20">
        <f>$T34*$H34*($G33*(1-Data!$K$8)^$E33)</f>
        <v>9.4371175545338328</v>
      </c>
      <c r="V34" s="22"/>
      <c r="W34" s="20">
        <f t="shared" si="1"/>
        <v>175.0606204035013</v>
      </c>
    </row>
    <row r="35" spans="2:23" x14ac:dyDescent="0.75">
      <c r="B35" s="15">
        <v>27</v>
      </c>
      <c r="C35" s="20">
        <f>$C$8*EXP(Data!N31*'mortality risk'!B35)</f>
        <v>145660.73517676292</v>
      </c>
      <c r="E35" s="15">
        <v>27</v>
      </c>
      <c r="F35" s="31">
        <f>Data!C31*(1+$C$2)</f>
        <v>0.12562419449999998</v>
      </c>
      <c r="G35" s="31">
        <f t="shared" si="0"/>
        <v>0.31247925830765383</v>
      </c>
      <c r="H35" s="15">
        <f>EXP(-Data!N31*'mortality risk'!E35)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20">
        <f>K35*H35*(G34*(1-Data!$K$8)^E34)*((1-F35)*Data!$K$8)</f>
        <v>67.173231434538224</v>
      </c>
      <c r="M35" s="23"/>
      <c r="N35" s="20">
        <f>MAX(Data!$K$3*Data!$H$3,'mortality risk'!I35)-Data!$K$4</f>
        <v>142801.9756211671</v>
      </c>
      <c r="O35" s="20">
        <f>N35*H35*(G34*(1-Data!$K$8)^E34)*(F35)</f>
        <v>64.339864223487993</v>
      </c>
      <c r="P35" s="23"/>
      <c r="Q35" s="20">
        <f>Data!$K$11*(1+Data!$K$10)^'mortality risk'!E34*Data!$K$12</f>
        <v>83.670905717701217</v>
      </c>
      <c r="R35" s="20">
        <f>$Q35*$H35*($G34*(1-Data!$K$8)^$E34)</f>
        <v>0.30008694642362493</v>
      </c>
      <c r="S35" s="23"/>
      <c r="T35" s="20">
        <f>C34*Data!$K$6</f>
        <v>1987.1316889170614</v>
      </c>
      <c r="U35" s="20">
        <f>$T35*$H35*($G34*(1-Data!$K$8)^$E34)</f>
        <v>7.1268773243670909</v>
      </c>
      <c r="V35" s="22"/>
      <c r="W35" s="20">
        <f t="shared" si="1"/>
        <v>138.94005992881691</v>
      </c>
    </row>
    <row r="36" spans="2:23" x14ac:dyDescent="0.75">
      <c r="B36" s="15">
        <v>28</v>
      </c>
      <c r="C36" s="20">
        <f>$C$8*EXP(Data!N32*'mortality risk'!B36)</f>
        <v>149660.61829700484</v>
      </c>
      <c r="E36" s="15">
        <v>28</v>
      </c>
      <c r="F36" s="31">
        <f>Data!C32*(1+$C$2)</f>
        <v>0.1422582315</v>
      </c>
      <c r="G36" s="31">
        <f t="shared" si="0"/>
        <v>0.26802651164037528</v>
      </c>
      <c r="H36" s="15">
        <f>EXP(-Data!N32*'mortality risk'!E36)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20">
        <f>K36*H36*(G35*(1-Data!$K$8)^E35)*((1-F36)*Data!$K$8)</f>
        <v>48.97604427690419</v>
      </c>
      <c r="M36" s="23"/>
      <c r="N36" s="20">
        <f>MAX(Data!$K$3*Data!$H$3,'mortality risk'!I36)-Data!$K$4</f>
        <v>146727.40359346959</v>
      </c>
      <c r="O36" s="20">
        <f>N36*H36*(G35*(1-Data!$K$8)^E35)*(F36)</f>
        <v>54.151849274964988</v>
      </c>
      <c r="P36" s="23"/>
      <c r="Q36" s="20">
        <f>Data!$K$11*(1+Data!$K$10)^'mortality risk'!E35*Data!$K$12</f>
        <v>85.344323832055224</v>
      </c>
      <c r="R36" s="20">
        <f>$Q36*$H36*($G35*(1-Data!$K$8)^$E35)</f>
        <v>0.22141105240194595</v>
      </c>
      <c r="S36" s="23"/>
      <c r="T36" s="20">
        <f>C35*Data!$K$6</f>
        <v>2039.2502924746809</v>
      </c>
      <c r="U36" s="20">
        <f>$T36*$H36*($G35*(1-Data!$K$8)^$E35)</f>
        <v>5.290481347726228</v>
      </c>
      <c r="V36" s="22"/>
      <c r="W36" s="20">
        <f t="shared" si="1"/>
        <v>108.63978595199735</v>
      </c>
    </row>
    <row r="37" spans="2:23" x14ac:dyDescent="0.75">
      <c r="B37" s="15">
        <v>29</v>
      </c>
      <c r="C37" s="20">
        <f>$C$8*EXP(Data!N33*'mortality risk'!B37)</f>
        <v>153870.32249936444</v>
      </c>
      <c r="E37" s="15">
        <v>29</v>
      </c>
      <c r="F37" s="31">
        <f>Data!C33*(1+$C$2)</f>
        <v>0.16046236350000001</v>
      </c>
      <c r="G37" s="31">
        <f t="shared" si="0"/>
        <v>0.22501834410190041</v>
      </c>
      <c r="H37" s="15">
        <f>EXP(-Data!N33*'mortality risk'!E37)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20">
        <f>K37*H37*(G36*(1-Data!$K$8)^E36)*((1-F37)*Data!$K$8)</f>
        <v>34.950228818809542</v>
      </c>
      <c r="M37" s="23"/>
      <c r="N37" s="20">
        <f>MAX(Data!$K$3*Data!$H$3,'mortality risk'!I37)-Data!$K$4</f>
        <v>150857.11013342434</v>
      </c>
      <c r="O37" s="20">
        <f>N37*H37*(G36*(1-Data!$K$8)^E36)*(F37)</f>
        <v>44.534007587893633</v>
      </c>
      <c r="P37" s="23"/>
      <c r="Q37" s="20">
        <f>Data!$K$11*(1+Data!$K$10)^'mortality risk'!E36*Data!$K$12</f>
        <v>87.051210308696341</v>
      </c>
      <c r="R37" s="20">
        <f>$Q37*$H37*($G36*(1-Data!$K$8)^$E36)</f>
        <v>0.16015025101574504</v>
      </c>
      <c r="S37" s="23"/>
      <c r="T37" s="20">
        <f>C36*Data!$K$6</f>
        <v>2095.2486561580677</v>
      </c>
      <c r="U37" s="20">
        <f>$T37*$H37*($G36*(1-Data!$K$8)^$E36)</f>
        <v>3.8546804465347608</v>
      </c>
      <c r="V37" s="22"/>
      <c r="W37" s="20">
        <f t="shared" si="1"/>
        <v>83.499067104253683</v>
      </c>
    </row>
    <row r="38" spans="2:23" x14ac:dyDescent="0.75">
      <c r="B38" s="15">
        <v>30</v>
      </c>
      <c r="C38" s="20">
        <f>$C$8*EXP(Data!N34*'mortality risk'!B38)</f>
        <v>158391.55855160882</v>
      </c>
      <c r="E38" s="15">
        <v>30</v>
      </c>
      <c r="F38" s="31">
        <f>Data!C34*(1+$C$2)</f>
        <v>0.18012959450000002</v>
      </c>
      <c r="G38" s="31">
        <f t="shared" si="0"/>
        <v>0.18448588102376362</v>
      </c>
      <c r="H38" s="15">
        <f>EXP(-Data!N34*'mortality risk'!E38)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20">
        <f>K38*H38*(G37*(1-Data!$K$8)^E37)*((1-F38)*Data!$K$8)</f>
        <v>24.35714093041744</v>
      </c>
      <c r="M38" s="23"/>
      <c r="N38" s="20">
        <f>MAX(Data!$K$3*Data!$H$3,'mortality risk'!I38)-Data!$K$4</f>
        <v>155294.15210162153</v>
      </c>
      <c r="O38" s="20">
        <f>N38*H38*(G37*(1-Data!$K$8)^E37)*(F38)</f>
        <v>35.675897796715439</v>
      </c>
      <c r="P38" s="23"/>
      <c r="Q38" s="20">
        <f>Data!$K$11*(1+Data!$K$10)^'mortality risk'!E37*Data!$K$12</f>
        <v>88.792234514870259</v>
      </c>
      <c r="R38" s="20">
        <f>$Q38*$H38*($G37*(1-Data!$K$8)^$E37)</f>
        <v>0.11324257165989368</v>
      </c>
      <c r="S38" s="23"/>
      <c r="T38" s="20">
        <f>C37*Data!$K$6</f>
        <v>2154.1845149911023</v>
      </c>
      <c r="U38" s="20">
        <f>$T38*$H38*($G37*(1-Data!$K$8)^$E37)</f>
        <v>2.7473730742372413</v>
      </c>
      <c r="V38" s="22"/>
      <c r="W38" s="20">
        <f t="shared" si="1"/>
        <v>62.89365437303001</v>
      </c>
    </row>
    <row r="39" spans="2:23" x14ac:dyDescent="0.75">
      <c r="B39" s="15">
        <v>31</v>
      </c>
      <c r="C39" s="20">
        <f>$C$8*EXP(Data!N35*'mortality risk'!B39)</f>
        <v>163097.82692897582</v>
      </c>
      <c r="E39" s="15">
        <v>31</v>
      </c>
      <c r="F39" s="31">
        <f>Data!C35*(1+$C$2)</f>
        <v>0.19930424599999999</v>
      </c>
      <c r="G39" s="31">
        <f t="shared" si="0"/>
        <v>0.1477170616086767</v>
      </c>
      <c r="H39" s="15">
        <f>EXP(-Data!N35*'mortality risk'!E39)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20">
        <f>K39*H39*(G38*(1-Data!$K$8)^E38)*((1-F39)*Data!$K$8)</f>
        <v>16.577427134121013</v>
      </c>
      <c r="M39" s="23"/>
      <c r="N39" s="20">
        <f>MAX(Data!$K$3*Data!$H$3,'mortality risk'!I39)-Data!$K$4</f>
        <v>159909.99575794363</v>
      </c>
      <c r="O39" s="20">
        <f>N39*H39*(G38*(1-Data!$K$8)^E38)*(F39)</f>
        <v>27.509005753896126</v>
      </c>
      <c r="P39" s="23"/>
      <c r="Q39" s="20">
        <f>Data!$K$11*(1+Data!$K$10)^'mortality risk'!E38*Data!$K$12</f>
        <v>90.568079205167678</v>
      </c>
      <c r="R39" s="20">
        <f>$Q39*$H39*($G38*(1-Data!$K$8)^$E38)</f>
        <v>7.8173199726486869E-2</v>
      </c>
      <c r="S39" s="23"/>
      <c r="T39" s="20">
        <f>C38*Data!$K$6</f>
        <v>2217.4818197225236</v>
      </c>
      <c r="U39" s="20">
        <f>$T39*$H39*($G38*(1-Data!$K$8)^$E38)</f>
        <v>1.914003815740982</v>
      </c>
      <c r="V39" s="22"/>
      <c r="W39" s="20">
        <f t="shared" si="1"/>
        <v>46.078609903484612</v>
      </c>
    </row>
    <row r="40" spans="2:23" x14ac:dyDescent="0.75">
      <c r="B40" s="15">
        <v>32</v>
      </c>
      <c r="C40" s="20">
        <f>$C$8*EXP(Data!N36*'mortality risk'!B40)</f>
        <v>168095.14964088646</v>
      </c>
      <c r="E40" s="15">
        <v>32</v>
      </c>
      <c r="F40" s="31">
        <f>Data!C36*(1+$C$2)</f>
        <v>0.22097374199999997</v>
      </c>
      <c r="G40" s="31">
        <f t="shared" si="0"/>
        <v>0.11507546974776288</v>
      </c>
      <c r="H40" s="15">
        <f>EXP(-Data!N36*'mortality risk'!E40)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20">
        <f>K40*H40*(G39*(1-Data!$K$8)^E39)*((1-F40)*Data!$K$8)</f>
        <v>10.977349812677469</v>
      </c>
      <c r="M40" s="23"/>
      <c r="N40" s="20">
        <f>MAX(Data!$K$3*Data!$H$3,'mortality risk'!I40)-Data!$K$4</f>
        <v>164813.19310230695</v>
      </c>
      <c r="O40" s="20">
        <f>N40*H40*(G39*(1-Data!$K$8)^E39)*(F40)</f>
        <v>20.758445049746012</v>
      </c>
      <c r="P40" s="23"/>
      <c r="Q40" s="20">
        <f>Data!$K$11*(1+Data!$K$10)^'mortality risk'!E39*Data!$K$12</f>
        <v>92.379440789271001</v>
      </c>
      <c r="R40" s="20">
        <f>$Q40*$H40*($G39*(1-Data!$K$8)^$E39)</f>
        <v>5.2654743807953271E-2</v>
      </c>
      <c r="S40" s="23"/>
      <c r="T40" s="20">
        <f>C39*Data!$K$6</f>
        <v>2283.3695770056615</v>
      </c>
      <c r="U40" s="20">
        <f>$T40*$H40*($G39*(1-Data!$K$8)^$E39)</f>
        <v>1.3014826574926761</v>
      </c>
      <c r="V40" s="22"/>
      <c r="W40" s="20">
        <f t="shared" si="1"/>
        <v>33.089932263724108</v>
      </c>
    </row>
    <row r="41" spans="2:23" x14ac:dyDescent="0.75">
      <c r="B41" s="15">
        <v>33</v>
      </c>
      <c r="C41" s="20">
        <f>$C$8*EXP(Data!N37*'mortality risk'!B41)</f>
        <v>173344.36861859259</v>
      </c>
      <c r="E41" s="15">
        <v>33</v>
      </c>
      <c r="F41" s="31">
        <f>Data!C37*(1+$C$2)</f>
        <v>0.24169108399999997</v>
      </c>
      <c r="G41" s="31">
        <f t="shared" si="0"/>
        <v>8.7262754722616867E-2</v>
      </c>
      <c r="H41" s="15">
        <f>EXP(-Data!N37*'mortality risk'!E41)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20">
        <f>K41*H41*(G40*(1-Data!$K$8)^E40)*((1-F41)*Data!$K$8)</f>
        <v>7.0756947016311784</v>
      </c>
      <c r="M41" s="23"/>
      <c r="N41" s="20">
        <f>MAX(Data!$K$3*Data!$H$3,'mortality risk'!I41)-Data!$K$4</f>
        <v>169962.46562577487</v>
      </c>
      <c r="O41" s="20">
        <f>N41*H41*(G40*(1-Data!$K$8)^E40)*(F41)</f>
        <v>15.034614402364888</v>
      </c>
      <c r="P41" s="23"/>
      <c r="Q41" s="20">
        <f>Data!$K$11*(1+Data!$K$10)^'mortality risk'!E40*Data!$K$12</f>
        <v>94.227029605056444</v>
      </c>
      <c r="R41" s="20">
        <f>$Q41*$H41*($G40*(1-Data!$K$8)^$E40)</f>
        <v>3.4486898792570608E-2</v>
      </c>
      <c r="S41" s="23"/>
      <c r="T41" s="20">
        <f>C40*Data!$K$6</f>
        <v>2353.3320949724107</v>
      </c>
      <c r="U41" s="20">
        <f>$T41*$H41*($G40*(1-Data!$K$8)^$E40)</f>
        <v>0.86131470051419812</v>
      </c>
      <c r="V41" s="22"/>
      <c r="W41" s="20">
        <f t="shared" si="1"/>
        <v>23.006110703302838</v>
      </c>
    </row>
    <row r="42" spans="2:23" x14ac:dyDescent="0.75">
      <c r="B42" s="15">
        <v>34</v>
      </c>
      <c r="C42" s="20">
        <f>$C$8*EXP(Data!N38*'mortality risk'!B42)</f>
        <v>178793.26352376863</v>
      </c>
      <c r="E42" s="15">
        <v>34</v>
      </c>
      <c r="F42" s="31">
        <f>Data!C38*(1+$C$2)</f>
        <v>0.26388557800000001</v>
      </c>
      <c r="G42" s="31">
        <f t="shared" si="0"/>
        <v>6.4235372254766887E-2</v>
      </c>
      <c r="H42" s="15">
        <f>EXP(-Data!N38*'mortality risk'!E42)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20">
        <f>K42*H42*(G41*(1-Data!$K$8)^E41)*((1-F42)*Data!$K$8)</f>
        <v>4.4272761678352763</v>
      </c>
      <c r="M42" s="23"/>
      <c r="N42" s="20">
        <f>MAX(Data!$K$3*Data!$H$3,'mortality risk'!I42)-Data!$K$4</f>
        <v>175306.37615139678</v>
      </c>
      <c r="O42" s="20">
        <f>N42*H42*(G41*(1-Data!$K$8)^E41)*(F42)</f>
        <v>10.580731252265716</v>
      </c>
      <c r="P42" s="23"/>
      <c r="Q42" s="20">
        <f>Data!$K$11*(1+Data!$K$10)^'mortality risk'!E41*Data!$K$12</f>
        <v>96.111570197157576</v>
      </c>
      <c r="R42" s="20">
        <f>$Q42*$H42*($G41*(1-Data!$K$8)^$E41)</f>
        <v>2.1982545873908556E-2</v>
      </c>
      <c r="S42" s="23"/>
      <c r="T42" s="20">
        <f>C41*Data!$K$6</f>
        <v>2426.8211606602963</v>
      </c>
      <c r="U42" s="20">
        <f>$T42*$H42*($G41*(1-Data!$K$8)^$E41)</f>
        <v>0.55506020120733268</v>
      </c>
      <c r="V42" s="22"/>
      <c r="W42" s="20">
        <f t="shared" si="1"/>
        <v>15.585050167182233</v>
      </c>
    </row>
    <row r="43" spans="2:23" x14ac:dyDescent="0.75">
      <c r="B43" s="15">
        <v>35</v>
      </c>
      <c r="C43" s="20">
        <f>$C$8*EXP(Data!N39*'mortality risk'!B43)</f>
        <v>184503.82334224999</v>
      </c>
      <c r="E43" s="15">
        <v>35</v>
      </c>
      <c r="F43" s="31">
        <f>Data!C39*(1+$C$2)</f>
        <v>0.28836359249999993</v>
      </c>
      <c r="G43" s="31">
        <f t="shared" si="0"/>
        <v>4.571222954580749E-2</v>
      </c>
      <c r="H43" s="15">
        <f>EXP(-Data!N39*'mortality risk'!E43)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20">
        <f>K43*H43*(G42*(1-Data!$K$8)^E42)*((1-F43)*Data!$K$8)</f>
        <v>2.6780546717887064</v>
      </c>
      <c r="M43" s="23"/>
      <c r="N43" s="20">
        <f>MAX(Data!$K$3*Data!$H$3,'mortality risk'!I43)-Data!$K$4</f>
        <v>180907.95807177463</v>
      </c>
      <c r="O43" s="20">
        <f>N43*H43*(G42*(1-Data!$K$8)^E42)*(F43)</f>
        <v>7.2345321096517905</v>
      </c>
      <c r="P43" s="23"/>
      <c r="Q43" s="20">
        <f>Data!$K$11*(1+Data!$K$10)^'mortality risk'!E42*Data!$K$12</f>
        <v>98.03380160110072</v>
      </c>
      <c r="R43" s="20">
        <f>$Q43*$H43*($G42*(1-Data!$K$8)^$E42)</f>
        <v>1.3595281163246742E-2</v>
      </c>
      <c r="S43" s="23"/>
      <c r="T43" s="20">
        <f>C42*Data!$K$6</f>
        <v>2503.1056893327609</v>
      </c>
      <c r="U43" s="20">
        <f>$T43*$H43*($G42*(1-Data!$K$8)^$E42)</f>
        <v>0.34712951116872065</v>
      </c>
      <c r="V43" s="22"/>
      <c r="W43" s="20">
        <f t="shared" si="1"/>
        <v>10.273311573772464</v>
      </c>
    </row>
    <row r="44" spans="2:23" x14ac:dyDescent="0.75">
      <c r="B44" s="15">
        <v>36</v>
      </c>
      <c r="C44" s="20">
        <f>$C$8*EXP(Data!N40*'mortality risk'!B44)</f>
        <v>190484.37800634195</v>
      </c>
      <c r="E44" s="15">
        <v>36</v>
      </c>
      <c r="F44" s="31">
        <f>Data!C40*(1+$C$2)</f>
        <v>0.31608096149999998</v>
      </c>
      <c r="G44" s="31">
        <f t="shared" si="0"/>
        <v>3.1263464078659951E-2</v>
      </c>
      <c r="H44" s="15">
        <f>EXP(-Data!N40*'mortality risk'!E44)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20">
        <f>K44*H44*(G43*(1-Data!$K$8)^E43)*((1-F44)*Data!$K$8)</f>
        <v>1.5568562457480051</v>
      </c>
      <c r="M44" s="23"/>
      <c r="N44" s="20">
        <f>MAX(Data!$K$3*Data!$H$3,'mortality risk'!I44)-Data!$K$4</f>
        <v>186774.30153949696</v>
      </c>
      <c r="O44" s="20">
        <f>N44*H44*(G43*(1-Data!$K$8)^E43)*(F44)</f>
        <v>4.7967921286179127</v>
      </c>
      <c r="P44" s="23"/>
      <c r="Q44" s="20">
        <f>Data!$K$11*(1+Data!$K$10)^'mortality risk'!E43*Data!$K$12</f>
        <v>99.994477633122742</v>
      </c>
      <c r="R44" s="20">
        <f>$Q44*$H44*($G43*(1-Data!$K$8)^$E43)</f>
        <v>8.1247771115404831E-3</v>
      </c>
      <c r="S44" s="23"/>
      <c r="T44" s="20">
        <f>C43*Data!$K$6</f>
        <v>2583.0535267914997</v>
      </c>
      <c r="U44" s="20">
        <f>$T44*$H44*($G43*(1-Data!$K$8)^$E43)</f>
        <v>0.20987893200821858</v>
      </c>
      <c r="V44" s="22"/>
      <c r="W44" s="20">
        <f t="shared" si="1"/>
        <v>6.5716520834856773</v>
      </c>
    </row>
    <row r="45" spans="2:23" x14ac:dyDescent="0.75">
      <c r="B45" s="15">
        <v>37</v>
      </c>
      <c r="C45" s="20">
        <f>$C$8*EXP(Data!N41*'mortality risk'!B45)</f>
        <v>196743.36937910231</v>
      </c>
      <c r="E45" s="15">
        <v>37</v>
      </c>
      <c r="F45" s="31">
        <f>Data!C41*(1+$C$2)</f>
        <v>0.33865954399999998</v>
      </c>
      <c r="G45" s="31">
        <f t="shared" si="0"/>
        <v>2.0675793589920593E-2</v>
      </c>
      <c r="H45" s="15">
        <f>EXP(-Data!N41*'mortality risk'!E45)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20">
        <f>K45*H45*(G44*(1-Data!$K$8)^E44)*((1-F45)*Data!$K$8)</f>
        <v>0.87518063126515933</v>
      </c>
      <c r="M45" s="23"/>
      <c r="N45" s="20">
        <f>MAX(Data!$K$3*Data!$H$3,'mortality risk'!I45)-Data!$K$4</f>
        <v>192913.68181897548</v>
      </c>
      <c r="O45" s="20">
        <f>N45*H45*(G44*(1-Data!$K$8)^E44)*(F45)</f>
        <v>2.9877528365600847</v>
      </c>
      <c r="P45" s="23"/>
      <c r="Q45" s="20">
        <f>Data!$K$11*(1+Data!$K$10)^'mortality risk'!E44*Data!$K$12</f>
        <v>101.99436718578518</v>
      </c>
      <c r="R45" s="20">
        <f>$Q45*$H45*($G44*(1-Data!$K$8)^$E44)</f>
        <v>4.6643862466486698E-3</v>
      </c>
      <c r="S45" s="23"/>
      <c r="T45" s="20">
        <f>C44*Data!$K$6</f>
        <v>2666.7812920887873</v>
      </c>
      <c r="U45" s="20">
        <f>$T45*$H45*($G44*(1-Data!$K$8)^$E44)</f>
        <v>0.12195671510938597</v>
      </c>
      <c r="V45" s="22"/>
      <c r="W45" s="20">
        <f t="shared" si="1"/>
        <v>3.989554569181279</v>
      </c>
    </row>
    <row r="46" spans="2:23" x14ac:dyDescent="0.75">
      <c r="B46" s="15">
        <v>38</v>
      </c>
      <c r="C46" s="20">
        <f>$C$8*EXP(Data!N42*'mortality risk'!B46)</f>
        <v>203212.08472099825</v>
      </c>
      <c r="E46" s="15">
        <v>38</v>
      </c>
      <c r="F46" s="31">
        <f>Data!C42*(1+$C$2)</f>
        <v>0.36256451349999996</v>
      </c>
      <c r="G46" s="31">
        <f t="shared" si="0"/>
        <v>1.3179484545764616E-2</v>
      </c>
      <c r="H46" s="15">
        <f>EXP(-Data!N42*'mortality risk'!E46)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20">
        <f>K46*H46*(G45*(1-Data!$K$8)^E45)*((1-F46)*Data!$K$8)</f>
        <v>0.47419226493808642</v>
      </c>
      <c r="M46" s="23"/>
      <c r="N46" s="20">
        <f>MAX(Data!$K$3*Data!$H$3,'mortality risk'!I46)-Data!$K$4</f>
        <v>199257.21733341619</v>
      </c>
      <c r="O46" s="20">
        <f>N46*H46*(G45*(1-Data!$K$8)^E45)*(F46)</f>
        <v>1.7980934696805106</v>
      </c>
      <c r="P46" s="23"/>
      <c r="Q46" s="20">
        <f>Data!$K$11*(1+Data!$K$10)^'mortality risk'!E45*Data!$K$12</f>
        <v>104.0342545295009</v>
      </c>
      <c r="R46" s="20">
        <f>$Q46*$H46*($G45*(1-Data!$K$8)^$E45)</f>
        <v>2.589341116508602E-3</v>
      </c>
      <c r="S46" s="23"/>
      <c r="T46" s="20">
        <f>C45*Data!$K$6</f>
        <v>2754.4071713074322</v>
      </c>
      <c r="U46" s="20">
        <f>$T46*$H46*($G45*(1-Data!$K$8)^$E45)</f>
        <v>6.8555302025546258E-2</v>
      </c>
      <c r="V46" s="22"/>
      <c r="W46" s="20">
        <f t="shared" si="1"/>
        <v>2.3434303777606522</v>
      </c>
    </row>
    <row r="47" spans="2:23" x14ac:dyDescent="0.75">
      <c r="B47" s="15">
        <v>39</v>
      </c>
      <c r="C47" s="20">
        <f>$C$8*EXP(Data!N43*'mortality risk'!B47)</f>
        <v>209966.9602062176</v>
      </c>
      <c r="E47" s="15">
        <v>39</v>
      </c>
      <c r="F47" s="31">
        <f>Data!C43*(1+$C$2)</f>
        <v>0.38708462949999994</v>
      </c>
      <c r="G47" s="31">
        <f t="shared" si="0"/>
        <v>8.0779086533663454E-3</v>
      </c>
      <c r="H47" s="15">
        <f>EXP(-Data!N43*'mortality risk'!E47)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20">
        <f>K47*H47*(G46*(1-Data!$K$8)^E46)*((1-F47)*Data!$K$8)</f>
        <v>0.2470462735109108</v>
      </c>
      <c r="M47" s="23"/>
      <c r="N47" s="20">
        <f>MAX(Data!$K$3*Data!$H$3,'mortality risk'!I47)-Data!$K$4</f>
        <v>205882.71851179763</v>
      </c>
      <c r="O47" s="20">
        <f>N47*H47*(G46*(1-Data!$K$8)^E46)*(F47)</f>
        <v>1.0401415905463525</v>
      </c>
      <c r="P47" s="23"/>
      <c r="Q47" s="20">
        <f>Data!$K$11*(1+Data!$K$10)^'mortality risk'!E46*Data!$K$12</f>
        <v>106.11493962009094</v>
      </c>
      <c r="R47" s="20">
        <f>$Q47*$H47*($G46*(1-Data!$K$8)^$E46)</f>
        <v>1.3849789504019197E-3</v>
      </c>
      <c r="S47" s="23"/>
      <c r="T47" s="20">
        <f>C46*Data!$K$6</f>
        <v>2844.9691860939756</v>
      </c>
      <c r="U47" s="20">
        <f>$T47*$H47*($G46*(1-Data!$K$8)^$E46)</f>
        <v>3.713164660309743E-2</v>
      </c>
      <c r="V47" s="22"/>
      <c r="W47" s="20">
        <f t="shared" si="1"/>
        <v>1.3257044896107628</v>
      </c>
    </row>
    <row r="48" spans="2:23" x14ac:dyDescent="0.75">
      <c r="B48" s="15">
        <v>40</v>
      </c>
      <c r="C48" s="20">
        <f>$C$8*EXP(Data!N44*'mortality risk'!B48)</f>
        <v>217015.80521669541</v>
      </c>
      <c r="E48" s="15">
        <v>40</v>
      </c>
      <c r="F48" s="31">
        <f>Data!C44*(1+$C$2)</f>
        <v>0.41380023349999995</v>
      </c>
      <c r="G48" s="31">
        <f t="shared" si="0"/>
        <v>4.7352681664116813E-3</v>
      </c>
      <c r="H48" s="15">
        <f>EXP(-Data!N44*'mortality risk'!E48)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20">
        <f>K48*H48*(G47*(1-Data!$K$8)^E47)*((1-F48)*Data!$K$8)</f>
        <v>0.12309686353894074</v>
      </c>
      <c r="M48" s="23"/>
      <c r="N48" s="20">
        <f>MAX(Data!$K$3*Data!$H$3,'mortality risk'!I48)-Data!$K$4</f>
        <v>212796.46601257107</v>
      </c>
      <c r="O48" s="20">
        <f>N48*H48*(G47*(1-Data!$K$8)^E47)*(F48)</f>
        <v>0.57929638536776074</v>
      </c>
      <c r="P48" s="23"/>
      <c r="Q48" s="20">
        <f>Data!$K$11*(1+Data!$K$10)^'mortality risk'!E47*Data!$K$12</f>
        <v>108.23723841249272</v>
      </c>
      <c r="R48" s="20">
        <f>$Q48*$H48*($G47*(1-Data!$K$8)^$E47)</f>
        <v>7.1206949184120152E-4</v>
      </c>
      <c r="S48" s="23"/>
      <c r="T48" s="20">
        <f>C47*Data!$K$6</f>
        <v>2939.5374428870464</v>
      </c>
      <c r="U48" s="20">
        <f>$T48*$H48*($G47*(1-Data!$K$8)^$E47)</f>
        <v>1.933858405762108E-2</v>
      </c>
      <c r="V48" s="22"/>
      <c r="W48" s="20">
        <f t="shared" si="1"/>
        <v>0.72244390245616386</v>
      </c>
    </row>
    <row r="49" spans="2:23" x14ac:dyDescent="0.75">
      <c r="B49" s="15">
        <v>41</v>
      </c>
      <c r="C49" s="20">
        <f>$C$8*EXP(Data!N45*'mortality risk'!B49)</f>
        <v>224274.37394679774</v>
      </c>
      <c r="E49" s="15">
        <v>41</v>
      </c>
      <c r="F49" s="31">
        <f>Data!C45*(1+$C$2)</f>
        <v>0.44885110649999999</v>
      </c>
      <c r="G49" s="31">
        <f t="shared" si="0"/>
        <v>2.6098378103435716E-3</v>
      </c>
      <c r="H49" s="15">
        <f>EXP(-Data!N45*'mortality risk'!E49)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20">
        <f>K49*H49*(G48*(1-Data!$K$8)^E48)*((1-F49)*Data!$K$8)</f>
        <v>5.7668033958859381E-2</v>
      </c>
      <c r="M49" s="23"/>
      <c r="N49" s="20">
        <f>MAX(Data!$K$3*Data!$H$3,'mortality risk'!I49)-Data!$K$4</f>
        <v>219914.05784246384</v>
      </c>
      <c r="O49" s="20">
        <f>N49*H49*(G48*(1-Data!$K$8)^E48)*(F49)</f>
        <v>0.31309580354035021</v>
      </c>
      <c r="P49" s="23"/>
      <c r="Q49" s="20">
        <f>Data!$K$11*(1+Data!$K$10)^'mortality risk'!E48*Data!$K$12</f>
        <v>110.40198318074259</v>
      </c>
      <c r="R49" s="20">
        <f>$Q49*$H49*($G48*(1-Data!$K$8)^$E48)</f>
        <v>3.5018604006755393E-4</v>
      </c>
      <c r="S49" s="23"/>
      <c r="T49" s="20">
        <f>C48*Data!$K$6</f>
        <v>3038.221273033736</v>
      </c>
      <c r="U49" s="20">
        <f>$T49*$H49*($G48*(1-Data!$K$8)^$E48)</f>
        <v>9.6369888094389768E-3</v>
      </c>
      <c r="V49" s="22"/>
      <c r="W49" s="20">
        <f t="shared" si="1"/>
        <v>0.38075101234871611</v>
      </c>
    </row>
    <row r="50" spans="2:23" x14ac:dyDescent="0.75">
      <c r="B50" s="15">
        <v>42</v>
      </c>
      <c r="C50" s="20">
        <f>$C$8*EXP(Data!N46*'mortality risk'!B50)</f>
        <v>231928.7438676453</v>
      </c>
      <c r="E50" s="15">
        <v>42</v>
      </c>
      <c r="F50" s="31">
        <f>Data!C46*(1+$C$2)</f>
        <v>0.49169049249999996</v>
      </c>
      <c r="G50" s="31">
        <f t="shared" si="0"/>
        <v>1.3266053720306194E-3</v>
      </c>
      <c r="H50" s="15">
        <f>EXP(-Data!N46*'mortality risk'!E50)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20">
        <f>K50*H50*(G49*(1-Data!$K$8)^E49)*((1-F50)*Data!$K$8)</f>
        <v>2.4916627686677607E-2</v>
      </c>
      <c r="M50" s="23"/>
      <c r="N50" s="20">
        <f>MAX(Data!$K$3*Data!$H$3,'mortality risk'!I50)-Data!$K$4</f>
        <v>227423.25638870936</v>
      </c>
      <c r="O50" s="20">
        <f>N50*H50*(G49*(1-Data!$K$8)^E49)*(F50)</f>
        <v>0.16067991067039206</v>
      </c>
      <c r="P50" s="23"/>
      <c r="Q50" s="20">
        <f>Data!$K$11*(1+Data!$K$10)^'mortality risk'!E49*Data!$K$12</f>
        <v>112.61002284435745</v>
      </c>
      <c r="R50" s="20">
        <f>$Q50*$H50*($G49*(1-Data!$K$8)^$E49)</f>
        <v>1.6181245378733348E-4</v>
      </c>
      <c r="S50" s="23"/>
      <c r="T50" s="20">
        <f>C49*Data!$K$6</f>
        <v>3139.8412352551686</v>
      </c>
      <c r="U50" s="20">
        <f>$T50*$H50*($G49*(1-Data!$K$8)^$E49)</f>
        <v>4.5117246400127936E-3</v>
      </c>
      <c r="V50" s="22"/>
      <c r="W50" s="20">
        <f t="shared" si="1"/>
        <v>0.19027007545086977</v>
      </c>
    </row>
    <row r="51" spans="2:23" x14ac:dyDescent="0.75">
      <c r="B51" s="15">
        <v>43</v>
      </c>
      <c r="C51" s="20">
        <f>$C$8*EXP(Data!N47*'mortality risk'!B51)</f>
        <v>239796.38945322504</v>
      </c>
      <c r="E51" s="15">
        <v>43</v>
      </c>
      <c r="F51" s="31">
        <f>Data!C47*(1+$C$2)</f>
        <v>0.5299544424999999</v>
      </c>
      <c r="G51" s="31">
        <f t="shared" si="0"/>
        <v>6.2356496167862753E-4</v>
      </c>
      <c r="H51" s="15">
        <f>EXP(-Data!N47*'mortality risk'!E51)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20">
        <f>K51*H51*(G50*(1-Data!$K$8)^E50)*((1-F51)*Data!$K$8)</f>
        <v>9.9551470800315258E-3</v>
      </c>
      <c r="M51" s="23"/>
      <c r="N51" s="20">
        <f>MAX(Data!$K$3*Data!$H$3,'mortality risk'!I51)-Data!$K$4</f>
        <v>235137.81457587212</v>
      </c>
      <c r="O51" s="20">
        <f>N51*H51*(G50*(1-Data!$K$8)^E50)*(F51)</f>
        <v>7.4826426738484927E-2</v>
      </c>
      <c r="P51" s="23"/>
      <c r="Q51" s="20">
        <f>Data!$K$11*(1+Data!$K$10)^'mortality risk'!E50*Data!$K$12</f>
        <v>114.86222330124458</v>
      </c>
      <c r="R51" s="20">
        <f>$Q51*$H51*($G50*(1-Data!$K$8)^$E50)</f>
        <v>6.8971744416403954E-5</v>
      </c>
      <c r="S51" s="23"/>
      <c r="T51" s="20">
        <f>C50*Data!$K$6</f>
        <v>3247.0024141470344</v>
      </c>
      <c r="U51" s="20">
        <f>$T51*$H51*($G50*(1-Data!$K$8)^$E50)</f>
        <v>1.9497395591990885E-3</v>
      </c>
      <c r="V51" s="22"/>
      <c r="W51" s="20">
        <f t="shared" si="1"/>
        <v>8.6800285122131934E-2</v>
      </c>
    </row>
    <row r="52" spans="2:23" x14ac:dyDescent="0.75">
      <c r="B52" s="15">
        <v>44</v>
      </c>
      <c r="C52" s="20">
        <f>$C$8*EXP(Data!N48*'mortality risk'!B52)</f>
        <v>247975.55828064092</v>
      </c>
      <c r="E52" s="15">
        <v>44</v>
      </c>
      <c r="F52" s="31">
        <f>Data!C48*(1+$C$2)</f>
        <v>0.568811022</v>
      </c>
      <c r="G52" s="31">
        <f t="shared" si="0"/>
        <v>2.6887433854281656E-4</v>
      </c>
      <c r="H52" s="15">
        <f>EXP(-Data!N48*'mortality risk'!E52)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20">
        <f>K52*H52*(G51*(1-Data!$K$8)^E51)*((1-F52)*Data!$K$8)</f>
        <v>3.648690432036597E-3</v>
      </c>
      <c r="M52" s="23"/>
      <c r="N52" s="20">
        <f>MAX(Data!$K$3*Data!$H$3,'mortality risk'!I52)-Data!$K$4</f>
        <v>243159.63049157642</v>
      </c>
      <c r="O52" s="20">
        <f>N52*H52*(G51*(1-Data!$K$8)^E51)*(F52)</f>
        <v>3.208825579965479E-2</v>
      </c>
      <c r="P52" s="23"/>
      <c r="Q52" s="20">
        <f>Data!$K$11*(1+Data!$K$10)^'mortality risk'!E51*Data!$K$12</f>
        <v>117.15946776726946</v>
      </c>
      <c r="R52" s="20">
        <f>$Q52*$H52*($G51*(1-Data!$K$8)^$E51)</f>
        <v>2.7180911917021886E-5</v>
      </c>
      <c r="S52" s="23"/>
      <c r="T52" s="20">
        <f>C51*Data!$K$6</f>
        <v>3357.1494523451506</v>
      </c>
      <c r="U52" s="20">
        <f>$T52*$H52*($G51*(1-Data!$K$8)^$E51)</f>
        <v>7.7885624862802764E-4</v>
      </c>
      <c r="V52" s="22"/>
      <c r="W52" s="20">
        <f t="shared" si="1"/>
        <v>3.6542983392236439E-2</v>
      </c>
    </row>
    <row r="53" spans="2:23" x14ac:dyDescent="0.75">
      <c r="B53" s="15">
        <v>45</v>
      </c>
      <c r="C53" s="20">
        <f>$C$8*EXP(Data!N49*'mortality risk'!B53)</f>
        <v>256472.17674241067</v>
      </c>
      <c r="E53" s="15">
        <v>45</v>
      </c>
      <c r="F53" s="31">
        <f>Data!C49*(1+$C$2)</f>
        <v>0.60792721399999983</v>
      </c>
      <c r="G53" s="31">
        <f t="shared" si="0"/>
        <v>1.0541831099638931E-4</v>
      </c>
      <c r="H53" s="15">
        <f>EXP(-Data!N49*'mortality risk'!E53)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20">
        <f>K53*H53*(G52*(1-Data!$K$8)^E52)*((1-F53)*Data!$K$8)</f>
        <v>1.2159763000295371E-3</v>
      </c>
      <c r="M53" s="23"/>
      <c r="N53" s="20">
        <f>MAX(Data!$K$3*Data!$H$3,'mortality risk'!I53)-Data!$K$4</f>
        <v>251492.66557679785</v>
      </c>
      <c r="O53" s="20">
        <f>N53*H53*(G52*(1-Data!$K$8)^E52)*(F53)</f>
        <v>1.2569521285553413E-2</v>
      </c>
      <c r="P53" s="23"/>
      <c r="Q53" s="20">
        <f>Data!$K$11*(1+Data!$K$10)^'mortality risk'!E52*Data!$K$12</f>
        <v>119.50265712261488</v>
      </c>
      <c r="R53" s="20">
        <f>$Q53*$H53*($G52*(1-Data!$K$8)^$E52)</f>
        <v>9.8247020937717444E-6</v>
      </c>
      <c r="S53" s="23"/>
      <c r="T53" s="20">
        <f>C52*Data!$K$6</f>
        <v>3471.6578159289729</v>
      </c>
      <c r="U53" s="20">
        <f>$T53*$H53*($G52*(1-Data!$K$8)^$E52)</f>
        <v>2.8541627972355582E-4</v>
      </c>
      <c r="V53" s="22"/>
      <c r="W53" s="20">
        <f t="shared" si="1"/>
        <v>1.4080738567400277E-2</v>
      </c>
    </row>
    <row r="54" spans="2:23" x14ac:dyDescent="0.75">
      <c r="B54" s="15">
        <v>46</v>
      </c>
      <c r="C54" s="20">
        <f>$C$8*EXP(Data!N50*'mortality risk'!B54)</f>
        <v>265291.75588931283</v>
      </c>
      <c r="E54" s="15">
        <v>46</v>
      </c>
      <c r="F54" s="31">
        <f>Data!C50*(1+$C$2)</f>
        <v>0.64695134849999991</v>
      </c>
      <c r="G54" s="31">
        <f t="shared" si="0"/>
        <v>3.7217792540682875E-5</v>
      </c>
      <c r="H54" s="15">
        <f>EXP(-Data!N50*'mortality risk'!E54)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20">
        <f>K54*H54*(G53*(1-Data!$K$8)^E53)*((1-F54)*Data!$K$8)</f>
        <v>3.6490580223786127E-4</v>
      </c>
      <c r="M54" s="23"/>
      <c r="N54" s="20">
        <f>MAX(Data!$K$3*Data!$H$3,'mortality risk'!I54)-Data!$K$4</f>
        <v>260142.31235446461</v>
      </c>
      <c r="O54" s="20">
        <f>N54*H54*(G53*(1-Data!$K$8)^E53)*(F54)</f>
        <v>4.4578615408053957E-3</v>
      </c>
      <c r="P54" s="23"/>
      <c r="Q54" s="20">
        <f>Data!$K$11*(1+Data!$K$10)^'mortality risk'!E53*Data!$K$12</f>
        <v>121.89271026506717</v>
      </c>
      <c r="R54" s="20">
        <f>$Q54*$H54*($G53*(1-Data!$K$8)^$E53)</f>
        <v>3.2286553685489807E-6</v>
      </c>
      <c r="S54" s="23"/>
      <c r="T54" s="20">
        <f>C53*Data!$K$6</f>
        <v>3590.6104743937494</v>
      </c>
      <c r="U54" s="20">
        <f>$T54*$H54*($G53*(1-Data!$K$8)^$E53)</f>
        <v>9.5106949048141216E-5</v>
      </c>
      <c r="V54" s="22"/>
      <c r="W54" s="20">
        <f t="shared" si="1"/>
        <v>4.9211029474599474E-3</v>
      </c>
    </row>
    <row r="55" spans="2:23" x14ac:dyDescent="0.75">
      <c r="B55" s="15">
        <v>47</v>
      </c>
      <c r="C55" s="20">
        <f>$C$8*EXP(Data!N51*'mortality risk'!B55)</f>
        <v>274310.36545645952</v>
      </c>
      <c r="E55" s="15">
        <v>47</v>
      </c>
      <c r="F55" s="31">
        <f>Data!C51*(1+$C$2)</f>
        <v>0.68553449249999987</v>
      </c>
      <c r="G55" s="31">
        <f t="shared" si="0"/>
        <v>1.1703712019335559E-5</v>
      </c>
      <c r="H55" s="15">
        <f>EXP(-Data!N51*'mortality risk'!E55)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20">
        <f>K55*H55*(G54*(1-Data!$K$8)^E54)*((1-F55)*Data!$K$8)</f>
        <v>9.7537260620291229E-5</v>
      </c>
      <c r="M55" s="23"/>
      <c r="N55" s="20">
        <f>MAX(Data!$K$3*Data!$H$3,'mortality risk'!I55)-Data!$K$4</f>
        <v>268984.53033867327</v>
      </c>
      <c r="O55" s="20">
        <f>N55*H55*(G54*(1-Data!$K$8)^E54)*(F55)</f>
        <v>1.4175408720392341E-3</v>
      </c>
      <c r="P55" s="23"/>
      <c r="Q55" s="20">
        <f>Data!$K$11*(1+Data!$K$10)^'mortality risk'!E54*Data!$K$12</f>
        <v>124.33056447036851</v>
      </c>
      <c r="R55" s="20">
        <f>$Q55*$H55*($G54*(1-Data!$K$8)^$E54)</f>
        <v>9.5577767089005133E-7</v>
      </c>
      <c r="S55" s="23"/>
      <c r="T55" s="20">
        <f>C54*Data!$K$6</f>
        <v>3714.0845824503799</v>
      </c>
      <c r="U55" s="20">
        <f>$T55*$H55*($G54*(1-Data!$K$8)^$E54)</f>
        <v>2.8551620647946944E-5</v>
      </c>
      <c r="V55" s="22"/>
      <c r="W55" s="20">
        <f t="shared" si="1"/>
        <v>1.5445855309783624E-3</v>
      </c>
    </row>
    <row r="56" spans="2:23" x14ac:dyDescent="0.75">
      <c r="B56" s="15">
        <v>48</v>
      </c>
      <c r="C56" s="20">
        <f>$C$8*EXP(Data!N52*'mortality risk'!B56)</f>
        <v>283783.09205787984</v>
      </c>
      <c r="E56" s="15">
        <v>48</v>
      </c>
      <c r="F56" s="31">
        <f>Data!C52*(1+$C$2)</f>
        <v>0.72333395749999985</v>
      </c>
      <c r="G56" s="31">
        <f t="shared" si="0"/>
        <v>3.2380196869492544E-6</v>
      </c>
      <c r="H56" s="15">
        <f>EXP(-Data!N52*'mortality risk'!E56)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20">
        <f>K56*H56*(G55*(1-Data!$K$8)^E55)*((1-F56)*Data!$K$8)</f>
        <v>2.2937752851163623E-5</v>
      </c>
      <c r="M56" s="23"/>
      <c r="N56" s="20">
        <f>MAX(Data!$K$3*Data!$H$3,'mortality risk'!I56)-Data!$K$4</f>
        <v>278276.88474875066</v>
      </c>
      <c r="O56" s="20">
        <f>N56*H56*(G55*(1-Data!$K$8)^E55)*(F56)</f>
        <v>3.9979983077706595E-4</v>
      </c>
      <c r="P56" s="23"/>
      <c r="Q56" s="20">
        <f>Data!$K$11*(1+Data!$K$10)^'mortality risk'!E55*Data!$K$12</f>
        <v>126.81717575977585</v>
      </c>
      <c r="R56" s="20">
        <f>$Q56*$H56*($G55*(1-Data!$K$8)^$E55)</f>
        <v>2.5188638660162361E-7</v>
      </c>
      <c r="S56" s="23"/>
      <c r="T56" s="20">
        <f>C55*Data!$K$6</f>
        <v>3840.3451163904333</v>
      </c>
      <c r="U56" s="20">
        <f>$T56*$H56*($G55*(1-Data!$K$8)^$E55)</f>
        <v>7.6277574301382434E-6</v>
      </c>
      <c r="V56" s="22"/>
      <c r="W56" s="20">
        <f t="shared" si="1"/>
        <v>4.3061722744496949E-4</v>
      </c>
    </row>
    <row r="57" spans="2:23" x14ac:dyDescent="0.75">
      <c r="B57" s="15">
        <v>49</v>
      </c>
      <c r="C57" s="20">
        <f>$C$8*EXP(Data!N53*'mortality risk'!B57)</f>
        <v>293591.74679913622</v>
      </c>
      <c r="E57" s="15">
        <v>49</v>
      </c>
      <c r="F57" s="31">
        <f>Data!C53*(1+$C$2)</f>
        <v>0.76003458599999996</v>
      </c>
      <c r="G57" s="31">
        <f t="shared" si="0"/>
        <v>7.7701273471892838E-7</v>
      </c>
      <c r="H57" s="15">
        <f>EXP(-Data!N53*'mortality risk'!E57)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20">
        <f>K57*H57*(G56*(1-Data!$K$8)^E56)*((1-F57)*Data!$K$8)</f>
        <v>4.6786412564715713E-6</v>
      </c>
      <c r="M57" s="23"/>
      <c r="N57" s="20">
        <f>MAX(Data!$K$3*Data!$H$3,'mortality risk'!I57)-Data!$K$4</f>
        <v>287896.08495797863</v>
      </c>
      <c r="O57" s="20">
        <f>N57*H57*(G56*(1-Data!$K$8)^E56)*(F57)</f>
        <v>9.8790046758012956E-5</v>
      </c>
      <c r="P57" s="23"/>
      <c r="Q57" s="20">
        <f>Data!$K$11*(1+Data!$K$10)^'mortality risk'!E56*Data!$K$12</f>
        <v>129.35351927497138</v>
      </c>
      <c r="R57" s="20">
        <f>$Q57*$H57*($G56*(1-Data!$K$8)^$E56)</f>
        <v>5.8401274541842175E-8</v>
      </c>
      <c r="S57" s="23"/>
      <c r="T57" s="20">
        <f>C56*Data!$K$6</f>
        <v>3972.9632888103179</v>
      </c>
      <c r="U57" s="20">
        <f>$T57*$H57*($G56*(1-Data!$K$8)^$E56)</f>
        <v>1.7937364292443055E-6</v>
      </c>
      <c r="V57" s="22"/>
      <c r="W57" s="20">
        <f t="shared" si="1"/>
        <v>1.0532082571827067E-4</v>
      </c>
    </row>
    <row r="58" spans="2:23" x14ac:dyDescent="0.75">
      <c r="B58" s="15">
        <v>50</v>
      </c>
      <c r="C58" s="20">
        <f>$C$8*EXP(Data!N54*'mortality risk'!B58)</f>
        <v>303739.42705151613</v>
      </c>
      <c r="E58" s="15">
        <v>50</v>
      </c>
      <c r="F58" s="31">
        <f>Data!C54*(1+$C$2)</f>
        <v>0.7953473714999999</v>
      </c>
      <c r="G58" s="31">
        <f t="shared" si="0"/>
        <v>1.5901769853820197E-7</v>
      </c>
      <c r="H58" s="15">
        <f>EXP(-Data!N54*'mortality risk'!E58)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20">
        <f>K58*H58*(G57*(1-Data!$K$8)^E57)*(1-F58)</f>
        <v>5.4258245682235303E-6</v>
      </c>
      <c r="M58" s="24"/>
      <c r="N58" s="20">
        <f>MAX(Data!$K$3*Data!$H$3,'mortality risk'!I58)-Data!$K$4</f>
        <v>297847.59211553342</v>
      </c>
      <c r="O58" s="20">
        <f>N58*H58*(G57*(1-Data!$K$8)^E57)*(F58)</f>
        <v>2.1086537417997075E-5</v>
      </c>
      <c r="P58" s="24"/>
      <c r="Q58" s="20">
        <f>Data!$K$11*(1+Data!$K$10)^'mortality risk'!E57*Data!$K$12</f>
        <v>131.94058966047081</v>
      </c>
      <c r="R58" s="20">
        <f>$Q58*$H58*($G57*(1-Data!$K$8)^$E57)</f>
        <v>1.1744451747647237E-8</v>
      </c>
      <c r="S58" s="24"/>
      <c r="T58" s="20">
        <f>C57*Data!$K$6</f>
        <v>4110.284455187907</v>
      </c>
      <c r="U58" s="20">
        <f>$T58*$H58*($G57*(1-Data!$K$8)^$E57)</f>
        <v>3.6586949912291784E-7</v>
      </c>
      <c r="V58" s="25"/>
      <c r="W58" s="20">
        <f t="shared" si="1"/>
        <v>2.6889975937091171E-5</v>
      </c>
    </row>
    <row r="60" spans="2:23" x14ac:dyDescent="0.75">
      <c r="K60" s="43" t="s">
        <v>62</v>
      </c>
      <c r="L60" s="20">
        <f>SUM(L9:L58)</f>
        <v>88599.624502450359</v>
      </c>
      <c r="N60" s="43" t="s">
        <v>62</v>
      </c>
      <c r="O60" s="20">
        <f>SUM(O9:O58)</f>
        <v>9840.6779000597417</v>
      </c>
      <c r="P60" s="1"/>
      <c r="Q60" s="43" t="s">
        <v>62</v>
      </c>
      <c r="R60" s="20">
        <f>SUM(R9:R58)</f>
        <v>318.1653684855774</v>
      </c>
      <c r="S60" s="1"/>
      <c r="T60" s="43" t="s">
        <v>62</v>
      </c>
      <c r="U60" s="20">
        <f>SUM(U9:U58)</f>
        <v>8486.5540482130964</v>
      </c>
      <c r="V60" s="15" t="s">
        <v>15</v>
      </c>
      <c r="W60" s="20">
        <f>SUM(W9:W58)</f>
        <v>107245.02181920876</v>
      </c>
    </row>
    <row r="61" spans="2:23" x14ac:dyDescent="0.75">
      <c r="V61" s="15" t="s">
        <v>32</v>
      </c>
      <c r="W61" s="15">
        <f>SUMPRODUCT(W9:W58,E9:E58)/W60</f>
        <v>6.0867048621786921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9531-C04F-4E66-B67B-925B512F8128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2">
        <v>1.5</v>
      </c>
      <c r="V2" s="34" t="s">
        <v>34</v>
      </c>
      <c r="W2" s="35">
        <f>C8-W60</f>
        <v>-4477.5978450228868</v>
      </c>
    </row>
    <row r="3" spans="2:23" x14ac:dyDescent="0.75">
      <c r="V3" s="34" t="s">
        <v>40</v>
      </c>
      <c r="W3" s="35">
        <f>MAX('Caso base'!W2-'lapse risk (up)'!W2,0)</f>
        <v>0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20">
        <f>$C$8*EXP(Data!N5*'lapse risk (up)'!B9)</f>
        <v>99825.153035716154</v>
      </c>
      <c r="E9" s="15">
        <v>1</v>
      </c>
      <c r="F9" s="15">
        <f>Data!C5</f>
        <v>7.1098899999999998E-3</v>
      </c>
      <c r="G9" s="15">
        <f>Data!E5</f>
        <v>0.99289011000000005</v>
      </c>
      <c r="H9" s="15">
        <f>EXP(-Data!N5*'lapse risk (up)'!E9)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30">
        <f>K9*H9*(G8*(1-Data!$K$8*$C$2)^E8)*((1-F9)*Data!$K$8*$C$2)</f>
        <v>21887.968508625527</v>
      </c>
      <c r="M9" s="23"/>
      <c r="N9" s="20">
        <f>MAX(Data!$K$3*Data!$H$3,'lapse risk (up)'!I9)-Data!$K$4</f>
        <v>109980.00000000001</v>
      </c>
      <c r="O9" s="30">
        <f>N9*H9*(G8*(1-Data!$K$8*$C$2)^E8)*(F9)</f>
        <v>783.31530523196898</v>
      </c>
      <c r="P9" s="23"/>
      <c r="Q9" s="20">
        <f>Data!$K$11*(1+Data!$K$10)^'lapse risk (up)'!E8*Data!$K$12</f>
        <v>50</v>
      </c>
      <c r="R9" s="30">
        <f>$Q9*$H9*($G8*(1-Data!$K$8*$C$2)^$E8)</f>
        <v>50.087576607181006</v>
      </c>
      <c r="S9" s="23"/>
      <c r="T9" s="20">
        <f>C8*Data!$K$6</f>
        <v>1400</v>
      </c>
      <c r="U9" s="30">
        <f>$T9*$H9*($G8*(1-Data!$K$8*$C$2)^$E8)</f>
        <v>1402.4521450010682</v>
      </c>
      <c r="V9" s="22"/>
      <c r="W9" s="20">
        <f>O9+L9+R9+U9</f>
        <v>24123.823535465744</v>
      </c>
    </row>
    <row r="10" spans="2:23" x14ac:dyDescent="0.75">
      <c r="B10" s="15">
        <v>2</v>
      </c>
      <c r="C10" s="20">
        <f>$C$8*EXP(Data!N6*'lapse risk (up)'!B10)</f>
        <v>100875.81299504719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EXP(-Data!N6*'lapse risk (up)'!E10)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30">
        <f>K10*H10*(G9*(1-Data!$K$8*$C$2)^E9)*((1-F10)*Data!$K$8*$C$2)</f>
        <v>16832.951475821355</v>
      </c>
      <c r="M10" s="23"/>
      <c r="N10" s="20">
        <f>MAX(Data!$K$3*Data!$H$3,'lapse risk (up)'!I10)-Data!$K$4</f>
        <v>109980.00000000001</v>
      </c>
      <c r="O10" s="30">
        <f>N10*H10*(G9*(1-Data!$K$8*$C$2)^E9)*(F10)</f>
        <v>664.88976758008562</v>
      </c>
      <c r="P10" s="23"/>
      <c r="Q10" s="20">
        <f>Data!$K$11*(1+Data!$K$10)^'lapse risk (up)'!E9*Data!$K$12</f>
        <v>51</v>
      </c>
      <c r="R10" s="30">
        <f>$Q10*$H10*($G9*(1-Data!$K$8*$C$2)^$E9)</f>
        <v>38.903261775621878</v>
      </c>
      <c r="S10" s="23"/>
      <c r="T10" s="20">
        <f>C9*Data!$K$6</f>
        <v>1397.5521425000261</v>
      </c>
      <c r="U10" s="30">
        <f>$T10*$H10*($G9*(1-Data!$K$8*$C$2)^$E9)</f>
        <v>1066.0654283286219</v>
      </c>
      <c r="V10" s="22"/>
      <c r="W10" s="20">
        <f t="shared" ref="W10:W58" si="0">O10+L10+R10+U10</f>
        <v>18602.809933505683</v>
      </c>
    </row>
    <row r="11" spans="2:23" x14ac:dyDescent="0.75">
      <c r="B11" s="15">
        <v>3</v>
      </c>
      <c r="C11" s="20">
        <f>$C$8*EXP(Data!N7*'lapse risk (up)'!B11)</f>
        <v>102131.39657582495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EXP(-Data!N7*'lapse risk (up)'!E11)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30">
        <f>K11*H11*(G10*(1-Data!$K$8*$C$2)^E10)*((1-F11)*Data!$K$8*$C$2)</f>
        <v>12932.010627416283</v>
      </c>
      <c r="M11" s="23"/>
      <c r="N11" s="20">
        <f>MAX(Data!$K$3*Data!$H$3,'lapse risk (up)'!I11)-Data!$K$4</f>
        <v>109980.00000000001</v>
      </c>
      <c r="O11" s="30">
        <f>N11*H11*(G10*(1-Data!$K$8*$C$2)^E10)*(F11)</f>
        <v>556.99899835947986</v>
      </c>
      <c r="P11" s="23"/>
      <c r="Q11" s="20">
        <f>Data!$K$11*(1+Data!$K$10)^'lapse risk (up)'!E10*Data!$K$12</f>
        <v>52.019999999999996</v>
      </c>
      <c r="R11" s="30">
        <f>$Q11*$H11*($G10*(1-Data!$K$8*$C$2)^$E10)</f>
        <v>30.134223592651349</v>
      </c>
      <c r="S11" s="23"/>
      <c r="T11" s="20">
        <f>C10*Data!$K$6</f>
        <v>1412.2613819306607</v>
      </c>
      <c r="U11" s="30">
        <f>$T11*$H11*($G10*(1-Data!$K$8*$C$2)^$E10)</f>
        <v>818.09689070290881</v>
      </c>
      <c r="V11" s="22"/>
      <c r="W11" s="20">
        <f t="shared" si="0"/>
        <v>14337.240740071324</v>
      </c>
    </row>
    <row r="12" spans="2:23" x14ac:dyDescent="0.75">
      <c r="B12" s="15">
        <v>4</v>
      </c>
      <c r="C12" s="20">
        <f>$C$8*EXP(Data!N8*'lapse risk (up)'!B12)</f>
        <v>103371.59205577367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EXP(-Data!N8*'lapse risk (up)'!E12)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30">
        <f>K12*H12*(G11*(1-Data!$K$8*$C$2)^E11)*((1-F12)*Data!$K$8*$C$2)</f>
        <v>9924.6123293394776</v>
      </c>
      <c r="M12" s="23"/>
      <c r="N12" s="20">
        <f>MAX(Data!$K$3*Data!$H$3,'lapse risk (up)'!I12)-Data!$K$4</f>
        <v>109980.00000000001</v>
      </c>
      <c r="O12" s="30">
        <f>N12*H12*(G11*(1-Data!$K$8*$C$2)^E11)*(F12)</f>
        <v>471.19103491969537</v>
      </c>
      <c r="P12" s="23"/>
      <c r="Q12" s="20">
        <f>Data!$K$11*(1+Data!$K$10)^'lapse risk (up)'!E11*Data!$K$12</f>
        <v>53.060399999999994</v>
      </c>
      <c r="R12" s="30">
        <f>$Q12*$H12*($G11*(1-Data!$K$8*$C$2)^$E11)</f>
        <v>23.329546500470652</v>
      </c>
      <c r="S12" s="23"/>
      <c r="T12" s="20">
        <f>C11*Data!$K$6</f>
        <v>1429.8395520615493</v>
      </c>
      <c r="U12" s="30">
        <f>$T12*$H12*($G11*(1-Data!$K$8*$C$2)^$E11)</f>
        <v>628.67050225840831</v>
      </c>
      <c r="V12" s="22"/>
      <c r="W12" s="20">
        <f t="shared" si="0"/>
        <v>11047.803413018051</v>
      </c>
    </row>
    <row r="13" spans="2:23" x14ac:dyDescent="0.75">
      <c r="B13" s="15">
        <v>5</v>
      </c>
      <c r="C13" s="20">
        <f>$C$8*EXP(Data!N9*'lapse risk (up)'!B13)</f>
        <v>104576.63856293866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EXP(-Data!N9*'lapse risk (up)'!E13)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30">
        <f>K13*H13*(G12*(1-Data!$K$8*$C$2)^E12)*((1-F13)*Data!$K$8*$C$2)</f>
        <v>7608.8826229214783</v>
      </c>
      <c r="M13" s="23"/>
      <c r="N13" s="20">
        <f>MAX(Data!$K$3*Data!$H$3,'lapse risk (up)'!I13)-Data!$K$4</f>
        <v>109980.00000000001</v>
      </c>
      <c r="O13" s="30">
        <f>N13*H13*(G12*(1-Data!$K$8*$C$2)^E12)*(F13)</f>
        <v>394.10954678992312</v>
      </c>
      <c r="P13" s="23"/>
      <c r="Q13" s="20">
        <f>Data!$K$11*(1+Data!$K$10)^'lapse risk (up)'!E12*Data!$K$12</f>
        <v>54.121608000000002</v>
      </c>
      <c r="R13" s="30">
        <f>$Q13*$H13*($G12*(1-Data!$K$8*$C$2)^$E12)</f>
        <v>18.051865104954235</v>
      </c>
      <c r="S13" s="23"/>
      <c r="T13" s="20">
        <f>C12*Data!$K$6</f>
        <v>1447.2022887808314</v>
      </c>
      <c r="U13" s="30">
        <f>$T13*$H13*($G12*(1-Data!$K$8*$C$2)^$E12)</f>
        <v>482.70370120290204</v>
      </c>
      <c r="V13" s="22"/>
      <c r="W13" s="20">
        <f t="shared" si="0"/>
        <v>8503.747736019257</v>
      </c>
    </row>
    <row r="14" spans="2:23" x14ac:dyDescent="0.75">
      <c r="B14" s="15">
        <v>6</v>
      </c>
      <c r="C14" s="20">
        <f>$C$8*EXP(Data!N10*'lapse risk (up)'!B14)</f>
        <v>105821.12683155056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EXP(-Data!N10*'lapse risk (up)'!E14)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30">
        <f>K14*H14*(G13*(1-Data!$K$8*$C$2)^E13)*((1-F14)*Data!$K$8*$C$2)</f>
        <v>5827.685819904339</v>
      </c>
      <c r="M14" s="23"/>
      <c r="N14" s="20">
        <f>MAX(Data!$K$3*Data!$H$3,'lapse risk (up)'!I14)-Data!$K$4</f>
        <v>109980.00000000001</v>
      </c>
      <c r="O14" s="30">
        <f>N14*H14*(G13*(1-Data!$K$8*$C$2)^E13)*(F14)</f>
        <v>326.34063041842359</v>
      </c>
      <c r="P14" s="23"/>
      <c r="Q14" s="20">
        <f>Data!$K$11*(1+Data!$K$10)^'lapse risk (up)'!E13*Data!$K$12</f>
        <v>55.204040159999998</v>
      </c>
      <c r="R14" s="30">
        <f>$Q14*$H14*($G13*(1-Data!$K$8*$C$2)^$E13)</f>
        <v>13.950670997496584</v>
      </c>
      <c r="S14" s="23"/>
      <c r="T14" s="20">
        <f>C13*Data!$K$6</f>
        <v>1464.0729398811413</v>
      </c>
      <c r="U14" s="30">
        <f>$T14*$H14*($G13*(1-Data!$K$8*$C$2)^$E13)</f>
        <v>369.98741109203991</v>
      </c>
      <c r="V14" s="22"/>
      <c r="W14" s="20">
        <f t="shared" si="0"/>
        <v>6537.9645324122994</v>
      </c>
    </row>
    <row r="15" spans="2:23" x14ac:dyDescent="0.75">
      <c r="B15" s="15">
        <v>7</v>
      </c>
      <c r="C15" s="20">
        <f>$C$8*EXP(Data!N11*'lapse risk (up)'!B15)</f>
        <v>107123.26556068068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EXP(-Data!N11*'lapse risk (up)'!E15)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30">
        <f>K15*H15*(G14*(1-Data!$K$8*$C$2)^E14)*((1-F15)*Data!$K$8*$C$2)</f>
        <v>4458.0393732361672</v>
      </c>
      <c r="M15" s="23"/>
      <c r="N15" s="20">
        <f>MAX(Data!$K$3*Data!$H$3,'lapse risk (up)'!I15)-Data!$K$4</f>
        <v>109980.00000000001</v>
      </c>
      <c r="O15" s="30">
        <f>N15*H15*(G14*(1-Data!$K$8*$C$2)^E14)*(F15)</f>
        <v>272.19865000387745</v>
      </c>
      <c r="P15" s="23"/>
      <c r="Q15" s="20">
        <f>Data!$K$11*(1+Data!$K$10)^'lapse risk (up)'!E14*Data!$K$12</f>
        <v>56.308120963200004</v>
      </c>
      <c r="R15" s="30">
        <f>$Q15*$H15*($G14*(1-Data!$K$8*$C$2)^$E14)</f>
        <v>10.766040113644328</v>
      </c>
      <c r="S15" s="23"/>
      <c r="T15" s="20">
        <f>C14*Data!$K$6</f>
        <v>1481.495775641708</v>
      </c>
      <c r="U15" s="30">
        <f>$T15*$H15*($G14*(1-Data!$K$8*$C$2)^$E14)</f>
        <v>283.26008177714215</v>
      </c>
      <c r="V15" s="22"/>
      <c r="W15" s="20">
        <f t="shared" si="0"/>
        <v>5024.2641451308309</v>
      </c>
    </row>
    <row r="16" spans="2:23" x14ac:dyDescent="0.75">
      <c r="B16" s="15">
        <v>8</v>
      </c>
      <c r="C16" s="20">
        <f>$C$8*EXP(Data!N12*'lapse risk (up)'!B16)</f>
        <v>108545.5809829549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EXP(-Data!N12*'lapse risk (up)'!E16)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30">
        <f>K16*H16*(G15*(1-Data!$K$8*$C$2)^E15)*((1-F16)*Data!$K$8*$C$2)</f>
        <v>3405.697039675721</v>
      </c>
      <c r="M16" s="23"/>
      <c r="N16" s="20">
        <f>MAX(Data!$K$3*Data!$H$3,'lapse risk (up)'!I16)-Data!$K$4</f>
        <v>109980.00000000001</v>
      </c>
      <c r="O16" s="30">
        <f>N16*H16*(G15*(1-Data!$K$8*$C$2)^E15)*(F16)</f>
        <v>226.79016895459887</v>
      </c>
      <c r="P16" s="23"/>
      <c r="Q16" s="20">
        <f>Data!$K$11*(1+Data!$K$10)^'lapse risk (up)'!E15*Data!$K$12</f>
        <v>57.434283382463988</v>
      </c>
      <c r="R16" s="30">
        <f>$Q16*$H16*($G15*(1-Data!$K$8*$C$2)^$E15)</f>
        <v>8.2903157198419244</v>
      </c>
      <c r="S16" s="23"/>
      <c r="T16" s="20">
        <f>C15*Data!$K$6</f>
        <v>1499.7257178495295</v>
      </c>
      <c r="U16" s="30">
        <f>$T16*$H16*($G15*(1-Data!$K$8*$C$2)^$E15)</f>
        <v>216.47697092944512</v>
      </c>
      <c r="V16" s="22"/>
      <c r="W16" s="20">
        <f t="shared" si="0"/>
        <v>3857.254495279607</v>
      </c>
    </row>
    <row r="17" spans="2:23" x14ac:dyDescent="0.75">
      <c r="B17" s="15">
        <v>9</v>
      </c>
      <c r="C17" s="20">
        <f>$C$8*EXP(Data!N13*'lapse risk (up)'!B17)</f>
        <v>110079.20872612453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EXP(-Data!N13*'lapse risk (up)'!E17)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30">
        <f>K17*H17*(G16*(1-Data!$K$8*$C$2)^E16)*((1-F17)*Data!$K$8*$C$2)</f>
        <v>2597.6786605015186</v>
      </c>
      <c r="M17" s="23"/>
      <c r="N17" s="20">
        <f>MAX(Data!$K$3*Data!$H$3,'lapse risk (up)'!I17)-Data!$K$4</f>
        <v>109980.00000000001</v>
      </c>
      <c r="O17" s="30">
        <f>N17*H17*(G16*(1-Data!$K$8*$C$2)^E16)*(F17)</f>
        <v>189.32561853489975</v>
      </c>
      <c r="P17" s="23"/>
      <c r="Q17" s="20">
        <f>Data!$K$11*(1+Data!$K$10)^'lapse risk (up)'!E16*Data!$K$12</f>
        <v>58.582969050113277</v>
      </c>
      <c r="R17" s="30">
        <f>$Q17*$H17*($G16*(1-Data!$K$8*$C$2)^$E16)</f>
        <v>6.3698721784299455</v>
      </c>
      <c r="S17" s="23"/>
      <c r="T17" s="20">
        <f>C16*Data!$K$6</f>
        <v>1519.6381337613686</v>
      </c>
      <c r="U17" s="30">
        <f>$T17*$H17*($G16*(1-Data!$K$8*$C$2)^$E16)</f>
        <v>165.2340403103729</v>
      </c>
      <c r="V17" s="22"/>
      <c r="W17" s="20">
        <f t="shared" si="0"/>
        <v>2958.6081915252212</v>
      </c>
    </row>
    <row r="18" spans="2:23" x14ac:dyDescent="0.75">
      <c r="B18" s="15">
        <v>10</v>
      </c>
      <c r="C18" s="20">
        <f>$C$8*EXP(Data!N14*'lapse risk (up)'!B18)</f>
        <v>111728.3172950561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EXP(-Data!N14*'lapse risk (up)'!E18)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30">
        <f>K18*H18*(G17*(1-Data!$K$8*$C$2)^E17)*((1-F18)*Data!$K$8*$C$2)</f>
        <v>1978.1342204170726</v>
      </c>
      <c r="M18" s="23"/>
      <c r="N18" s="20">
        <f>MAX(Data!$K$3*Data!$H$3,'lapse risk (up)'!I18)-Data!$K$4</f>
        <v>109980.00000000001</v>
      </c>
      <c r="O18" s="30">
        <f>N18*H18*(G17*(1-Data!$K$8*$C$2)^E17)*(F18)</f>
        <v>156.70215964735468</v>
      </c>
      <c r="P18" s="23"/>
      <c r="Q18" s="20">
        <f>Data!$K$11*(1+Data!$K$10)^'lapse risk (up)'!E17*Data!$K$12</f>
        <v>59.754628431115542</v>
      </c>
      <c r="R18" s="30">
        <f>$Q18*$H18*($G17*(1-Data!$K$8*$C$2)^$E17)</f>
        <v>4.8825181237935382</v>
      </c>
      <c r="S18" s="23"/>
      <c r="T18" s="20">
        <f>C17*Data!$K$6</f>
        <v>1541.1089221657435</v>
      </c>
      <c r="U18" s="30">
        <f>$T18*$H18*($G17*(1-Data!$K$8*$C$2)^$E17)</f>
        <v>125.92317015054853</v>
      </c>
      <c r="V18" s="22"/>
      <c r="W18" s="20">
        <f t="shared" si="0"/>
        <v>2265.6420683387696</v>
      </c>
    </row>
    <row r="19" spans="2:23" x14ac:dyDescent="0.75">
      <c r="B19" s="15">
        <v>11</v>
      </c>
      <c r="C19" s="20">
        <f>$C$8*EXP(Data!N15*'lapse risk (up)'!B19)</f>
        <v>113397.59534384529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EXP(-Data!N15*'lapse risk (up)'!E19)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30">
        <f>K19*H19*(G18*(1-Data!$K$8*$C$2)^E18)*((1-F19)*Data!$K$8*$C$2)</f>
        <v>1503.3111136942709</v>
      </c>
      <c r="M19" s="23"/>
      <c r="N19" s="20">
        <f>MAX(Data!$K$3*Data!$H$3,'lapse risk (up)'!I19)-Data!$K$4</f>
        <v>111143.02899794416</v>
      </c>
      <c r="O19" s="30">
        <f>N19*H19*(G18*(1-Data!$K$8*$C$2)^E18)*(F19)</f>
        <v>132.20353734635927</v>
      </c>
      <c r="P19" s="23"/>
      <c r="Q19" s="20">
        <f>Data!$K$11*(1+Data!$K$10)^'lapse risk (up)'!E18*Data!$K$12</f>
        <v>60.949720999737856</v>
      </c>
      <c r="R19" s="30">
        <f>$Q19*$H19*($G18*(1-Data!$K$8*$C$2)^$E18)</f>
        <v>3.7365022853529335</v>
      </c>
      <c r="S19" s="23"/>
      <c r="T19" s="20">
        <f>C18*Data!$K$6</f>
        <v>1564.1964421307855</v>
      </c>
      <c r="U19" s="30">
        <f>$T19*$H19*($G18*(1-Data!$K$8*$C$2)^$E18)</f>
        <v>95.892540357776937</v>
      </c>
      <c r="V19" s="22"/>
      <c r="W19" s="20">
        <f t="shared" si="0"/>
        <v>1735.1436936837601</v>
      </c>
    </row>
    <row r="20" spans="2:23" x14ac:dyDescent="0.75">
      <c r="B20" s="15">
        <v>12</v>
      </c>
      <c r="C20" s="20">
        <f>$C$8*EXP(Data!N16*'lapse risk (up)'!B20)</f>
        <v>115073.4000410945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EXP(-Data!N16*'lapse risk (up)'!E20)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30">
        <f>K20*H20*(G19*(1-Data!$K$8*$C$2)^E19)*((1-F20)*Data!$K$8*$C$2)</f>
        <v>1140.4270806731226</v>
      </c>
      <c r="M20" s="23"/>
      <c r="N20" s="20">
        <f>MAX(Data!$K$3*Data!$H$3,'lapse risk (up)'!I20)-Data!$K$4</f>
        <v>112785.4481342176</v>
      </c>
      <c r="O20" s="30">
        <f>N20*H20*(G19*(1-Data!$K$8*$C$2)^E19)*(F20)</f>
        <v>109.50372193779813</v>
      </c>
      <c r="P20" s="23"/>
      <c r="Q20" s="20">
        <f>Data!$K$11*(1+Data!$K$10)^'lapse risk (up)'!E19*Data!$K$12</f>
        <v>62.1687154197326</v>
      </c>
      <c r="R20" s="30">
        <f>$Q20*$H20*($G19*(1-Data!$K$8*$C$2)^$E19)</f>
        <v>2.8542145629206352</v>
      </c>
      <c r="S20" s="23"/>
      <c r="T20" s="20">
        <f>C19*Data!$K$6</f>
        <v>1587.5663348138339</v>
      </c>
      <c r="U20" s="30">
        <f>$T20*$H20*($G19*(1-Data!$K$8*$C$2)^$E19)</f>
        <v>72.886417578928175</v>
      </c>
      <c r="V20" s="22"/>
      <c r="W20" s="20">
        <f t="shared" si="0"/>
        <v>1325.6714347527695</v>
      </c>
    </row>
    <row r="21" spans="2:23" x14ac:dyDescent="0.75">
      <c r="B21" s="15">
        <v>13</v>
      </c>
      <c r="C21" s="20">
        <f>$C$8*EXP(Data!N17*'lapse risk (up)'!B21)</f>
        <v>116776.30550507811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EXP(-Data!N17*'lapse risk (up)'!E21)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30">
        <f>K21*H21*(G20*(1-Data!$K$8*$C$2)^E20)*((1-F21)*Data!$K$8*$C$2)</f>
        <v>863.24066730153743</v>
      </c>
      <c r="M21" s="23"/>
      <c r="N21" s="20">
        <f>MAX(Data!$K$3*Data!$H$3,'lapse risk (up)'!I21)-Data!$K$4</f>
        <v>114454.83750425623</v>
      </c>
      <c r="O21" s="30">
        <f>N21*H21*(G20*(1-Data!$K$8*$C$2)^E20)*(F21)</f>
        <v>91.524271873943547</v>
      </c>
      <c r="P21" s="23"/>
      <c r="Q21" s="20">
        <f>Data!$K$11*(1+Data!$K$10)^'lapse risk (up)'!E20*Data!$K$12</f>
        <v>63.412089728127263</v>
      </c>
      <c r="R21" s="30">
        <f>$Q21*$H21*($G20*(1-Data!$K$8*$C$2)^$E20)</f>
        <v>2.1763358495545595</v>
      </c>
      <c r="S21" s="23"/>
      <c r="T21" s="20">
        <f>C20*Data!$K$6</f>
        <v>1611.027600575323</v>
      </c>
      <c r="U21" s="30">
        <f>$T21*$H21*($G20*(1-Data!$K$8*$C$2)^$E20)</f>
        <v>55.291303863129833</v>
      </c>
      <c r="V21" s="22"/>
      <c r="W21" s="20">
        <f t="shared" si="0"/>
        <v>1012.2325788881654</v>
      </c>
    </row>
    <row r="22" spans="2:23" x14ac:dyDescent="0.75">
      <c r="B22" s="15">
        <v>14</v>
      </c>
      <c r="C22" s="20">
        <f>$C$8*EXP(Data!N18*'lapse risk (up)'!B22)</f>
        <v>118426.22418666462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EXP(-Data!N18*'lapse risk (up)'!E22)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30">
        <f>K22*H22*(G21*(1-Data!$K$8*$C$2)^E21)*((1-F22)*Data!$K$8*$C$2)</f>
        <v>652.03184015814543</v>
      </c>
      <c r="M22" s="23"/>
      <c r="N22" s="20">
        <f>MAX(Data!$K$3*Data!$H$3,'lapse risk (up)'!I22)-Data!$K$4</f>
        <v>116070.69807656306</v>
      </c>
      <c r="O22" s="30">
        <f>N22*H22*(G21*(1-Data!$K$8*$C$2)^E21)*(F22)</f>
        <v>75.432996013062876</v>
      </c>
      <c r="P22" s="23"/>
      <c r="Q22" s="20">
        <f>Data!$K$11*(1+Data!$K$10)^'lapse risk (up)'!E21*Data!$K$12</f>
        <v>64.680331522689798</v>
      </c>
      <c r="R22" s="30">
        <f>$Q22*$H22*($G21*(1-Data!$K$8*$C$2)^$E21)</f>
        <v>1.6568988965656943</v>
      </c>
      <c r="S22" s="23"/>
      <c r="T22" s="20">
        <f>C21*Data!$K$6</f>
        <v>1634.8682770710936</v>
      </c>
      <c r="U22" s="30">
        <f>$T22*$H22*($G21*(1-Data!$K$8*$C$2)^$E21)</f>
        <v>41.879987015204215</v>
      </c>
      <c r="V22" s="22"/>
      <c r="W22" s="20">
        <f t="shared" si="0"/>
        <v>771.00172208297818</v>
      </c>
    </row>
    <row r="23" spans="2:23" x14ac:dyDescent="0.75">
      <c r="B23" s="15">
        <v>15</v>
      </c>
      <c r="C23" s="20">
        <f>$C$8*EXP(Data!N19*'lapse risk (up)'!B23)</f>
        <v>119865.48862989599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EXP(-Data!N19*'lapse risk (up)'!E23)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30">
        <f>K23*H23*(G22*(1-Data!$K$8*$C$2)^E22)*((1-F23)*Data!$K$8*$C$2)</f>
        <v>491.04794191311413</v>
      </c>
      <c r="M23" s="23"/>
      <c r="N23" s="20">
        <f>MAX(Data!$K$3*Data!$H$3,'lapse risk (up)'!I23)-Data!$K$4</f>
        <v>117476.9641461627</v>
      </c>
      <c r="O23" s="30">
        <f>N23*H23*(G22*(1-Data!$K$8*$C$2)^E22)*(F23)</f>
        <v>63.368590658945443</v>
      </c>
      <c r="P23" s="23"/>
      <c r="Q23" s="20">
        <f>Data!$K$11*(1+Data!$K$10)^'lapse risk (up)'!E22*Data!$K$12</f>
        <v>65.973938153143607</v>
      </c>
      <c r="R23" s="30">
        <f>$Q23*$H23*($G22*(1-Data!$K$8*$C$2)^$E22)</f>
        <v>1.2612219586300657</v>
      </c>
      <c r="S23" s="23"/>
      <c r="T23" s="20">
        <f>C22*Data!$K$6</f>
        <v>1657.9671386133048</v>
      </c>
      <c r="U23" s="30">
        <f>$T23*$H23*($G22*(1-Data!$K$8*$C$2)^$E22)</f>
        <v>31.695312125406605</v>
      </c>
      <c r="V23" s="22"/>
      <c r="W23" s="20">
        <f t="shared" si="0"/>
        <v>587.37306665609628</v>
      </c>
    </row>
    <row r="24" spans="2:23" x14ac:dyDescent="0.75">
      <c r="B24" s="15">
        <v>16</v>
      </c>
      <c r="C24" s="20">
        <f>$C$8*EXP(Data!N20*'lapse risk (up)'!B24)</f>
        <v>121031.42056620093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EXP(-Data!N20*'lapse risk (up)'!E24)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30">
        <f>K24*H24*(G23*(1-Data!$K$8*$C$2)^E23)*((1-F24)*Data!$K$8*$C$2)</f>
        <v>368.55898799159377</v>
      </c>
      <c r="M24" s="23"/>
      <c r="N24" s="20">
        <f>MAX(Data!$K$3*Data!$H$3,'lapse risk (up)'!I24)-Data!$K$4</f>
        <v>118614.11079360302</v>
      </c>
      <c r="O24" s="30">
        <f>N24*H24*(G23*(1-Data!$K$8*$C$2)^E23)*(F24)</f>
        <v>53.268241876360634</v>
      </c>
      <c r="P24" s="23"/>
      <c r="Q24" s="20">
        <f>Data!$K$11*(1+Data!$K$10)^'lapse risk (up)'!E23*Data!$K$12</f>
        <v>67.293416916206468</v>
      </c>
      <c r="R24" s="30">
        <f>$Q24*$H24*($G23*(1-Data!$K$8*$C$2)^$E23)</f>
        <v>0.95953092175474808</v>
      </c>
      <c r="S24" s="23"/>
      <c r="T24" s="20">
        <f>C23*Data!$K$6</f>
        <v>1678.116840818544</v>
      </c>
      <c r="U24" s="30">
        <f>$T24*$H24*($G23*(1-Data!$K$8*$C$2)^$E23)</f>
        <v>23.928120652393165</v>
      </c>
      <c r="V24" s="22"/>
      <c r="W24" s="20">
        <f t="shared" si="0"/>
        <v>446.71488144210235</v>
      </c>
    </row>
    <row r="25" spans="2:23" x14ac:dyDescent="0.75">
      <c r="B25" s="15">
        <v>17</v>
      </c>
      <c r="C25" s="20">
        <f>$C$8*EXP(Data!N21*'lapse risk (up)'!B25)</f>
        <v>122047.48447157405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EXP(-Data!N21*'lapse risk (up)'!E25)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30">
        <f>K25*H25*(G24*(1-Data!$K$8*$C$2)^E24)*((1-F25)*Data!$K$8*$C$2)</f>
        <v>275.44010577903907</v>
      </c>
      <c r="M25" s="23"/>
      <c r="N25" s="20">
        <f>MAX(Data!$K$3*Data!$H$3,'lapse risk (up)'!I25)-Data!$K$4</f>
        <v>119606.85606025002</v>
      </c>
      <c r="O25" s="30">
        <f>N25*H25*(G24*(1-Data!$K$8*$C$2)^E24)*(F25)</f>
        <v>45.270602513113218</v>
      </c>
      <c r="P25" s="23"/>
      <c r="Q25" s="20">
        <f>Data!$K$11*(1+Data!$K$10)^'lapse risk (up)'!E24*Data!$K$12</f>
        <v>68.639285254530606</v>
      </c>
      <c r="R25" s="30">
        <f>$Q25*$H25*($G24*(1-Data!$K$8*$C$2)^$E24)</f>
        <v>0.72850390546273336</v>
      </c>
      <c r="S25" s="23"/>
      <c r="T25" s="20">
        <f>C24*Data!$K$6</f>
        <v>1694.4398879268131</v>
      </c>
      <c r="U25" s="30">
        <f>$T25*$H25*($G24*(1-Data!$K$8*$C$2)^$E24)</f>
        <v>17.983958768641774</v>
      </c>
      <c r="V25" s="22"/>
      <c r="W25" s="20">
        <f t="shared" si="0"/>
        <v>339.42317096625681</v>
      </c>
    </row>
    <row r="26" spans="2:23" x14ac:dyDescent="0.75">
      <c r="B26" s="15">
        <v>18</v>
      </c>
      <c r="C26" s="20">
        <f>$C$8*EXP(Data!N22*'lapse risk (up)'!B26)</f>
        <v>123064.69417332573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EXP(-Data!N22*'lapse risk (up)'!E26)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30">
        <f>K26*H26*(G25*(1-Data!$K$8*$C$2)^E25)*((1-F26)*Data!$K$8*$C$2)</f>
        <v>205.04985748264494</v>
      </c>
      <c r="M26" s="23"/>
      <c r="N26" s="20">
        <f>MAX(Data!$K$3*Data!$H$3,'lapse risk (up)'!I26)-Data!$K$4</f>
        <v>120603.74448389425</v>
      </c>
      <c r="O26" s="30">
        <f>N26*H26*(G25*(1-Data!$K$8*$C$2)^E25)*(F26)</f>
        <v>37.405601410410689</v>
      </c>
      <c r="P26" s="23"/>
      <c r="Q26" s="20">
        <f>Data!$K$11*(1+Data!$K$10)^'lapse risk (up)'!E25*Data!$K$12</f>
        <v>70.012070959621227</v>
      </c>
      <c r="R26" s="30">
        <f>$Q26*$H26*($G25*(1-Data!$K$8*$C$2)^$E25)</f>
        <v>0.55075514909842826</v>
      </c>
      <c r="S26" s="23"/>
      <c r="T26" s="20">
        <f>C25*Data!$K$6</f>
        <v>1708.6647826020367</v>
      </c>
      <c r="U26" s="30">
        <f>$T26*$H26*($G25*(1-Data!$K$8*$C$2)^$E25)</f>
        <v>13.441338246428431</v>
      </c>
      <c r="V26" s="22"/>
      <c r="W26" s="20">
        <f t="shared" si="0"/>
        <v>256.44755228858247</v>
      </c>
    </row>
    <row r="27" spans="2:23" x14ac:dyDescent="0.75">
      <c r="B27" s="15">
        <v>19</v>
      </c>
      <c r="C27" s="20">
        <f>$C$8*EXP(Data!N23*'lapse risk (up)'!B27)</f>
        <v>124255.5318588017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EXP(-Data!N23*'lapse risk (up)'!E27)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30">
        <f>K27*H27*(G26*(1-Data!$K$8*$C$2)^E26)*((1-F27)*Data!$K$8*$C$2)</f>
        <v>151.85614557663965</v>
      </c>
      <c r="M27" s="23"/>
      <c r="N27" s="20">
        <f>MAX(Data!$K$3*Data!$H$3,'lapse risk (up)'!I27)-Data!$K$4</f>
        <v>121774.23797533519</v>
      </c>
      <c r="O27" s="30">
        <f>N27*H27*(G26*(1-Data!$K$8*$C$2)^E26)*(F27)</f>
        <v>31.386761758822612</v>
      </c>
      <c r="P27" s="23"/>
      <c r="Q27" s="20">
        <f>Data!$K$11*(1+Data!$K$10)^'lapse risk (up)'!E26*Data!$K$12</f>
        <v>71.412312378813638</v>
      </c>
      <c r="R27" s="30">
        <f>$Q27*$H27*($G26*(1-Data!$K$8*$C$2)^$E26)</f>
        <v>0.41419867420921153</v>
      </c>
      <c r="S27" s="23"/>
      <c r="T27" s="20">
        <f>C26*Data!$K$6</f>
        <v>1722.9057184265603</v>
      </c>
      <c r="U27" s="30">
        <f>$T27*$H27*($G26*(1-Data!$K$8*$C$2)^$E26)</f>
        <v>9.9930283810760088</v>
      </c>
      <c r="V27" s="22"/>
      <c r="W27" s="20">
        <f t="shared" si="0"/>
        <v>193.6501343907475</v>
      </c>
    </row>
    <row r="28" spans="2:23" x14ac:dyDescent="0.75">
      <c r="B28" s="15">
        <v>20</v>
      </c>
      <c r="C28" s="20">
        <f>$C$8*EXP(Data!N24*'lapse risk (up)'!B28)</f>
        <v>125709.05957472016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EXP(-Data!N24*'lapse risk (up)'!E28)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30">
        <f>K28*H28*(G27*(1-Data!$K$8*$C$2)^E27)*((1-F28)*Data!$K$8*$C$2)</f>
        <v>111.89586652799298</v>
      </c>
      <c r="M28" s="23"/>
      <c r="N28" s="20">
        <f>MAX(Data!$K$3*Data!$H$3,'lapse risk (up)'!I28)-Data!$K$4</f>
        <v>123203.94893754412</v>
      </c>
      <c r="O28" s="30">
        <f>N28*H28*(G27*(1-Data!$K$8*$C$2)^E27)*(F28)</f>
        <v>25.767210934594015</v>
      </c>
      <c r="P28" s="23"/>
      <c r="Q28" s="20">
        <f>Data!$K$11*(1+Data!$K$10)^'lapse risk (up)'!E27*Data!$K$12</f>
        <v>72.840558626389907</v>
      </c>
      <c r="R28" s="30">
        <f>$Q28*$H28*($G27*(1-Data!$K$8*$C$2)^$E27)</f>
        <v>0.30925630256077036</v>
      </c>
      <c r="S28" s="23"/>
      <c r="T28" s="20">
        <f>C27*Data!$K$6</f>
        <v>1739.5774460232237</v>
      </c>
      <c r="U28" s="30">
        <f>$T28*$H28*($G27*(1-Data!$K$8*$C$2)^$E27)</f>
        <v>7.3856557269776815</v>
      </c>
      <c r="V28" s="22"/>
      <c r="W28" s="20">
        <f t="shared" si="0"/>
        <v>145.35798949212545</v>
      </c>
    </row>
    <row r="29" spans="2:23" x14ac:dyDescent="0.75">
      <c r="B29" s="15">
        <v>21</v>
      </c>
      <c r="C29" s="20">
        <f>$C$8*EXP(Data!N25*'lapse risk (up)'!B29)</f>
        <v>127583.38948511923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EXP(-Data!N25*'lapse risk (up)'!E29)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30">
        <f>K29*H29*(G28*(1-Data!$K$8*$C$2)^E28)*((1-F29)*Data!$K$8*$C$2)</f>
        <v>81.99139433434209</v>
      </c>
      <c r="M29" s="23"/>
      <c r="N29" s="20">
        <f>MAX(Data!$K$3*Data!$H$3,'lapse risk (up)'!I29)-Data!$K$4</f>
        <v>125049.20829362483</v>
      </c>
      <c r="O29" s="30">
        <f>N29*H29*(G28*(1-Data!$K$8*$C$2)^E28)*(F29)</f>
        <v>21.038423051747149</v>
      </c>
      <c r="P29" s="23"/>
      <c r="Q29" s="20">
        <f>Data!$K$11*(1+Data!$K$10)^'lapse risk (up)'!E28*Data!$K$12</f>
        <v>74.297369798917714</v>
      </c>
      <c r="R29" s="30">
        <f>$Q29*$H29*($G28*(1-Data!$K$8*$C$2)^$E28)</f>
        <v>0.229010018270806</v>
      </c>
      <c r="S29" s="23"/>
      <c r="T29" s="20">
        <f>C28*Data!$K$6</f>
        <v>1759.9268340460821</v>
      </c>
      <c r="U29" s="30">
        <f>$T29*$H29*($G28*(1-Data!$K$8*$C$2)^$E28)</f>
        <v>5.4246991180305022</v>
      </c>
      <c r="V29" s="22"/>
      <c r="W29" s="20">
        <f t="shared" si="0"/>
        <v>108.68352652239055</v>
      </c>
    </row>
    <row r="30" spans="2:23" x14ac:dyDescent="0.75">
      <c r="B30" s="15">
        <v>22</v>
      </c>
      <c r="C30" s="20">
        <f>$C$8*EXP(Data!N26*'lapse risk (up)'!B30)</f>
        <v>129812.38113746731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EXP(-Data!N26*'lapse risk (up)'!E30)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30">
        <f>K30*H30*(G29*(1-Data!$K$8*$C$2)^E29)*((1-F30)*Data!$K$8*$C$2)</f>
        <v>59.715964728664574</v>
      </c>
      <c r="M30" s="23"/>
      <c r="N30" s="20">
        <f>MAX(Data!$K$3*Data!$H$3,'lapse risk (up)'!I30)-Data!$K$4</f>
        <v>127240.71334776492</v>
      </c>
      <c r="O30" s="30">
        <f>N30*H30*(G29*(1-Data!$K$8*$C$2)^E29)*(F30)</f>
        <v>17.025581407759617</v>
      </c>
      <c r="P30" s="23"/>
      <c r="Q30" s="20">
        <f>Data!$K$11*(1+Data!$K$10)^'lapse risk (up)'!E29*Data!$K$12</f>
        <v>75.783317194896057</v>
      </c>
      <c r="R30" s="30">
        <f>$Q30*$H30*($G29*(1-Data!$K$8*$C$2)^$E29)</f>
        <v>0.16821245174974855</v>
      </c>
      <c r="S30" s="23"/>
      <c r="T30" s="20">
        <f>C29*Data!$K$6</f>
        <v>1786.1674527916693</v>
      </c>
      <c r="U30" s="30">
        <f>$T30*$H30*($G29*(1-Data!$K$8*$C$2)^$E29)</f>
        <v>3.9646668632489659</v>
      </c>
      <c r="V30" s="22"/>
      <c r="W30" s="20">
        <f t="shared" si="0"/>
        <v>80.874425451422908</v>
      </c>
    </row>
    <row r="31" spans="2:23" x14ac:dyDescent="0.75">
      <c r="B31" s="15">
        <v>23</v>
      </c>
      <c r="C31" s="20">
        <f>$C$8*EXP(Data!N27*'lapse risk (up)'!B31)</f>
        <v>132392.39284358456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EXP(-Data!N27*'lapse risk (up)'!E31)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30">
        <f>K31*H31*(G30*(1-Data!$K$8*$C$2)^E30)*((1-F31)*Data!$K$8*$C$2)</f>
        <v>43.242556029205744</v>
      </c>
      <c r="M31" s="23"/>
      <c r="N31" s="20">
        <f>MAX(Data!$K$3*Data!$H$3,'lapse risk (up)'!I31)-Data!$K$4</f>
        <v>129776.14522083521</v>
      </c>
      <c r="O31" s="30">
        <f>N31*H31*(G30*(1-Data!$K$8*$C$2)^E30)*(F31)</f>
        <v>13.509538249852246</v>
      </c>
      <c r="P31" s="23"/>
      <c r="Q31" s="20">
        <f>Data!$K$11*(1+Data!$K$10)^'lapse risk (up)'!E30*Data!$K$12</f>
        <v>77.298983538793991</v>
      </c>
      <c r="R31" s="30">
        <f>$Q31*$H31*($G30*(1-Data!$K$8*$C$2)^$E30)</f>
        <v>0.1225209652759235</v>
      </c>
      <c r="S31" s="23"/>
      <c r="T31" s="20">
        <f>C30*Data!$K$6</f>
        <v>1817.3733359245423</v>
      </c>
      <c r="U31" s="30">
        <f>$T31*$H31*($G30*(1-Data!$K$8*$C$2)^$E30)</f>
        <v>2.8805855548210499</v>
      </c>
      <c r="V31" s="22"/>
      <c r="W31" s="20">
        <f t="shared" si="0"/>
        <v>59.75520079915497</v>
      </c>
    </row>
    <row r="32" spans="2:23" x14ac:dyDescent="0.75">
      <c r="B32" s="15">
        <v>24</v>
      </c>
      <c r="C32" s="20">
        <f>$C$8*EXP(Data!N28*'lapse risk (up)'!B32)</f>
        <v>135277.76538194629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EXP(-Data!N28*'lapse risk (up)'!E32)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30">
        <f>K32*H32*(G31*(1-Data!$K$8*$C$2)^E31)*((1-F32)*Data!$K$8*$C$2)</f>
        <v>31.055011006475954</v>
      </c>
      <c r="M32" s="23"/>
      <c r="N32" s="20">
        <f>MAX(Data!$K$3*Data!$H$3,'lapse risk (up)'!I32)-Data!$K$4</f>
        <v>132609.91752507459</v>
      </c>
      <c r="O32" s="30">
        <f>N32*H32*(G31*(1-Data!$K$8*$C$2)^E31)*(F32)</f>
        <v>10.93039703085179</v>
      </c>
      <c r="P32" s="23"/>
      <c r="Q32" s="20">
        <f>Data!$K$11*(1+Data!$K$10)^'lapse risk (up)'!E31*Data!$K$12</f>
        <v>78.844963209569855</v>
      </c>
      <c r="R32" s="30">
        <f>$Q32*$H32*($G31*(1-Data!$K$8*$C$2)^$E31)</f>
        <v>8.856175964115956E-2</v>
      </c>
      <c r="S32" s="23"/>
      <c r="T32" s="20">
        <f>C31*Data!$K$6</f>
        <v>1853.4934998101839</v>
      </c>
      <c r="U32" s="30">
        <f>$T32*$H32*($G31*(1-Data!$K$8*$C$2)^$E31)</f>
        <v>2.08191670266031</v>
      </c>
      <c r="V32" s="22"/>
      <c r="W32" s="20">
        <f t="shared" si="0"/>
        <v>44.155886499629212</v>
      </c>
    </row>
    <row r="33" spans="2:23" x14ac:dyDescent="0.75">
      <c r="B33" s="15">
        <v>25</v>
      </c>
      <c r="C33" s="20">
        <f>$C$8*EXP(Data!N29*'lapse risk (up)'!B33)</f>
        <v>138472.28343364102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EXP(-Data!N29*'lapse risk (up)'!E33)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30">
        <f>K33*H33*(G32*(1-Data!$K$8*$C$2)^E32)*((1-F33)*Data!$K$8*$C$2)</f>
        <v>22.06420983756253</v>
      </c>
      <c r="M33" s="23"/>
      <c r="N33" s="20">
        <f>MAX(Data!$K$3*Data!$H$3,'lapse risk (up)'!I33)-Data!$K$4</f>
        <v>135746.7281260021</v>
      </c>
      <c r="O33" s="30">
        <f>N33*H33*(G32*(1-Data!$K$8*$C$2)^E32)*(F33)</f>
        <v>8.9082758813657463</v>
      </c>
      <c r="P33" s="23"/>
      <c r="Q33" s="20">
        <f>Data!$K$11*(1+Data!$K$10)^'lapse risk (up)'!E32*Data!$K$12</f>
        <v>80.421862473761252</v>
      </c>
      <c r="R33" s="30">
        <f>$Q33*$H33*($G32*(1-Data!$K$8*$C$2)^$E32)</f>
        <v>6.3374210254232247E-2</v>
      </c>
      <c r="S33" s="23"/>
      <c r="T33" s="20">
        <f>C32*Data!$K$6</f>
        <v>1893.8887153472481</v>
      </c>
      <c r="U33" s="30">
        <f>$T33*$H33*($G32*(1-Data!$K$8*$C$2)^$E32)</f>
        <v>1.4924262874873575</v>
      </c>
      <c r="V33" s="22"/>
      <c r="W33" s="20">
        <f t="shared" si="0"/>
        <v>32.528286216669862</v>
      </c>
    </row>
    <row r="34" spans="2:23" x14ac:dyDescent="0.75">
      <c r="B34" s="15">
        <v>26</v>
      </c>
      <c r="C34" s="20">
        <f>$C$8*EXP(Data!N30*'lapse risk (up)'!B34)</f>
        <v>141937.97777979009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EXP(-Data!N30*'lapse risk (up)'!E34)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30">
        <f>K34*H34*(G33*(1-Data!$K$8*$C$2)^E33)*((1-F34)*Data!$K$8*$C$2)</f>
        <v>15.457275304760973</v>
      </c>
      <c r="M34" s="23"/>
      <c r="N34" s="20">
        <f>MAX(Data!$K$3*Data!$H$3,'lapse risk (up)'!I34)-Data!$K$4</f>
        <v>139148.53211111727</v>
      </c>
      <c r="O34" s="30">
        <f>N34*H34*(G33*(1-Data!$K$8*$C$2)^E33)*(F34)</f>
        <v>7.3023059251541271</v>
      </c>
      <c r="P34" s="23"/>
      <c r="Q34" s="20">
        <f>Data!$K$11*(1+Data!$K$10)^'lapse risk (up)'!E33*Data!$K$12</f>
        <v>82.030299723236482</v>
      </c>
      <c r="R34" s="30">
        <f>$Q34*$H34*($G33*(1-Data!$K$8*$C$2)^$E33)</f>
        <v>4.4803994127144434E-2</v>
      </c>
      <c r="S34" s="23"/>
      <c r="T34" s="20">
        <f>C33*Data!$K$6</f>
        <v>1938.6119680709742</v>
      </c>
      <c r="U34" s="30">
        <f>$T34*$H34*($G33*(1-Data!$K$8*$C$2)^$E33)</f>
        <v>1.0588472738160672</v>
      </c>
      <c r="V34" s="22"/>
      <c r="W34" s="20">
        <f t="shared" si="0"/>
        <v>23.863232497858309</v>
      </c>
    </row>
    <row r="35" spans="2:23" x14ac:dyDescent="0.75">
      <c r="B35" s="15">
        <v>27</v>
      </c>
      <c r="C35" s="20">
        <f>$C$8*EXP(Data!N31*'lapse risk (up)'!B35)</f>
        <v>145660.73517676292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EXP(-Data!N31*'lapse risk (up)'!E35)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30">
        <f>K35*H35*(G34*(1-Data!$K$8*$C$2)^E34)*((1-F35)*Data!$K$8*$C$2)</f>
        <v>10.671066320195552</v>
      </c>
      <c r="M35" s="23"/>
      <c r="N35" s="20">
        <f>MAX(Data!$K$3*Data!$H$3,'lapse risk (up)'!I35)-Data!$K$4</f>
        <v>142801.9756211671</v>
      </c>
      <c r="O35" s="30">
        <f>N35*H35*(G34*(1-Data!$K$8*$C$2)^E34)*(F35)</f>
        <v>5.8161992838656742</v>
      </c>
      <c r="P35" s="23"/>
      <c r="Q35" s="20">
        <f>Data!$K$11*(1+Data!$K$10)^'lapse risk (up)'!E34*Data!$K$12</f>
        <v>83.670905717701217</v>
      </c>
      <c r="R35" s="30">
        <f>$Q35*$H35*($G34*(1-Data!$K$8*$C$2)^$E34)</f>
        <v>3.1196371480478859E-2</v>
      </c>
      <c r="S35" s="23"/>
      <c r="T35" s="20">
        <f>C34*Data!$K$6</f>
        <v>1987.1316889170614</v>
      </c>
      <c r="U35" s="30">
        <f>$T35*$H35*($G34*(1-Data!$K$8*$C$2)^$E34)</f>
        <v>0.74089431465271294</v>
      </c>
      <c r="V35" s="22"/>
      <c r="W35" s="20">
        <f t="shared" si="0"/>
        <v>17.259356290194418</v>
      </c>
    </row>
    <row r="36" spans="2:23" x14ac:dyDescent="0.75">
      <c r="B36" s="15">
        <v>28</v>
      </c>
      <c r="C36" s="20">
        <f>$C$8*EXP(Data!N32*'lapse risk (up)'!B36)</f>
        <v>149660.61829700484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EXP(-Data!N32*'lapse risk (up)'!E36)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30">
        <f>K36*H36*(G35*(1-Data!$K$8*$C$2)^E35)*((1-F36)*Data!$K$8*$C$2)</f>
        <v>7.2472446085173248</v>
      </c>
      <c r="M36" s="23"/>
      <c r="N36" s="20">
        <f>MAX(Data!$K$3*Data!$H$3,'lapse risk (up)'!I36)-Data!$K$4</f>
        <v>146727.40359346959</v>
      </c>
      <c r="O36" s="30">
        <f>N36*H36*(G35*(1-Data!$K$8*$C$2)^E35)*(F36)</f>
        <v>4.5469329257067486</v>
      </c>
      <c r="P36" s="23"/>
      <c r="Q36" s="20">
        <f>Data!$K$11*(1+Data!$K$10)^'lapse risk (up)'!E35*Data!$K$12</f>
        <v>85.344323832055224</v>
      </c>
      <c r="R36" s="30">
        <f>$Q36*$H36*($G35*(1-Data!$K$8*$C$2)^$E35)</f>
        <v>2.1379738650205263E-2</v>
      </c>
      <c r="S36" s="23"/>
      <c r="T36" s="20">
        <f>C35*Data!$K$6</f>
        <v>2039.2502924746809</v>
      </c>
      <c r="U36" s="30">
        <f>$T36*$H36*($G35*(1-Data!$K$8*$C$2)^$E35)</f>
        <v>0.51085574690660018</v>
      </c>
      <c r="V36" s="22"/>
      <c r="W36" s="20">
        <f t="shared" si="0"/>
        <v>12.326413019780878</v>
      </c>
    </row>
    <row r="37" spans="2:23" x14ac:dyDescent="0.75">
      <c r="B37" s="15">
        <v>29</v>
      </c>
      <c r="C37" s="20">
        <f>$C$8*EXP(Data!N33*'lapse risk (up)'!B37)</f>
        <v>153870.32249936444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EXP(-Data!N33*'lapse risk (up)'!E37)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30">
        <f>K37*H37*(G36*(1-Data!$K$8*$C$2)^E36)*((1-F37)*Data!$K$8*$C$2)</f>
        <v>4.8329947288299593</v>
      </c>
      <c r="M37" s="23"/>
      <c r="N37" s="20">
        <f>MAX(Data!$K$3*Data!$H$3,'lapse risk (up)'!I37)-Data!$K$4</f>
        <v>150857.11013342434</v>
      </c>
      <c r="O37" s="30">
        <f>N37*H37*(G36*(1-Data!$K$8*$C$2)^E36)*(F37)</f>
        <v>3.4831699994267282</v>
      </c>
      <c r="P37" s="23"/>
      <c r="Q37" s="20">
        <f>Data!$K$11*(1+Data!$K$10)^'lapse risk (up)'!E36*Data!$K$12</f>
        <v>87.051210308696341</v>
      </c>
      <c r="R37" s="30">
        <f>$Q37*$H37*($G36*(1-Data!$K$8*$C$2)^$E36)</f>
        <v>1.4404837268090347E-2</v>
      </c>
      <c r="S37" s="23"/>
      <c r="T37" s="20">
        <f>C36*Data!$K$6</f>
        <v>2095.2486561580677</v>
      </c>
      <c r="U37" s="30">
        <f>$T37*$H37*($G36*(1-Data!$K$8*$C$2)^$E36)</f>
        <v>0.34671219183642787</v>
      </c>
      <c r="V37" s="22"/>
      <c r="W37" s="20">
        <f t="shared" si="0"/>
        <v>8.6772817573612055</v>
      </c>
    </row>
    <row r="38" spans="2:23" x14ac:dyDescent="0.75">
      <c r="B38" s="15">
        <v>30</v>
      </c>
      <c r="C38" s="20">
        <f>$C$8*EXP(Data!N34*'lapse risk (up)'!B38)</f>
        <v>158391.55855160882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EXP(-Data!N34*'lapse risk (up)'!E38)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30">
        <f>K38*H38*(G37*(1-Data!$K$8*$C$2)^E37)*((1-F38)*Data!$K$8*$C$2)</f>
        <v>3.1589739227111915</v>
      </c>
      <c r="M38" s="23"/>
      <c r="N38" s="20">
        <f>MAX(Data!$K$3*Data!$H$3,'lapse risk (up)'!I38)-Data!$K$4</f>
        <v>155294.15210162153</v>
      </c>
      <c r="O38" s="30">
        <f>N38*H38*(G37*(1-Data!$K$8*$C$2)^E37)*(F38)</f>
        <v>2.6075634595998332</v>
      </c>
      <c r="P38" s="23"/>
      <c r="Q38" s="20">
        <f>Data!$K$11*(1+Data!$K$10)^'lapse risk (up)'!E37*Data!$K$12</f>
        <v>88.792234514870259</v>
      </c>
      <c r="R38" s="30">
        <f>$Q38*$H38*($G37*(1-Data!$K$8*$C$2)^$E37)</f>
        <v>9.5184786282361353E-3</v>
      </c>
      <c r="S38" s="23"/>
      <c r="T38" s="20">
        <f>C37*Data!$K$6</f>
        <v>2154.1845149911023</v>
      </c>
      <c r="U38" s="30">
        <f>$T38*$H38*($G37*(1-Data!$K$8*$C$2)^$E37)</f>
        <v>0.2309273933610273</v>
      </c>
      <c r="V38" s="22"/>
      <c r="W38" s="20">
        <f t="shared" si="0"/>
        <v>6.0069832543002892</v>
      </c>
    </row>
    <row r="39" spans="2:23" x14ac:dyDescent="0.75">
      <c r="B39" s="15">
        <v>31</v>
      </c>
      <c r="C39" s="20">
        <f>$C$8*EXP(Data!N35*'lapse risk (up)'!B39)</f>
        <v>163097.82692897582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EXP(-Data!N35*'lapse risk (up)'!E39)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30">
        <f>K39*H39*(G38*(1-Data!$K$8*$C$2)^E38)*((1-F39)*Data!$K$8*$C$2)</f>
        <v>2.023931569961356</v>
      </c>
      <c r="M39" s="23"/>
      <c r="N39" s="20">
        <f>MAX(Data!$K$3*Data!$H$3,'lapse risk (up)'!I39)-Data!$K$4</f>
        <v>159909.99575794363</v>
      </c>
      <c r="O39" s="30">
        <f>N39*H39*(G38*(1-Data!$K$8*$C$2)^E38)*(F39)</f>
        <v>1.8857681805237103</v>
      </c>
      <c r="P39" s="23"/>
      <c r="Q39" s="20">
        <f>Data!$K$11*(1+Data!$K$10)^'lapse risk (up)'!E38*Data!$K$12</f>
        <v>90.568079205167678</v>
      </c>
      <c r="R39" s="30">
        <f>$Q39*$H39*($G38*(1-Data!$K$8*$C$2)^$E38)</f>
        <v>6.1626731995580494E-3</v>
      </c>
      <c r="S39" s="23"/>
      <c r="T39" s="20">
        <f>C38*Data!$K$6</f>
        <v>2217.4818197225236</v>
      </c>
      <c r="U39" s="30">
        <f>$T39*$H39*($G38*(1-Data!$K$8*$C$2)^$E38)</f>
        <v>0.15088777305251133</v>
      </c>
      <c r="V39" s="22"/>
      <c r="W39" s="20">
        <f t="shared" si="0"/>
        <v>4.0667501967371358</v>
      </c>
    </row>
    <row r="40" spans="2:23" x14ac:dyDescent="0.75">
      <c r="B40" s="15">
        <v>32</v>
      </c>
      <c r="C40" s="20">
        <f>$C$8*EXP(Data!N36*'lapse risk (up)'!B40)</f>
        <v>168095.14964088646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EXP(-Data!N36*'lapse risk (up)'!E40)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30">
        <f>K40*H40*(G39*(1-Data!$K$8*$C$2)^E39)*((1-F40)*Data!$K$8*$C$2)</f>
        <v>1.267176266525754</v>
      </c>
      <c r="M40" s="23"/>
      <c r="N40" s="20">
        <f>MAX(Data!$K$3*Data!$H$3,'lapse risk (up)'!I40)-Data!$K$4</f>
        <v>164813.19310230695</v>
      </c>
      <c r="O40" s="30">
        <f>N40*H40*(G39*(1-Data!$K$8*$C$2)^E39)*(F40)</f>
        <v>1.3395754914905045</v>
      </c>
      <c r="P40" s="23"/>
      <c r="Q40" s="20">
        <f>Data!$K$11*(1+Data!$K$10)^'lapse risk (up)'!E39*Data!$K$12</f>
        <v>92.379440789271001</v>
      </c>
      <c r="R40" s="30">
        <f>$Q40*$H40*($G39*(1-Data!$K$8*$C$2)^$E39)</f>
        <v>3.9075785671246555E-3</v>
      </c>
      <c r="S40" s="23"/>
      <c r="T40" s="20">
        <f>C39*Data!$K$6</f>
        <v>2283.3695770056615</v>
      </c>
      <c r="U40" s="30">
        <f>$T40*$H40*($G39*(1-Data!$K$8*$C$2)^$E39)</f>
        <v>9.658475894311834E-2</v>
      </c>
      <c r="V40" s="22"/>
      <c r="W40" s="20">
        <f t="shared" si="0"/>
        <v>2.7072440955265016</v>
      </c>
    </row>
    <row r="41" spans="2:23" x14ac:dyDescent="0.75">
      <c r="B41" s="15">
        <v>33</v>
      </c>
      <c r="C41" s="20">
        <f>$C$8*EXP(Data!N37*'lapse risk (up)'!B41)</f>
        <v>173344.36861859259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EXP(-Data!N37*'lapse risk (up)'!E41)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30">
        <f>K41*H41*(G40*(1-Data!$K$8*$C$2)^E40)*((1-F41)*Data!$K$8*$C$2)</f>
        <v>0.77567708822896841</v>
      </c>
      <c r="M41" s="23"/>
      <c r="N41" s="20">
        <f>MAX(Data!$K$3*Data!$H$3,'lapse risk (up)'!I41)-Data!$K$4</f>
        <v>169962.46562577487</v>
      </c>
      <c r="O41" s="30">
        <f>N41*H41*(G40*(1-Data!$K$8*$C$2)^E40)*(F41)</f>
        <v>0.91732979085583366</v>
      </c>
      <c r="P41" s="23"/>
      <c r="Q41" s="20">
        <f>Data!$K$11*(1+Data!$K$10)^'lapse risk (up)'!E40*Data!$K$12</f>
        <v>94.227029605056444</v>
      </c>
      <c r="R41" s="30">
        <f>$Q41*$H41*($G40*(1-Data!$K$8*$C$2)^$E40)</f>
        <v>2.4198318381501507E-3</v>
      </c>
      <c r="S41" s="23"/>
      <c r="T41" s="20">
        <f>C40*Data!$K$6</f>
        <v>2353.3320949724107</v>
      </c>
      <c r="U41" s="30">
        <f>$T41*$H41*($G40*(1-Data!$K$8*$C$2)^$E40)</f>
        <v>6.0435609113685188E-2</v>
      </c>
      <c r="V41" s="22"/>
      <c r="W41" s="20">
        <f t="shared" si="0"/>
        <v>1.7558623200366374</v>
      </c>
    </row>
    <row r="42" spans="2:23" x14ac:dyDescent="0.75">
      <c r="B42" s="15">
        <v>34</v>
      </c>
      <c r="C42" s="20">
        <f>$C$8*EXP(Data!N38*'lapse risk (up)'!B42)</f>
        <v>178793.26352376863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EXP(-Data!N38*'lapse risk (up)'!E42)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30">
        <f>K42*H42*(G41*(1-Data!$K$8*$C$2)^E41)*((1-F42)*Data!$K$8*$C$2)</f>
        <v>0.46320997812203224</v>
      </c>
      <c r="M42" s="23"/>
      <c r="N42" s="20">
        <f>MAX(Data!$K$3*Data!$H$3,'lapse risk (up)'!I42)-Data!$K$4</f>
        <v>175306.37615139678</v>
      </c>
      <c r="O42" s="30">
        <f>N42*H42*(G41*(1-Data!$K$8*$C$2)^E41)*(F42)</f>
        <v>0.61308577351148774</v>
      </c>
      <c r="P42" s="23"/>
      <c r="Q42" s="20">
        <f>Data!$K$11*(1+Data!$K$10)^'lapse risk (up)'!E41*Data!$K$12</f>
        <v>96.111570197157576</v>
      </c>
      <c r="R42" s="30">
        <f>$Q42*$H42*($G41*(1-Data!$K$8*$C$2)^$E41)</f>
        <v>1.4648102945310792E-3</v>
      </c>
      <c r="S42" s="23"/>
      <c r="T42" s="20">
        <f>C41*Data!$K$6</f>
        <v>2426.8211606602963</v>
      </c>
      <c r="U42" s="30">
        <f>$T42*$H42*($G41*(1-Data!$K$8*$C$2)^$E41)</f>
        <v>3.6986521100725867E-2</v>
      </c>
      <c r="V42" s="22"/>
      <c r="W42" s="20">
        <f t="shared" si="0"/>
        <v>1.1147470830287769</v>
      </c>
    </row>
    <row r="43" spans="2:23" x14ac:dyDescent="0.75">
      <c r="B43" s="15">
        <v>35</v>
      </c>
      <c r="C43" s="20">
        <f>$C$8*EXP(Data!N39*'lapse risk (up)'!B43)</f>
        <v>184503.82334224999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EXP(-Data!N39*'lapse risk (up)'!E43)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30">
        <f>K43*H43*(G42*(1-Data!$K$8*$C$2)^E42)*((1-F43)*Data!$K$8*$C$2)</f>
        <v>0.2689747734785029</v>
      </c>
      <c r="M43" s="23"/>
      <c r="N43" s="20">
        <f>MAX(Data!$K$3*Data!$H$3,'lapse risk (up)'!I43)-Data!$K$4</f>
        <v>180907.95807177463</v>
      </c>
      <c r="O43" s="30">
        <f>N43*H43*(G42*(1-Data!$K$8*$C$2)^E42)*(F43)</f>
        <v>0.40007868901546995</v>
      </c>
      <c r="P43" s="23"/>
      <c r="Q43" s="20">
        <f>Data!$K$11*(1+Data!$K$10)^'lapse risk (up)'!E42*Data!$K$12</f>
        <v>98.03380160110072</v>
      </c>
      <c r="R43" s="30">
        <f>$Q43*$H43*($G42*(1-Data!$K$8*$C$2)^$E42)</f>
        <v>8.646114924186583E-4</v>
      </c>
      <c r="S43" s="23"/>
      <c r="T43" s="20">
        <f>C42*Data!$K$6</f>
        <v>2503.1056893327609</v>
      </c>
      <c r="U43" s="30">
        <f>$T43*$H43*($G42*(1-Data!$K$8*$C$2)^$E42)</f>
        <v>2.2076201375335964E-2</v>
      </c>
      <c r="V43" s="22"/>
      <c r="W43" s="20">
        <f t="shared" si="0"/>
        <v>0.69199427536172742</v>
      </c>
    </row>
    <row r="44" spans="2:23" x14ac:dyDescent="0.75">
      <c r="B44" s="15">
        <v>36</v>
      </c>
      <c r="C44" s="20">
        <f>$C$8*EXP(Data!N40*'lapse risk (up)'!B44)</f>
        <v>190484.37800634195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EXP(-Data!N40*'lapse risk (up)'!E44)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30">
        <f>K44*H44*(G43*(1-Data!$K$8*$C$2)^E43)*((1-F44)*Data!$K$8*$C$2)</f>
        <v>0.15116274050134756</v>
      </c>
      <c r="M44" s="23"/>
      <c r="N44" s="20">
        <f>MAX(Data!$K$3*Data!$H$3,'lapse risk (up)'!I44)-Data!$K$4</f>
        <v>186774.30153949696</v>
      </c>
      <c r="O44" s="30">
        <f>N44*H44*(G43*(1-Data!$K$8*$C$2)^E43)*(F44)</f>
        <v>0.25464589968714424</v>
      </c>
      <c r="P44" s="23"/>
      <c r="Q44" s="20">
        <f>Data!$K$11*(1+Data!$K$10)^'lapse risk (up)'!E43*Data!$K$12</f>
        <v>99.994477633122742</v>
      </c>
      <c r="R44" s="30">
        <f>$Q44*$H44*($G43*(1-Data!$K$8*$C$2)^$E43)</f>
        <v>4.9601531401156245E-4</v>
      </c>
      <c r="S44" s="23"/>
      <c r="T44" s="20">
        <f>C43*Data!$K$6</f>
        <v>2583.0535267914997</v>
      </c>
      <c r="U44" s="30">
        <f>$T44*$H44*($G43*(1-Data!$K$8*$C$2)^$E43)</f>
        <v>1.2813048645555965E-2</v>
      </c>
      <c r="V44" s="22"/>
      <c r="W44" s="20">
        <f t="shared" si="0"/>
        <v>0.41911770414805938</v>
      </c>
    </row>
    <row r="45" spans="2:23" x14ac:dyDescent="0.75">
      <c r="B45" s="15">
        <v>37</v>
      </c>
      <c r="C45" s="20">
        <f>$C$8*EXP(Data!N41*'lapse risk (up)'!B45)</f>
        <v>196743.36937910231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EXP(-Data!N41*'lapse risk (up)'!E45)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30">
        <f>K45*H45*(G44*(1-Data!$K$8*$C$2)^E44)*((1-F45)*Data!$K$8*$C$2)</f>
        <v>8.2652675986004301E-2</v>
      </c>
      <c r="M45" s="23"/>
      <c r="N45" s="20">
        <f>MAX(Data!$K$3*Data!$H$3,'lapse risk (up)'!I45)-Data!$K$4</f>
        <v>192913.68181897548</v>
      </c>
      <c r="O45" s="30">
        <f>N45*H45*(G44*(1-Data!$K$8*$C$2)^E44)*(F45)</f>
        <v>0.15333263121843427</v>
      </c>
      <c r="P45" s="23"/>
      <c r="Q45" s="20">
        <f>Data!$K$11*(1+Data!$K$10)^'lapse risk (up)'!E44*Data!$K$12</f>
        <v>101.99436718578518</v>
      </c>
      <c r="R45" s="30">
        <f>$Q45*$H45*($G44*(1-Data!$K$8*$C$2)^$E44)</f>
        <v>2.7528482228715112E-4</v>
      </c>
      <c r="S45" s="23"/>
      <c r="T45" s="20">
        <f>C44*Data!$K$6</f>
        <v>2666.7812920887873</v>
      </c>
      <c r="U45" s="30">
        <f>$T45*$H45*($G44*(1-Data!$K$8*$C$2)^$E44)</f>
        <v>7.1976956603312797E-3</v>
      </c>
      <c r="V45" s="22"/>
      <c r="W45" s="20">
        <f t="shared" si="0"/>
        <v>0.24345828768705696</v>
      </c>
    </row>
    <row r="46" spans="2:23" x14ac:dyDescent="0.75">
      <c r="B46" s="15">
        <v>38</v>
      </c>
      <c r="C46" s="20">
        <f>$C$8*EXP(Data!N42*'lapse risk (up)'!B46)</f>
        <v>203212.08472099825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EXP(-Data!N42*'lapse risk (up)'!E46)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30">
        <f>K46*H46*(G45*(1-Data!$K$8*$C$2)^E45)*((1-F46)*Data!$K$8*$C$2)</f>
        <v>4.3860882807535459E-2</v>
      </c>
      <c r="M46" s="23"/>
      <c r="N46" s="20">
        <f>MAX(Data!$K$3*Data!$H$3,'lapse risk (up)'!I46)-Data!$K$4</f>
        <v>199257.21733341619</v>
      </c>
      <c r="O46" s="30">
        <f>N46*H46*(G45*(1-Data!$K$8*$C$2)^E45)*(F46)</f>
        <v>8.9756345669960047E-2</v>
      </c>
      <c r="P46" s="23"/>
      <c r="Q46" s="20">
        <f>Data!$K$11*(1+Data!$K$10)^'lapse risk (up)'!E45*Data!$K$12</f>
        <v>104.0342545295009</v>
      </c>
      <c r="R46" s="30">
        <f>$Q46*$H46*($G45*(1-Data!$K$8*$C$2)^$E45)</f>
        <v>1.4864147513137552E-4</v>
      </c>
      <c r="S46" s="23"/>
      <c r="T46" s="20">
        <f>C45*Data!$K$6</f>
        <v>2754.4071713074322</v>
      </c>
      <c r="U46" s="30">
        <f>$T46*$H46*($G45*(1-Data!$K$8*$C$2)^$E45)</f>
        <v>3.9354263353660835E-3</v>
      </c>
      <c r="V46" s="22"/>
      <c r="W46" s="20">
        <f t="shared" si="0"/>
        <v>0.13770129628799299</v>
      </c>
    </row>
    <row r="47" spans="2:23" x14ac:dyDescent="0.75">
      <c r="B47" s="15">
        <v>39</v>
      </c>
      <c r="C47" s="20">
        <f>$C$8*EXP(Data!N43*'lapse risk (up)'!B47)</f>
        <v>209966.9602062176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EXP(-Data!N43*'lapse risk (up)'!E47)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30">
        <f>K47*H47*(G46*(1-Data!$K$8*$C$2)^E46)*((1-F47)*Data!$K$8*$C$2)</f>
        <v>2.2550802379190747E-2</v>
      </c>
      <c r="M47" s="23"/>
      <c r="N47" s="20">
        <f>MAX(Data!$K$3*Data!$H$3,'lapse risk (up)'!I47)-Data!$K$4</f>
        <v>205882.71851179763</v>
      </c>
      <c r="O47" s="30">
        <f>N47*H47*(G46*(1-Data!$K$8*$C$2)^E46)*(F47)</f>
        <v>5.0852117614483702E-2</v>
      </c>
      <c r="P47" s="23"/>
      <c r="Q47" s="20">
        <f>Data!$K$11*(1+Data!$K$10)^'lapse risk (up)'!E46*Data!$K$12</f>
        <v>106.11493962009094</v>
      </c>
      <c r="R47" s="30">
        <f>$Q47*$H47*($G46*(1-Data!$K$8*$C$2)^$E46)</f>
        <v>7.7867744245081814E-5</v>
      </c>
      <c r="S47" s="23"/>
      <c r="T47" s="20">
        <f>C46*Data!$K$6</f>
        <v>2844.9691860939756</v>
      </c>
      <c r="U47" s="30">
        <f>$T47*$H47*($G46*(1-Data!$K$8*$C$2)^$E46)</f>
        <v>2.0876545165178736E-3</v>
      </c>
      <c r="V47" s="22"/>
      <c r="W47" s="20">
        <f t="shared" si="0"/>
        <v>7.5568442254437401E-2</v>
      </c>
    </row>
    <row r="48" spans="2:23" x14ac:dyDescent="0.75">
      <c r="B48" s="15">
        <v>40</v>
      </c>
      <c r="C48" s="20">
        <f>$C$8*EXP(Data!N44*'lapse risk (up)'!B48)</f>
        <v>217015.80521669541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EXP(-Data!N44*'lapse risk (up)'!E48)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30">
        <f>K48*H48*(G47*(1-Data!$K$8*$C$2)^E47)*((1-F48)*Data!$K$8*$C$2)</f>
        <v>1.1188339853959723E-2</v>
      </c>
      <c r="M48" s="23"/>
      <c r="N48" s="20">
        <f>MAX(Data!$K$3*Data!$H$3,'lapse risk (up)'!I48)-Data!$K$4</f>
        <v>212796.46601257107</v>
      </c>
      <c r="O48" s="30">
        <f>N48*H48*(G47*(1-Data!$K$8*$C$2)^E47)*(F48)</f>
        <v>2.7949766744886712E-2</v>
      </c>
      <c r="P48" s="23"/>
      <c r="Q48" s="20">
        <f>Data!$K$11*(1+Data!$K$10)^'lapse risk (up)'!E47*Data!$K$12</f>
        <v>108.23723841249272</v>
      </c>
      <c r="R48" s="30">
        <f>$Q48*$H48*($G47*(1-Data!$K$8*$C$2)^$E47)</f>
        <v>3.9509141109258641E-5</v>
      </c>
      <c r="S48" s="23"/>
      <c r="T48" s="20">
        <f>C47*Data!$K$6</f>
        <v>2939.5374428870464</v>
      </c>
      <c r="U48" s="30">
        <f>$T48*$H48*($G47*(1-Data!$K$8*$C$2)^$E47)</f>
        <v>1.0730003955234776E-3</v>
      </c>
      <c r="V48" s="22"/>
      <c r="W48" s="20">
        <f t="shared" si="0"/>
        <v>4.0250616135479172E-2</v>
      </c>
    </row>
    <row r="49" spans="2:23" x14ac:dyDescent="0.75">
      <c r="B49" s="15">
        <v>41</v>
      </c>
      <c r="C49" s="20">
        <f>$C$8*EXP(Data!N45*'lapse risk (up)'!B49)</f>
        <v>224274.37394679774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EXP(-Data!N45*'lapse risk (up)'!E49)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30">
        <f>K49*H49*(G48*(1-Data!$K$8*$C$2)^E48)*((1-F49)*Data!$K$8*$C$2)</f>
        <v>5.2866438952831381E-3</v>
      </c>
      <c r="M49" s="23"/>
      <c r="N49" s="20">
        <f>MAX(Data!$K$3*Data!$H$3,'lapse risk (up)'!I49)-Data!$K$4</f>
        <v>219914.05784246384</v>
      </c>
      <c r="O49" s="30">
        <f>N49*H49*(G48*(1-Data!$K$8*$C$2)^E48)*(F49)</f>
        <v>1.5041445921860354E-2</v>
      </c>
      <c r="P49" s="23"/>
      <c r="Q49" s="20">
        <f>Data!$K$11*(1+Data!$K$10)^'lapse risk (up)'!E48*Data!$K$12</f>
        <v>110.40198318074259</v>
      </c>
      <c r="R49" s="30">
        <f>$Q49*$H49*($G48*(1-Data!$K$8*$C$2)^$E48)</f>
        <v>1.9346794091176211E-5</v>
      </c>
      <c r="S49" s="23"/>
      <c r="T49" s="20">
        <f>C48*Data!$K$6</f>
        <v>3038.221273033736</v>
      </c>
      <c r="U49" s="30">
        <f>$T49*$H49*($G48*(1-Data!$K$8*$C$2)^$E48)</f>
        <v>5.3241653527712999E-4</v>
      </c>
      <c r="V49" s="22"/>
      <c r="W49" s="20">
        <f t="shared" si="0"/>
        <v>2.0879853146511796E-2</v>
      </c>
    </row>
    <row r="50" spans="2:23" x14ac:dyDescent="0.75">
      <c r="B50" s="15">
        <v>42</v>
      </c>
      <c r="C50" s="20">
        <f>$C$8*EXP(Data!N46*'lapse risk (up)'!B50)</f>
        <v>231928.7438676453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EXP(-Data!N46*'lapse risk (up)'!E50)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30">
        <f>K50*H50*(G49*(1-Data!$K$8*$C$2)^E49)*((1-F50)*Data!$K$8*$C$2)</f>
        <v>2.3454220612035286E-3</v>
      </c>
      <c r="M50" s="23"/>
      <c r="N50" s="20">
        <f>MAX(Data!$K$3*Data!$H$3,'lapse risk (up)'!I50)-Data!$K$4</f>
        <v>227423.25638870936</v>
      </c>
      <c r="O50" s="30">
        <f>N50*H50*(G49*(1-Data!$K$8*$C$2)^E49)*(F50)</f>
        <v>7.7857449202512639E-3</v>
      </c>
      <c r="P50" s="23"/>
      <c r="Q50" s="20">
        <f>Data!$K$11*(1+Data!$K$10)^'lapse risk (up)'!E49*Data!$K$12</f>
        <v>112.61002284435745</v>
      </c>
      <c r="R50" s="30">
        <f>$Q50*$H50*($G49*(1-Data!$K$8*$C$2)^$E49)</f>
        <v>9.0167156403038066E-6</v>
      </c>
      <c r="S50" s="23"/>
      <c r="T50" s="20">
        <f>C49*Data!$K$6</f>
        <v>3139.8412352551686</v>
      </c>
      <c r="U50" s="30">
        <f>$T50*$H50*($G49*(1-Data!$K$8*$C$2)^$E49)</f>
        <v>2.5140795516155677E-4</v>
      </c>
      <c r="V50" s="22"/>
      <c r="W50" s="20">
        <f t="shared" si="0"/>
        <v>1.0391591652256654E-2</v>
      </c>
    </row>
    <row r="51" spans="2:23" x14ac:dyDescent="0.75">
      <c r="B51" s="15">
        <v>43</v>
      </c>
      <c r="C51" s="20">
        <f>$C$8*EXP(Data!N47*'lapse risk (up)'!B51)</f>
        <v>239796.38945322504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EXP(-Data!N47*'lapse risk (up)'!E51)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30">
        <f>K51*H51*(G50*(1-Data!$K$8*$C$2)^E50)*((1-F51)*Data!$K$8*$C$2)</f>
        <v>9.8004949222872608E-4</v>
      </c>
      <c r="M51" s="23"/>
      <c r="N51" s="20">
        <f>MAX(Data!$K$3*Data!$H$3,'lapse risk (up)'!I51)-Data!$K$4</f>
        <v>235137.81457587212</v>
      </c>
      <c r="O51" s="30">
        <f>N51*H51*(G50*(1-Data!$K$8*$C$2)^E50)*(F51)</f>
        <v>3.7228919068506955E-3</v>
      </c>
      <c r="P51" s="23"/>
      <c r="Q51" s="20">
        <f>Data!$K$11*(1+Data!$K$10)^'lapse risk (up)'!E50*Data!$K$12</f>
        <v>114.86222330124458</v>
      </c>
      <c r="R51" s="30">
        <f>$Q51*$H51*($G50*(1-Data!$K$8*$C$2)^$E50)</f>
        <v>3.9463397401644332E-6</v>
      </c>
      <c r="S51" s="23"/>
      <c r="T51" s="20">
        <f>C50*Data!$K$6</f>
        <v>3247.0024141470344</v>
      </c>
      <c r="U51" s="30">
        <f>$T51*$H51*($G50*(1-Data!$K$8*$C$2)^$E50)</f>
        <v>1.1155778022642065E-4</v>
      </c>
      <c r="V51" s="22"/>
      <c r="W51" s="20">
        <f t="shared" si="0"/>
        <v>4.8184455190460069E-3</v>
      </c>
    </row>
    <row r="52" spans="2:23" x14ac:dyDescent="0.75">
      <c r="B52" s="15">
        <v>44</v>
      </c>
      <c r="C52" s="20">
        <f>$C$8*EXP(Data!N48*'lapse risk (up)'!B52)</f>
        <v>247975.55828064092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EXP(-Data!N48*'lapse risk (up)'!E52)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30">
        <f>K52*H52*(G51*(1-Data!$K$8*$C$2)^E51)*((1-F52)*Data!$K$8*$C$2)</f>
        <v>3.8385924080899933E-4</v>
      </c>
      <c r="M52" s="23"/>
      <c r="N52" s="20">
        <f>MAX(Data!$K$3*Data!$H$3,'lapse risk (up)'!I52)-Data!$K$4</f>
        <v>243159.63049157642</v>
      </c>
      <c r="O52" s="30">
        <f>N52*H52*(G51*(1-Data!$K$8*$C$2)^E51)*(F52)</f>
        <v>1.6697064147521167E-3</v>
      </c>
      <c r="P52" s="23"/>
      <c r="Q52" s="20">
        <f>Data!$K$11*(1+Data!$K$10)^'lapse risk (up)'!E51*Data!$K$12</f>
        <v>117.15946776726946</v>
      </c>
      <c r="R52" s="30">
        <f>$Q52*$H52*($G51*(1-Data!$K$8*$C$2)^$E51)</f>
        <v>1.6265067431687804E-6</v>
      </c>
      <c r="S52" s="23"/>
      <c r="T52" s="20">
        <f>C51*Data!$K$6</f>
        <v>3357.1494523451506</v>
      </c>
      <c r="U52" s="30">
        <f>$T52*$H52*($G51*(1-Data!$K$8*$C$2)^$E51)</f>
        <v>4.6606785828965939E-5</v>
      </c>
      <c r="V52" s="22"/>
      <c r="W52" s="20">
        <f t="shared" si="0"/>
        <v>2.1017989481332509E-3</v>
      </c>
    </row>
    <row r="53" spans="2:23" x14ac:dyDescent="0.75">
      <c r="B53" s="15">
        <v>45</v>
      </c>
      <c r="C53" s="20">
        <f>$C$8*EXP(Data!N49*'lapse risk (up)'!B53)</f>
        <v>256472.17674241067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EXP(-Data!N49*'lapse risk (up)'!E53)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30">
        <f>K53*H53*(G52*(1-Data!$K$8*$C$2)^E52)*((1-F53)*Data!$K$8*$C$2)</f>
        <v>1.4022838586878433E-4</v>
      </c>
      <c r="M53" s="23"/>
      <c r="N53" s="20">
        <f>MAX(Data!$K$3*Data!$H$3,'lapse risk (up)'!I53)-Data!$K$4</f>
        <v>251492.66557679785</v>
      </c>
      <c r="O53" s="30">
        <f>N53*H53*(G52*(1-Data!$K$8*$C$2)^E52)*(F53)</f>
        <v>6.9895207307641685E-4</v>
      </c>
      <c r="P53" s="23"/>
      <c r="Q53" s="20">
        <f>Data!$K$11*(1+Data!$K$10)^'lapse risk (up)'!E52*Data!$K$12</f>
        <v>119.50265712261488</v>
      </c>
      <c r="R53" s="30">
        <f>$Q53*$H53*($G52*(1-Data!$K$8*$C$2)^$E52)</f>
        <v>6.2826937484455501E-7</v>
      </c>
      <c r="S53" s="23"/>
      <c r="T53" s="20">
        <f>C52*Data!$K$6</f>
        <v>3471.6578159289729</v>
      </c>
      <c r="U53" s="30">
        <f>$T53*$H53*($G52*(1-Data!$K$8*$C$2)^$E52)</f>
        <v>1.8251780656642383E-5</v>
      </c>
      <c r="V53" s="22"/>
      <c r="W53" s="20">
        <f t="shared" si="0"/>
        <v>8.5806050897668817E-4</v>
      </c>
    </row>
    <row r="54" spans="2:23" x14ac:dyDescent="0.75">
      <c r="B54" s="15">
        <v>46</v>
      </c>
      <c r="C54" s="20">
        <f>$C$8*EXP(Data!N50*'lapse risk (up)'!B54)</f>
        <v>265291.75588931283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EXP(-Data!N50*'lapse risk (up)'!E54)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30">
        <f>K54*H54*(G53*(1-Data!$K$8*$C$2)^E53)*((1-F54)*Data!$K$8*$C$2)</f>
        <v>4.7539210192447703E-5</v>
      </c>
      <c r="M54" s="23"/>
      <c r="N54" s="20">
        <f>MAX(Data!$K$3*Data!$H$3,'lapse risk (up)'!I54)-Data!$K$4</f>
        <v>260142.31235446461</v>
      </c>
      <c r="O54" s="30">
        <f>N54*H54*(G53*(1-Data!$K$8*$C$2)^E53)*(F54)</f>
        <v>2.7172592594658352E-4</v>
      </c>
      <c r="P54" s="23"/>
      <c r="Q54" s="20">
        <f>Data!$K$11*(1+Data!$K$10)^'lapse risk (up)'!E53*Data!$K$12</f>
        <v>121.89271026506717</v>
      </c>
      <c r="R54" s="30">
        <f>$Q54*$H54*($G53*(1-Data!$K$8*$C$2)^$E53)</f>
        <v>2.2632057227069216E-7</v>
      </c>
      <c r="S54" s="23"/>
      <c r="T54" s="20">
        <f>C53*Data!$K$6</f>
        <v>3590.6104743937494</v>
      </c>
      <c r="U54" s="30">
        <f>$T54*$H54*($G53*(1-Data!$K$8*$C$2)^$E53)</f>
        <v>6.6667564910058743E-6</v>
      </c>
      <c r="V54" s="22"/>
      <c r="W54" s="20">
        <f t="shared" si="0"/>
        <v>3.2615821320230775E-4</v>
      </c>
    </row>
    <row r="55" spans="2:23" x14ac:dyDescent="0.75">
      <c r="B55" s="15">
        <v>47</v>
      </c>
      <c r="C55" s="20">
        <f>$C$8*EXP(Data!N51*'lapse risk (up)'!B55)</f>
        <v>274310.36545645952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EXP(-Data!N51*'lapse risk (up)'!E55)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30">
        <f>K55*H55*(G54*(1-Data!$K$8*$C$2)^E54)*((1-F55)*Data!$K$8*$C$2)</f>
        <v>1.4880144032095766E-5</v>
      </c>
      <c r="M55" s="23"/>
      <c r="N55" s="20">
        <f>MAX(Data!$K$3*Data!$H$3,'lapse risk (up)'!I55)-Data!$K$4</f>
        <v>268984.53033867327</v>
      </c>
      <c r="O55" s="30">
        <f>N55*H55*(G54*(1-Data!$K$8*$C$2)^E54)*(F55)</f>
        <v>9.7611381710331242E-5</v>
      </c>
      <c r="P55" s="23"/>
      <c r="Q55" s="20">
        <f>Data!$K$11*(1+Data!$K$10)^'lapse risk (up)'!E54*Data!$K$12</f>
        <v>124.33056447036851</v>
      </c>
      <c r="R55" s="30">
        <f>$Q55*$H55*($G54*(1-Data!$K$8*$C$2)^$E54)</f>
        <v>7.5686703670587106E-8</v>
      </c>
      <c r="S55" s="23"/>
      <c r="T55" s="20">
        <f>C54*Data!$K$6</f>
        <v>3714.0845824503799</v>
      </c>
      <c r="U55" s="30">
        <f>$T55*$H55*($G54*(1-Data!$K$8*$C$2)^$E54)</f>
        <v>2.2609631058693844E-6</v>
      </c>
      <c r="V55" s="22"/>
      <c r="W55" s="20">
        <f t="shared" si="0"/>
        <v>1.1482817555196698E-4</v>
      </c>
    </row>
    <row r="56" spans="2:23" x14ac:dyDescent="0.75">
      <c r="B56" s="15">
        <v>48</v>
      </c>
      <c r="C56" s="20">
        <f>$C$8*EXP(Data!N52*'lapse risk (up)'!B56)</f>
        <v>283783.09205787984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EXP(-Data!N52*'lapse risk (up)'!E56)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30">
        <f>K56*H56*(G55*(1-Data!$K$8*$C$2)^E55)*((1-F56)*Data!$K$8*$C$2)</f>
        <v>4.2786287798290406E-6</v>
      </c>
      <c r="M56" s="23"/>
      <c r="N56" s="20">
        <f>MAX(Data!$K$3*Data!$H$3,'lapse risk (up)'!I56)-Data!$K$4</f>
        <v>278276.88474875066</v>
      </c>
      <c r="O56" s="30">
        <f>N56*H56*(G55*(1-Data!$K$8*$C$2)^E55)*(F56)</f>
        <v>3.2238354327718972E-5</v>
      </c>
      <c r="P56" s="23"/>
      <c r="Q56" s="20">
        <f>Data!$K$11*(1+Data!$K$10)^'lapse risk (up)'!E55*Data!$K$12</f>
        <v>126.81717575977585</v>
      </c>
      <c r="R56" s="30">
        <f>$Q56*$H56*($G55*(1-Data!$K$8*$C$2)^$E55)</f>
        <v>2.3357846226898475E-8</v>
      </c>
      <c r="S56" s="23"/>
      <c r="T56" s="20">
        <f>C55*Data!$K$6</f>
        <v>3840.3451163904333</v>
      </c>
      <c r="U56" s="30">
        <f>$T56*$H56*($G55*(1-Data!$K$8*$C$2)^$E55)</f>
        <v>7.0733471353113192E-7</v>
      </c>
      <c r="V56" s="22"/>
      <c r="W56" s="20">
        <f t="shared" si="0"/>
        <v>3.7247675667306045E-5</v>
      </c>
    </row>
    <row r="57" spans="2:23" x14ac:dyDescent="0.75">
      <c r="B57" s="15">
        <v>49</v>
      </c>
      <c r="C57" s="20">
        <f>$C$8*EXP(Data!N53*'lapse risk (up)'!B57)</f>
        <v>293591.74679913622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EXP(-Data!N53*'lapse risk (up)'!E57)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30">
        <f>K57*H57*(G56*(1-Data!$K$8*$C$2)^E56)*((1-F57)*Data!$K$8*$C$2)</f>
        <v>1.124438898616531E-6</v>
      </c>
      <c r="M57" s="23"/>
      <c r="N57" s="20">
        <f>MAX(Data!$K$3*Data!$H$3,'lapse risk (up)'!I57)-Data!$K$4</f>
        <v>287896.08495797863</v>
      </c>
      <c r="O57" s="30">
        <f>N57*H57*(G56*(1-Data!$K$8*$C$2)^E56)*(F57)</f>
        <v>9.740037017656718E-6</v>
      </c>
      <c r="P57" s="23"/>
      <c r="Q57" s="20">
        <f>Data!$K$11*(1+Data!$K$10)^'lapse risk (up)'!E56*Data!$K$12</f>
        <v>129.35351927497138</v>
      </c>
      <c r="R57" s="30">
        <f>$Q57*$H57*($G56*(1-Data!$K$8*$C$2)^$E56)</f>
        <v>6.6216707428595062E-9</v>
      </c>
      <c r="S57" s="23"/>
      <c r="T57" s="20">
        <f>C56*Data!$K$6</f>
        <v>3972.9632888103179</v>
      </c>
      <c r="U57" s="30">
        <f>$T57*$H57*($G56*(1-Data!$K$8*$C$2)^$E56)</f>
        <v>2.0337795925016194E-7</v>
      </c>
      <c r="V57" s="22"/>
      <c r="W57" s="20">
        <f t="shared" si="0"/>
        <v>1.1074475546266271E-5</v>
      </c>
    </row>
    <row r="58" spans="2:23" x14ac:dyDescent="0.75">
      <c r="B58" s="15">
        <v>50</v>
      </c>
      <c r="C58" s="20">
        <f>$C$8*EXP(Data!N54*'lapse risk (up)'!B58)</f>
        <v>303739.42705151613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EXP(-Data!N54*'lapse risk (up)'!E58)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30">
        <f>K58*H58*(G57*(1-Data!$K$8*$C$2)^E57)*(1-F58)</f>
        <v>1.1944319065145794E-6</v>
      </c>
      <c r="M58" s="24"/>
      <c r="N58" s="20">
        <f>MAX(Data!$K$3*Data!$H$3,'lapse risk (up)'!I58)-Data!$K$4</f>
        <v>297847.59211553342</v>
      </c>
      <c r="O58" s="30">
        <f>N58*H58*(G57*(1-Data!$K$8*$C$2)^E57)*(F58)</f>
        <v>2.6786444000149414E-6</v>
      </c>
      <c r="P58" s="24"/>
      <c r="Q58" s="20">
        <f>Data!$K$11*(1+Data!$K$10)^'lapse risk (up)'!E57*Data!$K$12</f>
        <v>131.94058966047081</v>
      </c>
      <c r="R58" s="30">
        <f>$Q58*$H58*($G57*(1-Data!$K$8*$C$2)^$E57)</f>
        <v>1.715696165457947E-9</v>
      </c>
      <c r="S58" s="24"/>
      <c r="T58" s="20">
        <f>C57*Data!$K$6</f>
        <v>4110.284455187907</v>
      </c>
      <c r="U58" s="30">
        <f>$T58*$H58*($G57*(1-Data!$K$8*$C$2)^$E57)</f>
        <v>5.3448292878291312E-8</v>
      </c>
      <c r="V58" s="25"/>
      <c r="W58" s="20">
        <f t="shared" si="0"/>
        <v>3.9282402955732703E-6</v>
      </c>
    </row>
    <row r="60" spans="2:23" x14ac:dyDescent="0.75">
      <c r="K60" s="43" t="s">
        <v>62</v>
      </c>
      <c r="L60" s="20">
        <f>SUM(L9:L58)</f>
        <v>93501.076566116084</v>
      </c>
      <c r="N60" s="43" t="s">
        <v>62</v>
      </c>
      <c r="O60" s="20">
        <f>SUM(O9:O58)</f>
        <v>4807.9235114009616</v>
      </c>
      <c r="P60" s="1"/>
      <c r="Q60" s="43" t="s">
        <v>62</v>
      </c>
      <c r="R60" s="20">
        <f>SUM(R9:R58)</f>
        <v>220.22218376775791</v>
      </c>
      <c r="S60" s="1"/>
      <c r="T60" s="43" t="s">
        <v>62</v>
      </c>
      <c r="U60" s="20">
        <f>SUM(U9:U58)</f>
        <v>5948.375583738095</v>
      </c>
      <c r="V60" s="15" t="s">
        <v>15</v>
      </c>
      <c r="W60" s="20">
        <f>SUM(W9:W58)</f>
        <v>104477.59784502289</v>
      </c>
    </row>
    <row r="61" spans="2:23" x14ac:dyDescent="0.75">
      <c r="V61" s="15" t="s">
        <v>32</v>
      </c>
      <c r="W61" s="15">
        <f>SUMPRODUCT(W9:W58,E9:E58)/W60</f>
        <v>4.2785231225615687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B4CC-3FC2-4BB8-B791-0DC63C6D2A8B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2">
        <v>0.5</v>
      </c>
      <c r="V2" s="34" t="s">
        <v>34</v>
      </c>
      <c r="W2" s="35">
        <f>C8-W60</f>
        <v>-13532.750004417452</v>
      </c>
    </row>
    <row r="3" spans="2:23" x14ac:dyDescent="0.75">
      <c r="V3" s="34" t="s">
        <v>40</v>
      </c>
      <c r="W3" s="35">
        <f>MAX('Caso base'!W2-'lapse risk (down)'!W2,0)</f>
        <v>6259.6377853359882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20">
        <f>$C$8*EXP(Data!N5*'lapse risk (down)'!B9)</f>
        <v>99825.153035716154</v>
      </c>
      <c r="E9" s="15">
        <v>1</v>
      </c>
      <c r="F9" s="15">
        <f>Data!C5</f>
        <v>7.1098899999999998E-3</v>
      </c>
      <c r="G9" s="15">
        <f>Data!E5</f>
        <v>0.99289011000000005</v>
      </c>
      <c r="H9" s="15">
        <f>EXP(-Data!N5*'lapse risk (down)'!E9)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30">
        <f>K9*H9*(G8*(1-Data!$K$8*$C$2)^E8)*((1-F9)*Data!$K$8*$C$2)</f>
        <v>7295.9895028751744</v>
      </c>
      <c r="M9" s="23"/>
      <c r="N9" s="20">
        <f>MAX(Data!$K$3*Data!$H$3,'lapse risk (down)'!I9)-Data!$K$4</f>
        <v>109980.00000000001</v>
      </c>
      <c r="O9" s="30">
        <f>N9*H9*(G8*(1-Data!$K$8*$C$2)^E8)*(F9)</f>
        <v>783.31530523196898</v>
      </c>
      <c r="P9" s="23"/>
      <c r="Q9" s="20">
        <f>Data!$K$11*(1+Data!$K$10)^'lapse risk (down)'!E8*Data!$K$12</f>
        <v>50</v>
      </c>
      <c r="R9" s="30">
        <f>$Q9*$H9*($G8*(1-Data!$K$8*$C$2)^$E8)</f>
        <v>50.087576607181006</v>
      </c>
      <c r="S9" s="23"/>
      <c r="T9" s="20">
        <f>C8*Data!$K$6</f>
        <v>1400</v>
      </c>
      <c r="U9" s="30">
        <f>$T9*$H9*($G8*(1-Data!$K$8*$C$2)^$E8)</f>
        <v>1402.4521450010682</v>
      </c>
      <c r="V9" s="22"/>
      <c r="W9" s="20">
        <f>O9+L9+R9+U9</f>
        <v>9531.8445297153921</v>
      </c>
    </row>
    <row r="10" spans="2:23" x14ac:dyDescent="0.75">
      <c r="B10" s="15">
        <v>2</v>
      </c>
      <c r="C10" s="20">
        <f>$C$8*EXP(Data!N6*'lapse risk (down)'!B10)</f>
        <v>100875.81299504719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EXP(-Data!N6*'lapse risk (down)'!E10)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30">
        <f>K10*H10*(G9*(1-Data!$K$8*$C$2)^E9)*((1-F10)*Data!$K$8*$C$2)</f>
        <v>6696.9806946816143</v>
      </c>
      <c r="M10" s="23"/>
      <c r="N10" s="20">
        <f>MAX(Data!$K$3*Data!$H$3,'lapse risk (down)'!I10)-Data!$K$4</f>
        <v>109980.00000000001</v>
      </c>
      <c r="O10" s="30">
        <f>N10*H10*(G9*(1-Data!$K$8*$C$2)^E9)*(F10)</f>
        <v>793.57810969236027</v>
      </c>
      <c r="P10" s="23"/>
      <c r="Q10" s="20">
        <f>Data!$K$11*(1+Data!$K$10)^'lapse risk (down)'!E9*Data!$K$12</f>
        <v>51</v>
      </c>
      <c r="R10" s="30">
        <f>$Q10*$H10*($G9*(1-Data!$K$8*$C$2)^$E9)</f>
        <v>46.432925345097082</v>
      </c>
      <c r="S10" s="23"/>
      <c r="T10" s="20">
        <f>C9*Data!$K$6</f>
        <v>1397.5521425000261</v>
      </c>
      <c r="U10" s="30">
        <f>$T10*$H10*($G9*(1-Data!$K$8*$C$2)^$E9)</f>
        <v>1272.4006725212587</v>
      </c>
      <c r="V10" s="22"/>
      <c r="W10" s="20">
        <f t="shared" ref="W10:W58" si="0">O10+L10+R10+U10</f>
        <v>8809.3924022403298</v>
      </c>
    </row>
    <row r="11" spans="2:23" x14ac:dyDescent="0.75">
      <c r="B11" s="15">
        <v>3</v>
      </c>
      <c r="C11" s="20">
        <f>$C$8*EXP(Data!N7*'lapse risk (down)'!B11)</f>
        <v>102131.39657582495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EXP(-Data!N7*'lapse risk (down)'!E11)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30">
        <f>K11*H11*(G10*(1-Data!$K$8*$C$2)^E10)*((1-F11)*Data!$K$8*$C$2)</f>
        <v>6140.7986642153637</v>
      </c>
      <c r="M11" s="23"/>
      <c r="N11" s="20">
        <f>MAX(Data!$K$3*Data!$H$3,'lapse risk (down)'!I11)-Data!$K$4</f>
        <v>109980.00000000001</v>
      </c>
      <c r="O11" s="30">
        <f>N11*H11*(G10*(1-Data!$K$8*$C$2)^E10)*(F11)</f>
        <v>793.47724115934227</v>
      </c>
      <c r="P11" s="23"/>
      <c r="Q11" s="20">
        <f>Data!$K$11*(1+Data!$K$10)^'lapse risk (down)'!E10*Data!$K$12</f>
        <v>52.019999999999996</v>
      </c>
      <c r="R11" s="30">
        <f>$Q11*$H11*($G10*(1-Data!$K$8*$C$2)^$E10)</f>
        <v>42.927941829697914</v>
      </c>
      <c r="S11" s="23"/>
      <c r="T11" s="20">
        <f>C10*Data!$K$6</f>
        <v>1412.2613819306607</v>
      </c>
      <c r="U11" s="30">
        <f>$T11*$H11*($G10*(1-Data!$K$8*$C$2)^$E10)</f>
        <v>1165.426267817151</v>
      </c>
      <c r="V11" s="22"/>
      <c r="W11" s="20">
        <f t="shared" si="0"/>
        <v>8142.630115021555</v>
      </c>
    </row>
    <row r="12" spans="2:23" x14ac:dyDescent="0.75">
      <c r="B12" s="15">
        <v>4</v>
      </c>
      <c r="C12" s="20">
        <f>$C$8*EXP(Data!N8*'lapse risk (down)'!B12)</f>
        <v>103371.59205577367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EXP(-Data!N8*'lapse risk (down)'!E12)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30">
        <f>K12*H12*(G11*(1-Data!$K$8*$C$2)^E11)*((1-F12)*Data!$K$8*$C$2)</f>
        <v>5624.8686775427987</v>
      </c>
      <c r="M12" s="23"/>
      <c r="N12" s="20">
        <f>MAX(Data!$K$3*Data!$H$3,'lapse risk (down)'!I12)-Data!$K$4</f>
        <v>109980.00000000001</v>
      </c>
      <c r="O12" s="30">
        <f>N12*H12*(G11*(1-Data!$K$8*$C$2)^E11)*(F12)</f>
        <v>801.15603678249579</v>
      </c>
      <c r="P12" s="23"/>
      <c r="Q12" s="20">
        <f>Data!$K$11*(1+Data!$K$10)^'lapse risk (down)'!E11*Data!$K$12</f>
        <v>53.060399999999994</v>
      </c>
      <c r="R12" s="30">
        <f>$Q12*$H12*($G11*(1-Data!$K$8*$C$2)^$E11)</f>
        <v>39.666728840533715</v>
      </c>
      <c r="S12" s="23"/>
      <c r="T12" s="20">
        <f>C11*Data!$K$6</f>
        <v>1429.8395520615493</v>
      </c>
      <c r="U12" s="30">
        <f>$T12*$H12*($G11*(1-Data!$K$8*$C$2)^$E11)</f>
        <v>1068.9150062399769</v>
      </c>
      <c r="V12" s="22"/>
      <c r="W12" s="20">
        <f t="shared" si="0"/>
        <v>7534.6064494058046</v>
      </c>
    </row>
    <row r="13" spans="2:23" x14ac:dyDescent="0.75">
      <c r="B13" s="15">
        <v>5</v>
      </c>
      <c r="C13" s="20">
        <f>$C$8*EXP(Data!N9*'lapse risk (down)'!B13)</f>
        <v>104576.63856293866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EXP(-Data!N9*'lapse risk (down)'!E13)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30">
        <f>K13*H13*(G12*(1-Data!$K$8*$C$2)^E12)*((1-F13)*Data!$K$8*$C$2)</f>
        <v>5147.0661614470191</v>
      </c>
      <c r="M13" s="23"/>
      <c r="N13" s="20">
        <f>MAX(Data!$K$3*Data!$H$3,'lapse risk (down)'!I13)-Data!$K$4</f>
        <v>109980.00000000001</v>
      </c>
      <c r="O13" s="30">
        <f>N13*H13*(G12*(1-Data!$K$8*$C$2)^E12)*(F13)</f>
        <v>799.79203756205766</v>
      </c>
      <c r="P13" s="23"/>
      <c r="Q13" s="20">
        <f>Data!$K$11*(1+Data!$K$10)^'lapse risk (down)'!E12*Data!$K$12</f>
        <v>54.121608000000002</v>
      </c>
      <c r="R13" s="30">
        <f>$Q13*$H13*($G12*(1-Data!$K$8*$C$2)^$E12)</f>
        <v>36.633819433414217</v>
      </c>
      <c r="S13" s="23"/>
      <c r="T13" s="20">
        <f>C12*Data!$K$6</f>
        <v>1447.2022887808314</v>
      </c>
      <c r="U13" s="30">
        <f>$T13*$H13*($G12*(1-Data!$K$8*$C$2)^$E12)</f>
        <v>979.581895105939</v>
      </c>
      <c r="V13" s="22"/>
      <c r="W13" s="20">
        <f t="shared" si="0"/>
        <v>6963.07391354843</v>
      </c>
    </row>
    <row r="14" spans="2:23" x14ac:dyDescent="0.75">
      <c r="B14" s="15">
        <v>6</v>
      </c>
      <c r="C14" s="20">
        <f>$C$8*EXP(Data!N10*'lapse risk (down)'!B14)</f>
        <v>105821.12683155056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EXP(-Data!N10*'lapse risk (down)'!E14)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30">
        <f>K14*H14*(G13*(1-Data!$K$8*$C$2)^E13)*((1-F14)*Data!$K$8*$C$2)</f>
        <v>4705.1668292568438</v>
      </c>
      <c r="M14" s="23"/>
      <c r="N14" s="20">
        <f>MAX(Data!$K$3*Data!$H$3,'lapse risk (down)'!I14)-Data!$K$4</f>
        <v>109980.00000000001</v>
      </c>
      <c r="O14" s="30">
        <f>N14*H14*(G13*(1-Data!$K$8*$C$2)^E13)*(F14)</f>
        <v>790.44434964515926</v>
      </c>
      <c r="P14" s="23"/>
      <c r="Q14" s="20">
        <f>Data!$K$11*(1+Data!$K$10)^'lapse risk (down)'!E13*Data!$K$12</f>
        <v>55.204040159999998</v>
      </c>
      <c r="R14" s="30">
        <f>$Q14*$H14*($G13*(1-Data!$K$8*$C$2)^$E13)</f>
        <v>33.790549002712318</v>
      </c>
      <c r="S14" s="23"/>
      <c r="T14" s="20">
        <f>C13*Data!$K$6</f>
        <v>1464.0729398811413</v>
      </c>
      <c r="U14" s="30">
        <f>$T14*$H14*($G13*(1-Data!$K$8*$C$2)^$E13)</f>
        <v>896.16318434688264</v>
      </c>
      <c r="V14" s="22"/>
      <c r="W14" s="20">
        <f t="shared" si="0"/>
        <v>6425.5649122515988</v>
      </c>
    </row>
    <row r="15" spans="2:23" x14ac:dyDescent="0.75">
      <c r="B15" s="15">
        <v>7</v>
      </c>
      <c r="C15" s="20">
        <f>$C$8*EXP(Data!N11*'lapse risk (down)'!B15)</f>
        <v>107123.26556068068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EXP(-Data!N11*'lapse risk (down)'!E15)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30">
        <f>K15*H15*(G14*(1-Data!$K$8*$C$2)^E14)*((1-F15)*Data!$K$8*$C$2)</f>
        <v>4295.9856945366437</v>
      </c>
      <c r="M15" s="23"/>
      <c r="N15" s="20">
        <f>MAX(Data!$K$3*Data!$H$3,'lapse risk (down)'!I15)-Data!$K$4</f>
        <v>109980.00000000001</v>
      </c>
      <c r="O15" s="30">
        <f>N15*H15*(G14*(1-Data!$K$8*$C$2)^E14)*(F15)</f>
        <v>786.91196415341551</v>
      </c>
      <c r="P15" s="23"/>
      <c r="Q15" s="20">
        <f>Data!$K$11*(1+Data!$K$10)^'lapse risk (down)'!E14*Data!$K$12</f>
        <v>56.308120963200004</v>
      </c>
      <c r="R15" s="30">
        <f>$Q15*$H15*($G14*(1-Data!$K$8*$C$2)^$E14)</f>
        <v>31.12405506736215</v>
      </c>
      <c r="S15" s="23"/>
      <c r="T15" s="20">
        <f>C14*Data!$K$6</f>
        <v>1481.495775641708</v>
      </c>
      <c r="U15" s="30">
        <f>$T15*$H15*($G14*(1-Data!$K$8*$C$2)^$E14)</f>
        <v>818.8899809544713</v>
      </c>
      <c r="V15" s="22"/>
      <c r="W15" s="20">
        <f t="shared" si="0"/>
        <v>5932.9116947118919</v>
      </c>
    </row>
    <row r="16" spans="2:23" x14ac:dyDescent="0.75">
      <c r="B16" s="15">
        <v>8</v>
      </c>
      <c r="C16" s="20">
        <f>$C$8*EXP(Data!N12*'lapse risk (down)'!B16)</f>
        <v>108545.5809829549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EXP(-Data!N12*'lapse risk (down)'!E16)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30">
        <f>K16*H16*(G15*(1-Data!$K$8*$C$2)^E15)*((1-F16)*Data!$K$8*$C$2)</f>
        <v>3917.1027953253497</v>
      </c>
      <c r="M16" s="23"/>
      <c r="N16" s="20">
        <f>MAX(Data!$K$3*Data!$H$3,'lapse risk (down)'!I16)-Data!$K$4</f>
        <v>109980.00000000001</v>
      </c>
      <c r="O16" s="30">
        <f>N16*H16*(G15*(1-Data!$K$8*$C$2)^E15)*(F16)</f>
        <v>782.53619838917416</v>
      </c>
      <c r="P16" s="23"/>
      <c r="Q16" s="20">
        <f>Data!$K$11*(1+Data!$K$10)^'lapse risk (down)'!E15*Data!$K$12</f>
        <v>57.434283382463988</v>
      </c>
      <c r="R16" s="30">
        <f>$Q16*$H16*($G15*(1-Data!$K$8*$C$2)^$E15)</f>
        <v>28.605614505934934</v>
      </c>
      <c r="S16" s="23"/>
      <c r="T16" s="20">
        <f>C15*Data!$K$6</f>
        <v>1499.7257178495295</v>
      </c>
      <c r="U16" s="30">
        <f>$T16*$H16*($G15*(1-Data!$K$8*$C$2)^$E15)</f>
        <v>746.95065774144791</v>
      </c>
      <c r="V16" s="22"/>
      <c r="W16" s="20">
        <f t="shared" si="0"/>
        <v>5475.1952659619064</v>
      </c>
    </row>
    <row r="17" spans="2:23" x14ac:dyDescent="0.75">
      <c r="B17" s="15">
        <v>9</v>
      </c>
      <c r="C17" s="20">
        <f>$C$8*EXP(Data!N13*'lapse risk (down)'!B17)</f>
        <v>110079.20872612453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EXP(-Data!N13*'lapse risk (down)'!E17)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30">
        <f>K17*H17*(G16*(1-Data!$K$8*$C$2)^E16)*((1-F17)*Data!$K$8*$C$2)</f>
        <v>3566.025249163903</v>
      </c>
      <c r="M17" s="23"/>
      <c r="N17" s="20">
        <f>MAX(Data!$K$3*Data!$H$3,'lapse risk (down)'!I17)-Data!$K$4</f>
        <v>109980.00000000001</v>
      </c>
      <c r="O17" s="30">
        <f>N17*H17*(G16*(1-Data!$K$8*$C$2)^E16)*(F17)</f>
        <v>779.70375582792133</v>
      </c>
      <c r="P17" s="23"/>
      <c r="Q17" s="20">
        <f>Data!$K$11*(1+Data!$K$10)^'lapse risk (down)'!E16*Data!$K$12</f>
        <v>58.582969050113277</v>
      </c>
      <c r="R17" s="30">
        <f>$Q17*$H17*($G16*(1-Data!$K$8*$C$2)^$E16)</f>
        <v>26.23318122555126</v>
      </c>
      <c r="S17" s="23"/>
      <c r="T17" s="20">
        <f>C16*Data!$K$6</f>
        <v>1519.6381337613686</v>
      </c>
      <c r="U17" s="30">
        <f>$T17*$H17*($G16*(1-Data!$K$8*$C$2)^$E16)</f>
        <v>680.48689246390131</v>
      </c>
      <c r="V17" s="22"/>
      <c r="W17" s="20">
        <f t="shared" si="0"/>
        <v>5052.4490786812776</v>
      </c>
    </row>
    <row r="18" spans="2:23" x14ac:dyDescent="0.75">
      <c r="B18" s="15">
        <v>10</v>
      </c>
      <c r="C18" s="20">
        <f>$C$8*EXP(Data!N14*'lapse risk (down)'!B18)</f>
        <v>111728.3172950561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EXP(-Data!N14*'lapse risk (down)'!E18)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30">
        <f>K18*H18*(G17*(1-Data!$K$8*$C$2)^E17)*((1-F18)*Data!$K$8*$C$2)</f>
        <v>3241.1174823316337</v>
      </c>
      <c r="M18" s="23"/>
      <c r="N18" s="20">
        <f>MAX(Data!$K$3*Data!$H$3,'lapse risk (down)'!I18)-Data!$K$4</f>
        <v>109980.00000000001</v>
      </c>
      <c r="O18" s="30">
        <f>N18*H18*(G17*(1-Data!$K$8*$C$2)^E17)*(F18)</f>
        <v>770.25629086748154</v>
      </c>
      <c r="P18" s="23"/>
      <c r="Q18" s="20">
        <f>Data!$K$11*(1+Data!$K$10)^'lapse risk (down)'!E17*Data!$K$12</f>
        <v>59.754628431115542</v>
      </c>
      <c r="R18" s="30">
        <f>$Q18*$H18*($G17*(1-Data!$K$8*$C$2)^$E17)</f>
        <v>23.999607335277414</v>
      </c>
      <c r="S18" s="23"/>
      <c r="T18" s="20">
        <f>C17*Data!$K$6</f>
        <v>1541.1089221657435</v>
      </c>
      <c r="U18" s="30">
        <f>$T18*$H18*($G17*(1-Data!$K$8*$C$2)^$E17)</f>
        <v>618.96475576795694</v>
      </c>
      <c r="V18" s="22"/>
      <c r="W18" s="20">
        <f t="shared" si="0"/>
        <v>4654.3381363023491</v>
      </c>
    </row>
    <row r="19" spans="2:23" x14ac:dyDescent="0.75">
      <c r="B19" s="15">
        <v>11</v>
      </c>
      <c r="C19" s="20">
        <f>$C$8*EXP(Data!N15*'lapse risk (down)'!B19)</f>
        <v>113397.59534384529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EXP(-Data!N15*'lapse risk (down)'!E19)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30">
        <f>K19*H19*(G18*(1-Data!$K$8*$C$2)^E18)*((1-F19)*Data!$K$8*$C$2)</f>
        <v>2939.8685733588195</v>
      </c>
      <c r="M19" s="23"/>
      <c r="N19" s="20">
        <f>MAX(Data!$K$3*Data!$H$3,'lapse risk (down)'!I19)-Data!$K$4</f>
        <v>111143.02899794416</v>
      </c>
      <c r="O19" s="30">
        <f>N19*H19*(G18*(1-Data!$K$8*$C$2)^E18)*(F19)</f>
        <v>775.60996095410928</v>
      </c>
      <c r="P19" s="23"/>
      <c r="Q19" s="20">
        <f>Data!$K$11*(1+Data!$K$10)^'lapse risk (down)'!E18*Data!$K$12</f>
        <v>60.949720999737856</v>
      </c>
      <c r="R19" s="30">
        <f>$Q19*$H19*($G18*(1-Data!$K$8*$C$2)^$E18)</f>
        <v>21.921262091912837</v>
      </c>
      <c r="S19" s="23"/>
      <c r="T19" s="20">
        <f>C18*Data!$K$6</f>
        <v>1564.1964421307855</v>
      </c>
      <c r="U19" s="30">
        <f>$T19*$H19*($G18*(1-Data!$K$8*$C$2)^$E18)</f>
        <v>562.58108501159495</v>
      </c>
      <c r="V19" s="22"/>
      <c r="W19" s="20">
        <f t="shared" si="0"/>
        <v>4299.9808814164371</v>
      </c>
    </row>
    <row r="20" spans="2:23" x14ac:dyDescent="0.75">
      <c r="B20" s="15">
        <v>12</v>
      </c>
      <c r="C20" s="20">
        <f>$C$8*EXP(Data!N16*'lapse risk (down)'!B20)</f>
        <v>115073.4000410945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EXP(-Data!N16*'lapse risk (down)'!E20)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30">
        <f>K20*H20*(G19*(1-Data!$K$8*$C$2)^E19)*((1-F20)*Data!$K$8*$C$2)</f>
        <v>2661.8685151616246</v>
      </c>
      <c r="M20" s="23"/>
      <c r="N20" s="20">
        <f>MAX(Data!$K$3*Data!$H$3,'lapse risk (down)'!I20)-Data!$K$4</f>
        <v>112785.4481342176</v>
      </c>
      <c r="O20" s="30">
        <f>N20*H20*(G19*(1-Data!$K$8*$C$2)^E19)*(F20)</f>
        <v>766.77723984034071</v>
      </c>
      <c r="P20" s="23"/>
      <c r="Q20" s="20">
        <f>Data!$K$11*(1+Data!$K$10)^'lapse risk (down)'!E19*Data!$K$12</f>
        <v>62.1687154197326</v>
      </c>
      <c r="R20" s="30">
        <f>$Q20*$H20*($G19*(1-Data!$K$8*$C$2)^$E19)</f>
        <v>19.986049110838067</v>
      </c>
      <c r="S20" s="23"/>
      <c r="T20" s="20">
        <f>C19*Data!$K$6</f>
        <v>1587.5663348138339</v>
      </c>
      <c r="U20" s="30">
        <f>$T20*$H20*($G19*(1-Data!$K$8*$C$2)^$E19)</f>
        <v>510.37211433568564</v>
      </c>
      <c r="V20" s="22"/>
      <c r="W20" s="20">
        <f t="shared" si="0"/>
        <v>3959.003918448489</v>
      </c>
    </row>
    <row r="21" spans="2:23" x14ac:dyDescent="0.75">
      <c r="B21" s="15">
        <v>13</v>
      </c>
      <c r="C21" s="20">
        <f>$C$8*EXP(Data!N17*'lapse risk (down)'!B21)</f>
        <v>116776.30550507811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EXP(-Data!N17*'lapse risk (down)'!E21)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30">
        <f>K21*H21*(G20*(1-Data!$K$8*$C$2)^E20)*((1-F21)*Data!$K$8*$C$2)</f>
        <v>2404.8666507607372</v>
      </c>
      <c r="M21" s="23"/>
      <c r="N21" s="20">
        <f>MAX(Data!$K$3*Data!$H$3,'lapse risk (down)'!I21)-Data!$K$4</f>
        <v>114454.83750425623</v>
      </c>
      <c r="O21" s="30">
        <f>N21*H21*(G20*(1-Data!$K$8*$C$2)^E20)*(F21)</f>
        <v>764.92110775842889</v>
      </c>
      <c r="P21" s="23"/>
      <c r="Q21" s="20">
        <f>Data!$K$11*(1+Data!$K$10)^'lapse risk (down)'!E20*Data!$K$12</f>
        <v>63.412089728127263</v>
      </c>
      <c r="R21" s="30">
        <f>$Q21*$H21*($G20*(1-Data!$K$8*$C$2)^$E20)</f>
        <v>18.188893446631095</v>
      </c>
      <c r="S21" s="23"/>
      <c r="T21" s="20">
        <f>C20*Data!$K$6</f>
        <v>1611.027600575323</v>
      </c>
      <c r="U21" s="30">
        <f>$T21*$H21*($G20*(1-Data!$K$8*$C$2)^$E20)</f>
        <v>462.10130421626315</v>
      </c>
      <c r="V21" s="22"/>
      <c r="W21" s="20">
        <f t="shared" si="0"/>
        <v>3650.0779561820605</v>
      </c>
    </row>
    <row r="22" spans="2:23" x14ac:dyDescent="0.75">
      <c r="B22" s="15">
        <v>14</v>
      </c>
      <c r="C22" s="20">
        <f>$C$8*EXP(Data!N18*'lapse risk (down)'!B22)</f>
        <v>118426.22418666462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EXP(-Data!N18*'lapse risk (down)'!E22)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30">
        <f>K22*H22*(G21*(1-Data!$K$8*$C$2)^E21)*((1-F22)*Data!$K$8*$C$2)</f>
        <v>2168.0432524065841</v>
      </c>
      <c r="M22" s="23"/>
      <c r="N22" s="20">
        <f>MAX(Data!$K$3*Data!$H$3,'lapse risk (down)'!I22)-Data!$K$4</f>
        <v>116070.69807656306</v>
      </c>
      <c r="O22" s="30">
        <f>N22*H22*(G21*(1-Data!$K$8*$C$2)^E21)*(F22)</f>
        <v>752.45710995616969</v>
      </c>
      <c r="P22" s="23"/>
      <c r="Q22" s="20">
        <f>Data!$K$11*(1+Data!$K$10)^'lapse risk (down)'!E21*Data!$K$12</f>
        <v>64.680331522689798</v>
      </c>
      <c r="R22" s="30">
        <f>$Q22*$H22*($G21*(1-Data!$K$8*$C$2)^$E21)</f>
        <v>16.527851485356454</v>
      </c>
      <c r="S22" s="23"/>
      <c r="T22" s="20">
        <f>C21*Data!$K$6</f>
        <v>1634.8682770710936</v>
      </c>
      <c r="U22" s="30">
        <f>$T22*$H22*($G21*(1-Data!$K$8*$C$2)^$E21)</f>
        <v>417.76007397353447</v>
      </c>
      <c r="V22" s="22"/>
      <c r="W22" s="20">
        <f t="shared" si="0"/>
        <v>3354.7882878216446</v>
      </c>
    </row>
    <row r="23" spans="2:23" x14ac:dyDescent="0.75">
      <c r="B23" s="15">
        <v>15</v>
      </c>
      <c r="C23" s="20">
        <f>$C$8*EXP(Data!N19*'lapse risk (down)'!B23)</f>
        <v>119865.48862989599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EXP(-Data!N19*'lapse risk (down)'!E23)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30">
        <f>K23*H23*(G22*(1-Data!$K$8*$C$2)^E22)*((1-F23)*Data!$K$8*$C$2)</f>
        <v>1948.7811209788508</v>
      </c>
      <c r="M23" s="23"/>
      <c r="N23" s="20">
        <f>MAX(Data!$K$3*Data!$H$3,'lapse risk (down)'!I23)-Data!$K$4</f>
        <v>117476.9641461627</v>
      </c>
      <c r="O23" s="30">
        <f>N23*H23*(G22*(1-Data!$K$8*$C$2)^E22)*(F23)</f>
        <v>754.45696396609799</v>
      </c>
      <c r="P23" s="23"/>
      <c r="Q23" s="20">
        <f>Data!$K$11*(1+Data!$K$10)^'lapse risk (down)'!E22*Data!$K$12</f>
        <v>65.973938153143607</v>
      </c>
      <c r="R23" s="30">
        <f>$Q23*$H23*($G22*(1-Data!$K$8*$C$2)^$E22)</f>
        <v>15.015920030739881</v>
      </c>
      <c r="S23" s="23"/>
      <c r="T23" s="20">
        <f>C22*Data!$K$6</f>
        <v>1657.9671386133048</v>
      </c>
      <c r="U23" s="30">
        <f>$T23*$H23*($G22*(1-Data!$K$8*$C$2)^$E22)</f>
        <v>377.3596463079374</v>
      </c>
      <c r="V23" s="22"/>
      <c r="W23" s="20">
        <f t="shared" si="0"/>
        <v>3095.613651283626</v>
      </c>
    </row>
    <row r="24" spans="2:23" x14ac:dyDescent="0.75">
      <c r="B24" s="15">
        <v>16</v>
      </c>
      <c r="C24" s="20">
        <f>$C$8*EXP(Data!N20*'lapse risk (down)'!B24)</f>
        <v>121031.42056620093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EXP(-Data!N20*'lapse risk (down)'!E24)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30">
        <f>K24*H24*(G23*(1-Data!$K$8*$C$2)^E23)*((1-F24)*Data!$K$8*$C$2)</f>
        <v>1745.7667012711042</v>
      </c>
      <c r="M24" s="23"/>
      <c r="N24" s="20">
        <f>MAX(Data!$K$3*Data!$H$3,'lapse risk (down)'!I24)-Data!$K$4</f>
        <v>118614.11079360302</v>
      </c>
      <c r="O24" s="30">
        <f>N24*H24*(G23*(1-Data!$K$8*$C$2)^E23)*(F24)</f>
        <v>756.95282925885203</v>
      </c>
      <c r="P24" s="23"/>
      <c r="Q24" s="20">
        <f>Data!$K$11*(1+Data!$K$10)^'lapse risk (down)'!E23*Data!$K$12</f>
        <v>67.293416916206468</v>
      </c>
      <c r="R24" s="30">
        <f>$Q24*$H24*($G23*(1-Data!$K$8*$C$2)^$E23)</f>
        <v>13.635134564220277</v>
      </c>
      <c r="S24" s="23"/>
      <c r="T24" s="20">
        <f>C23*Data!$K$6</f>
        <v>1678.116840818544</v>
      </c>
      <c r="U24" s="30">
        <f>$T24*$H24*($G23*(1-Data!$K$8*$C$2)^$E23)</f>
        <v>340.0235860743532</v>
      </c>
      <c r="V24" s="22"/>
      <c r="W24" s="20">
        <f t="shared" si="0"/>
        <v>2856.3782511685299</v>
      </c>
    </row>
    <row r="25" spans="2:23" x14ac:dyDescent="0.75">
      <c r="B25" s="15">
        <v>17</v>
      </c>
      <c r="C25" s="20">
        <f>$C$8*EXP(Data!N21*'lapse risk (down)'!B25)</f>
        <v>122047.48447157405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EXP(-Data!N21*'lapse risk (down)'!E25)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30">
        <f>K25*H25*(G24*(1-Data!$K$8*$C$2)^E24)*((1-F25)*Data!$K$8*$C$2)</f>
        <v>1557.2072086188025</v>
      </c>
      <c r="M25" s="23"/>
      <c r="N25" s="20">
        <f>MAX(Data!$K$3*Data!$H$3,'lapse risk (down)'!I25)-Data!$K$4</f>
        <v>119606.85606025002</v>
      </c>
      <c r="O25" s="30">
        <f>N25*H25*(G24*(1-Data!$K$8*$C$2)^E24)*(F25)</f>
        <v>767.81529370115163</v>
      </c>
      <c r="P25" s="23"/>
      <c r="Q25" s="20">
        <f>Data!$K$11*(1+Data!$K$10)^'lapse risk (down)'!E24*Data!$K$12</f>
        <v>68.639285254530606</v>
      </c>
      <c r="R25" s="30">
        <f>$Q25*$H25*($G24*(1-Data!$K$8*$C$2)^$E24)</f>
        <v>12.355842623770686</v>
      </c>
      <c r="S25" s="23"/>
      <c r="T25" s="20">
        <f>C24*Data!$K$6</f>
        <v>1694.4398879268131</v>
      </c>
      <c r="U25" s="30">
        <f>$T25*$H25*($G24*(1-Data!$K$8*$C$2)^$E24)</f>
        <v>305.01821971232459</v>
      </c>
      <c r="V25" s="22"/>
      <c r="W25" s="20">
        <f t="shared" si="0"/>
        <v>2642.3965646560491</v>
      </c>
    </row>
    <row r="26" spans="2:23" x14ac:dyDescent="0.75">
      <c r="B26" s="15">
        <v>18</v>
      </c>
      <c r="C26" s="20">
        <f>$C$8*EXP(Data!N22*'lapse risk (down)'!B26)</f>
        <v>123064.69417332573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EXP(-Data!N22*'lapse risk (down)'!E26)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30">
        <f>K26*H26*(G25*(1-Data!$K$8*$C$2)^E25)*((1-F26)*Data!$K$8*$C$2)</f>
        <v>1383.6260531205148</v>
      </c>
      <c r="M26" s="23"/>
      <c r="N26" s="20">
        <f>MAX(Data!$K$3*Data!$H$3,'lapse risk (down)'!I26)-Data!$K$4</f>
        <v>120603.74448389425</v>
      </c>
      <c r="O26" s="30">
        <f>N26*H26*(G25*(1-Data!$K$8*$C$2)^E25)*(F26)</f>
        <v>757.211420863331</v>
      </c>
      <c r="P26" s="23"/>
      <c r="Q26" s="20">
        <f>Data!$K$11*(1+Data!$K$10)^'lapse risk (down)'!E25*Data!$K$12</f>
        <v>70.012070959621227</v>
      </c>
      <c r="R26" s="30">
        <f>$Q26*$H26*($G25*(1-Data!$K$8*$C$2)^$E25)</f>
        <v>11.14908124109313</v>
      </c>
      <c r="S26" s="23"/>
      <c r="T26" s="20">
        <f>C25*Data!$K$6</f>
        <v>1708.6647826020367</v>
      </c>
      <c r="U26" s="30">
        <f>$T26*$H26*($G25*(1-Data!$K$8*$C$2)^$E25)</f>
        <v>272.09654298059201</v>
      </c>
      <c r="V26" s="22"/>
      <c r="W26" s="20">
        <f t="shared" si="0"/>
        <v>2424.0830982055309</v>
      </c>
    </row>
    <row r="27" spans="2:23" x14ac:dyDescent="0.75">
      <c r="B27" s="15">
        <v>19</v>
      </c>
      <c r="C27" s="20">
        <f>$C$8*EXP(Data!N23*'lapse risk (down)'!B27)</f>
        <v>124255.5318588017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EXP(-Data!N23*'lapse risk (down)'!E27)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30">
        <f>K27*H27*(G26*(1-Data!$K$8*$C$2)^E26)*((1-F27)*Data!$K$8*$C$2)</f>
        <v>1223.0146571864211</v>
      </c>
      <c r="M27" s="23"/>
      <c r="N27" s="20">
        <f>MAX(Data!$K$3*Data!$H$3,'lapse risk (down)'!I27)-Data!$K$4</f>
        <v>121774.23797533519</v>
      </c>
      <c r="O27" s="30">
        <f>N27*H27*(G26*(1-Data!$K$8*$C$2)^E26)*(F27)</f>
        <v>758.34539709066678</v>
      </c>
      <c r="P27" s="23"/>
      <c r="Q27" s="20">
        <f>Data!$K$11*(1+Data!$K$10)^'lapse risk (down)'!E26*Data!$K$12</f>
        <v>71.412312378813638</v>
      </c>
      <c r="R27" s="30">
        <f>$Q27*$H27*($G26*(1-Data!$K$8*$C$2)^$E26)</f>
        <v>10.007584104445538</v>
      </c>
      <c r="S27" s="23"/>
      <c r="T27" s="20">
        <f>C26*Data!$K$6</f>
        <v>1722.9057184265603</v>
      </c>
      <c r="U27" s="30">
        <f>$T27*$H27*($G26*(1-Data!$K$8*$C$2)^$E26)</f>
        <v>241.4446935945922</v>
      </c>
      <c r="V27" s="22"/>
      <c r="W27" s="20">
        <f t="shared" si="0"/>
        <v>2232.8123319761257</v>
      </c>
    </row>
    <row r="28" spans="2:23" x14ac:dyDescent="0.75">
      <c r="B28" s="15">
        <v>20</v>
      </c>
      <c r="C28" s="20">
        <f>$C$8*EXP(Data!N24*'lapse risk (down)'!B28)</f>
        <v>125709.05957472016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EXP(-Data!N24*'lapse risk (down)'!E28)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30">
        <f>K28*H28*(G27*(1-Data!$K$8*$C$2)^E27)*((1-F28)*Data!$K$8*$C$2)</f>
        <v>1075.6063650044387</v>
      </c>
      <c r="M28" s="23"/>
      <c r="N28" s="20">
        <f>MAX(Data!$K$3*Data!$H$3,'lapse risk (down)'!I28)-Data!$K$4</f>
        <v>123203.94893754412</v>
      </c>
      <c r="O28" s="30">
        <f>N28*H28*(G27*(1-Data!$K$8*$C$2)^E27)*(F28)</f>
        <v>743.06702158817643</v>
      </c>
      <c r="P28" s="23"/>
      <c r="Q28" s="20">
        <f>Data!$K$11*(1+Data!$K$10)^'lapse risk (down)'!E27*Data!$K$12</f>
        <v>72.840558626389907</v>
      </c>
      <c r="R28" s="30">
        <f>$Q28*$H28*($G27*(1-Data!$K$8*$C$2)^$E27)</f>
        <v>8.9182395500432623</v>
      </c>
      <c r="S28" s="23"/>
      <c r="T28" s="20">
        <f>C27*Data!$K$6</f>
        <v>1739.5774460232237</v>
      </c>
      <c r="U28" s="30">
        <f>$T28*$H28*($G27*(1-Data!$K$8*$C$2)^$E27)</f>
        <v>212.98530203565599</v>
      </c>
      <c r="V28" s="22"/>
      <c r="W28" s="20">
        <f t="shared" si="0"/>
        <v>2040.5769281783141</v>
      </c>
    </row>
    <row r="29" spans="2:23" x14ac:dyDescent="0.75">
      <c r="B29" s="15">
        <v>21</v>
      </c>
      <c r="C29" s="20">
        <f>$C$8*EXP(Data!N25*'lapse risk (down)'!B29)</f>
        <v>127583.38948511923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EXP(-Data!N25*'lapse risk (down)'!E29)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30">
        <f>K29*H29*(G28*(1-Data!$K$8*$C$2)^E28)*((1-F29)*Data!$K$8*$C$2)</f>
        <v>940.69237109531673</v>
      </c>
      <c r="M29" s="23"/>
      <c r="N29" s="20">
        <f>MAX(Data!$K$3*Data!$H$3,'lapse risk (down)'!I29)-Data!$K$4</f>
        <v>125049.20829362483</v>
      </c>
      <c r="O29" s="30">
        <f>N29*H29*(G28*(1-Data!$K$8*$C$2)^E28)*(F29)</f>
        <v>724.12541189210151</v>
      </c>
      <c r="P29" s="23"/>
      <c r="Q29" s="20">
        <f>Data!$K$11*(1+Data!$K$10)^'lapse risk (down)'!E28*Data!$K$12</f>
        <v>74.297369798917714</v>
      </c>
      <c r="R29" s="30">
        <f>$Q29*$H29*($G28*(1-Data!$K$8*$C$2)^$E28)</f>
        <v>7.882338585923315</v>
      </c>
      <c r="S29" s="23"/>
      <c r="T29" s="20">
        <f>C28*Data!$K$6</f>
        <v>1759.9268340460821</v>
      </c>
      <c r="U29" s="30">
        <f>$T29*$H29*($G28*(1-Data!$K$8*$C$2)^$E28)</f>
        <v>186.71373199277599</v>
      </c>
      <c r="V29" s="22"/>
      <c r="W29" s="20">
        <f t="shared" si="0"/>
        <v>1859.4138535661175</v>
      </c>
    </row>
    <row r="30" spans="2:23" x14ac:dyDescent="0.75">
      <c r="B30" s="15">
        <v>22</v>
      </c>
      <c r="C30" s="20">
        <f>$C$8*EXP(Data!N26*'lapse risk (down)'!B30)</f>
        <v>129812.38113746731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EXP(-Data!N26*'lapse risk (down)'!E30)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30">
        <f>K30*H30*(G29*(1-Data!$K$8*$C$2)^E29)*((1-F30)*Data!$K$8*$C$2)</f>
        <v>817.72981555729461</v>
      </c>
      <c r="M30" s="23"/>
      <c r="N30" s="20">
        <f>MAX(Data!$K$3*Data!$H$3,'lapse risk (down)'!I30)-Data!$K$4</f>
        <v>127240.71334776492</v>
      </c>
      <c r="O30" s="30">
        <f>N30*H30*(G29*(1-Data!$K$8*$C$2)^E29)*(F30)</f>
        <v>699.42731098372667</v>
      </c>
      <c r="P30" s="23"/>
      <c r="Q30" s="20">
        <f>Data!$K$11*(1+Data!$K$10)^'lapse risk (down)'!E29*Data!$K$12</f>
        <v>75.783317194896057</v>
      </c>
      <c r="R30" s="30">
        <f>$Q30*$H30*($G29*(1-Data!$K$8*$C$2)^$E29)</f>
        <v>6.9103298139166629</v>
      </c>
      <c r="S30" s="23"/>
      <c r="T30" s="20">
        <f>C29*Data!$K$6</f>
        <v>1786.1674527916693</v>
      </c>
      <c r="U30" s="30">
        <f>$T30*$H30*($G29*(1-Data!$K$8*$C$2)^$E29)</f>
        <v>162.87233996277411</v>
      </c>
      <c r="V30" s="22"/>
      <c r="W30" s="20">
        <f t="shared" si="0"/>
        <v>1686.9397963177119</v>
      </c>
    </row>
    <row r="31" spans="2:23" x14ac:dyDescent="0.75">
      <c r="B31" s="15">
        <v>23</v>
      </c>
      <c r="C31" s="20">
        <f>$C$8*EXP(Data!N27*'lapse risk (down)'!B31)</f>
        <v>132392.39284358456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EXP(-Data!N27*'lapse risk (down)'!E31)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30">
        <f>K31*H31*(G30*(1-Data!$K$8*$C$2)^E30)*((1-F31)*Data!$K$8*$C$2)</f>
        <v>706.7580555051353</v>
      </c>
      <c r="M31" s="23"/>
      <c r="N31" s="20">
        <f>MAX(Data!$K$3*Data!$H$3,'lapse risk (down)'!I31)-Data!$K$4</f>
        <v>129776.14522083521</v>
      </c>
      <c r="O31" s="30">
        <f>N31*H31*(G30*(1-Data!$K$8*$C$2)^E30)*(F31)</f>
        <v>662.40129129664638</v>
      </c>
      <c r="P31" s="23"/>
      <c r="Q31" s="20">
        <f>Data!$K$11*(1+Data!$K$10)^'lapse risk (down)'!E30*Data!$K$12</f>
        <v>77.298983538793991</v>
      </c>
      <c r="R31" s="30">
        <f>$Q31*$H31*($G30*(1-Data!$K$8*$C$2)^$E30)</f>
        <v>6.0074625874478658</v>
      </c>
      <c r="S31" s="23"/>
      <c r="T31" s="20">
        <f>C30*Data!$K$6</f>
        <v>1817.3733359245423</v>
      </c>
      <c r="U31" s="30">
        <f>$T31*$H31*($G30*(1-Data!$K$8*$C$2)^$E30)</f>
        <v>141.24121460811577</v>
      </c>
      <c r="V31" s="22"/>
      <c r="W31" s="20">
        <f t="shared" si="0"/>
        <v>1516.4080239973455</v>
      </c>
    </row>
    <row r="32" spans="2:23" x14ac:dyDescent="0.75">
      <c r="B32" s="15">
        <v>24</v>
      </c>
      <c r="C32" s="20">
        <f>$C$8*EXP(Data!N28*'lapse risk (down)'!B32)</f>
        <v>135277.76538194629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EXP(-Data!N28*'lapse risk (down)'!E32)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30">
        <f>K32*H32*(G31*(1-Data!$K$8*$C$2)^E31)*((1-F32)*Data!$K$8*$C$2)</f>
        <v>605.80259333088543</v>
      </c>
      <c r="M32" s="23"/>
      <c r="N32" s="20">
        <f>MAX(Data!$K$3*Data!$H$3,'lapse risk (down)'!I32)-Data!$K$4</f>
        <v>132609.91752507459</v>
      </c>
      <c r="O32" s="30">
        <f>N32*H32*(G31*(1-Data!$K$8*$C$2)^E31)*(F32)</f>
        <v>639.67095674627819</v>
      </c>
      <c r="P32" s="23"/>
      <c r="Q32" s="20">
        <f>Data!$K$11*(1+Data!$K$10)^'lapse risk (down)'!E31*Data!$K$12</f>
        <v>78.844963209569855</v>
      </c>
      <c r="R32" s="30">
        <f>$Q32*$H32*($G31*(1-Data!$K$8*$C$2)^$E31)</f>
        <v>5.1828296228302513</v>
      </c>
      <c r="S32" s="23"/>
      <c r="T32" s="20">
        <f>C31*Data!$K$6</f>
        <v>1853.4934998101839</v>
      </c>
      <c r="U32" s="30">
        <f>$T32*$H32*($G31*(1-Data!$K$8*$C$2)^$E31)</f>
        <v>121.83836006119871</v>
      </c>
      <c r="V32" s="22"/>
      <c r="W32" s="20">
        <f t="shared" si="0"/>
        <v>1372.4947397611925</v>
      </c>
    </row>
    <row r="33" spans="2:23" x14ac:dyDescent="0.75">
      <c r="B33" s="15">
        <v>25</v>
      </c>
      <c r="C33" s="20">
        <f>$C$8*EXP(Data!N29*'lapse risk (down)'!B33)</f>
        <v>138472.28343364102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EXP(-Data!N29*'lapse risk (down)'!E33)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30">
        <f>K33*H33*(G32*(1-Data!$K$8*$C$2)^E32)*((1-F33)*Data!$K$8*$C$2)</f>
        <v>513.72162778349036</v>
      </c>
      <c r="M33" s="23"/>
      <c r="N33" s="20">
        <f>MAX(Data!$K$3*Data!$H$3,'lapse risk (down)'!I33)-Data!$K$4</f>
        <v>135746.7281260021</v>
      </c>
      <c r="O33" s="30">
        <f>N33*H33*(G32*(1-Data!$K$8*$C$2)^E32)*(F33)</f>
        <v>622.23492527641486</v>
      </c>
      <c r="P33" s="23"/>
      <c r="Q33" s="20">
        <f>Data!$K$11*(1+Data!$K$10)^'lapse risk (down)'!E32*Data!$K$12</f>
        <v>80.421862473761252</v>
      </c>
      <c r="R33" s="30">
        <f>$Q33*$H33*($G32*(1-Data!$K$8*$C$2)^$E32)</f>
        <v>4.4266306417924213</v>
      </c>
      <c r="S33" s="23"/>
      <c r="T33" s="20">
        <f>C32*Data!$K$6</f>
        <v>1893.8887153472481</v>
      </c>
      <c r="U33" s="30">
        <f>$T33*$H33*($G32*(1-Data!$K$8*$C$2)^$E32)</f>
        <v>104.24461162207308</v>
      </c>
      <c r="V33" s="22"/>
      <c r="W33" s="20">
        <f t="shared" si="0"/>
        <v>1244.6277953237707</v>
      </c>
    </row>
    <row r="34" spans="2:23" x14ac:dyDescent="0.75">
      <c r="B34" s="15">
        <v>26</v>
      </c>
      <c r="C34" s="20">
        <f>$C$8*EXP(Data!N30*'lapse risk (down)'!B34)</f>
        <v>141937.97777979009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EXP(-Data!N30*'lapse risk (down)'!E34)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30">
        <f>K34*H34*(G33*(1-Data!$K$8*$C$2)^E33)*((1-F34)*Data!$K$8*$C$2)</f>
        <v>429.54873379371185</v>
      </c>
      <c r="M34" s="23"/>
      <c r="N34" s="20">
        <f>MAX(Data!$K$3*Data!$H$3,'lapse risk (down)'!I34)-Data!$K$4</f>
        <v>139148.53211111727</v>
      </c>
      <c r="O34" s="30">
        <f>N34*H34*(G33*(1-Data!$K$8*$C$2)^E33)*(F34)</f>
        <v>608.78056489518804</v>
      </c>
      <c r="P34" s="23"/>
      <c r="Q34" s="20">
        <f>Data!$K$11*(1+Data!$K$10)^'lapse risk (down)'!E33*Data!$K$12</f>
        <v>82.030299723236482</v>
      </c>
      <c r="R34" s="30">
        <f>$Q34*$H34*($G33*(1-Data!$K$8*$C$2)^$E33)</f>
        <v>3.7352311905102735</v>
      </c>
      <c r="S34" s="23"/>
      <c r="T34" s="20">
        <f>C33*Data!$K$6</f>
        <v>1938.6119680709742</v>
      </c>
      <c r="U34" s="30">
        <f>$T34*$H34*($G33*(1-Data!$K$8*$C$2)^$E33)</f>
        <v>88.274258583307684</v>
      </c>
      <c r="V34" s="22"/>
      <c r="W34" s="20">
        <f t="shared" si="0"/>
        <v>1130.338788462718</v>
      </c>
    </row>
    <row r="35" spans="2:23" x14ac:dyDescent="0.75">
      <c r="B35" s="15">
        <v>27</v>
      </c>
      <c r="C35" s="20">
        <f>$C$8*EXP(Data!N31*'lapse risk (down)'!B35)</f>
        <v>145660.73517676292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EXP(-Data!N31*'lapse risk (down)'!E35)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30">
        <f>K35*H35*(G34*(1-Data!$K$8*$C$2)^E34)*((1-F35)*Data!$K$8*$C$2)</f>
        <v>353.93812866523251</v>
      </c>
      <c r="M35" s="23"/>
      <c r="N35" s="20">
        <f>MAX(Data!$K$3*Data!$H$3,'lapse risk (down)'!I35)-Data!$K$4</f>
        <v>142801.9756211671</v>
      </c>
      <c r="O35" s="30">
        <f>N35*H35*(G34*(1-Data!$K$8*$C$2)^E34)*(F35)</f>
        <v>578.7354221328909</v>
      </c>
      <c r="P35" s="23"/>
      <c r="Q35" s="20">
        <f>Data!$K$11*(1+Data!$K$10)^'lapse risk (down)'!E34*Data!$K$12</f>
        <v>83.670905717701217</v>
      </c>
      <c r="R35" s="30">
        <f>$Q35*$H35*($G34*(1-Data!$K$8*$C$2)^$E34)</f>
        <v>3.1041655102590844</v>
      </c>
      <c r="S35" s="23"/>
      <c r="T35" s="20">
        <f>C34*Data!$K$6</f>
        <v>1987.1316889170614</v>
      </c>
      <c r="U35" s="30">
        <f>$T35*$H35*($G34*(1-Data!$K$8*$C$2)^$E34)</f>
        <v>73.721989742657442</v>
      </c>
      <c r="V35" s="22"/>
      <c r="W35" s="20">
        <f t="shared" si="0"/>
        <v>1009.49970605104</v>
      </c>
    </row>
    <row r="36" spans="2:23" x14ac:dyDescent="0.75">
      <c r="B36" s="15">
        <v>28</v>
      </c>
      <c r="C36" s="20">
        <f>$C$8*EXP(Data!N32*'lapse risk (down)'!B36)</f>
        <v>149660.61829700484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EXP(-Data!N32*'lapse risk (down)'!E36)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30">
        <f>K36*H36*(G35*(1-Data!$K$8*$C$2)^E35)*((1-F36)*Data!$K$8*$C$2)</f>
        <v>286.90127707215669</v>
      </c>
      <c r="M36" s="23"/>
      <c r="N36" s="20">
        <f>MAX(Data!$K$3*Data!$H$3,'lapse risk (down)'!I36)-Data!$K$4</f>
        <v>146727.40359346959</v>
      </c>
      <c r="O36" s="30">
        <f>N36*H36*(G35*(1-Data!$K$8*$C$2)^E35)*(F36)</f>
        <v>540.00696828153104</v>
      </c>
      <c r="P36" s="23"/>
      <c r="Q36" s="20">
        <f>Data!$K$11*(1+Data!$K$10)^'lapse risk (down)'!E35*Data!$K$12</f>
        <v>85.344323832055224</v>
      </c>
      <c r="R36" s="30">
        <f>$Q36*$H36*($G35*(1-Data!$K$8*$C$2)^$E35)</f>
        <v>2.5391198946165003</v>
      </c>
      <c r="S36" s="23"/>
      <c r="T36" s="20">
        <f>C35*Data!$K$6</f>
        <v>2039.2502924746809</v>
      </c>
      <c r="U36" s="30">
        <f>$T36*$H36*($G35*(1-Data!$K$8*$C$2)^$E35)</f>
        <v>60.670713121054298</v>
      </c>
      <c r="V36" s="22"/>
      <c r="W36" s="20">
        <f t="shared" si="0"/>
        <v>890.11807836935861</v>
      </c>
    </row>
    <row r="37" spans="2:23" x14ac:dyDescent="0.75">
      <c r="B37" s="15">
        <v>29</v>
      </c>
      <c r="C37" s="20">
        <f>$C$8*EXP(Data!N33*'lapse risk (down)'!B37)</f>
        <v>153870.32249936444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EXP(-Data!N33*'lapse risk (down)'!E37)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30">
        <f>K37*H37*(G36*(1-Data!$K$8*$C$2)^E36)*((1-F37)*Data!$K$8*$C$2)</f>
        <v>228.35783307717847</v>
      </c>
      <c r="M37" s="23"/>
      <c r="N37" s="20">
        <f>MAX(Data!$K$3*Data!$H$3,'lapse risk (down)'!I37)-Data!$K$4</f>
        <v>150857.11013342434</v>
      </c>
      <c r="O37" s="30">
        <f>N37*H37*(G36*(1-Data!$K$8*$C$2)^E36)*(F37)</f>
        <v>493.73682236629833</v>
      </c>
      <c r="P37" s="23"/>
      <c r="Q37" s="20">
        <f>Data!$K$11*(1+Data!$K$10)^'lapse risk (down)'!E36*Data!$K$12</f>
        <v>87.051210308696341</v>
      </c>
      <c r="R37" s="30">
        <f>$Q37*$H37*($G36*(1-Data!$K$8*$C$2)^$E36)</f>
        <v>2.0418752402613447</v>
      </c>
      <c r="S37" s="23"/>
      <c r="T37" s="20">
        <f>C36*Data!$K$6</f>
        <v>2095.2486561580677</v>
      </c>
      <c r="U37" s="30">
        <f>$T37*$H37*($G36*(1-Data!$K$8*$C$2)^$E36)</f>
        <v>49.146201850942234</v>
      </c>
      <c r="V37" s="22"/>
      <c r="W37" s="20">
        <f t="shared" si="0"/>
        <v>773.28273253468035</v>
      </c>
    </row>
    <row r="38" spans="2:23" x14ac:dyDescent="0.75">
      <c r="B38" s="15">
        <v>30</v>
      </c>
      <c r="C38" s="20">
        <f>$C$8*EXP(Data!N34*'lapse risk (down)'!B38)</f>
        <v>158391.55855160882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EXP(-Data!N34*'lapse risk (down)'!E38)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30">
        <f>K38*H38*(G37*(1-Data!$K$8*$C$2)^E37)*((1-F38)*Data!$K$8*$C$2)</f>
        <v>178.1499327947578</v>
      </c>
      <c r="M38" s="23"/>
      <c r="N38" s="20">
        <f>MAX(Data!$K$3*Data!$H$3,'lapse risk (down)'!I38)-Data!$K$4</f>
        <v>155294.15210162153</v>
      </c>
      <c r="O38" s="30">
        <f>N38*H38*(G37*(1-Data!$K$8*$C$2)^E37)*(F38)</f>
        <v>441.15962947274375</v>
      </c>
      <c r="P38" s="23"/>
      <c r="Q38" s="20">
        <f>Data!$K$11*(1+Data!$K$10)^'lapse risk (down)'!E37*Data!$K$12</f>
        <v>88.792234514870259</v>
      </c>
      <c r="R38" s="30">
        <f>$Q38*$H38*($G37*(1-Data!$K$8*$C$2)^$E37)</f>
        <v>1.6103801766808405</v>
      </c>
      <c r="S38" s="23"/>
      <c r="T38" s="20">
        <f>C37*Data!$K$6</f>
        <v>2154.1845149911023</v>
      </c>
      <c r="U38" s="30">
        <f>$T38*$H38*($G37*(1-Data!$K$8*$C$2)^$E37)</f>
        <v>39.069362977609607</v>
      </c>
      <c r="V38" s="22"/>
      <c r="W38" s="20">
        <f t="shared" si="0"/>
        <v>659.98930542179187</v>
      </c>
    </row>
    <row r="39" spans="2:23" x14ac:dyDescent="0.75">
      <c r="B39" s="15">
        <v>31</v>
      </c>
      <c r="C39" s="20">
        <f>$C$8*EXP(Data!N35*'lapse risk (down)'!B39)</f>
        <v>163097.82692897582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EXP(-Data!N35*'lapse risk (down)'!E39)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30">
        <f>K39*H39*(G38*(1-Data!$K$8*$C$2)^E38)*((1-F39)*Data!$K$8*$C$2)</f>
        <v>136.23085332999693</v>
      </c>
      <c r="M39" s="23"/>
      <c r="N39" s="20">
        <f>MAX(Data!$K$3*Data!$H$3,'lapse risk (down)'!I39)-Data!$K$4</f>
        <v>159909.99575794363</v>
      </c>
      <c r="O39" s="30">
        <f>N39*H39*(G38*(1-Data!$K$8*$C$2)^E38)*(F39)</f>
        <v>380.79322279686443</v>
      </c>
      <c r="P39" s="23"/>
      <c r="Q39" s="20">
        <f>Data!$K$11*(1+Data!$K$10)^'lapse risk (down)'!E38*Data!$K$12</f>
        <v>90.568079205167678</v>
      </c>
      <c r="R39" s="30">
        <f>$Q39*$H39*($G38*(1-Data!$K$8*$C$2)^$E38)</f>
        <v>1.2444287759971926</v>
      </c>
      <c r="S39" s="23"/>
      <c r="T39" s="20">
        <f>C38*Data!$K$6</f>
        <v>2217.4818197225236</v>
      </c>
      <c r="U39" s="30">
        <f>$T39*$H39*($G38*(1-Data!$K$8*$C$2)^$E38)</f>
        <v>30.468772341545638</v>
      </c>
      <c r="V39" s="22"/>
      <c r="W39" s="20">
        <f t="shared" si="0"/>
        <v>548.73727724440425</v>
      </c>
    </row>
    <row r="40" spans="2:23" x14ac:dyDescent="0.75">
      <c r="B40" s="15">
        <v>32</v>
      </c>
      <c r="C40" s="20">
        <f>$C$8*EXP(Data!N36*'lapse risk (down)'!B40)</f>
        <v>168095.14964088646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EXP(-Data!N36*'lapse risk (down)'!E40)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30">
        <f>K40*H40*(G39*(1-Data!$K$8*$C$2)^E39)*((1-F40)*Data!$K$8*$C$2)</f>
        <v>101.8020943511207</v>
      </c>
      <c r="M40" s="23"/>
      <c r="N40" s="20">
        <f>MAX(Data!$K$3*Data!$H$3,'lapse risk (down)'!I40)-Data!$K$4</f>
        <v>164813.19310230695</v>
      </c>
      <c r="O40" s="30">
        <f>N40*H40*(G39*(1-Data!$K$8*$C$2)^E39)*(F40)</f>
        <v>322.85545628721013</v>
      </c>
      <c r="P40" s="23"/>
      <c r="Q40" s="20">
        <f>Data!$K$11*(1+Data!$K$10)^'lapse risk (down)'!E39*Data!$K$12</f>
        <v>92.379440789271001</v>
      </c>
      <c r="R40" s="30">
        <f>$Q40*$H40*($G39*(1-Data!$K$8*$C$2)^$E39)</f>
        <v>0.9417782493642286</v>
      </c>
      <c r="S40" s="23"/>
      <c r="T40" s="20">
        <f>C39*Data!$K$6</f>
        <v>2283.3695770056615</v>
      </c>
      <c r="U40" s="30">
        <f>$T40*$H40*($G39*(1-Data!$K$8*$C$2)^$E39)</f>
        <v>23.278207624024535</v>
      </c>
      <c r="V40" s="22"/>
      <c r="W40" s="20">
        <f t="shared" si="0"/>
        <v>448.8775365117196</v>
      </c>
    </row>
    <row r="41" spans="2:23" x14ac:dyDescent="0.75">
      <c r="B41" s="15">
        <v>33</v>
      </c>
      <c r="C41" s="20">
        <f>$C$8*EXP(Data!N37*'lapse risk (down)'!B41)</f>
        <v>173344.36861859259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EXP(-Data!N37*'lapse risk (down)'!E41)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30">
        <f>K41*H41*(G40*(1-Data!$K$8*$C$2)^E40)*((1-F41)*Data!$K$8*$C$2)</f>
        <v>74.377345805008588</v>
      </c>
      <c r="M41" s="23"/>
      <c r="N41" s="20">
        <f>MAX(Data!$K$3*Data!$H$3,'lapse risk (down)'!I41)-Data!$K$4</f>
        <v>169962.46562577487</v>
      </c>
      <c r="O41" s="30">
        <f>N41*H41*(G40*(1-Data!$K$8*$C$2)^E40)*(F41)</f>
        <v>263.87999377743824</v>
      </c>
      <c r="P41" s="23"/>
      <c r="Q41" s="20">
        <f>Data!$K$11*(1+Data!$K$10)^'lapse risk (down)'!E40*Data!$K$12</f>
        <v>94.227029605056444</v>
      </c>
      <c r="R41" s="30">
        <f>$Q41*$H41*($G40*(1-Data!$K$8*$C$2)^$E40)</f>
        <v>0.69609121687607078</v>
      </c>
      <c r="S41" s="23"/>
      <c r="T41" s="20">
        <f>C40*Data!$K$6</f>
        <v>2353.3320949724107</v>
      </c>
      <c r="U41" s="30">
        <f>$T41*$H41*($G40*(1-Data!$K$8*$C$2)^$E40)</f>
        <v>17.384967016034985</v>
      </c>
      <c r="V41" s="22"/>
      <c r="W41" s="20">
        <f t="shared" si="0"/>
        <v>356.33839781535789</v>
      </c>
    </row>
    <row r="42" spans="2:23" x14ac:dyDescent="0.75">
      <c r="B42" s="15">
        <v>34</v>
      </c>
      <c r="C42" s="20">
        <f>$C$8*EXP(Data!N38*'lapse risk (down)'!B42)</f>
        <v>178793.26352376863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EXP(-Data!N38*'lapse risk (down)'!E42)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30">
        <f>K42*H42*(G41*(1-Data!$K$8*$C$2)^E41)*((1-F42)*Data!$K$8*$C$2)</f>
        <v>53.012422312338607</v>
      </c>
      <c r="M42" s="23"/>
      <c r="N42" s="20">
        <f>MAX(Data!$K$3*Data!$H$3,'lapse risk (down)'!I42)-Data!$K$4</f>
        <v>175306.37615139678</v>
      </c>
      <c r="O42" s="30">
        <f>N42*H42*(G41*(1-Data!$K$8*$C$2)^E41)*(F42)</f>
        <v>210.49521906358007</v>
      </c>
      <c r="P42" s="23"/>
      <c r="Q42" s="20">
        <f>Data!$K$11*(1+Data!$K$10)^'lapse risk (down)'!E41*Data!$K$12</f>
        <v>96.111570197157576</v>
      </c>
      <c r="R42" s="30">
        <f>$Q42*$H42*($G41*(1-Data!$K$8*$C$2)^$E41)</f>
        <v>0.50292402328616304</v>
      </c>
      <c r="S42" s="23"/>
      <c r="T42" s="20">
        <f>C41*Data!$K$6</f>
        <v>2426.8211606602963</v>
      </c>
      <c r="U42" s="30">
        <f>$T42*$H42*($G41*(1-Data!$K$8*$C$2)^$E41)</f>
        <v>12.69885258779559</v>
      </c>
      <c r="V42" s="22"/>
      <c r="W42" s="20">
        <f t="shared" si="0"/>
        <v>276.70941798700045</v>
      </c>
    </row>
    <row r="43" spans="2:23" x14ac:dyDescent="0.75">
      <c r="B43" s="15">
        <v>35</v>
      </c>
      <c r="C43" s="20">
        <f>$C$8*EXP(Data!N39*'lapse risk (down)'!B43)</f>
        <v>184503.82334224999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EXP(-Data!N39*'lapse risk (down)'!E43)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30">
        <f>K43*H43*(G42*(1-Data!$K$8*$C$2)^E42)*((1-F43)*Data!$K$8*$C$2)</f>
        <v>36.741029700156012</v>
      </c>
      <c r="M43" s="23"/>
      <c r="N43" s="20">
        <f>MAX(Data!$K$3*Data!$H$3,'lapse risk (down)'!I43)-Data!$K$4</f>
        <v>180907.95807177463</v>
      </c>
      <c r="O43" s="30">
        <f>N43*H43*(G42*(1-Data!$K$8*$C$2)^E42)*(F43)</f>
        <v>163.94812203485316</v>
      </c>
      <c r="P43" s="23"/>
      <c r="Q43" s="20">
        <f>Data!$K$11*(1+Data!$K$10)^'lapse risk (down)'!E42*Data!$K$12</f>
        <v>98.03380160110072</v>
      </c>
      <c r="R43" s="30">
        <f>$Q43*$H43*($G42*(1-Data!$K$8*$C$2)^$E42)</f>
        <v>0.35430887563798624</v>
      </c>
      <c r="S43" s="23"/>
      <c r="T43" s="20">
        <f>C42*Data!$K$6</f>
        <v>2503.1056893327609</v>
      </c>
      <c r="U43" s="30">
        <f>$T43*$H43*($G42*(1-Data!$K$8*$C$2)^$E42)</f>
        <v>9.0465997228100896</v>
      </c>
      <c r="V43" s="22"/>
      <c r="W43" s="20">
        <f t="shared" si="0"/>
        <v>210.09006033345727</v>
      </c>
    </row>
    <row r="44" spans="2:23" x14ac:dyDescent="0.75">
      <c r="B44" s="15">
        <v>36</v>
      </c>
      <c r="C44" s="20">
        <f>$C$8*EXP(Data!N40*'lapse risk (down)'!B44)</f>
        <v>190484.37800634195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EXP(-Data!N40*'lapse risk (down)'!E44)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30">
        <f>K44*H44*(G43*(1-Data!$K$8*$C$2)^E43)*((1-F44)*Data!$K$8*$C$2)</f>
        <v>24.644758132254918</v>
      </c>
      <c r="M44" s="23"/>
      <c r="N44" s="20">
        <f>MAX(Data!$K$3*Data!$H$3,'lapse risk (down)'!I44)-Data!$K$4</f>
        <v>186774.30153949696</v>
      </c>
      <c r="O44" s="30">
        <f>N44*H44*(G43*(1-Data!$K$8*$C$2)^E43)*(F44)</f>
        <v>124.54828325444734</v>
      </c>
      <c r="P44" s="23"/>
      <c r="Q44" s="20">
        <f>Data!$K$11*(1+Data!$K$10)^'lapse risk (down)'!E43*Data!$K$12</f>
        <v>99.994477633122742</v>
      </c>
      <c r="R44" s="30">
        <f>$Q44*$H44*($G43*(1-Data!$K$8*$C$2)^$E43)</f>
        <v>0.24260298675123165</v>
      </c>
      <c r="S44" s="23"/>
      <c r="T44" s="20">
        <f>C43*Data!$K$6</f>
        <v>2583.0535267914997</v>
      </c>
      <c r="U44" s="30">
        <f>$T44*$H44*($G43*(1-Data!$K$8*$C$2)^$E43)</f>
        <v>6.2669110872013105</v>
      </c>
      <c r="V44" s="22"/>
      <c r="W44" s="20">
        <f t="shared" si="0"/>
        <v>155.70255546065479</v>
      </c>
    </row>
    <row r="45" spans="2:23" x14ac:dyDescent="0.75">
      <c r="B45" s="15">
        <v>37</v>
      </c>
      <c r="C45" s="20">
        <f>$C$8*EXP(Data!N41*'lapse risk (down)'!B45)</f>
        <v>196743.36937910231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EXP(-Data!N41*'lapse risk (down)'!E45)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30">
        <f>K45*H45*(G44*(1-Data!$K$8*$C$2)^E44)*((1-F45)*Data!$K$8*$C$2)</f>
        <v>16.083358874148644</v>
      </c>
      <c r="M45" s="23"/>
      <c r="N45" s="20">
        <f>MAX(Data!$K$3*Data!$H$3,'lapse risk (down)'!I45)-Data!$K$4</f>
        <v>192913.68181897548</v>
      </c>
      <c r="O45" s="30">
        <f>N45*H45*(G44*(1-Data!$K$8*$C$2)^E44)*(F45)</f>
        <v>89.510849065110293</v>
      </c>
      <c r="P45" s="23"/>
      <c r="Q45" s="20">
        <f>Data!$K$11*(1+Data!$K$10)^'lapse risk (down)'!E44*Data!$K$12</f>
        <v>101.99436718578518</v>
      </c>
      <c r="R45" s="30">
        <f>$Q45*$H45*($G44*(1-Data!$K$8*$C$2)^$E44)</f>
        <v>0.16070276745305379</v>
      </c>
      <c r="S45" s="23"/>
      <c r="T45" s="20">
        <f>C44*Data!$K$6</f>
        <v>2666.7812920887873</v>
      </c>
      <c r="U45" s="30">
        <f>$T45*$H45*($G44*(1-Data!$K$8*$C$2)^$E44)</f>
        <v>4.2017921739743533</v>
      </c>
      <c r="V45" s="22"/>
      <c r="W45" s="20">
        <f t="shared" si="0"/>
        <v>109.95670288068635</v>
      </c>
    </row>
    <row r="46" spans="2:23" x14ac:dyDescent="0.75">
      <c r="B46" s="15">
        <v>38</v>
      </c>
      <c r="C46" s="20">
        <f>$C$8*EXP(Data!N42*'lapse risk (down)'!B46)</f>
        <v>203212.08472099825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EXP(-Data!N42*'lapse risk (down)'!E46)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30">
        <f>K46*H46*(G45*(1-Data!$K$8*$C$2)^E45)*((1-F46)*Data!$K$8*$C$2)</f>
        <v>10.186787167938828</v>
      </c>
      <c r="M46" s="23"/>
      <c r="N46" s="20">
        <f>MAX(Data!$K$3*Data!$H$3,'lapse risk (down)'!I46)-Data!$K$4</f>
        <v>199257.21733341619</v>
      </c>
      <c r="O46" s="30">
        <f>N46*H46*(G45*(1-Data!$K$8*$C$2)^E45)*(F46)</f>
        <v>62.538330178439473</v>
      </c>
      <c r="P46" s="23"/>
      <c r="Q46" s="20">
        <f>Data!$K$11*(1+Data!$K$10)^'lapse risk (down)'!E45*Data!$K$12</f>
        <v>104.0342545295009</v>
      </c>
      <c r="R46" s="30">
        <f>$Q46*$H46*($G45*(1-Data!$K$8*$C$2)^$E45)</f>
        <v>0.10356693535805801</v>
      </c>
      <c r="S46" s="23"/>
      <c r="T46" s="20">
        <f>C45*Data!$K$6</f>
        <v>2754.4071713074322</v>
      </c>
      <c r="U46" s="30">
        <f>$T46*$H46*($G45*(1-Data!$K$8*$C$2)^$E45)</f>
        <v>2.7420344457764703</v>
      </c>
      <c r="V46" s="22"/>
      <c r="W46" s="20">
        <f t="shared" si="0"/>
        <v>75.570718727512826</v>
      </c>
    </row>
    <row r="47" spans="2:23" x14ac:dyDescent="0.75">
      <c r="B47" s="15">
        <v>39</v>
      </c>
      <c r="C47" s="20">
        <f>$C$8*EXP(Data!N43*'lapse risk (down)'!B47)</f>
        <v>209966.9602062176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EXP(-Data!N43*'lapse risk (down)'!E47)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30">
        <f>K47*H47*(G46*(1-Data!$K$8*$C$2)^E46)*((1-F47)*Data!$K$8*$C$2)</f>
        <v>6.2511783997500032</v>
      </c>
      <c r="M47" s="23"/>
      <c r="N47" s="20">
        <f>MAX(Data!$K$3*Data!$H$3,'lapse risk (down)'!I47)-Data!$K$4</f>
        <v>205882.71851179763</v>
      </c>
      <c r="O47" s="30">
        <f>N47*H47*(G46*(1-Data!$K$8*$C$2)^E46)*(F47)</f>
        <v>42.289270315260694</v>
      </c>
      <c r="P47" s="23"/>
      <c r="Q47" s="20">
        <f>Data!$K$11*(1+Data!$K$10)^'lapse risk (down)'!E46*Data!$K$12</f>
        <v>106.11493962009094</v>
      </c>
      <c r="R47" s="30">
        <f>$Q47*$H47*($G46*(1-Data!$K$8*$C$2)^$E46)</f>
        <v>6.4755810371246891E-2</v>
      </c>
      <c r="S47" s="23"/>
      <c r="T47" s="20">
        <f>C46*Data!$K$6</f>
        <v>2844.9691860939756</v>
      </c>
      <c r="U47" s="30">
        <f>$T47*$H47*($G46*(1-Data!$K$8*$C$2)^$E46)</f>
        <v>1.7361201522265375</v>
      </c>
      <c r="V47" s="22"/>
      <c r="W47" s="20">
        <f t="shared" si="0"/>
        <v>50.341324677608483</v>
      </c>
    </row>
    <row r="48" spans="2:23" x14ac:dyDescent="0.75">
      <c r="B48" s="15">
        <v>40</v>
      </c>
      <c r="C48" s="20">
        <f>$C$8*EXP(Data!N44*'lapse risk (down)'!B48)</f>
        <v>217015.80521669541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EXP(-Data!N44*'lapse risk (down)'!E48)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30">
        <f>K48*H48*(G47*(1-Data!$K$8*$C$2)^E47)*((1-F48)*Data!$K$8*$C$2)</f>
        <v>3.7017371226536846</v>
      </c>
      <c r="M48" s="23"/>
      <c r="N48" s="20">
        <f>MAX(Data!$K$3*Data!$H$3,'lapse risk (down)'!I48)-Data!$K$4</f>
        <v>212796.46601257107</v>
      </c>
      <c r="O48" s="30">
        <f>N48*H48*(G47*(1-Data!$K$8*$C$2)^E47)*(F48)</f>
        <v>27.742102174106261</v>
      </c>
      <c r="P48" s="23"/>
      <c r="Q48" s="20">
        <f>Data!$K$11*(1+Data!$K$10)^'lapse risk (down)'!E47*Data!$K$12</f>
        <v>108.23723841249272</v>
      </c>
      <c r="R48" s="30">
        <f>$Q48*$H48*($G47*(1-Data!$K$8*$C$2)^$E47)</f>
        <v>3.9215591295220939E-2</v>
      </c>
      <c r="S48" s="23"/>
      <c r="T48" s="20">
        <f>C47*Data!$K$6</f>
        <v>2939.5374428870464</v>
      </c>
      <c r="U48" s="30">
        <f>$T48*$H48*($G47*(1-Data!$K$8*$C$2)^$E47)</f>
        <v>1.0650280868950197</v>
      </c>
      <c r="V48" s="22"/>
      <c r="W48" s="20">
        <f t="shared" si="0"/>
        <v>32.548082974950191</v>
      </c>
    </row>
    <row r="49" spans="2:23" x14ac:dyDescent="0.75">
      <c r="B49" s="15">
        <v>41</v>
      </c>
      <c r="C49" s="20">
        <f>$C$8*EXP(Data!N45*'lapse risk (down)'!B49)</f>
        <v>224274.37394679774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EXP(-Data!N45*'lapse risk (down)'!E49)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30">
        <f>K49*H49*(G48*(1-Data!$K$8*$C$2)^E48)*((1-F49)*Data!$K$8*$C$2)</f>
        <v>2.0876611636754778</v>
      </c>
      <c r="M49" s="23"/>
      <c r="N49" s="20">
        <f>MAX(Data!$K$3*Data!$H$3,'lapse risk (down)'!I49)-Data!$K$4</f>
        <v>219914.05784246384</v>
      </c>
      <c r="O49" s="30">
        <f>N49*H49*(G48*(1-Data!$K$8*$C$2)^E48)*(F49)</f>
        <v>17.819306417409628</v>
      </c>
      <c r="P49" s="23"/>
      <c r="Q49" s="20">
        <f>Data!$K$11*(1+Data!$K$10)^'lapse risk (down)'!E48*Data!$K$12</f>
        <v>110.40198318074259</v>
      </c>
      <c r="R49" s="30">
        <f>$Q49*$H49*($G48*(1-Data!$K$8*$C$2)^$E48)</f>
        <v>2.2919768079222004E-2</v>
      </c>
      <c r="S49" s="23"/>
      <c r="T49" s="20">
        <f>C48*Data!$K$6</f>
        <v>3038.221273033736</v>
      </c>
      <c r="U49" s="30">
        <f>$T49*$H49*($G48*(1-Data!$K$8*$C$2)^$E48)</f>
        <v>0.63074344269060512</v>
      </c>
      <c r="V49" s="22"/>
      <c r="W49" s="20">
        <f t="shared" si="0"/>
        <v>20.560630791854933</v>
      </c>
    </row>
    <row r="50" spans="2:23" x14ac:dyDescent="0.75">
      <c r="B50" s="15">
        <v>42</v>
      </c>
      <c r="C50" s="20">
        <f>$C$8*EXP(Data!N46*'lapse risk (down)'!B50)</f>
        <v>231928.7438676453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EXP(-Data!N46*'lapse risk (down)'!E50)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30">
        <f>K50*H50*(G49*(1-Data!$K$8*$C$2)^E49)*((1-F50)*Data!$K$8*$C$2)</f>
        <v>1.1054548022418649</v>
      </c>
      <c r="M50" s="23"/>
      <c r="N50" s="20">
        <f>MAX(Data!$K$3*Data!$H$3,'lapse risk (down)'!I50)-Data!$K$4</f>
        <v>227423.25638870936</v>
      </c>
      <c r="O50" s="30">
        <f>N50*H50*(G49*(1-Data!$K$8*$C$2)^E49)*(F50)</f>
        <v>11.008836217783527</v>
      </c>
      <c r="P50" s="23"/>
      <c r="Q50" s="20">
        <f>Data!$K$11*(1+Data!$K$10)^'lapse risk (down)'!E49*Data!$K$12</f>
        <v>112.61002284435745</v>
      </c>
      <c r="R50" s="30">
        <f>$Q50*$H50*($G49*(1-Data!$K$8*$C$2)^$E49)</f>
        <v>1.2749396072332185E-2</v>
      </c>
      <c r="S50" s="23"/>
      <c r="T50" s="20">
        <f>C49*Data!$K$6</f>
        <v>3139.8412352551686</v>
      </c>
      <c r="U50" s="30">
        <f>$T50*$H50*($G49*(1-Data!$K$8*$C$2)^$E49)</f>
        <v>0.35548416119085025</v>
      </c>
      <c r="V50" s="22"/>
      <c r="W50" s="20">
        <f t="shared" si="0"/>
        <v>12.482524577288572</v>
      </c>
    </row>
    <row r="51" spans="2:23" x14ac:dyDescent="0.75">
      <c r="B51" s="15">
        <v>43</v>
      </c>
      <c r="C51" s="20">
        <f>$C$8*EXP(Data!N47*'lapse risk (down)'!B51)</f>
        <v>239796.38945322504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EXP(-Data!N47*'lapse risk (down)'!E51)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30">
        <f>K51*H51*(G50*(1-Data!$K$8*$C$2)^E50)*((1-F51)*Data!$K$8*$C$2)</f>
        <v>0.5513254276995796</v>
      </c>
      <c r="M51" s="23"/>
      <c r="N51" s="20">
        <f>MAX(Data!$K$3*Data!$H$3,'lapse risk (down)'!I51)-Data!$K$4</f>
        <v>235137.81457587212</v>
      </c>
      <c r="O51" s="30">
        <f>N51*H51*(G50*(1-Data!$K$8*$C$2)^E50)*(F51)</f>
        <v>6.2829224108553721</v>
      </c>
      <c r="P51" s="23"/>
      <c r="Q51" s="20">
        <f>Data!$K$11*(1+Data!$K$10)^'lapse risk (down)'!E50*Data!$K$12</f>
        <v>114.86222330124458</v>
      </c>
      <c r="R51" s="30">
        <f>$Q51*$H51*($G50*(1-Data!$K$8*$C$2)^$E50)</f>
        <v>6.660023179481115E-3</v>
      </c>
      <c r="S51" s="23"/>
      <c r="T51" s="20">
        <f>C50*Data!$K$6</f>
        <v>3247.0024141470344</v>
      </c>
      <c r="U51" s="30">
        <f>$T51*$H51*($G50*(1-Data!$K$8*$C$2)^$E50)</f>
        <v>0.18827000488520121</v>
      </c>
      <c r="V51" s="22"/>
      <c r="W51" s="20">
        <f t="shared" si="0"/>
        <v>7.0291778666196336</v>
      </c>
    </row>
    <row r="52" spans="2:23" x14ac:dyDescent="0.75">
      <c r="B52" s="15">
        <v>44</v>
      </c>
      <c r="C52" s="20">
        <f>$C$8*EXP(Data!N48*'lapse risk (down)'!B52)</f>
        <v>247975.55828064092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EXP(-Data!N48*'lapse risk (down)'!E52)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30">
        <f>K52*H52*(G51*(1-Data!$K$8*$C$2)^E51)*((1-F52)*Data!$K$8*$C$2)</f>
        <v>0.25773419661744018</v>
      </c>
      <c r="M52" s="23"/>
      <c r="N52" s="20">
        <f>MAX(Data!$K$3*Data!$H$3,'lapse risk (down)'!I52)-Data!$K$4</f>
        <v>243159.63049157642</v>
      </c>
      <c r="O52" s="30">
        <f>N52*H52*(G51*(1-Data!$K$8*$C$2)^E51)*(F52)</f>
        <v>3.3632675390554319</v>
      </c>
      <c r="P52" s="23"/>
      <c r="Q52" s="20">
        <f>Data!$K$11*(1+Data!$K$10)^'lapse risk (down)'!E51*Data!$K$12</f>
        <v>117.15946776726946</v>
      </c>
      <c r="R52" s="30">
        <f>$Q52*$H52*($G51*(1-Data!$K$8*$C$2)^$E51)</f>
        <v>3.2762510121675838E-3</v>
      </c>
      <c r="S52" s="23"/>
      <c r="T52" s="20">
        <f>C51*Data!$K$6</f>
        <v>3357.1494523451506</v>
      </c>
      <c r="U52" s="30">
        <f>$T52*$H52*($G51*(1-Data!$K$8*$C$2)^$E51)</f>
        <v>9.387943203269121E-2</v>
      </c>
      <c r="V52" s="22"/>
      <c r="W52" s="20">
        <f t="shared" si="0"/>
        <v>3.7181574187177309</v>
      </c>
    </row>
    <row r="53" spans="2:23" x14ac:dyDescent="0.75">
      <c r="B53" s="15">
        <v>45</v>
      </c>
      <c r="C53" s="20">
        <f>$C$8*EXP(Data!N49*'lapse risk (down)'!B53)</f>
        <v>256472.17674241067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EXP(-Data!N49*'lapse risk (down)'!E53)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30">
        <f>K53*H53*(G52*(1-Data!$K$8*$C$2)^E52)*((1-F53)*Data!$K$8*$C$2)</f>
        <v>0.11237663165541342</v>
      </c>
      <c r="M53" s="23"/>
      <c r="N53" s="20">
        <f>MAX(Data!$K$3*Data!$H$3,'lapse risk (down)'!I53)-Data!$K$4</f>
        <v>251492.66557679785</v>
      </c>
      <c r="O53" s="30">
        <f>N53*H53*(G52*(1-Data!$K$8*$C$2)^E52)*(F53)</f>
        <v>1.6803847346797611</v>
      </c>
      <c r="P53" s="23"/>
      <c r="Q53" s="20">
        <f>Data!$K$11*(1+Data!$K$10)^'lapse risk (down)'!E52*Data!$K$12</f>
        <v>119.50265712261488</v>
      </c>
      <c r="R53" s="30">
        <f>$Q53*$H53*($G52*(1-Data!$K$8*$C$2)^$E52)</f>
        <v>1.5104530159110964E-3</v>
      </c>
      <c r="S53" s="23"/>
      <c r="T53" s="20">
        <f>C52*Data!$K$6</f>
        <v>3471.6578159289729</v>
      </c>
      <c r="U53" s="30">
        <f>$T53*$H53*($G52*(1-Data!$K$8*$C$2)^$E52)</f>
        <v>4.3879995177855395E-2</v>
      </c>
      <c r="V53" s="22"/>
      <c r="W53" s="20">
        <f t="shared" si="0"/>
        <v>1.8381518145289411</v>
      </c>
    </row>
    <row r="54" spans="2:23" x14ac:dyDescent="0.75">
      <c r="B54" s="15">
        <v>46</v>
      </c>
      <c r="C54" s="20">
        <f>$C$8*EXP(Data!N50*'lapse risk (down)'!B54)</f>
        <v>265291.75588931283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EXP(-Data!N50*'lapse risk (down)'!E54)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30">
        <f>K54*H54*(G53*(1-Data!$K$8*$C$2)^E53)*((1-F54)*Data!$K$8*$C$2)</f>
        <v>4.547074480144072E-2</v>
      </c>
      <c r="M54" s="23"/>
      <c r="N54" s="20">
        <f>MAX(Data!$K$3*Data!$H$3,'lapse risk (down)'!I54)-Data!$K$4</f>
        <v>260142.31235446461</v>
      </c>
      <c r="O54" s="30">
        <f>N54*H54*(G53*(1-Data!$K$8*$C$2)^E53)*(F54)</f>
        <v>0.77970880361503003</v>
      </c>
      <c r="P54" s="23"/>
      <c r="Q54" s="20">
        <f>Data!$K$11*(1+Data!$K$10)^'lapse risk (down)'!E53*Data!$K$12</f>
        <v>121.89271026506717</v>
      </c>
      <c r="R54" s="30">
        <f>$Q54*$H54*($G53*(1-Data!$K$8*$C$2)^$E53)</f>
        <v>6.4941960184299822E-4</v>
      </c>
      <c r="S54" s="23"/>
      <c r="T54" s="20">
        <f>C53*Data!$K$6</f>
        <v>3590.6104743937494</v>
      </c>
      <c r="U54" s="30">
        <f>$T54*$H54*($G53*(1-Data!$K$8*$C$2)^$E53)</f>
        <v>1.913004329449515E-2</v>
      </c>
      <c r="V54" s="22"/>
      <c r="W54" s="20">
        <f t="shared" si="0"/>
        <v>0.84495901131280893</v>
      </c>
    </row>
    <row r="55" spans="2:23" x14ac:dyDescent="0.75">
      <c r="B55" s="15">
        <v>47</v>
      </c>
      <c r="C55" s="20">
        <f>$C$8*EXP(Data!N51*'lapse risk (down)'!B55)</f>
        <v>274310.36545645952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EXP(-Data!N51*'lapse risk (down)'!E55)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30">
        <f>K55*H55*(G54*(1-Data!$K$8*$C$2)^E54)*((1-F55)*Data!$K$8*$C$2)</f>
        <v>1.69874139946204E-2</v>
      </c>
      <c r="M55" s="23"/>
      <c r="N55" s="20">
        <f>MAX(Data!$K$3*Data!$H$3,'lapse risk (down)'!I55)-Data!$K$4</f>
        <v>268984.53033867327</v>
      </c>
      <c r="O55" s="30">
        <f>N55*H55*(G54*(1-Data!$K$8*$C$2)^E54)*(F55)</f>
        <v>0.33430421401642307</v>
      </c>
      <c r="P55" s="23"/>
      <c r="Q55" s="20">
        <f>Data!$K$11*(1+Data!$K$10)^'lapse risk (down)'!E54*Data!$K$12</f>
        <v>124.33056447036851</v>
      </c>
      <c r="R55" s="30">
        <f>$Q55*$H55*($G54*(1-Data!$K$8*$C$2)^$E54)</f>
        <v>2.592155088755549E-4</v>
      </c>
      <c r="S55" s="23"/>
      <c r="T55" s="20">
        <f>C54*Data!$K$6</f>
        <v>3714.0845824503799</v>
      </c>
      <c r="U55" s="30">
        <f>$T55*$H55*($G54*(1-Data!$K$8*$C$2)^$E54)</f>
        <v>7.7434565599207757E-3</v>
      </c>
      <c r="V55" s="22"/>
      <c r="W55" s="20">
        <f t="shared" si="0"/>
        <v>0.35929430007983976</v>
      </c>
    </row>
    <row r="56" spans="2:23" x14ac:dyDescent="0.75">
      <c r="B56" s="15">
        <v>48</v>
      </c>
      <c r="C56" s="20">
        <f>$C$8*EXP(Data!N52*'lapse risk (down)'!B56)</f>
        <v>283783.09205787984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EXP(-Data!N52*'lapse risk (down)'!E56)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30">
        <f>K56*H56*(G55*(1-Data!$K$8*$C$2)^E55)*((1-F56)*Data!$K$8*$C$2)</f>
        <v>5.829949251125786E-3</v>
      </c>
      <c r="M56" s="23"/>
      <c r="N56" s="20">
        <f>MAX(Data!$K$3*Data!$H$3,'lapse risk (down)'!I56)-Data!$K$4</f>
        <v>278276.88474875066</v>
      </c>
      <c r="O56" s="30">
        <f>N56*H56*(G55*(1-Data!$K$8*$C$2)^E55)*(F56)</f>
        <v>0.13178145102687974</v>
      </c>
      <c r="P56" s="23"/>
      <c r="Q56" s="20">
        <f>Data!$K$11*(1+Data!$K$10)^'lapse risk (down)'!E55*Data!$K$12</f>
        <v>126.81717575977585</v>
      </c>
      <c r="R56" s="30">
        <f>$Q56*$H56*($G55*(1-Data!$K$8*$C$2)^$E55)</f>
        <v>9.5480396962967503E-5</v>
      </c>
      <c r="S56" s="23"/>
      <c r="T56" s="20">
        <f>C55*Data!$K$6</f>
        <v>3840.3451163904333</v>
      </c>
      <c r="U56" s="30">
        <f>$T56*$H56*($G55*(1-Data!$K$8*$C$2)^$E55)</f>
        <v>2.891388126182004E-3</v>
      </c>
      <c r="V56" s="22"/>
      <c r="W56" s="20">
        <f t="shared" si="0"/>
        <v>0.14059826880115051</v>
      </c>
    </row>
    <row r="57" spans="2:23" x14ac:dyDescent="0.75">
      <c r="B57" s="15">
        <v>49</v>
      </c>
      <c r="C57" s="20">
        <f>$C$8*EXP(Data!N53*'lapse risk (down)'!B57)</f>
        <v>293591.74679913622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EXP(-Data!N53*'lapse risk (down)'!E57)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30">
        <f>K57*H57*(G56*(1-Data!$K$8*$C$2)^E56)*((1-F57)*Data!$K$8*$C$2)</f>
        <v>1.8286730205423203E-3</v>
      </c>
      <c r="M57" s="23"/>
      <c r="N57" s="20">
        <f>MAX(Data!$K$3*Data!$H$3,'lapse risk (down)'!I57)-Data!$K$4</f>
        <v>287896.08495797863</v>
      </c>
      <c r="O57" s="30">
        <f>N57*H57*(G56*(1-Data!$K$8*$C$2)^E56)*(F57)</f>
        <v>4.7520615664897639E-2</v>
      </c>
      <c r="P57" s="23"/>
      <c r="Q57" s="20">
        <f>Data!$K$11*(1+Data!$K$10)^'lapse risk (down)'!E56*Data!$K$12</f>
        <v>129.35351927497138</v>
      </c>
      <c r="R57" s="30">
        <f>$Q57*$H57*($G56*(1-Data!$K$8*$C$2)^$E56)</f>
        <v>3.2306434755894485E-5</v>
      </c>
      <c r="S57" s="23"/>
      <c r="T57" s="20">
        <f>C56*Data!$K$6</f>
        <v>3972.9632888103179</v>
      </c>
      <c r="U57" s="30">
        <f>$T57*$H57*($G56*(1-Data!$K$8*$C$2)^$E56)</f>
        <v>9.9225966171567022E-4</v>
      </c>
      <c r="V57" s="22"/>
      <c r="W57" s="20">
        <f t="shared" si="0"/>
        <v>5.0373854781911524E-2</v>
      </c>
    </row>
    <row r="58" spans="2:23" x14ac:dyDescent="0.75">
      <c r="B58" s="15">
        <v>50</v>
      </c>
      <c r="C58" s="20">
        <f>$C$8*EXP(Data!N54*'lapse risk (down)'!B58)</f>
        <v>303739.42705151613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EXP(-Data!N54*'lapse risk (down)'!E58)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30">
        <f>K58*H58*(G57*(1-Data!$K$8*$C$2)^E57)*(1-F58)</f>
        <v>6.9554122750470895E-3</v>
      </c>
      <c r="M58" s="24"/>
      <c r="N58" s="20">
        <f>MAX(Data!$K$3*Data!$H$3,'lapse risk (down)'!I58)-Data!$K$4</f>
        <v>297847.59211553342</v>
      </c>
      <c r="O58" s="30">
        <f>N58*H58*(G57*(1-Data!$K$8*$C$2)^E57)*(F58)</f>
        <v>1.5598273990115197E-2</v>
      </c>
      <c r="P58" s="24"/>
      <c r="Q58" s="20">
        <f>Data!$K$11*(1+Data!$K$10)^'lapse risk (down)'!E57*Data!$K$12</f>
        <v>131.94058966047081</v>
      </c>
      <c r="R58" s="30">
        <f>$Q58*$H58*($G57*(1-Data!$K$8*$C$2)^$E57)</f>
        <v>9.9908367353478494E-6</v>
      </c>
      <c r="S58" s="24"/>
      <c r="T58" s="20">
        <f>C57*Data!$K$6</f>
        <v>4110.284455187907</v>
      </c>
      <c r="U58" s="30">
        <f>$T58*$H58*($G57*(1-Data!$K$8*$C$2)^$E57)</f>
        <v>3.1123993786366736E-4</v>
      </c>
      <c r="V58" s="25"/>
      <c r="W58" s="20">
        <f t="shared" si="0"/>
        <v>2.2874917039761303E-2</v>
      </c>
    </row>
    <row r="60" spans="2:23" x14ac:dyDescent="0.75">
      <c r="K60" s="43" t="s">
        <v>62</v>
      </c>
      <c r="L60" s="20">
        <f>SUM(L9:L58)</f>
        <v>75268.574407530032</v>
      </c>
      <c r="N60" s="43" t="s">
        <v>62</v>
      </c>
      <c r="O60" s="20">
        <f>SUM(O9:O58)</f>
        <v>23219.129417257918</v>
      </c>
      <c r="P60" s="1"/>
      <c r="Q60" s="43" t="s">
        <v>62</v>
      </c>
      <c r="R60" s="20">
        <f>SUM(R9:R58)</f>
        <v>555.04675824258027</v>
      </c>
      <c r="S60" s="1"/>
      <c r="T60" s="43" t="s">
        <v>62</v>
      </c>
      <c r="U60" s="20">
        <f>SUM(U9:U58)</f>
        <v>14489.999421386934</v>
      </c>
      <c r="V60" s="15" t="s">
        <v>15</v>
      </c>
      <c r="W60" s="20">
        <f>SUM(W9:W58)</f>
        <v>113532.75000441745</v>
      </c>
    </row>
    <row r="61" spans="2:23" x14ac:dyDescent="0.75">
      <c r="V61" s="15" t="s">
        <v>32</v>
      </c>
      <c r="W61" s="15">
        <f>SUMPRODUCT(W9:W58,E9:E58)/W60</f>
        <v>10.236334062851759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50BC-9A3C-422E-91E0-0FC0EF867C15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2">
        <v>0.4</v>
      </c>
      <c r="V2" s="34" t="s">
        <v>34</v>
      </c>
      <c r="W2" s="35">
        <f>C8-W60</f>
        <v>-4991.5248208739795</v>
      </c>
    </row>
    <row r="3" spans="2:23" x14ac:dyDescent="0.75">
      <c r="V3" s="34" t="s">
        <v>40</v>
      </c>
      <c r="W3" s="35">
        <f>MAX('Caso base'!W2-'lapse risk (mass)'!W2,0)</f>
        <v>0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20">
        <f>$C$8*EXP(Data!N5*'lapse risk (mass)'!B9)</f>
        <v>99825.153035716154</v>
      </c>
      <c r="E9" s="15">
        <v>1</v>
      </c>
      <c r="F9" s="15">
        <f>Data!C5</f>
        <v>7.1098899999999998E-3</v>
      </c>
      <c r="G9" s="15">
        <f>Data!E5</f>
        <v>0.99289011000000005</v>
      </c>
      <c r="H9" s="15">
        <f>EXP(-Data!N5*'lapse risk (mass)'!E9)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30">
        <f>$K9*$H9*$G8*(1-Data!$K$8*$C$2)^$E8*((1-$F9)*$C$2)</f>
        <v>38911.944015334266</v>
      </c>
      <c r="M9" s="23"/>
      <c r="N9" s="20">
        <f>MAX(Data!$K$3*Data!$H$3,'lapse risk (mass)'!I9)-Data!$K$4</f>
        <v>109980.00000000001</v>
      </c>
      <c r="O9" s="30">
        <f>N9*H9*(G8*(1-Data!$K$8)^E8)*(F9)</f>
        <v>783.31530523196898</v>
      </c>
      <c r="P9" s="23"/>
      <c r="Q9" s="20">
        <f>Data!$K$11*(1+Data!$K$10)^'lapse risk (mass)'!E8*Data!$K$12</f>
        <v>50</v>
      </c>
      <c r="R9" s="30">
        <f>$Q9*$H9*($G8*(1-Data!$K$8)^$E8)</f>
        <v>50.087576607181006</v>
      </c>
      <c r="S9" s="23"/>
      <c r="T9" s="20">
        <f>C8*Data!$K$6</f>
        <v>1400</v>
      </c>
      <c r="U9" s="30">
        <f>$T9*$H9*($G8*(1-Data!$K$8)^$E8)</f>
        <v>1402.4521450010682</v>
      </c>
      <c r="V9" s="22"/>
      <c r="W9" s="20">
        <f>O9+L9+R9+U9</f>
        <v>41147.799042174483</v>
      </c>
    </row>
    <row r="10" spans="2:23" x14ac:dyDescent="0.75">
      <c r="B10" s="15">
        <v>2</v>
      </c>
      <c r="C10" s="20">
        <f>$C$8*EXP(Data!N6*'lapse risk (mass)'!B10)</f>
        <v>100875.81299504719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EXP(-Data!N6*'lapse risk (mass)'!E10)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30">
        <f>K10*H10*(G9*(1-Data!$K$8)^E8)*((1-F10)*Data!$K$8)*(1-$C$2)</f>
        <v>8687.9749552626326</v>
      </c>
      <c r="M10" s="23"/>
      <c r="N10" s="20">
        <f>MAX(Data!$K$3*Data!$H$3,'lapse risk (mass)'!I10)-Data!$K$4</f>
        <v>109980.00000000001</v>
      </c>
      <c r="O10" s="30">
        <f>N10*H10*(G9*(1-Data!$K$8)^E8)*(F10)*(1-$C$2)</f>
        <v>514.7533684490985</v>
      </c>
      <c r="P10" s="23"/>
      <c r="Q10" s="20">
        <f>Data!$K$11*(1+Data!$K$10)^'lapse risk (mass)'!E9*Data!$K$12</f>
        <v>51</v>
      </c>
      <c r="R10" s="30">
        <f>$Q10*$H10*($G9*(1-Data!$K$8)^$E8)*(1-$C$2)</f>
        <v>30.118654277900806</v>
      </c>
      <c r="S10" s="23"/>
      <c r="T10" s="20">
        <f>C9*Data!$K$6</f>
        <v>1397.5521425000261</v>
      </c>
      <c r="U10" s="30">
        <f>$T10*$H10*($G9*(1-Data!$K$8)^$E8)*(1-$C$2)</f>
        <v>825.34097677054604</v>
      </c>
      <c r="V10" s="22"/>
      <c r="W10" s="20">
        <f t="shared" ref="W10:W58" si="0">O10+L10+R10+U10</f>
        <v>10058.187954760178</v>
      </c>
    </row>
    <row r="11" spans="2:23" x14ac:dyDescent="0.75">
      <c r="B11" s="15">
        <v>3</v>
      </c>
      <c r="C11" s="20">
        <f>$C$8*EXP(Data!N7*'lapse risk (mass)'!B11)</f>
        <v>102131.39657582495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EXP(-Data!N7*'lapse risk (mass)'!E11)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30">
        <f>K11*H11*(G10*(1-Data!$K$8)^E9)*((1-F11)*Data!$K$8)*(1-$C$2)</f>
        <v>7320.513820306408</v>
      </c>
      <c r="M11" s="23"/>
      <c r="N11" s="20">
        <f>MAX(Data!$K$3*Data!$H$3,'lapse risk (mass)'!I11)-Data!$K$4</f>
        <v>109980.00000000001</v>
      </c>
      <c r="O11" s="30">
        <f>N11*H11*(G10*(1-Data!$K$8)^E9)*(F11)*(1-$C$2)</f>
        <v>472.95648559972472</v>
      </c>
      <c r="P11" s="23"/>
      <c r="Q11" s="20">
        <f>Data!$K$11*(1+Data!$K$10)^'lapse risk (mass)'!E10*Data!$K$12</f>
        <v>52.019999999999996</v>
      </c>
      <c r="R11" s="30">
        <f>$Q11*$H11*($G10*(1-Data!$K$8)^$E9)*(1-$C$2)</f>
        <v>25.587436474093131</v>
      </c>
      <c r="S11" s="23"/>
      <c r="T11" s="20">
        <f>C10*Data!$K$6</f>
        <v>1412.2613819306607</v>
      </c>
      <c r="U11" s="30">
        <f>$T11*$H11*($G10*(1-Data!$K$8)^$E9)*(1-$C$2)</f>
        <v>694.65875422848433</v>
      </c>
      <c r="V11" s="22"/>
      <c r="W11" s="20">
        <f t="shared" si="0"/>
        <v>8513.7164966087112</v>
      </c>
    </row>
    <row r="12" spans="2:23" x14ac:dyDescent="0.75">
      <c r="B12" s="15">
        <v>4</v>
      </c>
      <c r="C12" s="20">
        <f>$C$8*EXP(Data!N8*'lapse risk (mass)'!B12)</f>
        <v>103371.59205577367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EXP(-Data!N8*'lapse risk (mass)'!E12)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30">
        <f>K12*H12*(G11*(1-Data!$K$8)^E10)*((1-F12)*Data!$K$8)*(1-$C$2)</f>
        <v>6161.781398525156</v>
      </c>
      <c r="M12" s="23"/>
      <c r="N12" s="20">
        <f>MAX(Data!$K$3*Data!$H$3,'lapse risk (mass)'!I12)-Data!$K$4</f>
        <v>109980.00000000001</v>
      </c>
      <c r="O12" s="30">
        <f>N12*H12*(G11*(1-Data!$K$8)^E10)*(F12)*(1-$C$2)</f>
        <v>438.81454374851546</v>
      </c>
      <c r="P12" s="23"/>
      <c r="Q12" s="20">
        <f>Data!$K$11*(1+Data!$K$10)^'lapse risk (mass)'!E11*Data!$K$12</f>
        <v>53.060399999999994</v>
      </c>
      <c r="R12" s="30">
        <f>$Q12*$H12*($G11*(1-Data!$K$8)^$E10)*(1-$C$2)</f>
        <v>21.726526068579691</v>
      </c>
      <c r="S12" s="23"/>
      <c r="T12" s="20">
        <f>C11*Data!$K$6</f>
        <v>1429.8395520615493</v>
      </c>
      <c r="U12" s="30">
        <f>$T12*$H12*($G11*(1-Data!$K$8)^$E10)*(1-$C$2)</f>
        <v>585.47327765624766</v>
      </c>
      <c r="V12" s="22"/>
      <c r="W12" s="20">
        <f t="shared" si="0"/>
        <v>7207.7957459984991</v>
      </c>
    </row>
    <row r="13" spans="2:23" x14ac:dyDescent="0.75">
      <c r="B13" s="15">
        <v>5</v>
      </c>
      <c r="C13" s="20">
        <f>$C$8*EXP(Data!N9*'lapse risk (mass)'!B13)</f>
        <v>104576.63856293866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EXP(-Data!N9*'lapse risk (mass)'!E13)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30">
        <f>K13*H13*(G12*(1-Data!$K$8)^E11)*((1-F13)*Data!$K$8)*(1-$C$2)</f>
        <v>5181.2058001722662</v>
      </c>
      <c r="M13" s="23"/>
      <c r="N13" s="20">
        <f>MAX(Data!$K$3*Data!$H$3,'lapse risk (mass)'!I13)-Data!$K$4</f>
        <v>109980.00000000001</v>
      </c>
      <c r="O13" s="30">
        <f>N13*H13*(G12*(1-Data!$K$8)^E11)*(F13)*(1-$C$2)</f>
        <v>402.54846294642698</v>
      </c>
      <c r="P13" s="23"/>
      <c r="Q13" s="20">
        <f>Data!$K$11*(1+Data!$K$10)^'lapse risk (mass)'!E12*Data!$K$12</f>
        <v>54.121608000000002</v>
      </c>
      <c r="R13" s="30">
        <f>$Q13*$H13*($G12*(1-Data!$K$8)^$E11)*(1-$C$2)</f>
        <v>18.438402749956854</v>
      </c>
      <c r="S13" s="23"/>
      <c r="T13" s="20">
        <f>C12*Data!$K$6</f>
        <v>1447.2022887808314</v>
      </c>
      <c r="U13" s="30">
        <f>$T13*$H13*($G12*(1-Data!$K$8)^$E11)*(1-$C$2)</f>
        <v>493.03964991580318</v>
      </c>
      <c r="V13" s="22"/>
      <c r="W13" s="20">
        <f t="shared" si="0"/>
        <v>6095.2323157844539</v>
      </c>
    </row>
    <row r="14" spans="2:23" x14ac:dyDescent="0.75">
      <c r="B14" s="15">
        <v>6</v>
      </c>
      <c r="C14" s="20">
        <f>$C$8*EXP(Data!N10*'lapse risk (mass)'!B14)</f>
        <v>105821.12683155056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EXP(-Data!N10*'lapse risk (mass)'!E14)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30">
        <f>K14*H14*(G13*(1-Data!$K$8)^E12)*((1-F14)*Data!$K$8)*(1-$C$2)</f>
        <v>4352.3449830993213</v>
      </c>
      <c r="M14" s="23"/>
      <c r="N14" s="20">
        <f>MAX(Data!$K$3*Data!$H$3,'lapse risk (mass)'!I14)-Data!$K$4</f>
        <v>109980.00000000001</v>
      </c>
      <c r="O14" s="30">
        <f>N14*H14*(G13*(1-Data!$K$8)^E12)*(F14)*(1-$C$2)</f>
        <v>365.58602749274769</v>
      </c>
      <c r="P14" s="23"/>
      <c r="Q14" s="20">
        <f>Data!$K$11*(1+Data!$K$10)^'lapse risk (mass)'!E13*Data!$K$12</f>
        <v>55.204040159999998</v>
      </c>
      <c r="R14" s="30">
        <f>$Q14*$H14*($G13*(1-Data!$K$8)^$E12)*(1-$C$2)</f>
        <v>15.628364706821174</v>
      </c>
      <c r="S14" s="23"/>
      <c r="T14" s="20">
        <f>C13*Data!$K$6</f>
        <v>1464.0729398811413</v>
      </c>
      <c r="U14" s="30">
        <f>$T14*$H14*($G13*(1-Data!$K$8)^$E12)*(1-$C$2)</f>
        <v>414.48172625650722</v>
      </c>
      <c r="V14" s="22"/>
      <c r="W14" s="20">
        <f t="shared" si="0"/>
        <v>5148.0411015553973</v>
      </c>
    </row>
    <row r="15" spans="2:23" x14ac:dyDescent="0.75">
      <c r="B15" s="15">
        <v>7</v>
      </c>
      <c r="C15" s="20">
        <f>$C$8*EXP(Data!N11*'lapse risk (mass)'!B15)</f>
        <v>107123.26556068068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EXP(-Data!N11*'lapse risk (mass)'!E15)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30">
        <f>K15*H15*(G14*(1-Data!$K$8)^E13)*((1-F15)*Data!$K$8)*(1-$C$2)</f>
        <v>3651.6429345456077</v>
      </c>
      <c r="M15" s="23"/>
      <c r="N15" s="20">
        <f>MAX(Data!$K$3*Data!$H$3,'lapse risk (mass)'!I15)-Data!$K$4</f>
        <v>109980.00000000001</v>
      </c>
      <c r="O15" s="30">
        <f>N15*H15*(G14*(1-Data!$K$8)^E13)*(F15)*(1-$C$2)</f>
        <v>334.44263067083591</v>
      </c>
      <c r="P15" s="23"/>
      <c r="Q15" s="20">
        <f>Data!$K$11*(1+Data!$K$10)^'lapse risk (mass)'!E14*Data!$K$12</f>
        <v>56.308120963200004</v>
      </c>
      <c r="R15" s="30">
        <f>$Q15*$H15*($G14*(1-Data!$K$8)^$E13)*(1-$C$2)</f>
        <v>13.227922980013544</v>
      </c>
      <c r="S15" s="23"/>
      <c r="T15" s="20">
        <f>C14*Data!$K$6</f>
        <v>1481.495775641708</v>
      </c>
      <c r="U15" s="30">
        <f>$T15*$H15*($G14*(1-Data!$K$8)^$E13)*(1-$C$2)</f>
        <v>348.03349286351727</v>
      </c>
      <c r="V15" s="22"/>
      <c r="W15" s="20">
        <f t="shared" si="0"/>
        <v>4347.3469810599745</v>
      </c>
    </row>
    <row r="16" spans="2:23" x14ac:dyDescent="0.75">
      <c r="B16" s="15">
        <v>8</v>
      </c>
      <c r="C16" s="20">
        <f>$C$8*EXP(Data!N12*'lapse risk (mass)'!B16)</f>
        <v>108545.5809829549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EXP(-Data!N12*'lapse risk (mass)'!E16)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30">
        <f>K16*H16*(G15*(1-Data!$K$8)^E14)*((1-F16)*Data!$K$8)*(1-$C$2)</f>
        <v>3059.6210481333724</v>
      </c>
      <c r="M16" s="23"/>
      <c r="N16" s="20">
        <f>MAX(Data!$K$3*Data!$H$3,'lapse risk (mass)'!I16)-Data!$K$4</f>
        <v>109980.00000000001</v>
      </c>
      <c r="O16" s="30">
        <f>N16*H16*(G15*(1-Data!$K$8)^E14)*(F16)*(1-$C$2)</f>
        <v>305.61672090595789</v>
      </c>
      <c r="P16" s="23"/>
      <c r="Q16" s="20">
        <f>Data!$K$11*(1+Data!$K$10)^'lapse risk (mass)'!E15*Data!$K$12</f>
        <v>57.434283382463988</v>
      </c>
      <c r="R16" s="30">
        <f>$Q16*$H16*($G15*(1-Data!$K$8)^$E14)*(1-$C$2)</f>
        <v>11.171820706568711</v>
      </c>
      <c r="S16" s="23"/>
      <c r="T16" s="20">
        <f>C15*Data!$K$6</f>
        <v>1499.7257178495295</v>
      </c>
      <c r="U16" s="30">
        <f>$T16*$H16*($G15*(1-Data!$K$8)^$E14)*(1-$C$2)</f>
        <v>291.71891494271841</v>
      </c>
      <c r="V16" s="22"/>
      <c r="W16" s="20">
        <f t="shared" si="0"/>
        <v>3668.1285046886178</v>
      </c>
    </row>
    <row r="17" spans="2:23" x14ac:dyDescent="0.75">
      <c r="B17" s="15">
        <v>9</v>
      </c>
      <c r="C17" s="20">
        <f>$C$8*EXP(Data!N13*'lapse risk (mass)'!B17)</f>
        <v>110079.20872612453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EXP(-Data!N13*'lapse risk (mass)'!E17)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30">
        <f>K17*H17*(G16*(1-Data!$K$8)^E15)*((1-F17)*Data!$K$8)*(1-$C$2)</f>
        <v>2559.5538910852983</v>
      </c>
      <c r="M17" s="23"/>
      <c r="N17" s="20">
        <f>MAX(Data!$K$3*Data!$H$3,'lapse risk (mass)'!I17)-Data!$K$4</f>
        <v>109980.00000000001</v>
      </c>
      <c r="O17" s="30">
        <f>N17*H17*(G16*(1-Data!$K$8)^E15)*(F17)*(1-$C$2)</f>
        <v>279.82047835907662</v>
      </c>
      <c r="P17" s="23"/>
      <c r="Q17" s="20">
        <f>Data!$K$11*(1+Data!$K$10)^'lapse risk (mass)'!E16*Data!$K$12</f>
        <v>58.582969050113277</v>
      </c>
      <c r="R17" s="30">
        <f>$Q17*$H17*($G16*(1-Data!$K$8)^$E15)*(1-$C$2)</f>
        <v>9.414577350111097</v>
      </c>
      <c r="S17" s="23"/>
      <c r="T17" s="20">
        <f>C16*Data!$K$6</f>
        <v>1519.6381337613686</v>
      </c>
      <c r="U17" s="30">
        <f>$T17*$H17*($G16*(1-Data!$K$8)^$E15)*(1-$C$2)</f>
        <v>244.21348023922346</v>
      </c>
      <c r="V17" s="22"/>
      <c r="W17" s="20">
        <f t="shared" si="0"/>
        <v>3093.0024270337094</v>
      </c>
    </row>
    <row r="18" spans="2:23" x14ac:dyDescent="0.75">
      <c r="B18" s="15">
        <v>10</v>
      </c>
      <c r="C18" s="20">
        <f>$C$8*EXP(Data!N14*'lapse risk (mass)'!B18)</f>
        <v>111728.3172950561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EXP(-Data!N14*'lapse risk (mass)'!E18)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30">
        <f>K18*H18*(G17*(1-Data!$K$8)^E16)*((1-F18)*Data!$K$8)*(1-$C$2)</f>
        <v>2137.724971965245</v>
      </c>
      <c r="M18" s="23"/>
      <c r="N18" s="20">
        <f>MAX(Data!$K$3*Data!$H$3,'lapse risk (mass)'!I18)-Data!$K$4</f>
        <v>109980.00000000001</v>
      </c>
      <c r="O18" s="30">
        <f>N18*H18*(G17*(1-Data!$K$8)^E16)*(F18)*(1-$C$2)</f>
        <v>254.01672675811068</v>
      </c>
      <c r="P18" s="23"/>
      <c r="Q18" s="20">
        <f>Data!$K$11*(1+Data!$K$10)^'lapse risk (mass)'!E17*Data!$K$12</f>
        <v>59.754628431115542</v>
      </c>
      <c r="R18" s="30">
        <f>$Q18*$H18*($G17*(1-Data!$K$8)^$E16)*(1-$C$2)</f>
        <v>7.9146405827095654</v>
      </c>
      <c r="S18" s="23"/>
      <c r="T18" s="20">
        <f>C17*Data!$K$6</f>
        <v>1541.1089221657435</v>
      </c>
      <c r="U18" s="30">
        <f>$T18*$H18*($G17*(1-Data!$K$8)^$E16)*(1-$C$2)</f>
        <v>204.12348864004278</v>
      </c>
      <c r="V18" s="22"/>
      <c r="W18" s="20">
        <f t="shared" si="0"/>
        <v>2603.7798279461081</v>
      </c>
    </row>
    <row r="19" spans="2:23" x14ac:dyDescent="0.75">
      <c r="B19" s="15">
        <v>11</v>
      </c>
      <c r="C19" s="20">
        <f>$C$8*EXP(Data!N15*'lapse risk (mass)'!B19)</f>
        <v>113397.59534384529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EXP(-Data!N15*'lapse risk (mass)'!E19)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30">
        <f>K19*H19*(G18*(1-Data!$K$8)^E17)*((1-F19)*Data!$K$8)*(1-$C$2)</f>
        <v>1781.813174889762</v>
      </c>
      <c r="M19" s="23"/>
      <c r="N19" s="20">
        <f>MAX(Data!$K$3*Data!$H$3,'lapse risk (mass)'!I19)-Data!$K$4</f>
        <v>111143.02899794416</v>
      </c>
      <c r="O19" s="30">
        <f>N19*H19*(G18*(1-Data!$K$8)^E17)*(F19)*(1-$C$2)</f>
        <v>235.04316817551316</v>
      </c>
      <c r="P19" s="23"/>
      <c r="Q19" s="20">
        <f>Data!$K$11*(1+Data!$K$10)^'lapse risk (mass)'!E18*Data!$K$12</f>
        <v>60.949720999737856</v>
      </c>
      <c r="R19" s="30">
        <f>$Q19*$H19*($G18*(1-Data!$K$8)^$E17)*(1-$C$2)</f>
        <v>6.6430849935845879</v>
      </c>
      <c r="S19" s="23"/>
      <c r="T19" s="20">
        <f>C18*Data!$K$6</f>
        <v>1564.1964421307855</v>
      </c>
      <c r="U19" s="30">
        <f>$T19*$H19*($G18*(1-Data!$K$8)^$E17)*(1-$C$2)</f>
        <v>170.48625885887344</v>
      </c>
      <c r="V19" s="22"/>
      <c r="W19" s="20">
        <f t="shared" si="0"/>
        <v>2193.9856869177329</v>
      </c>
    </row>
    <row r="20" spans="2:23" x14ac:dyDescent="0.75">
      <c r="B20" s="15">
        <v>12</v>
      </c>
      <c r="C20" s="20">
        <f>$C$8*EXP(Data!N16*'lapse risk (mass)'!B20)</f>
        <v>115073.4000410945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EXP(-Data!N16*'lapse risk (mass)'!E20)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30">
        <f>K20*H20*(G19*(1-Data!$K$8)^E18)*((1-F20)*Data!$K$8)*(1-$C$2)</f>
        <v>1482.5114028315754</v>
      </c>
      <c r="M20" s="23"/>
      <c r="N20" s="20">
        <f>MAX(Data!$K$3*Data!$H$3,'lapse risk (mass)'!I20)-Data!$K$4</f>
        <v>112785.4481342176</v>
      </c>
      <c r="O20" s="30">
        <f>N20*H20*(G19*(1-Data!$K$8)^E18)*(F20)*(1-$C$2)</f>
        <v>213.52594897535812</v>
      </c>
      <c r="P20" s="23"/>
      <c r="Q20" s="20">
        <f>Data!$K$11*(1+Data!$K$10)^'lapse risk (mass)'!E19*Data!$K$12</f>
        <v>62.1687154197326</v>
      </c>
      <c r="R20" s="30">
        <f>$Q20*$H20*($G19*(1-Data!$K$8)^$E18)*(1-$C$2)</f>
        <v>5.5655539587330516</v>
      </c>
      <c r="S20" s="23"/>
      <c r="T20" s="20">
        <f>C19*Data!$K$6</f>
        <v>1587.5663348138339</v>
      </c>
      <c r="U20" s="30">
        <f>$T20*$H20*($G19*(1-Data!$K$8)^$E18)*(1-$C$2)</f>
        <v>142.12431509675315</v>
      </c>
      <c r="V20" s="22"/>
      <c r="W20" s="20">
        <f t="shared" si="0"/>
        <v>1843.7272208624199</v>
      </c>
    </row>
    <row r="21" spans="2:23" x14ac:dyDescent="0.75">
      <c r="B21" s="15">
        <v>13</v>
      </c>
      <c r="C21" s="20">
        <f>$C$8*EXP(Data!N17*'lapse risk (mass)'!B21)</f>
        <v>116776.30550507811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EXP(-Data!N17*'lapse risk (mass)'!E21)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30">
        <f>K21*H21*(G20*(1-Data!$K$8)^E19)*((1-F21)*Data!$K$8)*(1-$C$2)</f>
        <v>1230.7777483717457</v>
      </c>
      <c r="M21" s="23"/>
      <c r="N21" s="20">
        <f>MAX(Data!$K$3*Data!$H$3,'lapse risk (mass)'!I21)-Data!$K$4</f>
        <v>114454.83750425623</v>
      </c>
      <c r="O21" s="30">
        <f>N21*H21*(G20*(1-Data!$K$8)^E19)*(F21)*(1-$C$2)</f>
        <v>195.73806273024121</v>
      </c>
      <c r="P21" s="23"/>
      <c r="Q21" s="20">
        <f>Data!$K$11*(1+Data!$K$10)^'lapse risk (mass)'!E20*Data!$K$12</f>
        <v>63.412089728127263</v>
      </c>
      <c r="R21" s="30">
        <f>$Q21*$H21*($G20*(1-Data!$K$8)^$E19)*(1-$C$2)</f>
        <v>4.6544130242183392</v>
      </c>
      <c r="S21" s="23"/>
      <c r="T21" s="20">
        <f>C20*Data!$K$6</f>
        <v>1611.027600575323</v>
      </c>
      <c r="U21" s="30">
        <f>$T21*$H21*($G20*(1-Data!$K$8)^$E19)*(1-$C$2)</f>
        <v>118.24855289648332</v>
      </c>
      <c r="V21" s="22"/>
      <c r="W21" s="20">
        <f t="shared" si="0"/>
        <v>1549.4187770226883</v>
      </c>
    </row>
    <row r="22" spans="2:23" x14ac:dyDescent="0.75">
      <c r="B22" s="15">
        <v>14</v>
      </c>
      <c r="C22" s="20">
        <f>$C$8*EXP(Data!N18*'lapse risk (mass)'!B22)</f>
        <v>118426.22418666462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EXP(-Data!N18*'lapse risk (mass)'!E22)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30">
        <f>K22*H22*(G21*(1-Data!$K$8)^E20)*((1-F22)*Data!$K$8)*(1-$C$2)</f>
        <v>1019.6092602098588</v>
      </c>
      <c r="M22" s="23"/>
      <c r="N22" s="20">
        <f>MAX(Data!$K$3*Data!$H$3,'lapse risk (mass)'!I22)-Data!$K$4</f>
        <v>116070.69807656306</v>
      </c>
      <c r="O22" s="30">
        <f>N22*H22*(G21*(1-Data!$K$8)^E20)*(F22)*(1-$C$2)</f>
        <v>176.93656166002066</v>
      </c>
      <c r="P22" s="23"/>
      <c r="Q22" s="20">
        <f>Data!$K$11*(1+Data!$K$10)^'lapse risk (mass)'!E21*Data!$K$12</f>
        <v>64.680331522689798</v>
      </c>
      <c r="R22" s="30">
        <f>$Q22*$H22*($G21*(1-Data!$K$8)^$E20)*(1-$C$2)</f>
        <v>3.886442396187578</v>
      </c>
      <c r="S22" s="23"/>
      <c r="T22" s="20">
        <f>C21*Data!$K$6</f>
        <v>1634.8682770710936</v>
      </c>
      <c r="U22" s="30">
        <f>$T22*$H22*($G21*(1-Data!$K$8)^$E20)*(1-$C$2)</f>
        <v>98.234211770580131</v>
      </c>
      <c r="V22" s="22"/>
      <c r="W22" s="20">
        <f t="shared" si="0"/>
        <v>1298.6664760366471</v>
      </c>
    </row>
    <row r="23" spans="2:23" x14ac:dyDescent="0.75">
      <c r="B23" s="15">
        <v>15</v>
      </c>
      <c r="C23" s="20">
        <f>$C$8*EXP(Data!N19*'lapse risk (mass)'!B23)</f>
        <v>119865.48862989599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EXP(-Data!N19*'lapse risk (mass)'!E23)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30">
        <f>K23*H23*(G22*(1-Data!$K$8)^E21)*((1-F23)*Data!$K$8)*(1-$C$2)</f>
        <v>842.1822534570689</v>
      </c>
      <c r="M23" s="23"/>
      <c r="N23" s="20">
        <f>MAX(Data!$K$3*Data!$H$3,'lapse risk (mass)'!I23)-Data!$K$4</f>
        <v>117476.9641461627</v>
      </c>
      <c r="O23" s="30">
        <f>N23*H23*(G22*(1-Data!$K$8)^E21)*(F23)*(1-$C$2)</f>
        <v>163.02248087517327</v>
      </c>
      <c r="P23" s="23"/>
      <c r="Q23" s="20">
        <f>Data!$K$11*(1+Data!$K$10)^'lapse risk (mass)'!E22*Data!$K$12</f>
        <v>65.973938153143607</v>
      </c>
      <c r="R23" s="30">
        <f>$Q23*$H23*($G22*(1-Data!$K$8)^$E21)*(1-$C$2)</f>
        <v>3.2446284585483971</v>
      </c>
      <c r="S23" s="23"/>
      <c r="T23" s="20">
        <f>C22*Data!$K$6</f>
        <v>1657.9671386133048</v>
      </c>
      <c r="U23" s="30">
        <f>$T23*$H23*($G22*(1-Data!$K$8)^$E21)*(1-$C$2)</f>
        <v>81.53958232409164</v>
      </c>
      <c r="V23" s="22"/>
      <c r="W23" s="20">
        <f t="shared" si="0"/>
        <v>1089.9889451148822</v>
      </c>
    </row>
    <row r="24" spans="2:23" x14ac:dyDescent="0.75">
      <c r="B24" s="15">
        <v>16</v>
      </c>
      <c r="C24" s="20">
        <f>$C$8*EXP(Data!N20*'lapse risk (mass)'!B24)</f>
        <v>121031.42056620093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EXP(-Data!N20*'lapse risk (mass)'!E24)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30">
        <f>K24*H24*(G23*(1-Data!$K$8)^E22)*((1-F24)*Data!$K$8)*(1-$C$2)</f>
        <v>693.27640630698977</v>
      </c>
      <c r="M24" s="23"/>
      <c r="N24" s="20">
        <f>MAX(Data!$K$3*Data!$H$3,'lapse risk (mass)'!I24)-Data!$K$4</f>
        <v>118614.11079360302</v>
      </c>
      <c r="O24" s="30">
        <f>N24*H24*(G23*(1-Data!$K$8)^E22)*(F24)*(1-$C$2)</f>
        <v>150.30001913497131</v>
      </c>
      <c r="P24" s="23"/>
      <c r="Q24" s="20">
        <f>Data!$K$11*(1+Data!$K$10)^'lapse risk (mass)'!E23*Data!$K$12</f>
        <v>67.293416916206468</v>
      </c>
      <c r="R24" s="30">
        <f>$Q24*$H24*($G23*(1-Data!$K$8)^$E22)*(1-$C$2)</f>
        <v>2.7073826884520495</v>
      </c>
      <c r="S24" s="23"/>
      <c r="T24" s="20">
        <f>C23*Data!$K$6</f>
        <v>1678.116840818544</v>
      </c>
      <c r="U24" s="30">
        <f>$T24*$H24*($G23*(1-Data!$K$8)^$E22)*(1-$C$2)</f>
        <v>67.514843089172857</v>
      </c>
      <c r="V24" s="22"/>
      <c r="W24" s="20">
        <f t="shared" si="0"/>
        <v>913.79865121958596</v>
      </c>
    </row>
    <row r="25" spans="2:23" x14ac:dyDescent="0.75">
      <c r="B25" s="15">
        <v>17</v>
      </c>
      <c r="C25" s="20">
        <f>$C$8*EXP(Data!N21*'lapse risk (mass)'!B25)</f>
        <v>122047.48447157405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EXP(-Data!N21*'lapse risk (mass)'!E25)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30">
        <f>K25*H25*(G24*(1-Data!$K$8)^E23)*((1-F25)*Data!$K$8)*(1-$C$2)</f>
        <v>568.25571665443749</v>
      </c>
      <c r="M25" s="23"/>
      <c r="N25" s="20">
        <f>MAX(Data!$K$3*Data!$H$3,'lapse risk (mass)'!I25)-Data!$K$4</f>
        <v>119606.85606025002</v>
      </c>
      <c r="O25" s="30">
        <f>N25*H25*(G24*(1-Data!$K$8)^E23)*(F25)*(1-$C$2)</f>
        <v>140.09549518056252</v>
      </c>
      <c r="P25" s="23"/>
      <c r="Q25" s="20">
        <f>Data!$K$11*(1+Data!$K$10)^'lapse risk (mass)'!E24*Data!$K$12</f>
        <v>68.639285254530606</v>
      </c>
      <c r="R25" s="30">
        <f>$Q25*$H25*($G24*(1-Data!$K$8)^$E23)*(1-$C$2)</f>
        <v>2.2544457045212134</v>
      </c>
      <c r="S25" s="23"/>
      <c r="T25" s="20">
        <f>C24*Data!$K$6</f>
        <v>1694.4398879268131</v>
      </c>
      <c r="U25" s="30">
        <f>$T25*$H25*($G24*(1-Data!$K$8)^$E23)*(1-$C$2)</f>
        <v>55.653591274158337</v>
      </c>
      <c r="V25" s="22"/>
      <c r="W25" s="20">
        <f t="shared" si="0"/>
        <v>766.25924881367951</v>
      </c>
    </row>
    <row r="26" spans="2:23" x14ac:dyDescent="0.75">
      <c r="B26" s="15">
        <v>18</v>
      </c>
      <c r="C26" s="20">
        <f>$C$8*EXP(Data!N22*'lapse risk (mass)'!B26)</f>
        <v>123064.69417332573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EXP(-Data!N22*'lapse risk (mass)'!E26)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30">
        <f>K26*H26*(G25*(1-Data!$K$8)^E24)*((1-F26)*Data!$K$8)*(1-$C$2)</f>
        <v>463.97366616066938</v>
      </c>
      <c r="M26" s="23"/>
      <c r="N26" s="20">
        <f>MAX(Data!$K$3*Data!$H$3,'lapse risk (mass)'!I26)-Data!$K$4</f>
        <v>120603.74448389425</v>
      </c>
      <c r="O26" s="30">
        <f>N26*H26*(G25*(1-Data!$K$8)^E24)*(F26)*(1-$C$2)</f>
        <v>126.9584936639266</v>
      </c>
      <c r="P26" s="23"/>
      <c r="Q26" s="20">
        <f>Data!$K$11*(1+Data!$K$10)^'lapse risk (mass)'!E25*Data!$K$12</f>
        <v>70.012070959621227</v>
      </c>
      <c r="R26" s="30">
        <f>$Q26*$H26*($G25*(1-Data!$K$8)^$E24)*(1-$C$2)</f>
        <v>1.8693201411200095</v>
      </c>
      <c r="S26" s="23"/>
      <c r="T26" s="20">
        <f>C25*Data!$K$6</f>
        <v>1708.6647826020367</v>
      </c>
      <c r="U26" s="30">
        <f>$T26*$H26*($G25*(1-Data!$K$8)^$E24)*(1-$C$2)</f>
        <v>45.62129713864001</v>
      </c>
      <c r="V26" s="22"/>
      <c r="W26" s="20">
        <f t="shared" si="0"/>
        <v>638.42277710435599</v>
      </c>
    </row>
    <row r="27" spans="2:23" x14ac:dyDescent="0.75">
      <c r="B27" s="15">
        <v>19</v>
      </c>
      <c r="C27" s="20">
        <f>$C$8*EXP(Data!N23*'lapse risk (mass)'!B27)</f>
        <v>124255.5318588017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EXP(-Data!N23*'lapse risk (mass)'!E27)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30">
        <f>K27*H27*(G26*(1-Data!$K$8)^E25)*((1-F27)*Data!$K$8)*(1-$C$2)</f>
        <v>376.86296074606901</v>
      </c>
      <c r="M27" s="23"/>
      <c r="N27" s="20">
        <f>MAX(Data!$K$3*Data!$H$3,'lapse risk (mass)'!I27)-Data!$K$4</f>
        <v>121774.23797533519</v>
      </c>
      <c r="O27" s="30">
        <f>N27*H27*(G26*(1-Data!$K$8)^E25)*(F27)*(1-$C$2)</f>
        <v>116.83927495734807</v>
      </c>
      <c r="P27" s="23"/>
      <c r="Q27" s="20">
        <f>Data!$K$11*(1+Data!$K$10)^'lapse risk (mass)'!E26*Data!$K$12</f>
        <v>71.412312378813638</v>
      </c>
      <c r="R27" s="30">
        <f>$Q27*$H27*($G26*(1-Data!$K$8)^$E25)*(1-$C$2)</f>
        <v>1.5418816746616331</v>
      </c>
      <c r="S27" s="23"/>
      <c r="T27" s="20">
        <f>C26*Data!$K$6</f>
        <v>1722.9057184265603</v>
      </c>
      <c r="U27" s="30">
        <f>$T27*$H27*($G26*(1-Data!$K$8)^$E25)*(1-$C$2)</f>
        <v>37.19970220709132</v>
      </c>
      <c r="V27" s="22"/>
      <c r="W27" s="20">
        <f t="shared" si="0"/>
        <v>532.44381958516999</v>
      </c>
    </row>
    <row r="28" spans="2:23" x14ac:dyDescent="0.75">
      <c r="B28" s="15">
        <v>20</v>
      </c>
      <c r="C28" s="20">
        <f>$C$8*EXP(Data!N24*'lapse risk (mass)'!B28)</f>
        <v>125709.05957472016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EXP(-Data!N24*'lapse risk (mass)'!E28)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30">
        <f>K28*H28*(G27*(1-Data!$K$8)^E26)*((1-F28)*Data!$K$8)*(1-$C$2)</f>
        <v>304.56665278779639</v>
      </c>
      <c r="M28" s="23"/>
      <c r="N28" s="20">
        <f>MAX(Data!$K$3*Data!$H$3,'lapse risk (mass)'!I28)-Data!$K$4</f>
        <v>123203.94893754412</v>
      </c>
      <c r="O28" s="30">
        <f>N28*H28*(G27*(1-Data!$K$8)^E26)*(F28)*(1-$C$2)</f>
        <v>105.20272235520576</v>
      </c>
      <c r="P28" s="23"/>
      <c r="Q28" s="20">
        <f>Data!$K$11*(1+Data!$K$10)^'lapse risk (mass)'!E27*Data!$K$12</f>
        <v>72.840558626389907</v>
      </c>
      <c r="R28" s="30">
        <f>$Q28*$H28*($G27*(1-Data!$K$8)^$E26)*(1-$C$2)</f>
        <v>1.2626358753953688</v>
      </c>
      <c r="S28" s="23"/>
      <c r="T28" s="20">
        <f>C27*Data!$K$6</f>
        <v>1739.5774460232237</v>
      </c>
      <c r="U28" s="30">
        <f>$T28*$H28*($G27*(1-Data!$K$8)^$E26)*(1-$C$2)</f>
        <v>30.15425654055603</v>
      </c>
      <c r="V28" s="22"/>
      <c r="W28" s="20">
        <f t="shared" si="0"/>
        <v>441.18626755895355</v>
      </c>
    </row>
    <row r="29" spans="2:23" x14ac:dyDescent="0.75">
      <c r="B29" s="15">
        <v>21</v>
      </c>
      <c r="C29" s="20">
        <f>$C$8*EXP(Data!N25*'lapse risk (mass)'!B29)</f>
        <v>127583.38948511923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EXP(-Data!N25*'lapse risk (mass)'!E29)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30">
        <f>K29*H29*(G28*(1-Data!$K$8)^E27)*((1-F29)*Data!$K$8)*(1-$C$2)</f>
        <v>244.76752801902308</v>
      </c>
      <c r="M29" s="23"/>
      <c r="N29" s="20">
        <f>MAX(Data!$K$3*Data!$H$3,'lapse risk (mass)'!I29)-Data!$K$4</f>
        <v>125049.20829362483</v>
      </c>
      <c r="O29" s="30">
        <f>N29*H29*(G28*(1-Data!$K$8)^E27)*(F29)*(1-$C$2)</f>
        <v>94.208474784487919</v>
      </c>
      <c r="P29" s="23"/>
      <c r="Q29" s="20">
        <f>Data!$K$11*(1+Data!$K$10)^'lapse risk (mass)'!E28*Data!$K$12</f>
        <v>74.297369798917714</v>
      </c>
      <c r="R29" s="30">
        <f>$Q29*$H29*($G28*(1-Data!$K$8)^$E27)*(1-$C$2)</f>
        <v>1.025489623371209</v>
      </c>
      <c r="S29" s="23"/>
      <c r="T29" s="20">
        <f>C28*Data!$K$6</f>
        <v>1759.9268340460821</v>
      </c>
      <c r="U29" s="30">
        <f>$T29*$H29*($G28*(1-Data!$K$8)^$E27)*(1-$C$2)</f>
        <v>24.29139431303383</v>
      </c>
      <c r="V29" s="22"/>
      <c r="W29" s="20">
        <f t="shared" si="0"/>
        <v>364.29288673991601</v>
      </c>
    </row>
    <row r="30" spans="2:23" x14ac:dyDescent="0.75">
      <c r="B30" s="15">
        <v>22</v>
      </c>
      <c r="C30" s="20">
        <f>$C$8*EXP(Data!N26*'lapse risk (mass)'!B30)</f>
        <v>129812.38113746731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EXP(-Data!N26*'lapse risk (mass)'!E30)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30">
        <f>K30*H30*(G29*(1-Data!$K$8)^E28)*((1-F30)*Data!$K$8)*(1-$C$2)</f>
        <v>195.52090817912281</v>
      </c>
      <c r="M30" s="23"/>
      <c r="N30" s="20">
        <f>MAX(Data!$K$3*Data!$H$3,'lapse risk (mass)'!I30)-Data!$K$4</f>
        <v>127240.71334776492</v>
      </c>
      <c r="O30" s="30">
        <f>N30*H30*(G29*(1-Data!$K$8)^E28)*(F30)*(1-$C$2)</f>
        <v>83.617266025466549</v>
      </c>
      <c r="P30" s="23"/>
      <c r="Q30" s="20">
        <f>Data!$K$11*(1+Data!$K$10)^'lapse risk (mass)'!E29*Data!$K$12</f>
        <v>75.783317194896057</v>
      </c>
      <c r="R30" s="30">
        <f>$Q30*$H30*($G29*(1-Data!$K$8)^$E28)*(1-$C$2)</f>
        <v>0.8261371514951128</v>
      </c>
      <c r="S30" s="23"/>
      <c r="T30" s="20">
        <f>C29*Data!$K$6</f>
        <v>1786.1674527916693</v>
      </c>
      <c r="U30" s="30">
        <f>$T30*$H30*($G29*(1-Data!$K$8)^$E28)*(1-$C$2)</f>
        <v>19.471558466458532</v>
      </c>
      <c r="V30" s="22"/>
      <c r="W30" s="20">
        <f t="shared" si="0"/>
        <v>299.435869822543</v>
      </c>
    </row>
    <row r="31" spans="2:23" x14ac:dyDescent="0.75">
      <c r="B31" s="15">
        <v>23</v>
      </c>
      <c r="C31" s="20">
        <f>$C$8*EXP(Data!N27*'lapse risk (mass)'!B31)</f>
        <v>132392.39284358456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EXP(-Data!N27*'lapse risk (mass)'!E31)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30">
        <f>K31*H31*(G30*(1-Data!$K$8)^E29)*((1-F31)*Data!$K$8)*(1-$C$2)</f>
        <v>155.28565311446116</v>
      </c>
      <c r="M31" s="23"/>
      <c r="N31" s="20">
        <f>MAX(Data!$K$3*Data!$H$3,'lapse risk (mass)'!I31)-Data!$K$4</f>
        <v>129776.14522083521</v>
      </c>
      <c r="O31" s="30">
        <f>N31*H31*(G30*(1-Data!$K$8)^E29)*(F31)*(1-$C$2)</f>
        <v>72.769893700995652</v>
      </c>
      <c r="P31" s="23"/>
      <c r="Q31" s="20">
        <f>Data!$K$11*(1+Data!$K$10)^'lapse risk (mass)'!E30*Data!$K$12</f>
        <v>77.298983538793991</v>
      </c>
      <c r="R31" s="30">
        <f>$Q31*$H31*($G30*(1-Data!$K$8)^$E29)*(1-$C$2)</f>
        <v>0.65996612573859392</v>
      </c>
      <c r="S31" s="23"/>
      <c r="T31" s="20">
        <f>C30*Data!$K$6</f>
        <v>1817.3733359245423</v>
      </c>
      <c r="U31" s="30">
        <f>$T31*$H31*($G30*(1-Data!$K$8)^$E29)*(1-$C$2)</f>
        <v>15.516437404753193</v>
      </c>
      <c r="V31" s="22"/>
      <c r="W31" s="20">
        <f t="shared" si="0"/>
        <v>244.2319503459486</v>
      </c>
    </row>
    <row r="32" spans="2:23" x14ac:dyDescent="0.75">
      <c r="B32" s="15">
        <v>24</v>
      </c>
      <c r="C32" s="20">
        <f>$C$8*EXP(Data!N28*'lapse risk (mass)'!B32)</f>
        <v>135277.76538194629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EXP(-Data!N28*'lapse risk (mass)'!E32)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30">
        <f>K32*H32*(G31*(1-Data!$K$8)^E30)*((1-F32)*Data!$K$8)*(1-$C$2)</f>
        <v>122.31194909481545</v>
      </c>
      <c r="M32" s="23"/>
      <c r="N32" s="20">
        <f>MAX(Data!$K$3*Data!$H$3,'lapse risk (mass)'!I32)-Data!$K$4</f>
        <v>132609.91752507459</v>
      </c>
      <c r="O32" s="30">
        <f>N32*H32*(G31*(1-Data!$K$8)^E30)*(F32)*(1-$C$2)</f>
        <v>64.574997169291436</v>
      </c>
      <c r="P32" s="23"/>
      <c r="Q32" s="20">
        <f>Data!$K$11*(1+Data!$K$10)^'lapse risk (mass)'!E31*Data!$K$12</f>
        <v>78.844963209569855</v>
      </c>
      <c r="R32" s="30">
        <f>$Q32*$H32*($G31*(1-Data!$K$8)^$E30)*(1-$C$2)</f>
        <v>0.52320838501963218</v>
      </c>
      <c r="S32" s="23"/>
      <c r="T32" s="20">
        <f>C31*Data!$K$6</f>
        <v>1853.4934998101839</v>
      </c>
      <c r="U32" s="30">
        <f>$T32*$H32*($G31*(1-Data!$K$8)^$E30)*(1-$C$2)</f>
        <v>12.299623225169654</v>
      </c>
      <c r="V32" s="22"/>
      <c r="W32" s="20">
        <f t="shared" si="0"/>
        <v>199.70977787429618</v>
      </c>
    </row>
    <row r="33" spans="2:23" x14ac:dyDescent="0.75">
      <c r="B33" s="15">
        <v>25</v>
      </c>
      <c r="C33" s="20">
        <f>$C$8*EXP(Data!N29*'lapse risk (mass)'!B33)</f>
        <v>138472.28343364102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EXP(-Data!N29*'lapse risk (mass)'!E33)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30">
        <f>K33*H33*(G32*(1-Data!$K$8)^E31)*((1-F33)*Data!$K$8)*(1-$C$2)</f>
        <v>95.310950743776118</v>
      </c>
      <c r="M33" s="23"/>
      <c r="N33" s="20">
        <f>MAX(Data!$K$3*Data!$H$3,'lapse risk (mass)'!I33)-Data!$K$4</f>
        <v>135746.7281260021</v>
      </c>
      <c r="O33" s="30">
        <f>N33*H33*(G32*(1-Data!$K$8)^E31)*(F33)*(1-$C$2)</f>
        <v>57.721730122555989</v>
      </c>
      <c r="P33" s="23"/>
      <c r="Q33" s="20">
        <f>Data!$K$11*(1+Data!$K$10)^'lapse risk (mass)'!E32*Data!$K$12</f>
        <v>80.421862473761252</v>
      </c>
      <c r="R33" s="30">
        <f>$Q33*$H33*($G32*(1-Data!$K$8)^$E31)*(1-$C$2)</f>
        <v>0.41063715467959755</v>
      </c>
      <c r="S33" s="23"/>
      <c r="T33" s="20">
        <f>C32*Data!$K$6</f>
        <v>1893.8887153472481</v>
      </c>
      <c r="U33" s="30">
        <f>$T33*$H33*($G32*(1-Data!$K$8)^$E31)*(1-$C$2)</f>
        <v>9.6702693698958804</v>
      </c>
      <c r="V33" s="22"/>
      <c r="W33" s="20">
        <f t="shared" si="0"/>
        <v>163.11358739090758</v>
      </c>
    </row>
    <row r="34" spans="2:23" x14ac:dyDescent="0.75">
      <c r="B34" s="15">
        <v>26</v>
      </c>
      <c r="C34" s="20">
        <f>$C$8*EXP(Data!N30*'lapse risk (mass)'!B34)</f>
        <v>141937.97777979009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EXP(-Data!N30*'lapse risk (mass)'!E34)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30">
        <f>K34*H34*(G33*(1-Data!$K$8)^E32)*((1-F34)*Data!$K$8)*(1-$C$2)</f>
        <v>73.232622694925169</v>
      </c>
      <c r="M34" s="23"/>
      <c r="N34" s="20">
        <f>MAX(Data!$K$3*Data!$H$3,'lapse risk (mass)'!I34)-Data!$K$4</f>
        <v>139148.53211111727</v>
      </c>
      <c r="O34" s="30">
        <f>N34*H34*(G33*(1-Data!$K$8)^E32)*(F34)*(1-$C$2)</f>
        <v>51.894690759795409</v>
      </c>
      <c r="P34" s="23"/>
      <c r="Q34" s="20">
        <f>Data!$K$11*(1+Data!$K$10)^'lapse risk (mass)'!E33*Data!$K$12</f>
        <v>82.030299723236482</v>
      </c>
      <c r="R34" s="30">
        <f>$Q34*$H34*($G33*(1-Data!$K$8)^$E32)*(1-$C$2)</f>
        <v>0.31840482223877453</v>
      </c>
      <c r="S34" s="23"/>
      <c r="T34" s="20">
        <f>C33*Data!$K$6</f>
        <v>1938.6119680709742</v>
      </c>
      <c r="U34" s="30">
        <f>$T34*$H34*($G33*(1-Data!$K$8)^$E32)*(1-$C$2)</f>
        <v>7.5248219397734202</v>
      </c>
      <c r="V34" s="22"/>
      <c r="W34" s="20">
        <f t="shared" si="0"/>
        <v>132.97054021673279</v>
      </c>
    </row>
    <row r="35" spans="2:23" x14ac:dyDescent="0.75">
      <c r="B35" s="15">
        <v>27</v>
      </c>
      <c r="C35" s="20">
        <f>$C$8*EXP(Data!N31*'lapse risk (mass)'!B35)</f>
        <v>145660.73517676292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EXP(-Data!N31*'lapse risk (mass)'!E35)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30">
        <f>K35*H35*(G34*(1-Data!$K$8)^E33)*((1-F35)*Data!$K$8)*(1-$C$2)</f>
        <v>55.449379176527714</v>
      </c>
      <c r="M35" s="23"/>
      <c r="N35" s="20">
        <f>MAX(Data!$K$3*Data!$H$3,'lapse risk (mass)'!I35)-Data!$K$4</f>
        <v>142801.9756211671</v>
      </c>
      <c r="O35" s="30">
        <f>N35*H35*(G34*(1-Data!$K$8)^E33)*(F35)*(1-$C$2)</f>
        <v>45.333516320711055</v>
      </c>
      <c r="P35" s="23"/>
      <c r="Q35" s="20">
        <f>Data!$K$11*(1+Data!$K$10)^'lapse risk (mass)'!E34*Data!$K$12</f>
        <v>83.670905717701217</v>
      </c>
      <c r="R35" s="30">
        <f>$Q35*$H35*($G34*(1-Data!$K$8)^$E33)*(1-$C$2)</f>
        <v>0.24315556373393263</v>
      </c>
      <c r="S35" s="23"/>
      <c r="T35" s="20">
        <f>C34*Data!$K$6</f>
        <v>1987.1316889170614</v>
      </c>
      <c r="U35" s="30">
        <f>$T35*$H35*($G34*(1-Data!$K$8)^$E33)*(1-$C$2)</f>
        <v>5.7747925863550069</v>
      </c>
      <c r="V35" s="22"/>
      <c r="W35" s="20">
        <f t="shared" si="0"/>
        <v>106.80084364732771</v>
      </c>
    </row>
    <row r="36" spans="2:23" x14ac:dyDescent="0.75">
      <c r="B36" s="15">
        <v>28</v>
      </c>
      <c r="C36" s="20">
        <f>$C$8*EXP(Data!N32*'lapse risk (mass)'!B36)</f>
        <v>149660.61829700484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EXP(-Data!N32*'lapse risk (mass)'!E36)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30">
        <f>K36*H36*(G35*(1-Data!$K$8)^E34)*((1-F36)*Data!$K$8)*(1-$C$2)</f>
        <v>41.302754133766022</v>
      </c>
      <c r="M36" s="23"/>
      <c r="N36" s="20">
        <f>MAX(Data!$K$3*Data!$H$3,'lapse risk (mass)'!I36)-Data!$K$4</f>
        <v>146727.40359346959</v>
      </c>
      <c r="O36" s="30">
        <f>N36*H36*(G35*(1-Data!$K$8)^E34)*(F36)*(1-$C$2)</f>
        <v>38.870121578167435</v>
      </c>
      <c r="P36" s="23"/>
      <c r="Q36" s="20">
        <f>Data!$K$11*(1+Data!$K$10)^'lapse risk (mass)'!E35*Data!$K$12</f>
        <v>85.344323832055224</v>
      </c>
      <c r="R36" s="30">
        <f>$Q36*$H36*($G35*(1-Data!$K$8)^$E34)*(1-$C$2)</f>
        <v>0.18276782486597884</v>
      </c>
      <c r="S36" s="23"/>
      <c r="T36" s="20">
        <f>C35*Data!$K$6</f>
        <v>2039.2502924746809</v>
      </c>
      <c r="U36" s="30">
        <f>$T36*$H36*($G35*(1-Data!$K$8)^$E34)*(1-$C$2)</f>
        <v>4.3671251183188762</v>
      </c>
      <c r="V36" s="22"/>
      <c r="W36" s="20">
        <f t="shared" si="0"/>
        <v>84.722768655118315</v>
      </c>
    </row>
    <row r="37" spans="2:23" x14ac:dyDescent="0.75">
      <c r="B37" s="15">
        <v>29</v>
      </c>
      <c r="C37" s="20">
        <f>$C$8*EXP(Data!N33*'lapse risk (mass)'!B37)</f>
        <v>153870.32249936444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EXP(-Data!N33*'lapse risk (mass)'!E37)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30">
        <f>K37*H37*(G36*(1-Data!$K$8)^E35)*((1-F37)*Data!$K$8)*(1-$C$2)</f>
        <v>30.209228690956895</v>
      </c>
      <c r="M37" s="23"/>
      <c r="N37" s="20">
        <f>MAX(Data!$K$3*Data!$H$3,'lapse risk (mass)'!I37)-Data!$K$4</f>
        <v>150857.11013342434</v>
      </c>
      <c r="O37" s="30">
        <f>N37*H37*(G36*(1-Data!$K$8)^E35)*(F37)*(1-$C$2)</f>
        <v>32.65797450216845</v>
      </c>
      <c r="P37" s="23"/>
      <c r="Q37" s="20">
        <f>Data!$K$11*(1+Data!$K$10)^'lapse risk (mass)'!E36*Data!$K$12</f>
        <v>87.051210308696341</v>
      </c>
      <c r="R37" s="30">
        <f>$Q37*$H37*($G36*(1-Data!$K$8)^$E35)*(1-$C$2)</f>
        <v>0.13505881374914397</v>
      </c>
      <c r="S37" s="23"/>
      <c r="T37" s="20">
        <f>C36*Data!$K$6</f>
        <v>2095.2486561580677</v>
      </c>
      <c r="U37" s="30">
        <f>$T37*$H37*($G36*(1-Data!$K$8)^$E35)*(1-$C$2)</f>
        <v>3.2507508741889026</v>
      </c>
      <c r="V37" s="22"/>
      <c r="W37" s="20">
        <f t="shared" si="0"/>
        <v>66.253012881063398</v>
      </c>
    </row>
    <row r="38" spans="2:23" x14ac:dyDescent="0.75">
      <c r="B38" s="15">
        <v>30</v>
      </c>
      <c r="C38" s="20">
        <f>$C$8*EXP(Data!N34*'lapse risk (mass)'!B38)</f>
        <v>158391.55855160882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EXP(-Data!N34*'lapse risk (mass)'!E38)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30">
        <f>K38*H38*(G37*(1-Data!$K$8)^E36)*((1-F38)*Data!$K$8)*(1-$C$2)</f>
        <v>21.656415712090222</v>
      </c>
      <c r="M38" s="23"/>
      <c r="N38" s="20">
        <f>MAX(Data!$K$3*Data!$H$3,'lapse risk (mass)'!I38)-Data!$K$4</f>
        <v>155294.15210162153</v>
      </c>
      <c r="O38" s="30">
        <f>N38*H38*(G37*(1-Data!$K$8)^E36)*(F38)*(1-$C$2)</f>
        <v>26.814313599153266</v>
      </c>
      <c r="P38" s="23"/>
      <c r="Q38" s="20">
        <f>Data!$K$11*(1+Data!$K$10)^'lapse risk (mass)'!E37*Data!$K$12</f>
        <v>88.792234514870259</v>
      </c>
      <c r="R38" s="30">
        <f>$Q38*$H38*($G37*(1-Data!$K$8)^$E36)*(1-$C$2)</f>
        <v>9.7881211667052104E-2</v>
      </c>
      <c r="S38" s="23"/>
      <c r="T38" s="20">
        <f>C37*Data!$K$6</f>
        <v>2154.1845149911023</v>
      </c>
      <c r="U38" s="30">
        <f>$T38*$H38*($G37*(1-Data!$K$8)^$E36)*(1-$C$2)</f>
        <v>2.3746917918415238</v>
      </c>
      <c r="V38" s="22"/>
      <c r="W38" s="20">
        <f t="shared" si="0"/>
        <v>50.94330231475206</v>
      </c>
    </row>
    <row r="39" spans="2:23" x14ac:dyDescent="0.75">
      <c r="B39" s="15">
        <v>31</v>
      </c>
      <c r="C39" s="20">
        <f>$C$8*EXP(Data!N35*'lapse risk (mass)'!B39)</f>
        <v>163097.82692897582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EXP(-Data!N35*'lapse risk (mass)'!E39)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30">
        <f>K39*H39*(G38*(1-Data!$K$8)^E37)*((1-F39)*Data!$K$8)*(1-$C$2)</f>
        <v>15.217860076395372</v>
      </c>
      <c r="M39" s="23"/>
      <c r="N39" s="20">
        <f>MAX(Data!$K$3*Data!$H$3,'lapse risk (mass)'!I39)-Data!$K$4</f>
        <v>159909.99575794363</v>
      </c>
      <c r="O39" s="30">
        <f>N39*H39*(G38*(1-Data!$K$8)^E37)*(F39)*(1-$C$2)</f>
        <v>21.268522661768976</v>
      </c>
      <c r="P39" s="23"/>
      <c r="Q39" s="20">
        <f>Data!$K$11*(1+Data!$K$10)^'lapse risk (mass)'!E38*Data!$K$12</f>
        <v>90.568079205167678</v>
      </c>
      <c r="R39" s="30">
        <f>$Q39*$H39*($G38*(1-Data!$K$8)^$E37)*(1-$C$2)</f>
        <v>6.9505337907163137E-2</v>
      </c>
      <c r="S39" s="23"/>
      <c r="T39" s="20">
        <f>C38*Data!$K$6</f>
        <v>2217.4818197225236</v>
      </c>
      <c r="U39" s="30">
        <f>$T39*$H39*($G38*(1-Data!$K$8)^$E37)*(1-$C$2)</f>
        <v>1.7017786458036175</v>
      </c>
      <c r="V39" s="22"/>
      <c r="W39" s="20">
        <f t="shared" si="0"/>
        <v>38.257666721875133</v>
      </c>
    </row>
    <row r="40" spans="2:23" x14ac:dyDescent="0.75">
      <c r="B40" s="15">
        <v>32</v>
      </c>
      <c r="C40" s="20">
        <f>$C$8*EXP(Data!N36*'lapse risk (mass)'!B40)</f>
        <v>168095.14964088646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EXP(-Data!N36*'lapse risk (mass)'!E40)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30">
        <f>K40*H40*(G39*(1-Data!$K$8)^E38)*((1-F40)*Data!$K$8)*(1-$C$2)</f>
        <v>10.449897131850275</v>
      </c>
      <c r="M40" s="23"/>
      <c r="N40" s="20">
        <f>MAX(Data!$K$3*Data!$H$3,'lapse risk (mass)'!I40)-Data!$K$4</f>
        <v>164813.19310230695</v>
      </c>
      <c r="O40" s="30">
        <f>N40*H40*(G39*(1-Data!$K$8)^E38)*(F40)*(1-$C$2)</f>
        <v>16.570416984848542</v>
      </c>
      <c r="P40" s="23"/>
      <c r="Q40" s="20">
        <f>Data!$K$11*(1+Data!$K$10)^'lapse risk (mass)'!E39*Data!$K$12</f>
        <v>92.379440789271001</v>
      </c>
      <c r="R40" s="30">
        <f>$Q40*$H40*($G39*(1-Data!$K$8)^$E38)*(1-$C$2)</f>
        <v>4.8336362280163074E-2</v>
      </c>
      <c r="S40" s="23"/>
      <c r="T40" s="20">
        <f>C39*Data!$K$6</f>
        <v>2283.3695770056615</v>
      </c>
      <c r="U40" s="30">
        <f>$T40*$H40*($G39*(1-Data!$K$8)^$E38)*(1-$C$2)</f>
        <v>1.194743961975431</v>
      </c>
      <c r="V40" s="22"/>
      <c r="W40" s="20">
        <f t="shared" si="0"/>
        <v>28.263394440954411</v>
      </c>
    </row>
    <row r="41" spans="2:23" x14ac:dyDescent="0.75">
      <c r="B41" s="15">
        <v>33</v>
      </c>
      <c r="C41" s="20">
        <f>$C$8*EXP(Data!N37*'lapse risk (mass)'!B41)</f>
        <v>173344.36861859259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EXP(-Data!N37*'lapse risk (mass)'!E41)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30">
        <f>K41*H41*(G40*(1-Data!$K$8)^E39)*((1-F41)*Data!$K$8)*(1-$C$2)</f>
        <v>7.0157349259879327</v>
      </c>
      <c r="M41" s="23"/>
      <c r="N41" s="20">
        <f>MAX(Data!$K$3*Data!$H$3,'lapse risk (mass)'!I41)-Data!$K$4</f>
        <v>169962.46562577487</v>
      </c>
      <c r="O41" s="30">
        <f>N41*H41*(G40*(1-Data!$K$8)^E39)*(F41)*(1-$C$2)</f>
        <v>12.445403022765465</v>
      </c>
      <c r="P41" s="23"/>
      <c r="Q41" s="20">
        <f>Data!$K$11*(1+Data!$K$10)^'lapse risk (mass)'!E40*Data!$K$12</f>
        <v>94.227029605056444</v>
      </c>
      <c r="R41" s="30">
        <f>$Q41*$H41*($G40*(1-Data!$K$8)^$E39)*(1-$C$2)</f>
        <v>3.2829831510215228E-2</v>
      </c>
      <c r="S41" s="23"/>
      <c r="T41" s="20">
        <f>C40*Data!$K$6</f>
        <v>2353.3320949724107</v>
      </c>
      <c r="U41" s="30">
        <f>$T41*$H41*($G40*(1-Data!$K$8)^$E39)*(1-$C$2)</f>
        <v>0.81992923356866743</v>
      </c>
      <c r="V41" s="22"/>
      <c r="W41" s="20">
        <f t="shared" si="0"/>
        <v>20.313897013832282</v>
      </c>
    </row>
    <row r="42" spans="2:23" x14ac:dyDescent="0.75">
      <c r="B42" s="15">
        <v>34</v>
      </c>
      <c r="C42" s="20">
        <f>$C$8*EXP(Data!N38*'lapse risk (mass)'!B42)</f>
        <v>178793.26352376863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EXP(-Data!N38*'lapse risk (mass)'!E42)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30">
        <f>K42*H42*(G41*(1-Data!$K$8)^E40)*((1-F42)*Data!$K$8)*(1-$C$2)</f>
        <v>4.5950192755982417</v>
      </c>
      <c r="M42" s="23"/>
      <c r="N42" s="20">
        <f>MAX(Data!$K$3*Data!$H$3,'lapse risk (mass)'!I42)-Data!$K$4</f>
        <v>175306.37615139678</v>
      </c>
      <c r="O42" s="30">
        <f>N42*H42*(G41*(1-Data!$K$8)^E40)*(F42)*(1-$C$2)</f>
        <v>9.1226692426890157</v>
      </c>
      <c r="P42" s="23"/>
      <c r="Q42" s="20">
        <f>Data!$K$11*(1+Data!$K$10)^'lapse risk (mass)'!E41*Data!$K$12</f>
        <v>96.111570197157576</v>
      </c>
      <c r="R42" s="30">
        <f>$Q42*$H42*($G41*(1-Data!$K$8)^$E40)*(1-$C$2)</f>
        <v>2.1796264727781237E-2</v>
      </c>
      <c r="S42" s="23"/>
      <c r="T42" s="20">
        <f>C41*Data!$K$6</f>
        <v>2426.8211606602963</v>
      </c>
      <c r="U42" s="30">
        <f>$T42*$H42*($G41*(1-Data!$K$8)^$E40)*(1-$C$2)</f>
        <v>0.55035659448936436</v>
      </c>
      <c r="V42" s="22"/>
      <c r="W42" s="20">
        <f t="shared" si="0"/>
        <v>14.289841377504404</v>
      </c>
    </row>
    <row r="43" spans="2:23" x14ac:dyDescent="0.75">
      <c r="B43" s="15">
        <v>35</v>
      </c>
      <c r="C43" s="20">
        <f>$C$8*EXP(Data!N39*'lapse risk (mass)'!B43)</f>
        <v>184503.82334224999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EXP(-Data!N39*'lapse risk (mass)'!E43)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30">
        <f>K43*H43*(G42*(1-Data!$K$8)^E41)*((1-F43)*Data!$K$8)*(1-$C$2)</f>
        <v>2.9264304369292673</v>
      </c>
      <c r="M43" s="23"/>
      <c r="N43" s="20">
        <f>MAX(Data!$K$3*Data!$H$3,'lapse risk (mass)'!I43)-Data!$K$4</f>
        <v>180907.95807177463</v>
      </c>
      <c r="O43" s="30">
        <f>N43*H43*(G42*(1-Data!$K$8)^E41)*(F43)*(1-$C$2)</f>
        <v>6.5292505179590927</v>
      </c>
      <c r="P43" s="23"/>
      <c r="Q43" s="20">
        <f>Data!$K$11*(1+Data!$K$10)^'lapse risk (mass)'!E42*Data!$K$12</f>
        <v>98.03380160110072</v>
      </c>
      <c r="R43" s="30">
        <f>$Q43*$H43*($G42*(1-Data!$K$8)^$E41)*(1-$C$2)</f>
        <v>1.4110386755665512E-2</v>
      </c>
      <c r="S43" s="23"/>
      <c r="T43" s="20">
        <f>C42*Data!$K$6</f>
        <v>2503.1056893327609</v>
      </c>
      <c r="U43" s="30">
        <f>$T43*$H43*($G42*(1-Data!$K$8)^$E41)*(1-$C$2)</f>
        <v>0.36028174762117371</v>
      </c>
      <c r="V43" s="22"/>
      <c r="W43" s="20">
        <f t="shared" si="0"/>
        <v>9.8300730892652002</v>
      </c>
    </row>
    <row r="44" spans="2:23" x14ac:dyDescent="0.75">
      <c r="B44" s="15">
        <v>36</v>
      </c>
      <c r="C44" s="20">
        <f>$C$8*EXP(Data!N40*'lapse risk (mass)'!B44)</f>
        <v>190484.37800634195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EXP(-Data!N40*'lapse risk (mass)'!E44)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30">
        <f>K44*H44*(G43*(1-Data!$K$8)^E42)*((1-F44)*Data!$K$8)*(1-$C$2)</f>
        <v>1.8038010472859358</v>
      </c>
      <c r="M44" s="23"/>
      <c r="N44" s="20">
        <f>MAX(Data!$K$3*Data!$H$3,'lapse risk (mass)'!I44)-Data!$K$4</f>
        <v>186774.30153949696</v>
      </c>
      <c r="O44" s="30">
        <f>N44*H44*(G43*(1-Data!$K$8)^E42)*(F44)*(1-$C$2)</f>
        <v>4.5579738004813963</v>
      </c>
      <c r="P44" s="23"/>
      <c r="Q44" s="20">
        <f>Data!$K$11*(1+Data!$K$10)^'lapse risk (mass)'!E43*Data!$K$12</f>
        <v>99.994477633122742</v>
      </c>
      <c r="R44" s="30">
        <f>$Q44*$H44*($G43*(1-Data!$K$8)^$E42)*(1-$C$2)</f>
        <v>8.8783083045118113E-3</v>
      </c>
      <c r="S44" s="23"/>
      <c r="T44" s="20">
        <f>C43*Data!$K$6</f>
        <v>2583.0535267914997</v>
      </c>
      <c r="U44" s="30">
        <f>$T44*$H44*($G43*(1-Data!$K$8)^$E42)*(1-$C$2)</f>
        <v>0.22934412100288815</v>
      </c>
      <c r="V44" s="22"/>
      <c r="W44" s="20">
        <f t="shared" si="0"/>
        <v>6.5999972770747322</v>
      </c>
    </row>
    <row r="45" spans="2:23" x14ac:dyDescent="0.75">
      <c r="B45" s="15">
        <v>37</v>
      </c>
      <c r="C45" s="20">
        <f>$C$8*EXP(Data!N41*'lapse risk (mass)'!B45)</f>
        <v>196743.36937910231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EXP(-Data!N41*'lapse risk (mass)'!E45)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30">
        <f>K45*H45*(G44*(1-Data!$K$8)^E43)*((1-F45)*Data!$K$8)*(1-$C$2)</f>
        <v>1.0817278722773791</v>
      </c>
      <c r="M45" s="23"/>
      <c r="N45" s="20">
        <f>MAX(Data!$K$3*Data!$H$3,'lapse risk (mass)'!I45)-Data!$K$4</f>
        <v>192913.68181897548</v>
      </c>
      <c r="O45" s="30">
        <f>N45*H45*(G44*(1-Data!$K$8)^E43)*(F45)*(1-$C$2)</f>
        <v>3.0101417577821974</v>
      </c>
      <c r="P45" s="23"/>
      <c r="Q45" s="20">
        <f>Data!$K$11*(1+Data!$K$10)^'lapse risk (mass)'!E44*Data!$K$12</f>
        <v>101.99436718578518</v>
      </c>
      <c r="R45" s="30">
        <f>$Q45*$H45*($G44*(1-Data!$K$8)^$E43)*(1-$C$2)</f>
        <v>5.4042399994410446E-3</v>
      </c>
      <c r="S45" s="23"/>
      <c r="T45" s="20">
        <f>C44*Data!$K$6</f>
        <v>2666.7812920887873</v>
      </c>
      <c r="U45" s="30">
        <f>$T45*$H45*($G44*(1-Data!$K$8)^$E43)*(1-$C$2)</f>
        <v>0.14130119658682352</v>
      </c>
      <c r="V45" s="22"/>
      <c r="W45" s="20">
        <f t="shared" si="0"/>
        <v>4.2385750666458417</v>
      </c>
    </row>
    <row r="46" spans="2:23" x14ac:dyDescent="0.75">
      <c r="B46" s="15">
        <v>38</v>
      </c>
      <c r="C46" s="20">
        <f>$C$8*EXP(Data!N42*'lapse risk (mass)'!B46)</f>
        <v>203212.08472099825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EXP(-Data!N42*'lapse risk (mass)'!E46)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30">
        <f>K46*H46*(G45*(1-Data!$K$8)^E44)*((1-F46)*Data!$K$8)*(1-$C$2)</f>
        <v>0.62958691453332971</v>
      </c>
      <c r="M46" s="23"/>
      <c r="N46" s="20">
        <f>MAX(Data!$K$3*Data!$H$3,'lapse risk (mass)'!I46)-Data!$K$4</f>
        <v>199257.21733341619</v>
      </c>
      <c r="O46" s="30">
        <f>N46*H46*(G45*(1-Data!$K$8)^E44)*(F46)*(1-$C$2)</f>
        <v>1.9325678296799556</v>
      </c>
      <c r="P46" s="23"/>
      <c r="Q46" s="20">
        <f>Data!$K$11*(1+Data!$K$10)^'lapse risk (mass)'!E45*Data!$K$12</f>
        <v>104.0342545295009</v>
      </c>
      <c r="R46" s="30">
        <f>$Q46*$H46*($G45*(1-Data!$K$8)^$E44)*(1-$C$2)</f>
        <v>3.2004392653344235E-3</v>
      </c>
      <c r="S46" s="23"/>
      <c r="T46" s="20">
        <f>C45*Data!$K$6</f>
        <v>2754.4071713074322</v>
      </c>
      <c r="U46" s="30">
        <f>$T46*$H46*($G45*(1-Data!$K$8)^$E44)*(1-$C$2)</f>
        <v>8.4734714576834652E-2</v>
      </c>
      <c r="V46" s="22"/>
      <c r="W46" s="20">
        <f t="shared" si="0"/>
        <v>2.6500898980554544</v>
      </c>
    </row>
    <row r="47" spans="2:23" x14ac:dyDescent="0.75">
      <c r="B47" s="15">
        <v>39</v>
      </c>
      <c r="C47" s="20">
        <f>$C$8*EXP(Data!N43*'lapse risk (mass)'!B47)</f>
        <v>209966.9602062176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EXP(-Data!N43*'lapse risk (mass)'!E47)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30">
        <f>K47*H47*(G46*(1-Data!$K$8)^E45)*((1-F47)*Data!$K$8)*(1-$C$2)</f>
        <v>0.35502386413927817</v>
      </c>
      <c r="M47" s="23"/>
      <c r="N47" s="20">
        <f>MAX(Data!$K$3*Data!$H$3,'lapse risk (mass)'!I47)-Data!$K$4</f>
        <v>205882.71851179763</v>
      </c>
      <c r="O47" s="30">
        <f>N47*H47*(G46*(1-Data!$K$8)^E45)*(F47)*(1-$C$2)</f>
        <v>1.2008695960072702</v>
      </c>
      <c r="P47" s="23"/>
      <c r="Q47" s="20">
        <f>Data!$K$11*(1+Data!$K$10)^'lapse risk (mass)'!E46*Data!$K$12</f>
        <v>106.11493962009094</v>
      </c>
      <c r="R47" s="30">
        <f>$Q47*$H47*($G46*(1-Data!$K$8)^$E45)*(1-$C$2)</f>
        <v>1.8388419393365754E-3</v>
      </c>
      <c r="S47" s="23"/>
      <c r="T47" s="20">
        <f>C46*Data!$K$6</f>
        <v>2844.9691860939756</v>
      </c>
      <c r="U47" s="30">
        <f>$T47*$H47*($G46*(1-Data!$K$8)^$E45)*(1-$C$2)</f>
        <v>4.9299831618802199E-2</v>
      </c>
      <c r="V47" s="22"/>
      <c r="W47" s="20">
        <f t="shared" si="0"/>
        <v>1.6070321337046871</v>
      </c>
    </row>
    <row r="48" spans="2:23" x14ac:dyDescent="0.75">
      <c r="B48" s="15">
        <v>40</v>
      </c>
      <c r="C48" s="20">
        <f>$C$8*EXP(Data!N44*'lapse risk (mass)'!B48)</f>
        <v>217015.80521669541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EXP(-Data!N44*'lapse risk (mass)'!E48)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30">
        <f>K48*H48*(G47*(1-Data!$K$8)^E46)*((1-F48)*Data!$K$8)*(1-$C$2)</f>
        <v>0.19318723231363161</v>
      </c>
      <c r="M48" s="23"/>
      <c r="N48" s="20">
        <f>MAX(Data!$K$3*Data!$H$3,'lapse risk (mass)'!I48)-Data!$K$4</f>
        <v>212796.46601257107</v>
      </c>
      <c r="O48" s="30">
        <f>N48*H48*(G47*(1-Data!$K$8)^E46)*(F48)*(1-$C$2)</f>
        <v>0.72390606896141962</v>
      </c>
      <c r="P48" s="23"/>
      <c r="Q48" s="20">
        <f>Data!$K$11*(1+Data!$K$10)^'lapse risk (mass)'!E47*Data!$K$12</f>
        <v>108.23723841249272</v>
      </c>
      <c r="R48" s="30">
        <f>$Q48*$H48*($G47*(1-Data!$K$8)^$E46)*(1-$C$2)</f>
        <v>1.0232968056407073E-3</v>
      </c>
      <c r="S48" s="23"/>
      <c r="T48" s="20">
        <f>C47*Data!$K$6</f>
        <v>2939.5374428870464</v>
      </c>
      <c r="U48" s="30">
        <f>$T48*$H48*($G47*(1-Data!$K$8)^$E46)*(1-$C$2)</f>
        <v>2.7790983209530804E-2</v>
      </c>
      <c r="V48" s="22"/>
      <c r="W48" s="20">
        <f t="shared" si="0"/>
        <v>0.94590758129022279</v>
      </c>
    </row>
    <row r="49" spans="2:23" x14ac:dyDescent="0.75">
      <c r="B49" s="15">
        <v>41</v>
      </c>
      <c r="C49" s="20">
        <f>$C$8*EXP(Data!N45*'lapse risk (mass)'!B49)</f>
        <v>224274.37394679774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EXP(-Data!N45*'lapse risk (mass)'!E49)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30">
        <f>K49*H49*(G48*(1-Data!$K$8)^E47)*((1-F49)*Data!$K$8)*(1-$C$2)</f>
        <v>0.10011751270032465</v>
      </c>
      <c r="M49" s="23"/>
      <c r="N49" s="20">
        <f>MAX(Data!$K$3*Data!$H$3,'lapse risk (mass)'!I49)-Data!$K$4</f>
        <v>219914.05784246384</v>
      </c>
      <c r="O49" s="30">
        <f>N49*H49*(G48*(1-Data!$K$8)^E47)*(F49)*(1-$C$2)</f>
        <v>0.42727830253236149</v>
      </c>
      <c r="P49" s="23"/>
      <c r="Q49" s="20">
        <f>Data!$K$11*(1+Data!$K$10)^'lapse risk (mass)'!E48*Data!$K$12</f>
        <v>110.40198318074259</v>
      </c>
      <c r="R49" s="30">
        <f>$Q49*$H49*($G48*(1-Data!$K$8)^$E47)*(1-$C$2)</f>
        <v>5.4957916823055537E-4</v>
      </c>
      <c r="S49" s="23"/>
      <c r="T49" s="20">
        <f>C48*Data!$K$6</f>
        <v>3038.221273033736</v>
      </c>
      <c r="U49" s="30">
        <f>$T49*$H49*($G48*(1-Data!$K$8)^$E47)*(1-$C$2)</f>
        <v>1.5124213098605939E-2</v>
      </c>
      <c r="V49" s="22"/>
      <c r="W49" s="20">
        <f t="shared" si="0"/>
        <v>0.54306960749952249</v>
      </c>
    </row>
    <row r="50" spans="2:23" x14ac:dyDescent="0.75">
      <c r="B50" s="15">
        <v>42</v>
      </c>
      <c r="C50" s="20">
        <f>$C$8*EXP(Data!N46*'lapse risk (mass)'!B50)</f>
        <v>231928.7438676453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EXP(-Data!N46*'lapse risk (mass)'!E50)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30">
        <f>K50*H50*(G49*(1-Data!$K$8)^E48)*((1-F50)*Data!$K$8)*(1-$C$2)</f>
        <v>4.87156187466267E-2</v>
      </c>
      <c r="M50" s="23"/>
      <c r="N50" s="20">
        <f>MAX(Data!$K$3*Data!$H$3,'lapse risk (mass)'!I50)-Data!$K$4</f>
        <v>227423.25638870936</v>
      </c>
      <c r="O50" s="30">
        <f>N50*H50*(G49*(1-Data!$K$8)^E48)*(F50)*(1-$C$2)</f>
        <v>0.24257087080447604</v>
      </c>
      <c r="P50" s="23"/>
      <c r="Q50" s="20">
        <f>Data!$K$11*(1+Data!$K$10)^'lapse risk (mass)'!E49*Data!$K$12</f>
        <v>112.61002284435745</v>
      </c>
      <c r="R50" s="30">
        <f>$Q50*$H50*($G49*(1-Data!$K$8)^$E48)*(1-$C$2)</f>
        <v>2.8092271029529791E-4</v>
      </c>
      <c r="S50" s="23"/>
      <c r="T50" s="20">
        <f>C49*Data!$K$6</f>
        <v>3139.8412352551686</v>
      </c>
      <c r="U50" s="30">
        <f>$T50*$H50*($G49*(1-Data!$K$8)^$E48)*(1-$C$2)</f>
        <v>7.8328081943819204E-3</v>
      </c>
      <c r="V50" s="22"/>
      <c r="W50" s="20">
        <f t="shared" si="0"/>
        <v>0.29940022045577996</v>
      </c>
    </row>
    <row r="51" spans="2:23" x14ac:dyDescent="0.75">
      <c r="B51" s="15">
        <v>43</v>
      </c>
      <c r="C51" s="20">
        <f>$C$8*EXP(Data!N47*'lapse risk (mass)'!B51)</f>
        <v>239796.38945322504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EXP(-Data!N47*'lapse risk (mass)'!E51)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30">
        <f>K51*H51*(G50*(1-Data!$K$8)^E49)*((1-F51)*Data!$K$8)*(1-$C$2)</f>
        <v>2.2326078547810838E-2</v>
      </c>
      <c r="M51" s="23"/>
      <c r="N51" s="20">
        <f>MAX(Data!$K$3*Data!$H$3,'lapse risk (mass)'!I51)-Data!$K$4</f>
        <v>235137.81457587212</v>
      </c>
      <c r="O51" s="30">
        <f>N51*H51*(G50*(1-Data!$K$8)^E49)*(F51)*(1-$C$2)</f>
        <v>0.1272143567183642</v>
      </c>
      <c r="P51" s="23"/>
      <c r="Q51" s="20">
        <f>Data!$K$11*(1+Data!$K$10)^'lapse risk (mass)'!E50*Data!$K$12</f>
        <v>114.86222330124458</v>
      </c>
      <c r="R51" s="30">
        <f>$Q51*$H51*($G50*(1-Data!$K$8)^$E49)*(1-$C$2)</f>
        <v>1.348497576610592E-4</v>
      </c>
      <c r="S51" s="23"/>
      <c r="T51" s="20">
        <f>C50*Data!$K$6</f>
        <v>3247.0024141470344</v>
      </c>
      <c r="U51" s="30">
        <f>$T51*$H51*($G50*(1-Data!$K$8)^$E49)*(1-$C$2)</f>
        <v>3.8120234493829223E-3</v>
      </c>
      <c r="V51" s="22"/>
      <c r="W51" s="20">
        <f t="shared" si="0"/>
        <v>0.15348730847321904</v>
      </c>
    </row>
    <row r="52" spans="2:23" x14ac:dyDescent="0.75">
      <c r="B52" s="15">
        <v>44</v>
      </c>
      <c r="C52" s="20">
        <f>$C$8*EXP(Data!N48*'lapse risk (mass)'!B52)</f>
        <v>247975.55828064092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EXP(-Data!N48*'lapse risk (mass)'!E52)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30">
        <f>K52*H52*(G51*(1-Data!$K$8)^E50)*((1-F52)*Data!$K$8)*(1-$C$2)</f>
        <v>9.5907741396363683E-3</v>
      </c>
      <c r="M52" s="23"/>
      <c r="N52" s="20">
        <f>MAX(Data!$K$3*Data!$H$3,'lapse risk (mass)'!I52)-Data!$K$4</f>
        <v>243159.63049157642</v>
      </c>
      <c r="O52" s="30">
        <f>N52*H52*(G51*(1-Data!$K$8)^E50)*(F52)*(1-$C$2)</f>
        <v>6.2576754970024392E-2</v>
      </c>
      <c r="P52" s="23"/>
      <c r="Q52" s="20">
        <f>Data!$K$11*(1+Data!$K$10)^'lapse risk (mass)'!E51*Data!$K$12</f>
        <v>117.15946776726946</v>
      </c>
      <c r="R52" s="30">
        <f>$Q52*$H52*($G51*(1-Data!$K$8)^$E50)*(1-$C$2)</f>
        <v>6.0957730667565032E-5</v>
      </c>
      <c r="S52" s="23"/>
      <c r="T52" s="20">
        <f>C51*Data!$K$6</f>
        <v>3357.1494523451506</v>
      </c>
      <c r="U52" s="30">
        <f>$T52*$H52*($G51*(1-Data!$K$8)^$E50)*(1-$C$2)</f>
        <v>1.7467151057167067E-3</v>
      </c>
      <c r="V52" s="22"/>
      <c r="W52" s="20">
        <f t="shared" si="0"/>
        <v>7.3975201946045038E-2</v>
      </c>
    </row>
    <row r="53" spans="2:23" x14ac:dyDescent="0.75">
      <c r="B53" s="15">
        <v>45</v>
      </c>
      <c r="C53" s="20">
        <f>$C$8*EXP(Data!N49*'lapse risk (mass)'!B53)</f>
        <v>256472.17674241067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EXP(-Data!N49*'lapse risk (mass)'!E53)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30">
        <f>K53*H53*(G52*(1-Data!$K$8)^E51)*((1-F53)*Data!$K$8)*(1-$C$2)</f>
        <v>3.8426853245914052E-3</v>
      </c>
      <c r="M53" s="23"/>
      <c r="N53" s="20">
        <f>MAX(Data!$K$3*Data!$H$3,'lapse risk (mass)'!I53)-Data!$K$4</f>
        <v>251492.66557679785</v>
      </c>
      <c r="O53" s="30">
        <f>N53*H53*(G52*(1-Data!$K$8)^E51)*(F53)*(1-$C$2)</f>
        <v>2.873012682664031E-2</v>
      </c>
      <c r="P53" s="23"/>
      <c r="Q53" s="20">
        <f>Data!$K$11*(1+Data!$K$10)^'lapse risk (mass)'!E52*Data!$K$12</f>
        <v>119.50265712261488</v>
      </c>
      <c r="R53" s="30">
        <f>$Q53*$H53*($G52*(1-Data!$K$8)^$E51)*(1-$C$2)</f>
        <v>2.5824744665439516E-5</v>
      </c>
      <c r="S53" s="23"/>
      <c r="T53" s="20">
        <f>C52*Data!$K$6</f>
        <v>3471.6578159289729</v>
      </c>
      <c r="U53" s="30">
        <f>$T53*$H53*($G52*(1-Data!$K$8)^$E51)*(1-$C$2)</f>
        <v>7.5023165861620624E-4</v>
      </c>
      <c r="V53" s="22"/>
      <c r="W53" s="20">
        <f t="shared" si="0"/>
        <v>3.3348868554513363E-2</v>
      </c>
    </row>
    <row r="54" spans="2:23" x14ac:dyDescent="0.75">
      <c r="B54" s="15">
        <v>46</v>
      </c>
      <c r="C54" s="20">
        <f>$C$8*EXP(Data!N50*'lapse risk (mass)'!B54)</f>
        <v>265291.75588931283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EXP(-Data!N50*'lapse risk (mass)'!E54)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30">
        <f>K54*H54*(G53*(1-Data!$K$8)^E52)*((1-F54)*Data!$K$8)*(1-$C$2)</f>
        <v>1.428788914918284E-3</v>
      </c>
      <c r="M54" s="23"/>
      <c r="N54" s="20">
        <f>MAX(Data!$K$3*Data!$H$3,'lapse risk (mass)'!I54)-Data!$K$4</f>
        <v>260142.31235446461</v>
      </c>
      <c r="O54" s="30">
        <f>N54*H54*(G53*(1-Data!$K$8)^E52)*(F54)*(1-$C$2)</f>
        <v>1.2250066502474073E-2</v>
      </c>
      <c r="P54" s="23"/>
      <c r="Q54" s="20">
        <f>Data!$K$11*(1+Data!$K$10)^'lapse risk (mass)'!E53*Data!$K$12</f>
        <v>121.89271026506717</v>
      </c>
      <c r="R54" s="30">
        <f>$Q54*$H54*($G53*(1-Data!$K$8)^$E52)*(1-$C$2)</f>
        <v>1.0203082578653099E-5</v>
      </c>
      <c r="S54" s="23"/>
      <c r="T54" s="20">
        <f>C53*Data!$K$6</f>
        <v>3590.6104743937494</v>
      </c>
      <c r="U54" s="30">
        <f>$T54*$H54*($G53*(1-Data!$K$8)^$E52)*(1-$C$2)</f>
        <v>3.0055361882059487E-4</v>
      </c>
      <c r="V54" s="22"/>
      <c r="W54" s="20">
        <f t="shared" si="0"/>
        <v>1.3989612118791604E-2</v>
      </c>
    </row>
    <row r="55" spans="2:23" x14ac:dyDescent="0.75">
      <c r="B55" s="15">
        <v>47</v>
      </c>
      <c r="C55" s="20">
        <f>$C$8*EXP(Data!N51*'lapse risk (mass)'!B55)</f>
        <v>274310.36545645952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EXP(-Data!N51*'lapse risk (mass)'!E55)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30">
        <f>K55*H55*(G54*(1-Data!$K$8)^E53)*((1-F55)*Data!$K$8)*(1-$C$2)</f>
        <v>4.9050164493341512E-4</v>
      </c>
      <c r="M55" s="23"/>
      <c r="N55" s="20">
        <f>MAX(Data!$K$3*Data!$H$3,'lapse risk (mass)'!I55)-Data!$K$4</f>
        <v>268984.53033867327</v>
      </c>
      <c r="O55" s="30">
        <f>N55*H55*(G54*(1-Data!$K$8)^E53)*(F55)*(1-$C$2)</f>
        <v>4.8264193400819099E-3</v>
      </c>
      <c r="P55" s="23"/>
      <c r="Q55" s="20">
        <f>Data!$K$11*(1+Data!$K$10)^'lapse risk (mass)'!E54*Data!$K$12</f>
        <v>124.33056447036851</v>
      </c>
      <c r="R55" s="30">
        <f>$Q55*$H55*($G54*(1-Data!$K$8)^$E53)*(1-$C$2)</f>
        <v>3.7423481153746129E-6</v>
      </c>
      <c r="S55" s="23"/>
      <c r="T55" s="20">
        <f>C54*Data!$K$6</f>
        <v>3714.0845824503799</v>
      </c>
      <c r="U55" s="30">
        <f>$T55*$H55*($G54*(1-Data!$K$8)^$E53)*(1-$C$2)</f>
        <v>1.1179388991503938E-4</v>
      </c>
      <c r="V55" s="22"/>
      <c r="W55" s="20">
        <f t="shared" si="0"/>
        <v>5.432457223045738E-3</v>
      </c>
    </row>
    <row r="56" spans="2:23" x14ac:dyDescent="0.75">
      <c r="B56" s="15">
        <v>48</v>
      </c>
      <c r="C56" s="20">
        <f>$C$8*EXP(Data!N52*'lapse risk (mass)'!B56)</f>
        <v>283783.09205787984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EXP(-Data!N52*'lapse risk (mass)'!E56)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30">
        <f>K56*H56*(G55*(1-Data!$K$8)^E54)*((1-F56)*Data!$K$8)*(1-$C$2)</f>
        <v>1.5468748000435807E-4</v>
      </c>
      <c r="M56" s="23"/>
      <c r="N56" s="20">
        <f>MAX(Data!$K$3*Data!$H$3,'lapse risk (mass)'!I56)-Data!$K$4</f>
        <v>278276.88474875066</v>
      </c>
      <c r="O56" s="30">
        <f>N56*H56*(G55*(1-Data!$K$8)^E54)*(F56)*(1-$C$2)</f>
        <v>1.7482948558025047E-3</v>
      </c>
      <c r="P56" s="23"/>
      <c r="Q56" s="20">
        <f>Data!$K$11*(1+Data!$K$10)^'lapse risk (mass)'!E55*Data!$K$12</f>
        <v>126.81717575977585</v>
      </c>
      <c r="R56" s="30">
        <f>$Q56*$H56*($G55*(1-Data!$K$8)^$E54)*(1-$C$2)</f>
        <v>1.2667024496967221E-6</v>
      </c>
      <c r="S56" s="23"/>
      <c r="T56" s="20">
        <f>C55*Data!$K$6</f>
        <v>3840.3451163904333</v>
      </c>
      <c r="U56" s="30">
        <f>$T56*$H56*($G55*(1-Data!$K$8)^$E54)*(1-$C$2)</f>
        <v>3.8358956801146173E-5</v>
      </c>
      <c r="V56" s="22"/>
      <c r="W56" s="20">
        <f t="shared" si="0"/>
        <v>1.9426079950577056E-3</v>
      </c>
    </row>
    <row r="57" spans="2:23" x14ac:dyDescent="0.75">
      <c r="B57" s="15">
        <v>49</v>
      </c>
      <c r="C57" s="20">
        <f>$C$8*EXP(Data!N53*'lapse risk (mass)'!B57)</f>
        <v>293591.74679913622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EXP(-Data!N53*'lapse risk (mass)'!E57)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30">
        <f>K57*H57*(G56*(1-Data!$K$8)^E55)*((1-F57)*Data!$K$8)*(1-$C$2)</f>
        <v>4.458652656196334E-5</v>
      </c>
      <c r="M57" s="23"/>
      <c r="N57" s="20">
        <f>MAX(Data!$K$3*Data!$H$3,'lapse risk (mass)'!I57)-Data!$K$4</f>
        <v>287896.08495797863</v>
      </c>
      <c r="O57" s="30">
        <f>N57*H57*(G56*(1-Data!$K$8)^E55)*(F57)*(1-$C$2)</f>
        <v>5.7932149946507503E-4</v>
      </c>
      <c r="P57" s="23"/>
      <c r="Q57" s="20">
        <f>Data!$K$11*(1+Data!$K$10)^'lapse risk (mass)'!E56*Data!$K$12</f>
        <v>129.35351927497138</v>
      </c>
      <c r="R57" s="30">
        <f>$Q57*$H57*($G56*(1-Data!$K$8)^$E55)*(1-$C$2)</f>
        <v>3.9384616472846623E-7</v>
      </c>
      <c r="S57" s="23"/>
      <c r="T57" s="20">
        <f>C56*Data!$K$6</f>
        <v>3972.9632888103179</v>
      </c>
      <c r="U57" s="30">
        <f>$T57*$H57*($G56*(1-Data!$K$8)^$E55)*(1-$C$2)</f>
        <v>1.2096588965459237E-5</v>
      </c>
      <c r="V57" s="22"/>
      <c r="W57" s="20">
        <f t="shared" si="0"/>
        <v>6.3639846115722605E-4</v>
      </c>
    </row>
    <row r="58" spans="2:23" x14ac:dyDescent="0.75">
      <c r="B58" s="15">
        <v>50</v>
      </c>
      <c r="C58" s="20">
        <f>$C$8*EXP(Data!N54*'lapse risk (mass)'!B58)</f>
        <v>303739.42705151613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EXP(-Data!N54*'lapse risk (mass)'!E58)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30">
        <f>K58*H58*(G57*(1-Data!$K$8)^E56)*((1-F58))*(1-$C$2)</f>
        <v>7.7917975129250628E-5</v>
      </c>
      <c r="M58" s="24"/>
      <c r="N58" s="20">
        <f>MAX(Data!$K$3*Data!$H$3,'lapse risk (mass)'!I58)-Data!$K$4</f>
        <v>297847.59211553342</v>
      </c>
      <c r="O58" s="30">
        <f>N58*H58*(G57*(1-Data!$K$8)^E56)*(F58)*(1-$C$2)</f>
        <v>1.7473959511807725E-4</v>
      </c>
      <c r="P58" s="24"/>
      <c r="Q58" s="20">
        <f>Data!$K$11*(1+Data!$K$10)^'lapse risk (mass)'!E57*Data!$K$12</f>
        <v>131.94058966047081</v>
      </c>
      <c r="R58" s="30">
        <f>$Q58*$H58*($G57*(1-Data!$K$8)^$E56)*(1-$C$2)</f>
        <v>1.1192230416851414E-7</v>
      </c>
      <c r="S58" s="24"/>
      <c r="T58" s="20">
        <f>C57*Data!$K$6</f>
        <v>4110.284455187907</v>
      </c>
      <c r="U58" s="30">
        <f>$T58*$H58*($G57*(1-Data!$K$8)^$E56)*(1-$C$2)</f>
        <v>3.4866640220153674E-6</v>
      </c>
      <c r="V58" s="25"/>
      <c r="W58" s="20">
        <f t="shared" si="0"/>
        <v>2.562561565735117E-4</v>
      </c>
    </row>
    <row r="60" spans="2:23" x14ac:dyDescent="0.75">
      <c r="K60" s="43" t="s">
        <v>62</v>
      </c>
      <c r="L60" s="20">
        <f>SUM(L9:L58)</f>
        <v>91867.639508334323</v>
      </c>
      <c r="N60" s="43" t="s">
        <v>62</v>
      </c>
      <c r="O60" s="20">
        <f>SUM(O9:O58)</f>
        <v>6422.2656271701662</v>
      </c>
      <c r="P60" s="1"/>
      <c r="Q60" s="43" t="s">
        <v>62</v>
      </c>
      <c r="R60" s="20">
        <f>SUM(R9:R58)</f>
        <v>241.57640925742518</v>
      </c>
      <c r="S60" s="1"/>
      <c r="T60" s="43" t="s">
        <v>62</v>
      </c>
      <c r="U60" s="20">
        <f>SUM(U9:U58)</f>
        <v>6460.0432761120273</v>
      </c>
      <c r="V60" s="15" t="s">
        <v>15</v>
      </c>
      <c r="W60" s="20">
        <f>SUM(W9:W58)</f>
        <v>104991.52482087398</v>
      </c>
    </row>
    <row r="61" spans="2:23" x14ac:dyDescent="0.75">
      <c r="V61" s="15" t="s">
        <v>32</v>
      </c>
      <c r="W61" s="15">
        <f>SUMPRODUCT(W9:W58,E9:E58)/W60</f>
        <v>4.7126238091828059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68E7-6C7F-4803-A9B4-DFDBB885A12F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1">
        <v>1.5E-3</v>
      </c>
      <c r="V2" s="34" t="s">
        <v>34</v>
      </c>
      <c r="W2" s="35">
        <f>C8-W60</f>
        <v>-7416.3264654105587</v>
      </c>
    </row>
    <row r="3" spans="2:23" x14ac:dyDescent="0.75">
      <c r="V3" s="34" t="s">
        <v>40</v>
      </c>
      <c r="W3" s="35">
        <f>MAX('Caso base'!W2-'cat risk'!W2,0)</f>
        <v>143.21424632909475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20">
        <f>$C$8*EXP(Data!N5*'cat risk'!B9)</f>
        <v>99825.153035716154</v>
      </c>
      <c r="E9" s="15">
        <v>1</v>
      </c>
      <c r="F9" s="31">
        <f>Data!C5+C2</f>
        <v>8.6098900000000003E-3</v>
      </c>
      <c r="G9" s="15">
        <f>Data!E5</f>
        <v>0.99289011000000005</v>
      </c>
      <c r="H9" s="15">
        <f>EXP(-Data!N5*'cat risk'!E9)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20">
        <f>K9*H9*(G8*(1-Data!$K$8)^E8)*((1-F9)*Data!$K$8)</f>
        <v>14569.934301821708</v>
      </c>
      <c r="M9" s="23"/>
      <c r="N9" s="20">
        <f>MAX(Data!$K$3*Data!$H$3,'cat risk'!I9)-Data!$K$4</f>
        <v>109980.00000000001</v>
      </c>
      <c r="O9" s="20">
        <f>N9*H9*(G8*(1-Data!$K$8)^E8)*(F9)</f>
        <v>948.57425548970207</v>
      </c>
      <c r="P9" s="23"/>
      <c r="Q9" s="20">
        <f>Data!$K$11*(1+Data!$K$10)^'cat risk'!E8*Data!$K$12</f>
        <v>50</v>
      </c>
      <c r="R9" s="20">
        <f>$Q9*$H9*($G8*(1-Data!$K$8)^$E8)</f>
        <v>50.087576607181006</v>
      </c>
      <c r="S9" s="23"/>
      <c r="T9" s="20">
        <f>C8*Data!$K$6</f>
        <v>1400</v>
      </c>
      <c r="U9" s="20">
        <f>$T9*$H9*($G8*(1-Data!$K$8)^$E8)</f>
        <v>1402.4521450010682</v>
      </c>
      <c r="V9" s="22"/>
      <c r="W9" s="20">
        <f>O9+L9+R9+U9</f>
        <v>16971.048278919658</v>
      </c>
    </row>
    <row r="10" spans="2:23" x14ac:dyDescent="0.75">
      <c r="B10" s="15">
        <v>2</v>
      </c>
      <c r="C10" s="20">
        <f>$C$8*EXP(Data!N6*'cat risk'!B10)</f>
        <v>100875.81299504719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EXP(-Data!N6*'cat risk'!E10)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20">
        <f>K10*H10*(G9*(1-Data!$K$8)^E9)*((1-F10)*Data!$K$8)</f>
        <v>12307.9645199554</v>
      </c>
      <c r="M10" s="23"/>
      <c r="N10" s="20">
        <f>MAX(Data!$K$3*Data!$H$3,'cat risk'!I10)-Data!$K$4</f>
        <v>109980.00000000001</v>
      </c>
      <c r="O10" s="20">
        <f>N10*H10*(G9*(1-Data!$K$8)^E9)*(F10)</f>
        <v>729.233938636223</v>
      </c>
      <c r="P10" s="23"/>
      <c r="Q10" s="20">
        <f>Data!$K$11*(1+Data!$K$10)^'cat risk'!E9*Data!$K$12</f>
        <v>51</v>
      </c>
      <c r="R10" s="20">
        <f>$Q10*$H10*($G9*(1-Data!$K$8)^$E9)</f>
        <v>42.66809356035948</v>
      </c>
      <c r="S10" s="23"/>
      <c r="T10" s="20">
        <f>C9*Data!$K$6</f>
        <v>1397.5521425000261</v>
      </c>
      <c r="U10" s="20">
        <f>$T10*$H10*($G9*(1-Data!$K$8)^$E9)</f>
        <v>1169.2330504249403</v>
      </c>
      <c r="V10" s="22"/>
      <c r="W10" s="20">
        <f t="shared" ref="W10:W58" si="0">O10+L10+R10+U10</f>
        <v>14249.099602576924</v>
      </c>
    </row>
    <row r="11" spans="2:23" x14ac:dyDescent="0.75">
      <c r="B11" s="15">
        <v>3</v>
      </c>
      <c r="C11" s="20">
        <f>$C$8*EXP(Data!N7*'cat risk'!B11)</f>
        <v>102131.39657582495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EXP(-Data!N7*'cat risk'!E11)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20">
        <f>K11*H11*(G10*(1-Data!$K$8)^E10)*((1-F11)*Data!$K$8)</f>
        <v>10370.727912100743</v>
      </c>
      <c r="M11" s="23"/>
      <c r="N11" s="20">
        <f>MAX(Data!$K$3*Data!$H$3,'cat risk'!I11)-Data!$K$4</f>
        <v>109980.00000000001</v>
      </c>
      <c r="O11" s="20">
        <f>N11*H11*(G10*(1-Data!$K$8)^E10)*(F11)</f>
        <v>670.02168793294345</v>
      </c>
      <c r="P11" s="23"/>
      <c r="Q11" s="20">
        <f>Data!$K$11*(1+Data!$K$10)^'cat risk'!E10*Data!$K$12</f>
        <v>52.019999999999996</v>
      </c>
      <c r="R11" s="20">
        <f>$Q11*$H11*($G10*(1-Data!$K$8)^$E10)</f>
        <v>36.2488683382986</v>
      </c>
      <c r="S11" s="23"/>
      <c r="T11" s="20">
        <f>C10*Data!$K$6</f>
        <v>1412.2613819306607</v>
      </c>
      <c r="U11" s="20">
        <f>$T11*$H11*($G10*(1-Data!$K$8)^$E10)</f>
        <v>984.09990182368608</v>
      </c>
      <c r="V11" s="22"/>
      <c r="W11" s="20">
        <f t="shared" si="0"/>
        <v>12061.09837019567</v>
      </c>
    </row>
    <row r="12" spans="2:23" x14ac:dyDescent="0.75">
      <c r="B12" s="15">
        <v>4</v>
      </c>
      <c r="C12" s="20">
        <f>$C$8*EXP(Data!N8*'cat risk'!B12)</f>
        <v>103371.59205577367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EXP(-Data!N8*'cat risk'!E12)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20">
        <f>K12*H12*(G11*(1-Data!$K$8)^E11)*((1-F12)*Data!$K$8)</f>
        <v>8729.1903145773067</v>
      </c>
      <c r="M12" s="23"/>
      <c r="N12" s="20">
        <f>MAX(Data!$K$3*Data!$H$3,'cat risk'!I12)-Data!$K$4</f>
        <v>109980.00000000001</v>
      </c>
      <c r="O12" s="20">
        <f>N12*H12*(G11*(1-Data!$K$8)^E11)*(F12)</f>
        <v>621.65393697706372</v>
      </c>
      <c r="P12" s="23"/>
      <c r="Q12" s="20">
        <f>Data!$K$11*(1+Data!$K$10)^'cat risk'!E11*Data!$K$12</f>
        <v>53.060399999999994</v>
      </c>
      <c r="R12" s="20">
        <f>$Q12*$H12*($G11*(1-Data!$K$8)^$E11)</f>
        <v>30.779245263821235</v>
      </c>
      <c r="S12" s="23"/>
      <c r="T12" s="20">
        <f>C11*Data!$K$6</f>
        <v>1429.8395520615493</v>
      </c>
      <c r="U12" s="20">
        <f>$T12*$H12*($G11*(1-Data!$K$8)^$E11)</f>
        <v>829.42047667968438</v>
      </c>
      <c r="V12" s="22"/>
      <c r="W12" s="20">
        <f t="shared" si="0"/>
        <v>10211.043973497875</v>
      </c>
    </row>
    <row r="13" spans="2:23" x14ac:dyDescent="0.75">
      <c r="B13" s="15">
        <v>5</v>
      </c>
      <c r="C13" s="20">
        <f>$C$8*EXP(Data!N9*'cat risk'!B13)</f>
        <v>104576.63856293866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EXP(-Data!N9*'cat risk'!E13)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20">
        <f>K13*H13*(G12*(1-Data!$K$8)^E12)*((1-F13)*Data!$K$8)</f>
        <v>7340.0415502440428</v>
      </c>
      <c r="M13" s="23"/>
      <c r="N13" s="20">
        <f>MAX(Data!$K$3*Data!$H$3,'cat risk'!I13)-Data!$K$4</f>
        <v>109980.00000000001</v>
      </c>
      <c r="O13" s="20">
        <f>N13*H13*(G12*(1-Data!$K$8)^E12)*(F13)</f>
        <v>570.27698917410487</v>
      </c>
      <c r="P13" s="23"/>
      <c r="Q13" s="20">
        <f>Data!$K$11*(1+Data!$K$10)^'cat risk'!E12*Data!$K$12</f>
        <v>54.121608000000002</v>
      </c>
      <c r="R13" s="20">
        <f>$Q13*$H13*($G12*(1-Data!$K$8)^$E12)</f>
        <v>26.121070562438874</v>
      </c>
      <c r="S13" s="23"/>
      <c r="T13" s="20">
        <f>C12*Data!$K$6</f>
        <v>1447.2022887808314</v>
      </c>
      <c r="U13" s="20">
        <f>$T13*$H13*($G12*(1-Data!$K$8)^$E12)</f>
        <v>698.47283738072122</v>
      </c>
      <c r="V13" s="22"/>
      <c r="W13" s="20">
        <f t="shared" si="0"/>
        <v>8634.9124473613083</v>
      </c>
    </row>
    <row r="14" spans="2:23" x14ac:dyDescent="0.75">
      <c r="B14" s="15">
        <v>6</v>
      </c>
      <c r="C14" s="20">
        <f>$C$8*EXP(Data!N10*'cat risk'!B14)</f>
        <v>105821.12683155056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EXP(-Data!N10*'cat risk'!E14)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20">
        <f>K14*H14*(G13*(1-Data!$K$8)^E13)*((1-F14)*Data!$K$8)</f>
        <v>6165.8220593907045</v>
      </c>
      <c r="M14" s="23"/>
      <c r="N14" s="20">
        <f>MAX(Data!$K$3*Data!$H$3,'cat risk'!I14)-Data!$K$4</f>
        <v>109980.00000000001</v>
      </c>
      <c r="O14" s="20">
        <f>N14*H14*(G13*(1-Data!$K$8)^E13)*(F14)</f>
        <v>517.91353894805923</v>
      </c>
      <c r="P14" s="23"/>
      <c r="Q14" s="20">
        <f>Data!$K$11*(1+Data!$K$10)^'cat risk'!E13*Data!$K$12</f>
        <v>55.204040159999998</v>
      </c>
      <c r="R14" s="20">
        <f>$Q14*$H14*($G13*(1-Data!$K$8)^$E13)</f>
        <v>22.14018333466333</v>
      </c>
      <c r="S14" s="23"/>
      <c r="T14" s="20">
        <f>C13*Data!$K$6</f>
        <v>1464.0729398811413</v>
      </c>
      <c r="U14" s="20">
        <f>$T14*$H14*($G13*(1-Data!$K$8)^$E13)</f>
        <v>587.18244553005184</v>
      </c>
      <c r="V14" s="22"/>
      <c r="W14" s="20">
        <f t="shared" si="0"/>
        <v>7293.058227203479</v>
      </c>
    </row>
    <row r="15" spans="2:23" x14ac:dyDescent="0.75">
      <c r="B15" s="15">
        <v>7</v>
      </c>
      <c r="C15" s="20">
        <f>$C$8*EXP(Data!N11*'cat risk'!B15)</f>
        <v>107123.26556068068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EXP(-Data!N11*'cat risk'!E15)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20">
        <f>K15*H15*(G14*(1-Data!$K$8)^E14)*((1-F15)*Data!$K$8)</f>
        <v>5173.160823939611</v>
      </c>
      <c r="M15" s="23"/>
      <c r="N15" s="20">
        <f>MAX(Data!$K$3*Data!$H$3,'cat risk'!I15)-Data!$K$4</f>
        <v>109980.00000000001</v>
      </c>
      <c r="O15" s="20">
        <f>N15*H15*(G14*(1-Data!$K$8)^E14)*(F15)</f>
        <v>473.79372678368412</v>
      </c>
      <c r="P15" s="23"/>
      <c r="Q15" s="20">
        <f>Data!$K$11*(1+Data!$K$10)^'cat risk'!E14*Data!$K$12</f>
        <v>56.308120963200004</v>
      </c>
      <c r="R15" s="20">
        <f>$Q15*$H15*($G14*(1-Data!$K$8)^$E14)</f>
        <v>18.739557555019186</v>
      </c>
      <c r="S15" s="23"/>
      <c r="T15" s="20">
        <f>C14*Data!$K$6</f>
        <v>1481.495775641708</v>
      </c>
      <c r="U15" s="20">
        <f>$T15*$H15*($G14*(1-Data!$K$8)^$E14)</f>
        <v>493.04744822331617</v>
      </c>
      <c r="V15" s="22"/>
      <c r="W15" s="20">
        <f t="shared" si="0"/>
        <v>6158.7415565016299</v>
      </c>
    </row>
    <row r="16" spans="2:23" x14ac:dyDescent="0.75">
      <c r="B16" s="15">
        <v>8</v>
      </c>
      <c r="C16" s="20">
        <f>$C$8*EXP(Data!N12*'cat risk'!B16)</f>
        <v>108545.5809829549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EXP(-Data!N12*'cat risk'!E16)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20">
        <f>K16*H16*(G15*(1-Data!$K$8)^E15)*((1-F16)*Data!$K$8)</f>
        <v>4334.4631515222773</v>
      </c>
      <c r="M16" s="23"/>
      <c r="N16" s="20">
        <f>MAX(Data!$K$3*Data!$H$3,'cat risk'!I16)-Data!$K$4</f>
        <v>109980.00000000001</v>
      </c>
      <c r="O16" s="20">
        <f>N16*H16*(G15*(1-Data!$K$8)^E15)*(F16)</f>
        <v>432.95702128344027</v>
      </c>
      <c r="P16" s="23"/>
      <c r="Q16" s="20">
        <f>Data!$K$11*(1+Data!$K$10)^'cat risk'!E15*Data!$K$12</f>
        <v>57.434283382463988</v>
      </c>
      <c r="R16" s="20">
        <f>$Q16*$H16*($G15*(1-Data!$K$8)^$E15)</f>
        <v>15.82674600097234</v>
      </c>
      <c r="S16" s="23"/>
      <c r="T16" s="20">
        <f>C15*Data!$K$6</f>
        <v>1499.7257178495295</v>
      </c>
      <c r="U16" s="20">
        <f>$T16*$H16*($G15*(1-Data!$K$8)^$E15)</f>
        <v>413.26846283551777</v>
      </c>
      <c r="V16" s="22"/>
      <c r="W16" s="20">
        <f t="shared" si="0"/>
        <v>5196.515381642208</v>
      </c>
    </row>
    <row r="17" spans="2:23" x14ac:dyDescent="0.75">
      <c r="B17" s="15">
        <v>9</v>
      </c>
      <c r="C17" s="20">
        <f>$C$8*EXP(Data!N13*'cat risk'!B17)</f>
        <v>110079.20872612453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EXP(-Data!N13*'cat risk'!E17)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20">
        <f>K17*H17*(G16*(1-Data!$K$8)^E16)*((1-F17)*Data!$K$8)</f>
        <v>3626.0346790375056</v>
      </c>
      <c r="M17" s="23"/>
      <c r="N17" s="20">
        <f>MAX(Data!$K$3*Data!$H$3,'cat risk'!I17)-Data!$K$4</f>
        <v>109980.00000000001</v>
      </c>
      <c r="O17" s="20">
        <f>N17*H17*(G16*(1-Data!$K$8)^E16)*(F17)</f>
        <v>396.41234434202522</v>
      </c>
      <c r="P17" s="23"/>
      <c r="Q17" s="20">
        <f>Data!$K$11*(1+Data!$K$10)^'cat risk'!E16*Data!$K$12</f>
        <v>58.582969050113277</v>
      </c>
      <c r="R17" s="20">
        <f>$Q17*$H17*($G16*(1-Data!$K$8)^$E16)</f>
        <v>13.337317912657387</v>
      </c>
      <c r="S17" s="23"/>
      <c r="T17" s="20">
        <f>C16*Data!$K$6</f>
        <v>1519.6381337613686</v>
      </c>
      <c r="U17" s="20">
        <f>$T17*$H17*($G16*(1-Data!$K$8)^$E16)</f>
        <v>345.96909700556654</v>
      </c>
      <c r="V17" s="22"/>
      <c r="W17" s="20">
        <f t="shared" si="0"/>
        <v>4381.7534382977547</v>
      </c>
    </row>
    <row r="18" spans="2:23" x14ac:dyDescent="0.75">
      <c r="B18" s="15">
        <v>10</v>
      </c>
      <c r="C18" s="20">
        <f>$C$8*EXP(Data!N14*'cat risk'!B18)</f>
        <v>111728.3172950561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EXP(-Data!N14*'cat risk'!E18)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20">
        <f>K18*H18*(G17*(1-Data!$K$8)^E17)*((1-F18)*Data!$K$8)</f>
        <v>3028.4437102840975</v>
      </c>
      <c r="M18" s="23"/>
      <c r="N18" s="20">
        <f>MAX(Data!$K$3*Data!$H$3,'cat risk'!I18)-Data!$K$4</f>
        <v>109980.00000000001</v>
      </c>
      <c r="O18" s="20">
        <f>N18*H18*(G17*(1-Data!$K$8)^E17)*(F18)</f>
        <v>359.85702957399019</v>
      </c>
      <c r="P18" s="23"/>
      <c r="Q18" s="20">
        <f>Data!$K$11*(1+Data!$K$10)^'cat risk'!E17*Data!$K$12</f>
        <v>59.754628431115542</v>
      </c>
      <c r="R18" s="20">
        <f>$Q18*$H18*($G17*(1-Data!$K$8)^$E17)</f>
        <v>11.212407492171884</v>
      </c>
      <c r="S18" s="23"/>
      <c r="T18" s="20">
        <f>C17*Data!$K$6</f>
        <v>1541.1089221657435</v>
      </c>
      <c r="U18" s="20">
        <f>$T18*$H18*($G17*(1-Data!$K$8)^$E17)</f>
        <v>289.1749422400606</v>
      </c>
      <c r="V18" s="22"/>
      <c r="W18" s="20">
        <f t="shared" si="0"/>
        <v>3688.68808959032</v>
      </c>
    </row>
    <row r="19" spans="2:23" x14ac:dyDescent="0.75">
      <c r="B19" s="15">
        <v>11</v>
      </c>
      <c r="C19" s="20">
        <f>$C$8*EXP(Data!N15*'cat risk'!B19)</f>
        <v>113397.59534384529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EXP(-Data!N15*'cat risk'!E19)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20">
        <f>K19*H19*(G18*(1-Data!$K$8)^E18)*((1-F19)*Data!$K$8)</f>
        <v>2524.2353310938292</v>
      </c>
      <c r="M19" s="23"/>
      <c r="N19" s="20">
        <f>MAX(Data!$K$3*Data!$H$3,'cat risk'!I19)-Data!$K$4</f>
        <v>111143.02899794416</v>
      </c>
      <c r="O19" s="20">
        <f>N19*H19*(G18*(1-Data!$K$8)^E18)*(F19)</f>
        <v>332.97782158197691</v>
      </c>
      <c r="P19" s="23"/>
      <c r="Q19" s="20">
        <f>Data!$K$11*(1+Data!$K$10)^'cat risk'!E18*Data!$K$12</f>
        <v>60.949720999737856</v>
      </c>
      <c r="R19" s="20">
        <f>$Q19*$H19*($G18*(1-Data!$K$8)^$E18)</f>
        <v>9.411037074244831</v>
      </c>
      <c r="S19" s="23"/>
      <c r="T19" s="20">
        <f>C18*Data!$K$6</f>
        <v>1564.1964421307855</v>
      </c>
      <c r="U19" s="20">
        <f>$T19*$H19*($G18*(1-Data!$K$8)^$E18)</f>
        <v>241.52220005007067</v>
      </c>
      <c r="V19" s="22"/>
      <c r="W19" s="20">
        <f t="shared" si="0"/>
        <v>3108.1463898001216</v>
      </c>
    </row>
    <row r="20" spans="2:23" x14ac:dyDescent="0.75">
      <c r="B20" s="15">
        <v>12</v>
      </c>
      <c r="C20" s="20">
        <f>$C$8*EXP(Data!N16*'cat risk'!B20)</f>
        <v>115073.4000410945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EXP(-Data!N16*'cat risk'!E20)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20">
        <f>K20*H20*(G19*(1-Data!$K$8)^E19)*((1-F20)*Data!$K$8)</f>
        <v>2100.2244873447316</v>
      </c>
      <c r="M20" s="23"/>
      <c r="N20" s="20">
        <f>MAX(Data!$K$3*Data!$H$3,'cat risk'!I20)-Data!$K$4</f>
        <v>112785.4481342176</v>
      </c>
      <c r="O20" s="20">
        <f>N20*H20*(G19*(1-Data!$K$8)^E19)*(F20)</f>
        <v>302.49509438175733</v>
      </c>
      <c r="P20" s="23"/>
      <c r="Q20" s="20">
        <f>Data!$K$11*(1+Data!$K$10)^'cat risk'!E19*Data!$K$12</f>
        <v>62.1687154197326</v>
      </c>
      <c r="R20" s="20">
        <f>$Q20*$H20*($G19*(1-Data!$K$8)^$E19)</f>
        <v>7.8845347748718222</v>
      </c>
      <c r="S20" s="23"/>
      <c r="T20" s="20">
        <f>C19*Data!$K$6</f>
        <v>1587.5663348138339</v>
      </c>
      <c r="U20" s="20">
        <f>$T20*$H20*($G19*(1-Data!$K$8)^$E19)</f>
        <v>201.3427797204003</v>
      </c>
      <c r="V20" s="22"/>
      <c r="W20" s="20">
        <f t="shared" si="0"/>
        <v>2611.9468962217616</v>
      </c>
    </row>
    <row r="21" spans="2:23" x14ac:dyDescent="0.75">
      <c r="B21" s="15">
        <v>13</v>
      </c>
      <c r="C21" s="20">
        <f>$C$8*EXP(Data!N17*'cat risk'!B21)</f>
        <v>116776.30550507811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EXP(-Data!N17*'cat risk'!E21)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20">
        <f>K21*H21*(G20*(1-Data!$K$8)^E20)*((1-F21)*Data!$K$8)</f>
        <v>1743.6018101933062</v>
      </c>
      <c r="M21" s="23"/>
      <c r="N21" s="20">
        <f>MAX(Data!$K$3*Data!$H$3,'cat risk'!I21)-Data!$K$4</f>
        <v>114454.83750425623</v>
      </c>
      <c r="O21" s="20">
        <f>N21*H21*(G20*(1-Data!$K$8)^E20)*(F21)</f>
        <v>277.29558886784167</v>
      </c>
      <c r="P21" s="23"/>
      <c r="Q21" s="20">
        <f>Data!$K$11*(1+Data!$K$10)^'cat risk'!E20*Data!$K$12</f>
        <v>63.412089728127263</v>
      </c>
      <c r="R21" s="20">
        <f>$Q21*$H21*($G20*(1-Data!$K$8)^$E20)</f>
        <v>6.5937517843093127</v>
      </c>
      <c r="S21" s="23"/>
      <c r="T21" s="20">
        <f>C20*Data!$K$6</f>
        <v>1611.027600575323</v>
      </c>
      <c r="U21" s="20">
        <f>$T21*$H21*($G20*(1-Data!$K$8)^$E20)</f>
        <v>167.51878327001802</v>
      </c>
      <c r="V21" s="22"/>
      <c r="W21" s="20">
        <f t="shared" si="0"/>
        <v>2195.0099341154751</v>
      </c>
    </row>
    <row r="22" spans="2:23" x14ac:dyDescent="0.75">
      <c r="B22" s="15">
        <v>14</v>
      </c>
      <c r="C22" s="20">
        <f>$C$8*EXP(Data!N18*'cat risk'!B22)</f>
        <v>118426.22418666462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EXP(-Data!N18*'cat risk'!E22)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20">
        <f>K22*H22*(G21*(1-Data!$K$8)^E21)*((1-F22)*Data!$K$8)</f>
        <v>1444.4464519639664</v>
      </c>
      <c r="M22" s="23"/>
      <c r="N22" s="20">
        <f>MAX(Data!$K$3*Data!$H$3,'cat risk'!I22)-Data!$K$4</f>
        <v>116070.69807656306</v>
      </c>
      <c r="O22" s="20">
        <f>N22*H22*(G21*(1-Data!$K$8)^E21)*(F22)</f>
        <v>250.66012901836257</v>
      </c>
      <c r="P22" s="23"/>
      <c r="Q22" s="20">
        <f>Data!$K$11*(1+Data!$K$10)^'cat risk'!E21*Data!$K$12</f>
        <v>64.680331522689798</v>
      </c>
      <c r="R22" s="20">
        <f>$Q22*$H22*($G21*(1-Data!$K$8)^$E21)</f>
        <v>5.5057933945990687</v>
      </c>
      <c r="S22" s="23"/>
      <c r="T22" s="20">
        <f>C21*Data!$K$6</f>
        <v>1634.8682770710936</v>
      </c>
      <c r="U22" s="20">
        <f>$T22*$H22*($G21*(1-Data!$K$8)^$E21)</f>
        <v>139.16513334165515</v>
      </c>
      <c r="V22" s="22"/>
      <c r="W22" s="20">
        <f t="shared" si="0"/>
        <v>1839.7775077185831</v>
      </c>
    </row>
    <row r="23" spans="2:23" x14ac:dyDescent="0.75">
      <c r="B23" s="15">
        <v>15</v>
      </c>
      <c r="C23" s="20">
        <f>$C$8*EXP(Data!N19*'cat risk'!B23)</f>
        <v>119865.48862989599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EXP(-Data!N19*'cat risk'!E23)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20">
        <f>K23*H23*(G22*(1-Data!$K$8)^E22)*((1-F23)*Data!$K$8)</f>
        <v>1193.0915257308475</v>
      </c>
      <c r="M23" s="23"/>
      <c r="N23" s="20">
        <f>MAX(Data!$K$3*Data!$H$3,'cat risk'!I23)-Data!$K$4</f>
        <v>117476.9641461627</v>
      </c>
      <c r="O23" s="20">
        <f>N23*H23*(G22*(1-Data!$K$8)^E22)*(F23)</f>
        <v>230.94851457316216</v>
      </c>
      <c r="P23" s="23"/>
      <c r="Q23" s="20">
        <f>Data!$K$11*(1+Data!$K$10)^'cat risk'!E22*Data!$K$12</f>
        <v>65.973938153143607</v>
      </c>
      <c r="R23" s="20">
        <f>$Q23*$H23*($G22*(1-Data!$K$8)^$E22)</f>
        <v>4.5965569829435626</v>
      </c>
      <c r="S23" s="23"/>
      <c r="T23" s="20">
        <f>C22*Data!$K$6</f>
        <v>1657.9671386133048</v>
      </c>
      <c r="U23" s="20">
        <f>$T23*$H23*($G22*(1-Data!$K$8)^$E22)</f>
        <v>115.51440829246316</v>
      </c>
      <c r="V23" s="22"/>
      <c r="W23" s="20">
        <f t="shared" si="0"/>
        <v>1544.1510055794165</v>
      </c>
    </row>
    <row r="24" spans="2:23" x14ac:dyDescent="0.75">
      <c r="B24" s="15">
        <v>16</v>
      </c>
      <c r="C24" s="20">
        <f>$C$8*EXP(Data!N20*'cat risk'!B24)</f>
        <v>121031.42056620093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EXP(-Data!N20*'cat risk'!E24)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20">
        <f>K24*H24*(G23*(1-Data!$K$8)^E23)*((1-F24)*Data!$K$8)</f>
        <v>982.14157560156877</v>
      </c>
      <c r="M24" s="23"/>
      <c r="N24" s="20">
        <f>MAX(Data!$K$3*Data!$H$3,'cat risk'!I24)-Data!$K$4</f>
        <v>118614.11079360302</v>
      </c>
      <c r="O24" s="20">
        <f>N24*H24*(G23*(1-Data!$K$8)^E23)*(F24)</f>
        <v>212.92502710787599</v>
      </c>
      <c r="P24" s="23"/>
      <c r="Q24" s="20">
        <f>Data!$K$11*(1+Data!$K$10)^'cat risk'!E23*Data!$K$12</f>
        <v>67.293416916206468</v>
      </c>
      <c r="R24" s="20">
        <f>$Q24*$H24*($G23*(1-Data!$K$8)^$E23)</f>
        <v>3.8354588086404031</v>
      </c>
      <c r="S24" s="23"/>
      <c r="T24" s="20">
        <f>C23*Data!$K$6</f>
        <v>1678.116840818544</v>
      </c>
      <c r="U24" s="20">
        <f>$T24*$H24*($G23*(1-Data!$K$8)^$E23)</f>
        <v>95.646027709661539</v>
      </c>
      <c r="V24" s="22"/>
      <c r="W24" s="20">
        <f t="shared" si="0"/>
        <v>1294.5480892277467</v>
      </c>
    </row>
    <row r="25" spans="2:23" x14ac:dyDescent="0.75">
      <c r="B25" s="15">
        <v>17</v>
      </c>
      <c r="C25" s="20">
        <f>$C$8*EXP(Data!N21*'cat risk'!B25)</f>
        <v>122047.48447157405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EXP(-Data!N21*'cat risk'!E25)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20">
        <f>K25*H25*(G24*(1-Data!$K$8)^E24)*((1-F25)*Data!$K$8)</f>
        <v>805.02893192711997</v>
      </c>
      <c r="M25" s="23"/>
      <c r="N25" s="20">
        <f>MAX(Data!$K$3*Data!$H$3,'cat risk'!I25)-Data!$K$4</f>
        <v>119606.85606025002</v>
      </c>
      <c r="O25" s="20">
        <f>N25*H25*(G24*(1-Data!$K$8)^E24)*(F25)</f>
        <v>198.46861817246364</v>
      </c>
      <c r="P25" s="23"/>
      <c r="Q25" s="20">
        <f>Data!$K$11*(1+Data!$K$10)^'cat risk'!E24*Data!$K$12</f>
        <v>68.639285254530606</v>
      </c>
      <c r="R25" s="20">
        <f>$Q25*$H25*($G24*(1-Data!$K$8)^$E24)</f>
        <v>3.1937980814050526</v>
      </c>
      <c r="S25" s="23"/>
      <c r="T25" s="20">
        <f>C24*Data!$K$6</f>
        <v>1694.4398879268131</v>
      </c>
      <c r="U25" s="20">
        <f>$T25*$H25*($G24*(1-Data!$K$8)^$E24)</f>
        <v>78.842587638390995</v>
      </c>
      <c r="V25" s="22"/>
      <c r="W25" s="20">
        <f t="shared" si="0"/>
        <v>1085.5339358193796</v>
      </c>
    </row>
    <row r="26" spans="2:23" x14ac:dyDescent="0.75">
      <c r="B26" s="15">
        <v>18</v>
      </c>
      <c r="C26" s="20">
        <f>$C$8*EXP(Data!N22*'cat risk'!B26)</f>
        <v>123064.69417332573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EXP(-Data!N22*'cat risk'!E26)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20">
        <f>K26*H26*(G25*(1-Data!$K$8)^E25)*((1-F26)*Data!$K$8)</f>
        <v>657.2960270609484</v>
      </c>
      <c r="M26" s="23"/>
      <c r="N26" s="20">
        <f>MAX(Data!$K$3*Data!$H$3,'cat risk'!I26)-Data!$K$4</f>
        <v>120603.74448389425</v>
      </c>
      <c r="O26" s="20">
        <f>N26*H26*(G25*(1-Data!$K$8)^E25)*(F26)</f>
        <v>179.85786602389604</v>
      </c>
      <c r="P26" s="23"/>
      <c r="Q26" s="20">
        <f>Data!$K$11*(1+Data!$K$10)^'cat risk'!E25*Data!$K$12</f>
        <v>70.012070959621227</v>
      </c>
      <c r="R26" s="20">
        <f>$Q26*$H26*($G25*(1-Data!$K$8)^$E25)</f>
        <v>2.6482035332533469</v>
      </c>
      <c r="S26" s="23"/>
      <c r="T26" s="20">
        <f>C25*Data!$K$6</f>
        <v>1708.6647826020367</v>
      </c>
      <c r="U26" s="20">
        <f>$T26*$H26*($G25*(1-Data!$K$8)^$E25)</f>
        <v>64.630170946406693</v>
      </c>
      <c r="V26" s="22"/>
      <c r="W26" s="20">
        <f t="shared" si="0"/>
        <v>904.4322675645044</v>
      </c>
    </row>
    <row r="27" spans="2:23" x14ac:dyDescent="0.75">
      <c r="B27" s="15">
        <v>19</v>
      </c>
      <c r="C27" s="20">
        <f>$C$8*EXP(Data!N23*'cat risk'!B27)</f>
        <v>124255.5318588017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EXP(-Data!N23*'cat risk'!E27)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20">
        <f>K27*H27*(G26*(1-Data!$K$8)^E26)*((1-F27)*Data!$K$8)</f>
        <v>533.88919439026449</v>
      </c>
      <c r="M27" s="23"/>
      <c r="N27" s="20">
        <f>MAX(Data!$K$3*Data!$H$3,'cat risk'!I27)-Data!$K$4</f>
        <v>121774.23797533519</v>
      </c>
      <c r="O27" s="20">
        <f>N27*H27*(G26*(1-Data!$K$8)^E26)*(F27)</f>
        <v>165.52230618957648</v>
      </c>
      <c r="P27" s="23"/>
      <c r="Q27" s="20">
        <f>Data!$K$11*(1+Data!$K$10)^'cat risk'!E26*Data!$K$12</f>
        <v>71.412312378813638</v>
      </c>
      <c r="R27" s="20">
        <f>$Q27*$H27*($G26*(1-Data!$K$8)^$E26)</f>
        <v>2.1843323724373134</v>
      </c>
      <c r="S27" s="23"/>
      <c r="T27" s="20">
        <f>C26*Data!$K$6</f>
        <v>1722.9057184265603</v>
      </c>
      <c r="U27" s="20">
        <f>$T27*$H27*($G26*(1-Data!$K$8)^$E26)</f>
        <v>52.699578126712701</v>
      </c>
      <c r="V27" s="22"/>
      <c r="W27" s="20">
        <f t="shared" si="0"/>
        <v>754.29541107899104</v>
      </c>
    </row>
    <row r="28" spans="2:23" x14ac:dyDescent="0.75">
      <c r="B28" s="15">
        <v>20</v>
      </c>
      <c r="C28" s="20">
        <f>$C$8*EXP(Data!N24*'cat risk'!B28)</f>
        <v>125709.05957472016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EXP(-Data!N24*'cat risk'!E28)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20">
        <f>K28*H28*(G27*(1-Data!$K$8)^E27)*((1-F28)*Data!$K$8)</f>
        <v>431.46942478271154</v>
      </c>
      <c r="M28" s="23"/>
      <c r="N28" s="20">
        <f>MAX(Data!$K$3*Data!$H$3,'cat risk'!I28)-Data!$K$4</f>
        <v>123203.94893754412</v>
      </c>
      <c r="O28" s="20">
        <f>N28*H28*(G27*(1-Data!$K$8)^E27)*(F28)</f>
        <v>149.03719000320817</v>
      </c>
      <c r="P28" s="23"/>
      <c r="Q28" s="20">
        <f>Data!$K$11*(1+Data!$K$10)^'cat risk'!E27*Data!$K$12</f>
        <v>72.840558626389907</v>
      </c>
      <c r="R28" s="20">
        <f>$Q28*$H28*($G27*(1-Data!$K$8)^$E27)</f>
        <v>1.7887341568101058</v>
      </c>
      <c r="S28" s="23"/>
      <c r="T28" s="20">
        <f>C27*Data!$K$6</f>
        <v>1739.5774460232237</v>
      </c>
      <c r="U28" s="20">
        <f>$T28*$H28*($G27*(1-Data!$K$8)^$E27)</f>
        <v>42.71853009912104</v>
      </c>
      <c r="V28" s="22"/>
      <c r="W28" s="20">
        <f t="shared" si="0"/>
        <v>625.01387904185083</v>
      </c>
    </row>
    <row r="29" spans="2:23" x14ac:dyDescent="0.75">
      <c r="B29" s="15">
        <v>21</v>
      </c>
      <c r="C29" s="20">
        <f>$C$8*EXP(Data!N25*'cat risk'!B29)</f>
        <v>127583.38948511923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EXP(-Data!N25*'cat risk'!E29)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20">
        <f>K29*H29*(G28*(1-Data!$K$8)^E28)*((1-F29)*Data!$K$8)</f>
        <v>346.75399802694943</v>
      </c>
      <c r="M29" s="23"/>
      <c r="N29" s="20">
        <f>MAX(Data!$K$3*Data!$H$3,'cat risk'!I29)-Data!$K$4</f>
        <v>125049.20829362483</v>
      </c>
      <c r="O29" s="20">
        <f>N29*H29*(G28*(1-Data!$K$8)^E28)*(F29)</f>
        <v>133.46200594469124</v>
      </c>
      <c r="P29" s="23"/>
      <c r="Q29" s="20">
        <f>Data!$K$11*(1+Data!$K$10)^'cat risk'!E28*Data!$K$12</f>
        <v>74.297369798917714</v>
      </c>
      <c r="R29" s="20">
        <f>$Q29*$H29*($G28*(1-Data!$K$8)^$E28)</f>
        <v>1.4527769664425461</v>
      </c>
      <c r="S29" s="23"/>
      <c r="T29" s="20">
        <f>C28*Data!$K$6</f>
        <v>1759.9268340460821</v>
      </c>
      <c r="U29" s="20">
        <f>$T29*$H29*($G28*(1-Data!$K$8)^$E28)</f>
        <v>34.412808610131258</v>
      </c>
      <c r="V29" s="22"/>
      <c r="W29" s="20">
        <f t="shared" si="0"/>
        <v>516.08158954821454</v>
      </c>
    </row>
    <row r="30" spans="2:23" x14ac:dyDescent="0.75">
      <c r="B30" s="15">
        <v>22</v>
      </c>
      <c r="C30" s="20">
        <f>$C$8*EXP(Data!N26*'cat risk'!B30)</f>
        <v>129812.38113746731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EXP(-Data!N26*'cat risk'!E30)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20">
        <f>K30*H30*(G29*(1-Data!$K$8)^E29)*((1-F30)*Data!$K$8)</f>
        <v>276.98795325375727</v>
      </c>
      <c r="M30" s="23"/>
      <c r="N30" s="20">
        <f>MAX(Data!$K$3*Data!$H$3,'cat risk'!I30)-Data!$K$4</f>
        <v>127240.71334776492</v>
      </c>
      <c r="O30" s="20">
        <f>N30*H30*(G29*(1-Data!$K$8)^E29)*(F30)</f>
        <v>118.45779353607759</v>
      </c>
      <c r="P30" s="23"/>
      <c r="Q30" s="20">
        <f>Data!$K$11*(1+Data!$K$10)^'cat risk'!E29*Data!$K$12</f>
        <v>75.783317194896057</v>
      </c>
      <c r="R30" s="20">
        <f>$Q30*$H30*($G29*(1-Data!$K$8)^$E29)</f>
        <v>1.1703609646180761</v>
      </c>
      <c r="S30" s="23"/>
      <c r="T30" s="20">
        <f>C29*Data!$K$6</f>
        <v>1786.1674527916693</v>
      </c>
      <c r="U30" s="20">
        <f>$T30*$H30*($G29*(1-Data!$K$8)^$E29)</f>
        <v>27.584707827482919</v>
      </c>
      <c r="V30" s="22"/>
      <c r="W30" s="20">
        <f t="shared" si="0"/>
        <v>424.20081558193584</v>
      </c>
    </row>
    <row r="31" spans="2:23" x14ac:dyDescent="0.75">
      <c r="B31" s="15">
        <v>23</v>
      </c>
      <c r="C31" s="20">
        <f>$C$8*EXP(Data!N27*'cat risk'!B31)</f>
        <v>132392.39284358456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EXP(-Data!N27*'cat risk'!E31)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20">
        <f>K31*H31*(G30*(1-Data!$K$8)^E30)*((1-F31)*Data!$K$8)</f>
        <v>219.98800857881994</v>
      </c>
      <c r="M31" s="23"/>
      <c r="N31" s="20">
        <f>MAX(Data!$K$3*Data!$H$3,'cat risk'!I31)-Data!$K$4</f>
        <v>129776.14522083521</v>
      </c>
      <c r="O31" s="20">
        <f>N31*H31*(G30*(1-Data!$K$8)^E30)*(F31)</f>
        <v>103.09068274307717</v>
      </c>
      <c r="P31" s="23"/>
      <c r="Q31" s="20">
        <f>Data!$K$11*(1+Data!$K$10)^'cat risk'!E30*Data!$K$12</f>
        <v>77.298983538793991</v>
      </c>
      <c r="R31" s="20">
        <f>$Q31*$H31*($G30*(1-Data!$K$8)^$E30)</f>
        <v>0.93495201146300799</v>
      </c>
      <c r="S31" s="23"/>
      <c r="T31" s="20">
        <f>C30*Data!$K$6</f>
        <v>1817.3733359245423</v>
      </c>
      <c r="U31" s="20">
        <f>$T31*$H31*($G30*(1-Data!$K$8)^$E30)</f>
        <v>21.981619656733688</v>
      </c>
      <c r="V31" s="22"/>
      <c r="W31" s="20">
        <f t="shared" si="0"/>
        <v>345.99526299009381</v>
      </c>
    </row>
    <row r="32" spans="2:23" x14ac:dyDescent="0.75">
      <c r="B32" s="15">
        <v>24</v>
      </c>
      <c r="C32" s="20">
        <f>$C$8*EXP(Data!N28*'cat risk'!B32)</f>
        <v>135277.76538194629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EXP(-Data!N28*'cat risk'!E32)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20">
        <f>K32*H32*(G31*(1-Data!$K$8)^E31)*((1-F32)*Data!$K$8)</f>
        <v>173.27526121765521</v>
      </c>
      <c r="M32" s="23"/>
      <c r="N32" s="20">
        <f>MAX(Data!$K$3*Data!$H$3,'cat risk'!I32)-Data!$K$4</f>
        <v>132609.91752507459</v>
      </c>
      <c r="O32" s="20">
        <f>N32*H32*(G31*(1-Data!$K$8)^E31)*(F32)</f>
        <v>91.481245989829532</v>
      </c>
      <c r="P32" s="23"/>
      <c r="Q32" s="20">
        <f>Data!$K$11*(1+Data!$K$10)^'cat risk'!E31*Data!$K$12</f>
        <v>78.844963209569855</v>
      </c>
      <c r="R32" s="20">
        <f>$Q32*$H32*($G31*(1-Data!$K$8)^$E31)</f>
        <v>0.74121187877781225</v>
      </c>
      <c r="S32" s="23"/>
      <c r="T32" s="20">
        <f>C31*Data!$K$6</f>
        <v>1853.4934998101839</v>
      </c>
      <c r="U32" s="20">
        <f>$T32*$H32*($G31*(1-Data!$K$8)^$E31)</f>
        <v>17.424466235657007</v>
      </c>
      <c r="V32" s="22"/>
      <c r="W32" s="20">
        <f t="shared" si="0"/>
        <v>282.92218532191953</v>
      </c>
    </row>
    <row r="33" spans="2:23" x14ac:dyDescent="0.75">
      <c r="B33" s="15">
        <v>25</v>
      </c>
      <c r="C33" s="20">
        <f>$C$8*EXP(Data!N29*'cat risk'!B33)</f>
        <v>138472.28343364102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EXP(-Data!N29*'cat risk'!E33)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20">
        <f>K33*H33*(G32*(1-Data!$K$8)^E32)*((1-F33)*Data!$K$8)</f>
        <v>135.02384688701622</v>
      </c>
      <c r="M33" s="23"/>
      <c r="N33" s="20">
        <f>MAX(Data!$K$3*Data!$H$3,'cat risk'!I33)-Data!$K$4</f>
        <v>135746.7281260021</v>
      </c>
      <c r="O33" s="20">
        <f>N33*H33*(G32*(1-Data!$K$8)^E32)*(F33)</f>
        <v>81.772451006954341</v>
      </c>
      <c r="P33" s="23"/>
      <c r="Q33" s="20">
        <f>Data!$K$11*(1+Data!$K$10)^'cat risk'!E32*Data!$K$12</f>
        <v>80.421862473761252</v>
      </c>
      <c r="R33" s="20">
        <f>$Q33*$H33*($G32*(1-Data!$K$8)^$E32)</f>
        <v>0.58173596912943004</v>
      </c>
      <c r="S33" s="23"/>
      <c r="T33" s="20">
        <f>C32*Data!$K$6</f>
        <v>1893.8887153472481</v>
      </c>
      <c r="U33" s="20">
        <f>$T33*$H33*($G32*(1-Data!$K$8)^$E32)</f>
        <v>13.699548274019167</v>
      </c>
      <c r="V33" s="22"/>
      <c r="W33" s="20">
        <f t="shared" si="0"/>
        <v>231.07758213711918</v>
      </c>
    </row>
    <row r="34" spans="2:23" x14ac:dyDescent="0.75">
      <c r="B34" s="15">
        <v>26</v>
      </c>
      <c r="C34" s="20">
        <f>$C$8*EXP(Data!N30*'cat risk'!B34)</f>
        <v>141937.97777979009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EXP(-Data!N30*'cat risk'!E34)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20">
        <f>K34*H34*(G33*(1-Data!$K$8)^E33)*((1-F34)*Data!$K$8)</f>
        <v>103.7462154844773</v>
      </c>
      <c r="M34" s="23"/>
      <c r="N34" s="20">
        <f>MAX(Data!$K$3*Data!$H$3,'cat risk'!I34)-Data!$K$4</f>
        <v>139148.53211111727</v>
      </c>
      <c r="O34" s="20">
        <f>N34*H34*(G33*(1-Data!$K$8)^E33)*(F34)</f>
        <v>73.517478576376817</v>
      </c>
      <c r="P34" s="23"/>
      <c r="Q34" s="20">
        <f>Data!$K$11*(1+Data!$K$10)^'cat risk'!E33*Data!$K$12</f>
        <v>82.030299723236482</v>
      </c>
      <c r="R34" s="20">
        <f>$Q34*$H34*($G33*(1-Data!$K$8)^$E33)</f>
        <v>0.4510734981715972</v>
      </c>
      <c r="S34" s="23"/>
      <c r="T34" s="20">
        <f>C33*Data!$K$6</f>
        <v>1938.6119680709742</v>
      </c>
      <c r="U34" s="20">
        <f>$T34*$H34*($G33*(1-Data!$K$8)^$E33)</f>
        <v>10.660164414679011</v>
      </c>
      <c r="V34" s="22"/>
      <c r="W34" s="20">
        <f t="shared" si="0"/>
        <v>188.37493197370472</v>
      </c>
    </row>
    <row r="35" spans="2:23" x14ac:dyDescent="0.75">
      <c r="B35" s="15">
        <v>27</v>
      </c>
      <c r="C35" s="20">
        <f>$C$8*EXP(Data!N31*'cat risk'!B35)</f>
        <v>145660.73517676292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EXP(-Data!N31*'cat risk'!E35)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20">
        <f>K35*H35*(G34*(1-Data!$K$8)^E34)*((1-F35)*Data!$K$8)</f>
        <v>78.553287166747566</v>
      </c>
      <c r="M35" s="23"/>
      <c r="N35" s="20">
        <f>MAX(Data!$K$3*Data!$H$3,'cat risk'!I35)-Data!$K$4</f>
        <v>142801.9756211671</v>
      </c>
      <c r="O35" s="20">
        <f>N35*H35*(G34*(1-Data!$K$8)^E34)*(F35)</f>
        <v>64.222481454340652</v>
      </c>
      <c r="P35" s="23"/>
      <c r="Q35" s="20">
        <f>Data!$K$11*(1+Data!$K$10)^'cat risk'!E34*Data!$K$12</f>
        <v>83.670905717701217</v>
      </c>
      <c r="R35" s="20">
        <f>$Q35*$H35*($G34*(1-Data!$K$8)^$E34)</f>
        <v>0.3444703819564045</v>
      </c>
      <c r="S35" s="23"/>
      <c r="T35" s="20">
        <f>C34*Data!$K$6</f>
        <v>1987.1316889170614</v>
      </c>
      <c r="U35" s="20">
        <f>$T35*$H35*($G34*(1-Data!$K$8)^$E34)</f>
        <v>8.1809561640029251</v>
      </c>
      <c r="V35" s="22"/>
      <c r="W35" s="20">
        <f t="shared" si="0"/>
        <v>151.30119516704755</v>
      </c>
    </row>
    <row r="36" spans="2:23" x14ac:dyDescent="0.75">
      <c r="B36" s="15">
        <v>28</v>
      </c>
      <c r="C36" s="20">
        <f>$C$8*EXP(Data!N32*'cat risk'!B36)</f>
        <v>149660.61829700484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EXP(-Data!N32*'cat risk'!E36)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20">
        <f>K36*H36*(G35*(1-Data!$K$8)^E35)*((1-F36)*Data!$K$8)</f>
        <v>58.512235022835192</v>
      </c>
      <c r="M36" s="23"/>
      <c r="N36" s="20">
        <f>MAX(Data!$K$3*Data!$H$3,'cat risk'!I36)-Data!$K$4</f>
        <v>146727.40359346959</v>
      </c>
      <c r="O36" s="20">
        <f>N36*H36*(G35*(1-Data!$K$8)^E35)*(F36)</f>
        <v>55.066005569070519</v>
      </c>
      <c r="P36" s="23"/>
      <c r="Q36" s="20">
        <f>Data!$K$11*(1+Data!$K$10)^'cat risk'!E35*Data!$K$12</f>
        <v>85.344323832055224</v>
      </c>
      <c r="R36" s="20">
        <f>$Q36*$H36*($G35*(1-Data!$K$8)^$E35)</f>
        <v>0.25892108522680335</v>
      </c>
      <c r="S36" s="23"/>
      <c r="T36" s="20">
        <f>C35*Data!$K$6</f>
        <v>2039.2502924746809</v>
      </c>
      <c r="U36" s="20">
        <f>$T36*$H36*($G35*(1-Data!$K$8)^$E35)</f>
        <v>6.1867605842850741</v>
      </c>
      <c r="V36" s="22"/>
      <c r="W36" s="20">
        <f t="shared" si="0"/>
        <v>120.02392226141758</v>
      </c>
    </row>
    <row r="37" spans="2:23" x14ac:dyDescent="0.75">
      <c r="B37" s="15">
        <v>29</v>
      </c>
      <c r="C37" s="20">
        <f>$C$8*EXP(Data!N33*'cat risk'!B37)</f>
        <v>153870.32249936444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EXP(-Data!N33*'cat risk'!E37)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20">
        <f>K37*H37*(G36*(1-Data!$K$8)^E36)*((1-F37)*Data!$K$8)</f>
        <v>42.796407312188933</v>
      </c>
      <c r="M37" s="23"/>
      <c r="N37" s="20">
        <f>MAX(Data!$K$3*Data!$H$3,'cat risk'!I37)-Data!$K$4</f>
        <v>150857.11013342434</v>
      </c>
      <c r="O37" s="20">
        <f>N37*H37*(G36*(1-Data!$K$8)^E36)*(F37)</f>
        <v>46.265463878071969</v>
      </c>
      <c r="P37" s="23"/>
      <c r="Q37" s="20">
        <f>Data!$K$11*(1+Data!$K$10)^'cat risk'!E36*Data!$K$12</f>
        <v>87.051210308696341</v>
      </c>
      <c r="R37" s="20">
        <f>$Q37*$H37*($G36*(1-Data!$K$8)^$E36)</f>
        <v>0.19133331947795396</v>
      </c>
      <c r="S37" s="23"/>
      <c r="T37" s="20">
        <f>C36*Data!$K$6</f>
        <v>2095.2486561580677</v>
      </c>
      <c r="U37" s="20">
        <f>$T37*$H37*($G36*(1-Data!$K$8)^$E36)</f>
        <v>4.6052304051009454</v>
      </c>
      <c r="V37" s="22"/>
      <c r="W37" s="20">
        <f t="shared" si="0"/>
        <v>93.858434914839791</v>
      </c>
    </row>
    <row r="38" spans="2:23" x14ac:dyDescent="0.75">
      <c r="B38" s="15">
        <v>30</v>
      </c>
      <c r="C38" s="20">
        <f>$C$8*EXP(Data!N34*'cat risk'!B38)</f>
        <v>158391.55855160882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EXP(-Data!N34*'cat risk'!E38)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20">
        <f>K38*H38*(G37*(1-Data!$K$8)^E37)*((1-F38)*Data!$K$8)</f>
        <v>30.679922258794488</v>
      </c>
      <c r="M38" s="23"/>
      <c r="N38" s="20">
        <f>MAX(Data!$K$3*Data!$H$3,'cat risk'!I38)-Data!$K$4</f>
        <v>155294.15210162153</v>
      </c>
      <c r="O38" s="20">
        <f>N38*H38*(G37*(1-Data!$K$8)^E37)*(F38)</f>
        <v>37.98694426546713</v>
      </c>
      <c r="P38" s="23"/>
      <c r="Q38" s="20">
        <f>Data!$K$11*(1+Data!$K$10)^'cat risk'!E37*Data!$K$12</f>
        <v>88.792234514870259</v>
      </c>
      <c r="R38" s="20">
        <f>$Q38*$H38*($G37*(1-Data!$K$8)^$E37)</f>
        <v>0.13866504986165715</v>
      </c>
      <c r="S38" s="23"/>
      <c r="T38" s="20">
        <f>C37*Data!$K$6</f>
        <v>2154.1845149911023</v>
      </c>
      <c r="U38" s="20">
        <f>$T38*$H38*($G37*(1-Data!$K$8)^$E37)</f>
        <v>3.3641467051088259</v>
      </c>
      <c r="V38" s="22"/>
      <c r="W38" s="20">
        <f t="shared" si="0"/>
        <v>72.169678279232102</v>
      </c>
    </row>
    <row r="39" spans="2:23" x14ac:dyDescent="0.75">
      <c r="B39" s="15">
        <v>31</v>
      </c>
      <c r="C39" s="20">
        <f>$C$8*EXP(Data!N35*'cat risk'!B39)</f>
        <v>163097.82692897582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EXP(-Data!N35*'cat risk'!E39)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20">
        <f>K39*H39*(G38*(1-Data!$K$8)^E38)*((1-F39)*Data!$K$8)</f>
        <v>21.55863510822677</v>
      </c>
      <c r="M39" s="23"/>
      <c r="N39" s="20">
        <f>MAX(Data!$K$3*Data!$H$3,'cat risk'!I39)-Data!$K$4</f>
        <v>159909.99575794363</v>
      </c>
      <c r="O39" s="20">
        <f>N39*H39*(G38*(1-Data!$K$8)^E38)*(F39)</f>
        <v>30.130407104172711</v>
      </c>
      <c r="P39" s="23"/>
      <c r="Q39" s="20">
        <f>Data!$K$11*(1+Data!$K$10)^'cat risk'!E38*Data!$K$12</f>
        <v>90.568079205167678</v>
      </c>
      <c r="R39" s="20">
        <f>$Q39*$H39*($G38*(1-Data!$K$8)^$E38)</f>
        <v>9.8465895368481091E-2</v>
      </c>
      <c r="S39" s="23"/>
      <c r="T39" s="20">
        <f>C38*Data!$K$6</f>
        <v>2217.4818197225236</v>
      </c>
      <c r="U39" s="20">
        <f>$T39*$H39*($G38*(1-Data!$K$8)^$E38)</f>
        <v>2.4108530815551248</v>
      </c>
      <c r="V39" s="22"/>
      <c r="W39" s="20">
        <f t="shared" si="0"/>
        <v>54.198361189323094</v>
      </c>
    </row>
    <row r="40" spans="2:23" x14ac:dyDescent="0.75">
      <c r="B40" s="15">
        <v>32</v>
      </c>
      <c r="C40" s="20">
        <f>$C$8*EXP(Data!N36*'cat risk'!B40)</f>
        <v>168095.14964088646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EXP(-Data!N36*'cat risk'!E40)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20">
        <f>K40*H40*(G39*(1-Data!$K$8)^E39)*((1-F40)*Data!$K$8)</f>
        <v>14.804020936787886</v>
      </c>
      <c r="M40" s="23"/>
      <c r="N40" s="20">
        <f>MAX(Data!$K$3*Data!$H$3,'cat risk'!I40)-Data!$K$4</f>
        <v>164813.19310230695</v>
      </c>
      <c r="O40" s="20">
        <f>N40*H40*(G39*(1-Data!$K$8)^E39)*(F40)</f>
        <v>23.474757395202097</v>
      </c>
      <c r="P40" s="23"/>
      <c r="Q40" s="20">
        <f>Data!$K$11*(1+Data!$K$10)^'cat risk'!E39*Data!$K$12</f>
        <v>92.379440789271001</v>
      </c>
      <c r="R40" s="20">
        <f>$Q40*$H40*($G39*(1-Data!$K$8)^$E39)</f>
        <v>6.8476513230231004E-2</v>
      </c>
      <c r="S40" s="23"/>
      <c r="T40" s="20">
        <f>C39*Data!$K$6</f>
        <v>2283.3695770056615</v>
      </c>
      <c r="U40" s="20">
        <f>$T40*$H40*($G39*(1-Data!$K$8)^$E39)</f>
        <v>1.6925539461318599</v>
      </c>
      <c r="V40" s="22"/>
      <c r="W40" s="20">
        <f t="shared" si="0"/>
        <v>40.039808791352073</v>
      </c>
    </row>
    <row r="41" spans="2:23" x14ac:dyDescent="0.75">
      <c r="B41" s="15">
        <v>33</v>
      </c>
      <c r="C41" s="20">
        <f>$C$8*EXP(Data!N37*'cat risk'!B41)</f>
        <v>173344.36861859259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EXP(-Data!N37*'cat risk'!E41)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20">
        <f>K41*H41*(G40*(1-Data!$K$8)^E40)*((1-F41)*Data!$K$8)</f>
        <v>9.9389578118162412</v>
      </c>
      <c r="M41" s="23"/>
      <c r="N41" s="20">
        <f>MAX(Data!$K$3*Data!$H$3,'cat risk'!I41)-Data!$K$4</f>
        <v>169962.46562577487</v>
      </c>
      <c r="O41" s="20">
        <f>N41*H41*(G40*(1-Data!$K$8)^E40)*(F41)</f>
        <v>17.630987615584413</v>
      </c>
      <c r="P41" s="23"/>
      <c r="Q41" s="20">
        <f>Data!$K$11*(1+Data!$K$10)^'cat risk'!E40*Data!$K$12</f>
        <v>94.227029605056444</v>
      </c>
      <c r="R41" s="20">
        <f>$Q41*$H41*($G40*(1-Data!$K$8)^$E40)</f>
        <v>4.6508927972804925E-2</v>
      </c>
      <c r="S41" s="23"/>
      <c r="T41" s="20">
        <f>C40*Data!$K$6</f>
        <v>2353.3320949724107</v>
      </c>
      <c r="U41" s="20">
        <f>$T41*$H41*($G40*(1-Data!$K$8)^$E40)</f>
        <v>1.161566414222279</v>
      </c>
      <c r="V41" s="22"/>
      <c r="W41" s="20">
        <f t="shared" si="0"/>
        <v>28.778020769595738</v>
      </c>
    </row>
    <row r="42" spans="2:23" x14ac:dyDescent="0.75">
      <c r="B42" s="15">
        <v>34</v>
      </c>
      <c r="C42" s="20">
        <f>$C$8*EXP(Data!N38*'cat risk'!B42)</f>
        <v>178793.26352376863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EXP(-Data!N38*'cat risk'!E42)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20">
        <f>K42*H42*(G41*(1-Data!$K$8)^E41)*((1-F42)*Data!$K$8)</f>
        <v>6.5096106404308411</v>
      </c>
      <c r="M42" s="23"/>
      <c r="N42" s="20">
        <f>MAX(Data!$K$3*Data!$H$3,'cat risk'!I42)-Data!$K$4</f>
        <v>175306.37615139678</v>
      </c>
      <c r="O42" s="20">
        <f>N42*H42*(G41*(1-Data!$K$8)^E41)*(F42)</f>
        <v>12.923781427142771</v>
      </c>
      <c r="P42" s="23"/>
      <c r="Q42" s="20">
        <f>Data!$K$11*(1+Data!$K$10)^'cat risk'!E41*Data!$K$12</f>
        <v>96.111570197157576</v>
      </c>
      <c r="R42" s="20">
        <f>$Q42*$H42*($G41*(1-Data!$K$8)^$E41)</f>
        <v>3.0878041697690078E-2</v>
      </c>
      <c r="S42" s="23"/>
      <c r="T42" s="20">
        <f>C41*Data!$K$6</f>
        <v>2426.8211606602963</v>
      </c>
      <c r="U42" s="20">
        <f>$T42*$H42*($G41*(1-Data!$K$8)^$E41)</f>
        <v>0.77967184219326602</v>
      </c>
      <c r="V42" s="22"/>
      <c r="W42" s="20">
        <f t="shared" si="0"/>
        <v>20.243941951464571</v>
      </c>
    </row>
    <row r="43" spans="2:23" x14ac:dyDescent="0.75">
      <c r="B43" s="15">
        <v>35</v>
      </c>
      <c r="C43" s="20">
        <f>$C$8*EXP(Data!N39*'cat risk'!B43)</f>
        <v>184503.82334224999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EXP(-Data!N39*'cat risk'!E43)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20">
        <f>K43*H43*(G42*(1-Data!$K$8)^E42)*((1-F43)*Data!$K$8)</f>
        <v>4.1457764523164613</v>
      </c>
      <c r="M43" s="23"/>
      <c r="N43" s="20">
        <f>MAX(Data!$K$3*Data!$H$3,'cat risk'!I43)-Data!$K$4</f>
        <v>180907.95807177463</v>
      </c>
      <c r="O43" s="20">
        <f>N43*H43*(G42*(1-Data!$K$8)^E42)*(F43)</f>
        <v>9.2497715671087146</v>
      </c>
      <c r="P43" s="23"/>
      <c r="Q43" s="20">
        <f>Data!$K$11*(1+Data!$K$10)^'cat risk'!E42*Data!$K$12</f>
        <v>98.03380160110072</v>
      </c>
      <c r="R43" s="20">
        <f>$Q43*$H43*($G42*(1-Data!$K$8)^$E42)</f>
        <v>1.9989714570526146E-2</v>
      </c>
      <c r="S43" s="23"/>
      <c r="T43" s="20">
        <f>C42*Data!$K$6</f>
        <v>2503.1056893327609</v>
      </c>
      <c r="U43" s="20">
        <f>$T43*$H43*($G42*(1-Data!$K$8)^$E42)</f>
        <v>0.5103991424633294</v>
      </c>
      <c r="V43" s="22"/>
      <c r="W43" s="20">
        <f t="shared" si="0"/>
        <v>13.925936876459032</v>
      </c>
    </row>
    <row r="44" spans="2:23" x14ac:dyDescent="0.75">
      <c r="B44" s="15">
        <v>36</v>
      </c>
      <c r="C44" s="20">
        <f>$C$8*EXP(Data!N40*'cat risk'!B44)</f>
        <v>190484.37800634195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EXP(-Data!N40*'cat risk'!E44)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20">
        <f>K44*H44*(G43*(1-Data!$K$8)^E43)*((1-F44)*Data!$K$8)</f>
        <v>2.5553848169884095</v>
      </c>
      <c r="M44" s="23"/>
      <c r="N44" s="20">
        <f>MAX(Data!$K$3*Data!$H$3,'cat risk'!I44)-Data!$K$4</f>
        <v>186774.30153949696</v>
      </c>
      <c r="O44" s="20">
        <f>N44*H44*(G43*(1-Data!$K$8)^E43)*(F44)</f>
        <v>6.4571295506819784</v>
      </c>
      <c r="P44" s="23"/>
      <c r="Q44" s="20">
        <f>Data!$K$11*(1+Data!$K$10)^'cat risk'!E43*Data!$K$12</f>
        <v>99.994477633122742</v>
      </c>
      <c r="R44" s="20">
        <f>$Q44*$H44*($G43*(1-Data!$K$8)^$E43)</f>
        <v>1.2577603431391733E-2</v>
      </c>
      <c r="S44" s="23"/>
      <c r="T44" s="20">
        <f>C43*Data!$K$6</f>
        <v>2583.0535267914997</v>
      </c>
      <c r="U44" s="20">
        <f>$T44*$H44*($G43*(1-Data!$K$8)^$E43)</f>
        <v>0.32490417142075823</v>
      </c>
      <c r="V44" s="22"/>
      <c r="W44" s="20">
        <f t="shared" si="0"/>
        <v>9.3499961425225386</v>
      </c>
    </row>
    <row r="45" spans="2:23" x14ac:dyDescent="0.75">
      <c r="B45" s="15">
        <v>37</v>
      </c>
      <c r="C45" s="20">
        <f>$C$8*EXP(Data!N41*'cat risk'!B45)</f>
        <v>196743.36937910231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EXP(-Data!N41*'cat risk'!E45)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20">
        <f>K45*H45*(G44*(1-Data!$K$8)^E44)*((1-F45)*Data!$K$8)</f>
        <v>1.5324478190596207</v>
      </c>
      <c r="M45" s="23"/>
      <c r="N45" s="20">
        <f>MAX(Data!$K$3*Data!$H$3,'cat risk'!I45)-Data!$K$4</f>
        <v>192913.68181897548</v>
      </c>
      <c r="O45" s="20">
        <f>N45*H45*(G44*(1-Data!$K$8)^E44)*(F45)</f>
        <v>4.2643674901914466</v>
      </c>
      <c r="P45" s="23"/>
      <c r="Q45" s="20">
        <f>Data!$K$11*(1+Data!$K$10)^'cat risk'!E44*Data!$K$12</f>
        <v>101.99436718578518</v>
      </c>
      <c r="R45" s="20">
        <f>$Q45*$H45*($G44*(1-Data!$K$8)^$E44)</f>
        <v>7.6560066658748127E-3</v>
      </c>
      <c r="S45" s="23"/>
      <c r="T45" s="20">
        <f>C44*Data!$K$6</f>
        <v>2666.7812920887873</v>
      </c>
      <c r="U45" s="20">
        <f>$T45*$H45*($G44*(1-Data!$K$8)^$E44)</f>
        <v>0.20017669516466668</v>
      </c>
      <c r="V45" s="22"/>
      <c r="W45" s="20">
        <f t="shared" si="0"/>
        <v>6.0046480110816089</v>
      </c>
    </row>
    <row r="46" spans="2:23" x14ac:dyDescent="0.75">
      <c r="B46" s="15">
        <v>38</v>
      </c>
      <c r="C46" s="20">
        <f>$C$8*EXP(Data!N42*'cat risk'!B46)</f>
        <v>203212.08472099825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EXP(-Data!N42*'cat risk'!E46)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20">
        <f>K46*H46*(G45*(1-Data!$K$8)^E45)*((1-F46)*Data!$K$8)</f>
        <v>0.89191479558888387</v>
      </c>
      <c r="M46" s="23"/>
      <c r="N46" s="20">
        <f>MAX(Data!$K$3*Data!$H$3,'cat risk'!I46)-Data!$K$4</f>
        <v>199257.21733341619</v>
      </c>
      <c r="O46" s="20">
        <f>N46*H46*(G45*(1-Data!$K$8)^E45)*(F46)</f>
        <v>2.7378044253799376</v>
      </c>
      <c r="P46" s="23"/>
      <c r="Q46" s="20">
        <f>Data!$K$11*(1+Data!$K$10)^'cat risk'!E45*Data!$K$12</f>
        <v>104.0342545295009</v>
      </c>
      <c r="R46" s="20">
        <f>$Q46*$H46*($G45*(1-Data!$K$8)^$E45)</f>
        <v>4.5339556258904333E-3</v>
      </c>
      <c r="S46" s="23"/>
      <c r="T46" s="20">
        <f>C45*Data!$K$6</f>
        <v>2754.4071713074322</v>
      </c>
      <c r="U46" s="20">
        <f>$T46*$H46*($G45*(1-Data!$K$8)^$E45)</f>
        <v>0.12004084565051576</v>
      </c>
      <c r="V46" s="22"/>
      <c r="W46" s="20">
        <f t="shared" si="0"/>
        <v>3.7542940222452277</v>
      </c>
    </row>
    <row r="47" spans="2:23" x14ac:dyDescent="0.75">
      <c r="B47" s="15">
        <v>39</v>
      </c>
      <c r="C47" s="20">
        <f>$C$8*EXP(Data!N43*'cat risk'!B47)</f>
        <v>209966.9602062176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EXP(-Data!N43*'cat risk'!E47)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20">
        <f>K47*H47*(G46*(1-Data!$K$8)^E46)*((1-F47)*Data!$K$8)</f>
        <v>0.50295047419731054</v>
      </c>
      <c r="M47" s="23"/>
      <c r="N47" s="20">
        <f>MAX(Data!$K$3*Data!$H$3,'cat risk'!I47)-Data!$K$4</f>
        <v>205882.71851179763</v>
      </c>
      <c r="O47" s="20">
        <f>N47*H47*(G46*(1-Data!$K$8)^E46)*(F47)</f>
        <v>1.7012319276769658</v>
      </c>
      <c r="P47" s="23"/>
      <c r="Q47" s="20">
        <f>Data!$K$11*(1+Data!$K$10)^'cat risk'!E46*Data!$K$12</f>
        <v>106.11493962009094</v>
      </c>
      <c r="R47" s="20">
        <f>$Q47*$H47*($G46*(1-Data!$K$8)^$E46)</f>
        <v>2.6050260807268149E-3</v>
      </c>
      <c r="S47" s="23"/>
      <c r="T47" s="20">
        <f>C46*Data!$K$6</f>
        <v>2844.9691860939756</v>
      </c>
      <c r="U47" s="20">
        <f>$T47*$H47*($G46*(1-Data!$K$8)^$E46)</f>
        <v>6.9841428126636435E-2</v>
      </c>
      <c r="V47" s="22"/>
      <c r="W47" s="20">
        <f t="shared" si="0"/>
        <v>2.2766288560816399</v>
      </c>
    </row>
    <row r="48" spans="2:23" x14ac:dyDescent="0.75">
      <c r="B48" s="15">
        <v>40</v>
      </c>
      <c r="C48" s="20">
        <f>$C$8*EXP(Data!N44*'cat risk'!B48)</f>
        <v>217015.80521669541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EXP(-Data!N44*'cat risk'!E48)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20">
        <f>K48*H48*(G47*(1-Data!$K$8)^E47)*((1-F48)*Data!$K$8)</f>
        <v>0.27368191244431139</v>
      </c>
      <c r="M48" s="23"/>
      <c r="N48" s="20">
        <f>MAX(Data!$K$3*Data!$H$3,'cat risk'!I48)-Data!$K$4</f>
        <v>212796.46601257107</v>
      </c>
      <c r="O48" s="20">
        <f>N48*H48*(G47*(1-Data!$K$8)^E47)*(F48)</f>
        <v>1.0255335976953444</v>
      </c>
      <c r="P48" s="23"/>
      <c r="Q48" s="20">
        <f>Data!$K$11*(1+Data!$K$10)^'cat risk'!E47*Data!$K$12</f>
        <v>108.23723841249272</v>
      </c>
      <c r="R48" s="20">
        <f>$Q48*$H48*($G47*(1-Data!$K$8)^$E47)</f>
        <v>1.4496704746576683E-3</v>
      </c>
      <c r="S48" s="23"/>
      <c r="T48" s="20">
        <f>C47*Data!$K$6</f>
        <v>2939.5374428870464</v>
      </c>
      <c r="U48" s="20">
        <f>$T48*$H48*($G47*(1-Data!$K$8)^$E47)</f>
        <v>3.9370559546835299E-2</v>
      </c>
      <c r="V48" s="22"/>
      <c r="W48" s="20">
        <f t="shared" si="0"/>
        <v>1.3400357401611485</v>
      </c>
    </row>
    <row r="49" spans="2:23" x14ac:dyDescent="0.75">
      <c r="B49" s="15">
        <v>41</v>
      </c>
      <c r="C49" s="20">
        <f>$C$8*EXP(Data!N45*'cat risk'!B49)</f>
        <v>224274.37394679774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EXP(-Data!N45*'cat risk'!E49)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20">
        <f>K49*H49*(G48*(1-Data!$K$8)^E48)*((1-F49)*Data!$K$8)</f>
        <v>0.14183314299212663</v>
      </c>
      <c r="M49" s="23"/>
      <c r="N49" s="20">
        <f>MAX(Data!$K$3*Data!$H$3,'cat risk'!I49)-Data!$K$4</f>
        <v>219914.05784246384</v>
      </c>
      <c r="O49" s="20">
        <f>N49*H49*(G48*(1-Data!$K$8)^E48)*(F49)</f>
        <v>0.60531092858751223</v>
      </c>
      <c r="P49" s="23"/>
      <c r="Q49" s="20">
        <f>Data!$K$11*(1+Data!$K$10)^'cat risk'!E48*Data!$K$12</f>
        <v>110.40198318074259</v>
      </c>
      <c r="R49" s="20">
        <f>$Q49*$H49*($G48*(1-Data!$K$8)^$E48)</f>
        <v>7.7857048832662026E-4</v>
      </c>
      <c r="S49" s="23"/>
      <c r="T49" s="20">
        <f>C48*Data!$K$6</f>
        <v>3038.221273033736</v>
      </c>
      <c r="U49" s="20">
        <f>$T49*$H49*($G48*(1-Data!$K$8)^$E48)</f>
        <v>2.1425968556358418E-2</v>
      </c>
      <c r="V49" s="22"/>
      <c r="W49" s="20">
        <f t="shared" si="0"/>
        <v>0.76934861062432391</v>
      </c>
    </row>
    <row r="50" spans="2:23" x14ac:dyDescent="0.75">
      <c r="B50" s="15">
        <v>42</v>
      </c>
      <c r="C50" s="20">
        <f>$C$8*EXP(Data!N46*'cat risk'!B50)</f>
        <v>231928.7438676453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EXP(-Data!N46*'cat risk'!E50)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20">
        <f>K50*H50*(G49*(1-Data!$K$8)^E49)*((1-F50)*Data!$K$8)</f>
        <v>6.9013793224387832E-2</v>
      </c>
      <c r="M50" s="23"/>
      <c r="N50" s="20">
        <f>MAX(Data!$K$3*Data!$H$3,'cat risk'!I50)-Data!$K$4</f>
        <v>227423.25638870936</v>
      </c>
      <c r="O50" s="20">
        <f>N50*H50*(G49*(1-Data!$K$8)^E49)*(F50)</f>
        <v>0.34364206697300781</v>
      </c>
      <c r="P50" s="23"/>
      <c r="Q50" s="20">
        <f>Data!$K$11*(1+Data!$K$10)^'cat risk'!E49*Data!$K$12</f>
        <v>112.61002284435745</v>
      </c>
      <c r="R50" s="20">
        <f>$Q50*$H50*($G49*(1-Data!$K$8)^$E49)</f>
        <v>3.9797383958500545E-4</v>
      </c>
      <c r="S50" s="23"/>
      <c r="T50" s="20">
        <f>C49*Data!$K$6</f>
        <v>3139.8412352551686</v>
      </c>
      <c r="U50" s="20">
        <f>$T50*$H50*($G49*(1-Data!$K$8)^$E49)</f>
        <v>1.1096478275374388E-2</v>
      </c>
      <c r="V50" s="22"/>
      <c r="W50" s="20">
        <f t="shared" si="0"/>
        <v>0.42415031231235506</v>
      </c>
    </row>
    <row r="51" spans="2:23" x14ac:dyDescent="0.75">
      <c r="B51" s="15">
        <v>43</v>
      </c>
      <c r="C51" s="20">
        <f>$C$8*EXP(Data!N47*'cat risk'!B51)</f>
        <v>239796.38945322504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EXP(-Data!N47*'cat risk'!E51)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20">
        <f>K51*H51*(G50*(1-Data!$K$8)^E50)*((1-F51)*Data!$K$8)</f>
        <v>3.1628611276065352E-2</v>
      </c>
      <c r="M51" s="23"/>
      <c r="N51" s="20">
        <f>MAX(Data!$K$3*Data!$H$3,'cat risk'!I51)-Data!$K$4</f>
        <v>235137.81457587212</v>
      </c>
      <c r="O51" s="20">
        <f>N51*H51*(G50*(1-Data!$K$8)^E50)*(F51)</f>
        <v>0.18022033868434928</v>
      </c>
      <c r="P51" s="23"/>
      <c r="Q51" s="20">
        <f>Data!$K$11*(1+Data!$K$10)^'cat risk'!E50*Data!$K$12</f>
        <v>114.86222330124458</v>
      </c>
      <c r="R51" s="20">
        <f>$Q51*$H51*($G50*(1-Data!$K$8)^$E50)</f>
        <v>1.9103715668650052E-4</v>
      </c>
      <c r="S51" s="23"/>
      <c r="T51" s="20">
        <f>C50*Data!$K$6</f>
        <v>3247.0024141470344</v>
      </c>
      <c r="U51" s="20">
        <f>$T51*$H51*($G50*(1-Data!$K$8)^$E50)</f>
        <v>5.4003665532924728E-3</v>
      </c>
      <c r="V51" s="22"/>
      <c r="W51" s="20">
        <f t="shared" si="0"/>
        <v>0.21744035367039363</v>
      </c>
    </row>
    <row r="52" spans="2:23" x14ac:dyDescent="0.75">
      <c r="B52" s="15">
        <v>44</v>
      </c>
      <c r="C52" s="20">
        <f>$C$8*EXP(Data!N48*'cat risk'!B52)</f>
        <v>247975.55828064092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EXP(-Data!N48*'cat risk'!E52)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20">
        <f>K52*H52*(G51*(1-Data!$K$8)^E51)*((1-F52)*Data!$K$8)</f>
        <v>1.3586930031151523E-2</v>
      </c>
      <c r="M52" s="23"/>
      <c r="N52" s="20">
        <f>MAX(Data!$K$3*Data!$H$3,'cat risk'!I52)-Data!$K$4</f>
        <v>243159.63049157642</v>
      </c>
      <c r="O52" s="20">
        <f>N52*H52*(G51*(1-Data!$K$8)^E51)*(F52)</f>
        <v>8.8650402874201228E-2</v>
      </c>
      <c r="P52" s="23"/>
      <c r="Q52" s="20">
        <f>Data!$K$11*(1+Data!$K$10)^'cat risk'!E51*Data!$K$12</f>
        <v>117.15946776726946</v>
      </c>
      <c r="R52" s="20">
        <f>$Q52*$H52*($G51*(1-Data!$K$8)^$E51)</f>
        <v>8.6356785112383808E-5</v>
      </c>
      <c r="S52" s="23"/>
      <c r="T52" s="20">
        <f>C51*Data!$K$6</f>
        <v>3357.1494523451506</v>
      </c>
      <c r="U52" s="20">
        <f>$T52*$H52*($G51*(1-Data!$K$8)^$E51)</f>
        <v>2.4745130664320012E-3</v>
      </c>
      <c r="V52" s="22"/>
      <c r="W52" s="20">
        <f t="shared" si="0"/>
        <v>0.10479820275689714</v>
      </c>
    </row>
    <row r="53" spans="2:23" x14ac:dyDescent="0.75">
      <c r="B53" s="15">
        <v>45</v>
      </c>
      <c r="C53" s="20">
        <f>$C$8*EXP(Data!N49*'cat risk'!B53)</f>
        <v>256472.17674241067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EXP(-Data!N49*'cat risk'!E53)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20">
        <f>K53*H53*(G52*(1-Data!$K$8)^E52)*((1-F53)*Data!$K$8)</f>
        <v>5.4438042098378242E-3</v>
      </c>
      <c r="M53" s="23"/>
      <c r="N53" s="20">
        <f>MAX(Data!$K$3*Data!$H$3,'cat risk'!I53)-Data!$K$4</f>
        <v>251492.66557679785</v>
      </c>
      <c r="O53" s="20">
        <f>N53*H53*(G52*(1-Data!$K$8)^E52)*(F53)</f>
        <v>4.0701013004407108E-2</v>
      </c>
      <c r="P53" s="23"/>
      <c r="Q53" s="20">
        <f>Data!$K$11*(1+Data!$K$10)^'cat risk'!E52*Data!$K$12</f>
        <v>119.50265712261488</v>
      </c>
      <c r="R53" s="20">
        <f>$Q53*$H53*($G52*(1-Data!$K$8)^$E52)</f>
        <v>3.6585054942705987E-5</v>
      </c>
      <c r="S53" s="23"/>
      <c r="T53" s="20">
        <f>C52*Data!$K$6</f>
        <v>3471.6578159289729</v>
      </c>
      <c r="U53" s="20">
        <f>$T53*$H53*($G52*(1-Data!$K$8)^$E52)</f>
        <v>1.0628281830396256E-3</v>
      </c>
      <c r="V53" s="22"/>
      <c r="W53" s="20">
        <f t="shared" si="0"/>
        <v>4.7244230452227268E-2</v>
      </c>
    </row>
    <row r="54" spans="2:23" x14ac:dyDescent="0.75">
      <c r="B54" s="15">
        <v>46</v>
      </c>
      <c r="C54" s="20">
        <f>$C$8*EXP(Data!N50*'cat risk'!B54)</f>
        <v>265291.75588931283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EXP(-Data!N50*'cat risk'!E54)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20">
        <f>K54*H54*(G53*(1-Data!$K$8)^E53)*((1-F54)*Data!$K$8)</f>
        <v>2.024117629467569E-3</v>
      </c>
      <c r="M54" s="23"/>
      <c r="N54" s="20">
        <f>MAX(Data!$K$3*Data!$H$3,'cat risk'!I54)-Data!$K$4</f>
        <v>260142.31235446461</v>
      </c>
      <c r="O54" s="20">
        <f>N54*H54*(G53*(1-Data!$K$8)^E53)*(F54)</f>
        <v>1.7354260878504939E-2</v>
      </c>
      <c r="P54" s="23"/>
      <c r="Q54" s="20">
        <f>Data!$K$11*(1+Data!$K$10)^'cat risk'!E53*Data!$K$12</f>
        <v>121.89271026506717</v>
      </c>
      <c r="R54" s="20">
        <f>$Q54*$H54*($G53*(1-Data!$K$8)^$E53)</f>
        <v>1.4454366986425223E-5</v>
      </c>
      <c r="S54" s="23"/>
      <c r="T54" s="20">
        <f>C53*Data!$K$6</f>
        <v>3590.6104743937494</v>
      </c>
      <c r="U54" s="20">
        <f>$T54*$H54*($G53*(1-Data!$K$8)^$E53)</f>
        <v>4.2578429332917607E-4</v>
      </c>
      <c r="V54" s="22"/>
      <c r="W54" s="20">
        <f t="shared" si="0"/>
        <v>1.9818617168288106E-2</v>
      </c>
    </row>
    <row r="55" spans="2:23" x14ac:dyDescent="0.75">
      <c r="B55" s="15">
        <v>47</v>
      </c>
      <c r="C55" s="20">
        <f>$C$8*EXP(Data!N51*'cat risk'!B55)</f>
        <v>274310.36545645952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EXP(-Data!N51*'cat risk'!E55)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20">
        <f>K55*H55*(G54*(1-Data!$K$8)^E54)*((1-F55)*Data!$K$8)</f>
        <v>6.9487733032233805E-4</v>
      </c>
      <c r="M55" s="23"/>
      <c r="N55" s="20">
        <f>MAX(Data!$K$3*Data!$H$3,'cat risk'!I55)-Data!$K$4</f>
        <v>268984.53033867327</v>
      </c>
      <c r="O55" s="20">
        <f>N55*H55*(G54*(1-Data!$K$8)^E54)*(F55)</f>
        <v>6.8374273984493725E-3</v>
      </c>
      <c r="P55" s="23"/>
      <c r="Q55" s="20">
        <f>Data!$K$11*(1+Data!$K$10)^'cat risk'!E54*Data!$K$12</f>
        <v>124.33056447036851</v>
      </c>
      <c r="R55" s="20">
        <f>$Q55*$H55*($G54*(1-Data!$K$8)^$E54)</f>
        <v>5.301659830114035E-6</v>
      </c>
      <c r="S55" s="23"/>
      <c r="T55" s="20">
        <f>C54*Data!$K$6</f>
        <v>3714.0845824503799</v>
      </c>
      <c r="U55" s="20">
        <f>$T55*$H55*($G54*(1-Data!$K$8)^$E54)</f>
        <v>1.5837467737963914E-4</v>
      </c>
      <c r="V55" s="22"/>
      <c r="W55" s="20">
        <f t="shared" si="0"/>
        <v>7.6959810659814644E-3</v>
      </c>
    </row>
    <row r="56" spans="2:23" x14ac:dyDescent="0.75">
      <c r="B56" s="15">
        <v>48</v>
      </c>
      <c r="C56" s="20">
        <f>$C$8*EXP(Data!N52*'cat risk'!B56)</f>
        <v>283783.09205787984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EXP(-Data!N52*'cat risk'!E56)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20">
        <f>K56*H56*(G55*(1-Data!$K$8)^E55)*((1-F56)*Data!$K$8)</f>
        <v>2.1914059667284055E-4</v>
      </c>
      <c r="M56" s="23"/>
      <c r="N56" s="20">
        <f>MAX(Data!$K$3*Data!$H$3,'cat risk'!I56)-Data!$K$4</f>
        <v>278276.88474875066</v>
      </c>
      <c r="O56" s="20">
        <f>N56*H56*(G55*(1-Data!$K$8)^E55)*(F56)</f>
        <v>2.4767510457202142E-3</v>
      </c>
      <c r="P56" s="23"/>
      <c r="Q56" s="20">
        <f>Data!$K$11*(1+Data!$K$10)^'cat risk'!E55*Data!$K$12</f>
        <v>126.81717575977585</v>
      </c>
      <c r="R56" s="20">
        <f>$Q56*$H56*($G55*(1-Data!$K$8)^$E55)</f>
        <v>1.7944951370703558E-6</v>
      </c>
      <c r="S56" s="23"/>
      <c r="T56" s="20">
        <f>C55*Data!$K$6</f>
        <v>3840.3451163904333</v>
      </c>
      <c r="U56" s="20">
        <f>$T56*$H56*($G55*(1-Data!$K$8)^$E55)</f>
        <v>5.4341855468290411E-5</v>
      </c>
      <c r="V56" s="22"/>
      <c r="W56" s="20">
        <f t="shared" si="0"/>
        <v>2.7520279929984155E-3</v>
      </c>
    </row>
    <row r="57" spans="2:23" x14ac:dyDescent="0.75">
      <c r="B57" s="15">
        <v>49</v>
      </c>
      <c r="C57" s="20">
        <f>$C$8*EXP(Data!N53*'cat risk'!B57)</f>
        <v>293591.74679913622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EXP(-Data!N53*'cat risk'!E57)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20">
        <f>K57*H57*(G56*(1-Data!$K$8)^E56)*((1-F57)*Data!$K$8)</f>
        <v>6.3164245962781426E-5</v>
      </c>
      <c r="M57" s="23"/>
      <c r="N57" s="20">
        <f>MAX(Data!$K$3*Data!$H$3,'cat risk'!I57)-Data!$K$4</f>
        <v>287896.08495797863</v>
      </c>
      <c r="O57" s="20">
        <f>N57*H57*(G56*(1-Data!$K$8)^E56)*(F57)</f>
        <v>8.2070545757552318E-4</v>
      </c>
      <c r="P57" s="23"/>
      <c r="Q57" s="20">
        <f>Data!$K$11*(1+Data!$K$10)^'cat risk'!E56*Data!$K$12</f>
        <v>129.35351927497138</v>
      </c>
      <c r="R57" s="20">
        <f>$Q57*$H57*($G56*(1-Data!$K$8)^$E56)</f>
        <v>5.5794873336532727E-7</v>
      </c>
      <c r="S57" s="23"/>
      <c r="T57" s="20">
        <f>C56*Data!$K$6</f>
        <v>3972.9632888103179</v>
      </c>
      <c r="U57" s="20">
        <f>$T57*$H57*($G56*(1-Data!$K$8)^$E56)</f>
        <v>1.7136834367733924E-5</v>
      </c>
      <c r="V57" s="22"/>
      <c r="W57" s="20">
        <f t="shared" si="0"/>
        <v>9.0156448663940379E-4</v>
      </c>
    </row>
    <row r="58" spans="2:23" x14ac:dyDescent="0.75">
      <c r="B58" s="15">
        <v>50</v>
      </c>
      <c r="C58" s="20">
        <f>$C$8*EXP(Data!N54*'cat risk'!B58)</f>
        <v>303739.42705151613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EXP(-Data!N54*'cat risk'!E58)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20">
        <f>K58*H58*(G57*(1-Data!$K$8)^E57)*(1-F58)</f>
        <v>1.1038379809977173E-4</v>
      </c>
      <c r="M58" s="24"/>
      <c r="N58" s="20">
        <f>MAX(Data!$K$3*Data!$H$3,'cat risk'!I58)-Data!$K$4</f>
        <v>297847.59211553342</v>
      </c>
      <c r="O58" s="20">
        <f>N58*H58*(G57*(1-Data!$K$8)^E57)*(F58)</f>
        <v>2.4754775975060941E-4</v>
      </c>
      <c r="P58" s="24"/>
      <c r="Q58" s="20">
        <f>Data!$K$11*(1+Data!$K$10)^'cat risk'!E57*Data!$K$12</f>
        <v>131.94058966047081</v>
      </c>
      <c r="R58" s="20">
        <f>$Q58*$H58*($G57*(1-Data!$K$8)^$E57)</f>
        <v>1.585565975720617E-7</v>
      </c>
      <c r="S58" s="24"/>
      <c r="T58" s="20">
        <f>C57*Data!$K$6</f>
        <v>4110.284455187907</v>
      </c>
      <c r="U58" s="20">
        <f>$T58*$H58*($G57*(1-Data!$K$8)^$E57)</f>
        <v>4.9394406978551037E-6</v>
      </c>
      <c r="V58" s="25"/>
      <c r="W58" s="20">
        <f t="shared" si="0"/>
        <v>3.6302955514580829E-4</v>
      </c>
    </row>
    <row r="60" spans="2:23" x14ac:dyDescent="0.75">
      <c r="K60" s="43" t="s">
        <v>62</v>
      </c>
      <c r="L60" s="20">
        <f>SUM(L9:L58)</f>
        <v>89590.502916905185</v>
      </c>
      <c r="N60" s="43" t="s">
        <v>62</v>
      </c>
      <c r="O60" s="20">
        <f>SUM(O9:O58)</f>
        <v>8937.0872115688162</v>
      </c>
      <c r="P60" s="1"/>
      <c r="Q60" s="43" t="s">
        <v>62</v>
      </c>
      <c r="R60" s="20">
        <f>SUM(R9:R58)</f>
        <v>321.36342286169361</v>
      </c>
      <c r="S60" s="1"/>
      <c r="T60" s="43" t="s">
        <v>62</v>
      </c>
      <c r="U60" s="20">
        <f>SUM(U9:U58)</f>
        <v>8567.3729140749292</v>
      </c>
      <c r="V60" s="15" t="s">
        <v>15</v>
      </c>
      <c r="W60" s="20">
        <f>SUM(W9:W58)</f>
        <v>107416.32646541056</v>
      </c>
    </row>
    <row r="61" spans="2:23" x14ac:dyDescent="0.75">
      <c r="V61" s="15" t="s">
        <v>32</v>
      </c>
      <c r="W61" s="15">
        <f>SUMPRODUCT(W9:W58,E9:E58)/W60</f>
        <v>6.140822016120886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EB35-4BCB-46C6-873E-9822CD29BBC4}">
  <dimension ref="B2:W61"/>
  <sheetViews>
    <sheetView showGridLines="0" zoomScale="80" zoomScaleNormal="80" workbookViewId="0"/>
  </sheetViews>
  <sheetFormatPr defaultRowHeight="14.75" x14ac:dyDescent="0.75"/>
  <cols>
    <col min="1" max="1" width="9.6328125" customWidth="1"/>
    <col min="2" max="2" width="7" customWidth="1"/>
    <col min="3" max="3" width="17.08984375" customWidth="1"/>
    <col min="4" max="4" width="9.26953125" customWidth="1"/>
    <col min="5" max="5" width="8.58984375" customWidth="1"/>
    <col min="6" max="6" width="14.04296875" customWidth="1"/>
    <col min="7" max="7" width="13.2265625" customWidth="1"/>
    <col min="8" max="8" width="11" bestFit="1" customWidth="1"/>
    <col min="9" max="9" width="14.5" bestFit="1" customWidth="1"/>
    <col min="10" max="10" width="7.6796875" customWidth="1"/>
    <col min="11" max="11" width="14.5" bestFit="1" customWidth="1"/>
    <col min="12" max="12" width="17.08984375" bestFit="1" customWidth="1"/>
    <col min="13" max="13" width="4.40625" customWidth="1"/>
    <col min="14" max="14" width="14.2265625" bestFit="1" customWidth="1"/>
    <col min="15" max="15" width="17.08984375" bestFit="1" customWidth="1"/>
    <col min="16" max="16" width="5.36328125" customWidth="1"/>
    <col min="17" max="17" width="19.26953125" customWidth="1"/>
    <col min="18" max="18" width="18.7265625" customWidth="1"/>
    <col min="19" max="19" width="6.1796875" customWidth="1"/>
    <col min="20" max="20" width="15.1796875" customWidth="1"/>
    <col min="21" max="21" width="20.90625" customWidth="1"/>
    <col min="22" max="22" width="6.7265625" customWidth="1"/>
    <col min="23" max="23" width="24.58984375" bestFit="1" customWidth="1"/>
    <col min="24" max="25" width="21.7265625" bestFit="1" customWidth="1"/>
    <col min="26" max="26" width="30.453125" bestFit="1" customWidth="1"/>
    <col min="27" max="27" width="25.5" bestFit="1" customWidth="1"/>
    <col min="28" max="28" width="19.58984375" bestFit="1" customWidth="1"/>
    <col min="29" max="29" width="24.1328125" bestFit="1" customWidth="1"/>
    <col min="30" max="30" width="24.1328125" customWidth="1"/>
    <col min="31" max="31" width="16.6328125" customWidth="1"/>
    <col min="32" max="32" width="15.90625" bestFit="1" customWidth="1"/>
  </cols>
  <sheetData>
    <row r="2" spans="2:23" x14ac:dyDescent="0.75">
      <c r="B2" s="31" t="s">
        <v>39</v>
      </c>
      <c r="C2" s="32">
        <v>0.1</v>
      </c>
      <c r="V2" s="34" t="s">
        <v>34</v>
      </c>
      <c r="W2" s="35">
        <f>C8-W60</f>
        <v>-8180.3667962669278</v>
      </c>
    </row>
    <row r="3" spans="2:23" x14ac:dyDescent="0.75">
      <c r="C3" s="32">
        <v>0.01</v>
      </c>
      <c r="V3" s="36" t="s">
        <v>40</v>
      </c>
      <c r="W3" s="35">
        <f>MAX('Caso base'!W2-W2,0)</f>
        <v>907.25457718546386</v>
      </c>
    </row>
    <row r="5" spans="2:23" ht="18.5" x14ac:dyDescent="0.9">
      <c r="B5" s="53" t="s">
        <v>13</v>
      </c>
      <c r="C5" s="54"/>
      <c r="E5" s="53" t="s">
        <v>15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4"/>
    </row>
    <row r="6" spans="2:23" x14ac:dyDescent="0.75">
      <c r="B6" s="2"/>
      <c r="C6" s="3"/>
      <c r="E6" s="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3"/>
    </row>
    <row r="7" spans="2:23" x14ac:dyDescent="0.75">
      <c r="B7" s="28" t="s">
        <v>7</v>
      </c>
      <c r="C7" s="28" t="s">
        <v>26</v>
      </c>
      <c r="E7" s="28" t="s">
        <v>7</v>
      </c>
      <c r="F7" s="28" t="s">
        <v>9</v>
      </c>
      <c r="G7" s="28" t="s">
        <v>12</v>
      </c>
      <c r="H7" s="28" t="s">
        <v>27</v>
      </c>
      <c r="I7" s="28" t="s">
        <v>28</v>
      </c>
      <c r="J7" s="22"/>
      <c r="K7" s="28" t="s">
        <v>29</v>
      </c>
      <c r="L7" s="28" t="s">
        <v>31</v>
      </c>
      <c r="M7" s="22"/>
      <c r="N7" s="28" t="s">
        <v>30</v>
      </c>
      <c r="O7" s="28" t="s">
        <v>31</v>
      </c>
      <c r="P7" s="29"/>
      <c r="Q7" s="28" t="s">
        <v>35</v>
      </c>
      <c r="R7" s="28" t="s">
        <v>36</v>
      </c>
      <c r="S7" s="29"/>
      <c r="T7" s="28" t="s">
        <v>37</v>
      </c>
      <c r="U7" s="28" t="s">
        <v>38</v>
      </c>
      <c r="V7" s="22"/>
      <c r="W7" s="28" t="s">
        <v>33</v>
      </c>
    </row>
    <row r="8" spans="2:23" x14ac:dyDescent="0.75">
      <c r="B8" s="15">
        <v>0</v>
      </c>
      <c r="C8" s="20">
        <f>Data!H3</f>
        <v>100000</v>
      </c>
      <c r="E8" s="15">
        <v>0</v>
      </c>
      <c r="F8" s="15"/>
      <c r="G8" s="15">
        <v>1</v>
      </c>
      <c r="H8" s="15">
        <v>1</v>
      </c>
      <c r="I8" s="20">
        <f>C8</f>
        <v>100000</v>
      </c>
      <c r="J8" s="23"/>
      <c r="K8" s="20"/>
      <c r="L8" s="20"/>
      <c r="M8" s="23"/>
      <c r="N8" s="15"/>
      <c r="O8" s="15"/>
      <c r="P8" s="22"/>
      <c r="Q8" s="15"/>
      <c r="R8" s="15"/>
      <c r="S8" s="22"/>
      <c r="T8" s="15"/>
      <c r="U8" s="15"/>
      <c r="V8" s="22"/>
      <c r="W8" s="20"/>
    </row>
    <row r="9" spans="2:23" x14ac:dyDescent="0.75">
      <c r="B9" s="15">
        <v>1</v>
      </c>
      <c r="C9" s="20">
        <f>$C$8*EXP(Data!N5*'expenses risk'!B9)</f>
        <v>99825.153035716154</v>
      </c>
      <c r="E9" s="15">
        <v>1</v>
      </c>
      <c r="F9" s="15">
        <f>Data!C5</f>
        <v>7.1098899999999998E-3</v>
      </c>
      <c r="G9" s="15">
        <f>Data!E5</f>
        <v>0.99289011000000005</v>
      </c>
      <c r="H9" s="15">
        <f>EXP(-Data!N5*'expenses risk'!E9)</f>
        <v>1.0017515321436201</v>
      </c>
      <c r="I9" s="20">
        <f>C9-C8*(Data!$K$5)</f>
        <v>97825.153035716154</v>
      </c>
      <c r="J9" s="23"/>
      <c r="K9" s="20">
        <f>I9-Data!$K$4</f>
        <v>97805.153035716154</v>
      </c>
      <c r="L9" s="20">
        <f>K9*H9*(G8*(1-Data!$K$8)^E8)*((1-F9)*Data!$K$8)</f>
        <v>14591.979005750349</v>
      </c>
      <c r="M9" s="23"/>
      <c r="N9" s="20">
        <f>MAX(Data!$K$3*Data!$H$3,'expenses risk'!I9)-Data!$K$4</f>
        <v>109980.00000000001</v>
      </c>
      <c r="O9" s="20">
        <f>N9*H9*(G8*(1-Data!$K$8)^E8)*(F9)</f>
        <v>783.31530523196898</v>
      </c>
      <c r="P9" s="23"/>
      <c r="Q9" s="30">
        <f>Data!$K$11*Data!$K$12*(1+$C$2)</f>
        <v>55.000000000000007</v>
      </c>
      <c r="R9" s="20">
        <f>$Q9*$H9*($G8*(1-Data!$K$8)^$E8)</f>
        <v>55.096334267899117</v>
      </c>
      <c r="S9" s="23"/>
      <c r="T9" s="30">
        <f>C8*Data!$K$6*(1+$C$2)</f>
        <v>1540.0000000000002</v>
      </c>
      <c r="U9" s="20">
        <f>$T9*$H9*($G8*(1-Data!$K$8)^$E8)</f>
        <v>1542.6973595011752</v>
      </c>
      <c r="V9" s="22"/>
      <c r="W9" s="20">
        <f>O9+L9+R9+U9</f>
        <v>16973.088004751393</v>
      </c>
    </row>
    <row r="10" spans="2:23" x14ac:dyDescent="0.75">
      <c r="B10" s="15">
        <v>2</v>
      </c>
      <c r="C10" s="20">
        <f>$C$8*EXP(Data!N6*'expenses risk'!B10)</f>
        <v>100875.81299504719</v>
      </c>
      <c r="E10" s="15">
        <v>2</v>
      </c>
      <c r="F10" s="15">
        <f>Data!C6</f>
        <v>7.9253799999999992E-3</v>
      </c>
      <c r="G10" s="15">
        <f>Data!E6</f>
        <v>0.98502107858000831</v>
      </c>
      <c r="H10" s="15">
        <f>EXP(-Data!N6*'expenses risk'!E10)</f>
        <v>0.99131790893134908</v>
      </c>
      <c r="I10" s="20">
        <f>C10-C9*(Data!$K$5)</f>
        <v>98879.309934332865</v>
      </c>
      <c r="J10" s="23"/>
      <c r="K10" s="20">
        <f>I10-Data!$K$4</f>
        <v>98859.309934332865</v>
      </c>
      <c r="L10" s="20">
        <f>K10*H10*(G9*(1-Data!$K$8)^E9)*((1-F10)*Data!$K$8)</f>
        <v>12307.9645199554</v>
      </c>
      <c r="M10" s="23"/>
      <c r="N10" s="20">
        <f>MAX(Data!$K$3*Data!$H$3,'expenses risk'!I10)-Data!$K$4</f>
        <v>109980.00000000001</v>
      </c>
      <c r="O10" s="20">
        <f>N10*H10*(G9*(1-Data!$K$8)^E9)*(F10)</f>
        <v>729.233938636223</v>
      </c>
      <c r="P10" s="23"/>
      <c r="Q10" s="30">
        <f>Data!$K$11*(1+(Data!$K$10+$C$3))^'expenses risk'!E9*Data!$K$12*(1+$C$2)</f>
        <v>56.650000000000006</v>
      </c>
      <c r="R10" s="20">
        <f>$Q10*$H10*($G9*(1-Data!$K$8)^$E9)</f>
        <v>47.395049023418913</v>
      </c>
      <c r="S10" s="23"/>
      <c r="T10" s="30">
        <f>C9*Data!$K$6*(1+$C$2)</f>
        <v>1537.3073567500289</v>
      </c>
      <c r="U10" s="20">
        <f>$T10*$H10*($G9*(1-Data!$K$8)^$E9)</f>
        <v>1286.1563554674347</v>
      </c>
      <c r="V10" s="22"/>
      <c r="W10" s="20">
        <f t="shared" ref="W10:W58" si="0">O10+L10+R10+U10</f>
        <v>14370.749863082476</v>
      </c>
    </row>
    <row r="11" spans="2:23" x14ac:dyDescent="0.75">
      <c r="B11" s="15">
        <v>3</v>
      </c>
      <c r="C11" s="20">
        <f>$C$8*EXP(Data!N7*'expenses risk'!B11)</f>
        <v>102131.39657582495</v>
      </c>
      <c r="E11" s="15">
        <v>3</v>
      </c>
      <c r="F11" s="15">
        <f>Data!C7</f>
        <v>8.7428100000000002E-3</v>
      </c>
      <c r="G11" s="15">
        <f>Data!E7</f>
        <v>0.9764092264439882</v>
      </c>
      <c r="H11" s="15">
        <f>EXP(-Data!N7*'expenses risk'!E11)</f>
        <v>0.97913083882836616</v>
      </c>
      <c r="I11" s="20">
        <f>C11-C10*(Data!$K$5)</f>
        <v>100113.88031592401</v>
      </c>
      <c r="J11" s="23"/>
      <c r="K11" s="20">
        <f>I11-Data!$K$4</f>
        <v>100093.88031592401</v>
      </c>
      <c r="L11" s="20">
        <f>K11*H11*(G10*(1-Data!$K$8)^E10)*((1-F11)*Data!$K$8)</f>
        <v>10370.727912100743</v>
      </c>
      <c r="M11" s="23"/>
      <c r="N11" s="20">
        <f>MAX(Data!$K$3*Data!$H$3,'expenses risk'!I11)-Data!$K$4</f>
        <v>109980.00000000001</v>
      </c>
      <c r="O11" s="20">
        <f>N11*H11*(G10*(1-Data!$K$8)^E10)*(F11)</f>
        <v>670.02168793294345</v>
      </c>
      <c r="P11" s="23"/>
      <c r="Q11" s="30">
        <f>Data!$K$11*(1+(Data!$K$10+$C$3))^'expenses risk'!E10*Data!$K$12*(1+$C$2)</f>
        <v>58.349499999999999</v>
      </c>
      <c r="R11" s="20">
        <f>$Q11*$H11*($G10*(1-Data!$K$8)^$E10)</f>
        <v>40.659426049703079</v>
      </c>
      <c r="S11" s="23"/>
      <c r="T11" s="30">
        <f>C10*Data!$K$6*(1+$C$2)</f>
        <v>1553.4875201237269</v>
      </c>
      <c r="U11" s="20">
        <f>$T11*$H11*($G10*(1-Data!$K$8)^$E10)</f>
        <v>1082.5098920060548</v>
      </c>
      <c r="V11" s="22"/>
      <c r="W11" s="20">
        <f t="shared" si="0"/>
        <v>12163.918918089445</v>
      </c>
    </row>
    <row r="12" spans="2:23" x14ac:dyDescent="0.75">
      <c r="B12" s="15">
        <v>4</v>
      </c>
      <c r="C12" s="20">
        <f>$C$8*EXP(Data!N8*'expenses risk'!B12)</f>
        <v>103371.59205577367</v>
      </c>
      <c r="E12" s="15">
        <v>4</v>
      </c>
      <c r="F12" s="15">
        <f>Data!C8</f>
        <v>9.7442299999999996E-3</v>
      </c>
      <c r="G12" s="15">
        <f>Data!E8</f>
        <v>0.96689487036739585</v>
      </c>
      <c r="H12" s="15">
        <f>EXP(-Data!N8*'expenses risk'!E12)</f>
        <v>0.96738376580333085</v>
      </c>
      <c r="I12" s="20">
        <f>C12-C11*(Data!$K$5)</f>
        <v>101328.96412425717</v>
      </c>
      <c r="J12" s="23"/>
      <c r="K12" s="20">
        <f>I12-Data!$K$4</f>
        <v>101308.96412425717</v>
      </c>
      <c r="L12" s="20">
        <f>K12*H12*(G11*(1-Data!$K$8)^E11)*((1-F12)*Data!$K$8)</f>
        <v>8729.1903145773067</v>
      </c>
      <c r="M12" s="23"/>
      <c r="N12" s="20">
        <f>MAX(Data!$K$3*Data!$H$3,'expenses risk'!I12)-Data!$K$4</f>
        <v>109980.00000000001</v>
      </c>
      <c r="O12" s="20">
        <f>N12*H12*(G11*(1-Data!$K$8)^E11)*(F12)</f>
        <v>621.65393697706372</v>
      </c>
      <c r="P12" s="23"/>
      <c r="Q12" s="30">
        <f>Data!$K$11*(1+(Data!$K$10+$C$3))^'expenses risk'!E11*Data!$K$12*(1+$C$2)</f>
        <v>60.099985000000004</v>
      </c>
      <c r="R12" s="20">
        <f>$Q12*$H12*($G11*(1-Data!$K$8)^$E11)</f>
        <v>34.862763542434237</v>
      </c>
      <c r="S12" s="23"/>
      <c r="T12" s="30">
        <f>C11*Data!$K$6*(1+$C$2)</f>
        <v>1572.8235072677044</v>
      </c>
      <c r="U12" s="20">
        <f>$T12*$H12*($G11*(1-Data!$K$8)^$E11)</f>
        <v>912.36252434765288</v>
      </c>
      <c r="V12" s="22"/>
      <c r="W12" s="20">
        <f t="shared" si="0"/>
        <v>10298.069539444457</v>
      </c>
    </row>
    <row r="13" spans="2:23" x14ac:dyDescent="0.75">
      <c r="B13" s="15">
        <v>5</v>
      </c>
      <c r="C13" s="20">
        <f>$C$8*EXP(Data!N9*'expenses risk'!B13)</f>
        <v>104576.63856293866</v>
      </c>
      <c r="E13" s="15">
        <v>5</v>
      </c>
      <c r="F13" s="15">
        <f>Data!C9</f>
        <v>1.074365E-2</v>
      </c>
      <c r="G13" s="15">
        <f>Data!E9</f>
        <v>0.95650689029337321</v>
      </c>
      <c r="H13" s="15">
        <f>EXP(-Data!N9*'expenses risk'!E13)</f>
        <v>0.95623651108096919</v>
      </c>
      <c r="I13" s="20">
        <f>C13-C12*(Data!$K$5)</f>
        <v>102509.2067218232</v>
      </c>
      <c r="J13" s="23"/>
      <c r="K13" s="20">
        <f>I13-Data!$K$4</f>
        <v>102489.2067218232</v>
      </c>
      <c r="L13" s="20">
        <f>K13*H13*(G12*(1-Data!$K$8)^E12)*((1-F13)*Data!$K$8)</f>
        <v>7340.0415502440428</v>
      </c>
      <c r="M13" s="23"/>
      <c r="N13" s="20">
        <f>MAX(Data!$K$3*Data!$H$3,'expenses risk'!I13)-Data!$K$4</f>
        <v>109980.00000000001</v>
      </c>
      <c r="O13" s="20">
        <f>N13*H13*(G12*(1-Data!$K$8)^E12)*(F13)</f>
        <v>570.27698917410487</v>
      </c>
      <c r="P13" s="23"/>
      <c r="Q13" s="30">
        <f>Data!$K$11*(1+(Data!$K$10+$C$3))^'expenses risk'!E12*Data!$K$12*(1+$C$2)</f>
        <v>61.902984549999999</v>
      </c>
      <c r="R13" s="20">
        <f>$Q13*$H13*($G12*(1-Data!$K$8)^$E12)</f>
        <v>29.876647926944692</v>
      </c>
      <c r="S13" s="23"/>
      <c r="T13" s="30">
        <f>C12*Data!$K$6*(1+$C$2)</f>
        <v>1591.9225176589146</v>
      </c>
      <c r="U13" s="20">
        <f>$T13*$H13*($G12*(1-Data!$K$8)^$E12)</f>
        <v>768.32012111879328</v>
      </c>
      <c r="V13" s="22"/>
      <c r="W13" s="20">
        <f t="shared" si="0"/>
        <v>8708.5153084638841</v>
      </c>
    </row>
    <row r="14" spans="2:23" x14ac:dyDescent="0.75">
      <c r="B14" s="15">
        <v>6</v>
      </c>
      <c r="C14" s="20">
        <f>$C$8*EXP(Data!N10*'expenses risk'!B14)</f>
        <v>105821.12683155056</v>
      </c>
      <c r="E14" s="15">
        <v>6</v>
      </c>
      <c r="F14" s="15">
        <f>Data!C10</f>
        <v>1.1741759999999999E-2</v>
      </c>
      <c r="G14" s="15">
        <f>Data!E10</f>
        <v>0.94527581594920207</v>
      </c>
      <c r="H14" s="15">
        <f>EXP(-Data!N10*'expenses risk'!E14)</f>
        <v>0.9449908822005193</v>
      </c>
      <c r="I14" s="20">
        <f>C14-C13*(Data!$K$5)</f>
        <v>103729.59406029178</v>
      </c>
      <c r="J14" s="23"/>
      <c r="K14" s="20">
        <f>I14-Data!$K$4</f>
        <v>103709.59406029178</v>
      </c>
      <c r="L14" s="20">
        <f>K14*H14*(G13*(1-Data!$K$8)^E13)*((1-F14)*Data!$K$8)</f>
        <v>6165.8220593907045</v>
      </c>
      <c r="M14" s="23"/>
      <c r="N14" s="20">
        <f>MAX(Data!$K$3*Data!$H$3,'expenses risk'!I14)-Data!$K$4</f>
        <v>109980.00000000001</v>
      </c>
      <c r="O14" s="20">
        <f>N14*H14*(G13*(1-Data!$K$8)^E13)*(F14)</f>
        <v>517.91353894805923</v>
      </c>
      <c r="P14" s="23"/>
      <c r="Q14" s="30">
        <f>Data!$K$11*(1+(Data!$K$10+$C$3))^'expenses risk'!E13*Data!$K$12*(1+$C$2)</f>
        <v>63.760074086499998</v>
      </c>
      <c r="R14" s="20">
        <f>$Q14*$H14*($G13*(1-Data!$K$8)^$E13)</f>
        <v>25.571674203832885</v>
      </c>
      <c r="S14" s="23"/>
      <c r="T14" s="30">
        <f>C13*Data!$K$6*(1+$C$2)</f>
        <v>1610.4802338692557</v>
      </c>
      <c r="U14" s="20">
        <f>$T14*$H14*($G13*(1-Data!$K$8)^$E13)</f>
        <v>645.90069008305716</v>
      </c>
      <c r="V14" s="22"/>
      <c r="W14" s="20">
        <f t="shared" si="0"/>
        <v>7355.2079626256536</v>
      </c>
    </row>
    <row r="15" spans="2:23" x14ac:dyDescent="0.75">
      <c r="B15" s="15">
        <v>7</v>
      </c>
      <c r="C15" s="20">
        <f>$C$8*EXP(Data!N11*'expenses risk'!B15)</f>
        <v>107123.26556068068</v>
      </c>
      <c r="E15" s="15">
        <v>7</v>
      </c>
      <c r="F15" s="15">
        <f>Data!C11</f>
        <v>1.2944559999999999E-2</v>
      </c>
      <c r="G15" s="15">
        <f>Data!E11</f>
        <v>0.93303963643309862</v>
      </c>
      <c r="H15" s="15">
        <f>EXP(-Data!N11*'expenses risk'!E15)</f>
        <v>0.93350402899503038</v>
      </c>
      <c r="I15" s="20">
        <f>C15-C14*(Data!$K$5)</f>
        <v>105006.84302404967</v>
      </c>
      <c r="J15" s="23"/>
      <c r="K15" s="20">
        <f>I15-Data!$K$4</f>
        <v>104986.84302404967</v>
      </c>
      <c r="L15" s="20">
        <f>K15*H15*(G14*(1-Data!$K$8)^E14)*((1-F15)*Data!$K$8)</f>
        <v>5173.160823939611</v>
      </c>
      <c r="M15" s="23"/>
      <c r="N15" s="20">
        <f>MAX(Data!$K$3*Data!$H$3,'expenses risk'!I15)-Data!$K$4</f>
        <v>109980.00000000001</v>
      </c>
      <c r="O15" s="20">
        <f>N15*H15*(G14*(1-Data!$K$8)^E14)*(F15)</f>
        <v>473.79372678368412</v>
      </c>
      <c r="P15" s="23"/>
      <c r="Q15" s="30">
        <f>Data!$K$11*(1+(Data!$K$10+$C$3))^'expenses risk'!E14*Data!$K$12*(1+$C$2)</f>
        <v>65.672876309095003</v>
      </c>
      <c r="R15" s="20">
        <f>$Q15*$H15*($G14*(1-Data!$K$8)^$E14)</f>
        <v>21.856183874476105</v>
      </c>
      <c r="S15" s="23"/>
      <c r="T15" s="30">
        <f>C14*Data!$K$6*(1+$C$2)</f>
        <v>1629.6453532058788</v>
      </c>
      <c r="U15" s="20">
        <f>$T15*$H15*($G14*(1-Data!$K$8)^$E14)</f>
        <v>542.35219304564782</v>
      </c>
      <c r="V15" s="22"/>
      <c r="W15" s="20">
        <f t="shared" si="0"/>
        <v>6211.1629276434196</v>
      </c>
    </row>
    <row r="16" spans="2:23" x14ac:dyDescent="0.75">
      <c r="B16" s="15">
        <v>8</v>
      </c>
      <c r="C16" s="20">
        <f>$C$8*EXP(Data!N12*'expenses risk'!B16)</f>
        <v>108545.5809829549</v>
      </c>
      <c r="E16" s="15">
        <v>8</v>
      </c>
      <c r="F16" s="15">
        <f>Data!C12</f>
        <v>1.4286E-2</v>
      </c>
      <c r="G16" s="15">
        <f>Data!E12</f>
        <v>0.91971023218701531</v>
      </c>
      <c r="H16" s="15">
        <f>EXP(-Data!N12*'expenses risk'!E16)</f>
        <v>0.9212719586963487</v>
      </c>
      <c r="I16" s="20">
        <f>C16-C15*(Data!$K$5)</f>
        <v>106403.11567174128</v>
      </c>
      <c r="J16" s="23"/>
      <c r="K16" s="20">
        <f>I16-Data!$K$4</f>
        <v>106383.11567174128</v>
      </c>
      <c r="L16" s="20">
        <f>K16*H16*(G15*(1-Data!$K$8)^E15)*((1-F16)*Data!$K$8)</f>
        <v>4334.4631515222773</v>
      </c>
      <c r="M16" s="23"/>
      <c r="N16" s="20">
        <f>MAX(Data!$K$3*Data!$H$3,'expenses risk'!I16)-Data!$K$4</f>
        <v>109980.00000000001</v>
      </c>
      <c r="O16" s="20">
        <f>N16*H16*(G15*(1-Data!$K$8)^E15)*(F16)</f>
        <v>432.95702128344027</v>
      </c>
      <c r="P16" s="23"/>
      <c r="Q16" s="30">
        <f>Data!$K$11*(1+(Data!$K$10+$C$3))^'expenses risk'!E15*Data!$K$12*(1+$C$2)</f>
        <v>67.643062598367862</v>
      </c>
      <c r="R16" s="20">
        <f>$Q16*$H16*($G15*(1-Data!$K$8)^$E15)</f>
        <v>18.639904729778692</v>
      </c>
      <c r="S16" s="23"/>
      <c r="T16" s="30">
        <f>C15*Data!$K$6*(1+$C$2)</f>
        <v>1649.6982896344825</v>
      </c>
      <c r="U16" s="20">
        <f>$T16*$H16*($G15*(1-Data!$K$8)^$E15)</f>
        <v>454.59530911906955</v>
      </c>
      <c r="V16" s="22"/>
      <c r="W16" s="20">
        <f t="shared" si="0"/>
        <v>5240.6553866545664</v>
      </c>
    </row>
    <row r="17" spans="2:23" x14ac:dyDescent="0.75">
      <c r="B17" s="15">
        <v>9</v>
      </c>
      <c r="C17" s="20">
        <f>$C$8*EXP(Data!N13*'expenses risk'!B17)</f>
        <v>110079.20872612453</v>
      </c>
      <c r="E17" s="15">
        <v>9</v>
      </c>
      <c r="F17" s="15">
        <f>Data!C13</f>
        <v>1.5832019999999999E-2</v>
      </c>
      <c r="G17" s="15">
        <f>Data!E13</f>
        <v>0.90514936139682589</v>
      </c>
      <c r="H17" s="15">
        <f>EXP(-Data!N13*'expenses risk'!E17)</f>
        <v>0.90843676255702877</v>
      </c>
      <c r="I17" s="20">
        <f>C17-C16*(Data!$K$5)</f>
        <v>107908.29710646544</v>
      </c>
      <c r="J17" s="23"/>
      <c r="K17" s="20">
        <f>I17-Data!$K$4</f>
        <v>107888.29710646544</v>
      </c>
      <c r="L17" s="20">
        <f>K17*H17*(G16*(1-Data!$K$8)^E16)*((1-F17)*Data!$K$8)</f>
        <v>3626.0346790375056</v>
      </c>
      <c r="M17" s="23"/>
      <c r="N17" s="20">
        <f>MAX(Data!$K$3*Data!$H$3,'expenses risk'!I17)-Data!$K$4</f>
        <v>109980.00000000001</v>
      </c>
      <c r="O17" s="20">
        <f>N17*H17*(G16*(1-Data!$K$8)^E16)*(F17)</f>
        <v>396.41234434202522</v>
      </c>
      <c r="P17" s="23"/>
      <c r="Q17" s="30">
        <f>Data!$K$11*(1+(Data!$K$10+$C$3))^'expenses risk'!E16*Data!$K$12*(1+$C$2)</f>
        <v>69.672354476318887</v>
      </c>
      <c r="R17" s="20">
        <f>$Q17*$H17*($G16*(1-Data!$K$8)^$E16)</f>
        <v>15.861987817297667</v>
      </c>
      <c r="S17" s="23"/>
      <c r="T17" s="30">
        <f>C16*Data!$K$6*(1+$C$2)</f>
        <v>1671.6019471375057</v>
      </c>
      <c r="U17" s="20">
        <f>$T17*$H17*($G16*(1-Data!$K$8)^$E16)</f>
        <v>380.56600670612329</v>
      </c>
      <c r="V17" s="22"/>
      <c r="W17" s="20">
        <f t="shared" si="0"/>
        <v>4418.8750179029521</v>
      </c>
    </row>
    <row r="18" spans="2:23" x14ac:dyDescent="0.75">
      <c r="B18" s="15">
        <v>10</v>
      </c>
      <c r="C18" s="20">
        <f>$C$8*EXP(Data!N14*'expenses risk'!B18)</f>
        <v>111728.3172950561</v>
      </c>
      <c r="E18" s="15">
        <v>10</v>
      </c>
      <c r="F18" s="15">
        <f>Data!C14</f>
        <v>1.7437689999999999E-2</v>
      </c>
      <c r="G18" s="15">
        <f>Data!E14</f>
        <v>0.88936564742909008</v>
      </c>
      <c r="H18" s="15">
        <f>EXP(-Data!N14*'expenses risk'!E18)</f>
        <v>0.89502824727876684</v>
      </c>
      <c r="I18" s="20">
        <f>C18-C17*(Data!$K$5)</f>
        <v>109526.73312053361</v>
      </c>
      <c r="J18" s="23"/>
      <c r="K18" s="20">
        <f>I18-Data!$K$4</f>
        <v>109506.73312053361</v>
      </c>
      <c r="L18" s="20">
        <f>K18*H18*(G17*(1-Data!$K$8)^E17)*((1-F18)*Data!$K$8)</f>
        <v>3028.4437102840975</v>
      </c>
      <c r="M18" s="23"/>
      <c r="N18" s="20">
        <f>MAX(Data!$K$3*Data!$H$3,'expenses risk'!I18)-Data!$K$4</f>
        <v>109980.00000000001</v>
      </c>
      <c r="O18" s="20">
        <f>N18*H18*(G17*(1-Data!$K$8)^E17)*(F18)</f>
        <v>359.85702957399019</v>
      </c>
      <c r="P18" s="23"/>
      <c r="Q18" s="30">
        <f>Data!$K$11*(1+(Data!$K$10+$C$3))^'expenses risk'!E17*Data!$K$12*(1+$C$2)</f>
        <v>71.762525110608451</v>
      </c>
      <c r="R18" s="20">
        <f>$Q18*$H18*($G17*(1-Data!$K$8)^$E17)</f>
        <v>13.465579074513505</v>
      </c>
      <c r="S18" s="23"/>
      <c r="T18" s="30">
        <f>C17*Data!$K$6*(1+$C$2)</f>
        <v>1695.219814382318</v>
      </c>
      <c r="U18" s="20">
        <f>$T18*$H18*($G17*(1-Data!$K$8)^$E17)</f>
        <v>318.09243646406668</v>
      </c>
      <c r="V18" s="22"/>
      <c r="W18" s="20">
        <f t="shared" si="0"/>
        <v>3719.8587553966681</v>
      </c>
    </row>
    <row r="19" spans="2:23" x14ac:dyDescent="0.75">
      <c r="B19" s="15">
        <v>11</v>
      </c>
      <c r="C19" s="20">
        <f>$C$8*EXP(Data!N15*'expenses risk'!B19)</f>
        <v>113397.59534384529</v>
      </c>
      <c r="E19" s="15">
        <v>11</v>
      </c>
      <c r="F19" s="15">
        <f>Data!C15</f>
        <v>1.9402930000000002E-2</v>
      </c>
      <c r="G19" s="15">
        <f>Data!E15</f>
        <v>0.87210934802761875</v>
      </c>
      <c r="H19" s="15">
        <f>EXP(-Data!N15*'expenses risk'!E19)</f>
        <v>0.88185291492980111</v>
      </c>
      <c r="I19" s="20">
        <f>C19-C18*(Data!$K$5)</f>
        <v>111163.02899794416</v>
      </c>
      <c r="J19" s="23"/>
      <c r="K19" s="20">
        <f>I19-Data!$K$4</f>
        <v>111143.02899794416</v>
      </c>
      <c r="L19" s="20">
        <f>K19*H19*(G18*(1-Data!$K$8)^E18)*((1-F19)*Data!$K$8)</f>
        <v>2524.2353310938292</v>
      </c>
      <c r="M19" s="23"/>
      <c r="N19" s="20">
        <f>MAX(Data!$K$3*Data!$H$3,'expenses risk'!I19)-Data!$K$4</f>
        <v>111143.02899794416</v>
      </c>
      <c r="O19" s="20">
        <f>N19*H19*(G18*(1-Data!$K$8)^E18)*(F19)</f>
        <v>332.97782158197691</v>
      </c>
      <c r="P19" s="23"/>
      <c r="Q19" s="30">
        <f>Data!$K$11*(1+(Data!$K$10+$C$3))^'expenses risk'!E18*Data!$K$12*(1+$C$2)</f>
        <v>73.915400863926706</v>
      </c>
      <c r="R19" s="20">
        <f>$Q19*$H19*($G18*(1-Data!$K$8)^$E18)</f>
        <v>11.413023168573233</v>
      </c>
      <c r="S19" s="23"/>
      <c r="T19" s="30">
        <f>C18*Data!$K$6*(1+$C$2)</f>
        <v>1720.6160863438643</v>
      </c>
      <c r="U19" s="20">
        <f>$T19*$H19*($G18*(1-Data!$K$8)^$E18)</f>
        <v>265.6744200550778</v>
      </c>
      <c r="V19" s="22"/>
      <c r="W19" s="20">
        <f t="shared" si="0"/>
        <v>3134.3005958994572</v>
      </c>
    </row>
    <row r="20" spans="2:23" x14ac:dyDescent="0.75">
      <c r="B20" s="15">
        <v>12</v>
      </c>
      <c r="C20" s="20">
        <f>$C$8*EXP(Data!N16*'expenses risk'!B20)</f>
        <v>115073.4000410945</v>
      </c>
      <c r="E20" s="15">
        <v>12</v>
      </c>
      <c r="F20" s="15">
        <f>Data!C16</f>
        <v>2.1147599999999999E-2</v>
      </c>
      <c r="G20" s="15">
        <f>Data!E16</f>
        <v>0.85366632837926981</v>
      </c>
      <c r="H20" s="15">
        <f>EXP(-Data!N16*'expenses risk'!E20)</f>
        <v>0.8690105616440329</v>
      </c>
      <c r="I20" s="20">
        <f>C20-C19*(Data!$K$5)</f>
        <v>112805.4481342176</v>
      </c>
      <c r="J20" s="23"/>
      <c r="K20" s="20">
        <f>I20-Data!$K$4</f>
        <v>112785.4481342176</v>
      </c>
      <c r="L20" s="20">
        <f>K20*H20*(G19*(1-Data!$K$8)^E19)*((1-F20)*Data!$K$8)</f>
        <v>2100.2244873447316</v>
      </c>
      <c r="M20" s="23"/>
      <c r="N20" s="20">
        <f>MAX(Data!$K$3*Data!$H$3,'expenses risk'!I20)-Data!$K$4</f>
        <v>112785.4481342176</v>
      </c>
      <c r="O20" s="20">
        <f>N20*H20*(G19*(1-Data!$K$8)^E19)*(F20)</f>
        <v>302.49509438175733</v>
      </c>
      <c r="P20" s="23"/>
      <c r="Q20" s="30">
        <f>Data!$K$11*(1+(Data!$K$10+$C$3))^'expenses risk'!E19*Data!$K$12*(1+$C$2)</f>
        <v>76.132862889844503</v>
      </c>
      <c r="R20" s="20">
        <f>$Q20*$H20*($G19*(1-Data!$K$8)^$E19)</f>
        <v>9.6555349569761031</v>
      </c>
      <c r="S20" s="23"/>
      <c r="T20" s="30">
        <f>C19*Data!$K$6*(1+$C$2)</f>
        <v>1746.3229682952174</v>
      </c>
      <c r="U20" s="20">
        <f>$T20*$H20*($G19*(1-Data!$K$8)^$E19)</f>
        <v>221.47705769244035</v>
      </c>
      <c r="V20" s="22"/>
      <c r="W20" s="20">
        <f t="shared" si="0"/>
        <v>2633.8521743759056</v>
      </c>
    </row>
    <row r="21" spans="2:23" x14ac:dyDescent="0.75">
      <c r="B21" s="15">
        <v>13</v>
      </c>
      <c r="C21" s="20">
        <f>$C$8*EXP(Data!N17*'expenses risk'!B21)</f>
        <v>116776.30550507811</v>
      </c>
      <c r="E21" s="15">
        <v>13</v>
      </c>
      <c r="F21" s="15">
        <f>Data!C17</f>
        <v>2.3299589999999998E-2</v>
      </c>
      <c r="G21" s="15">
        <f>Data!E17</f>
        <v>0.83377625293122748</v>
      </c>
      <c r="H21" s="15">
        <f>EXP(-Data!N17*'expenses risk'!E21)</f>
        <v>0.85633810358601736</v>
      </c>
      <c r="I21" s="20">
        <f>C21-C20*(Data!$K$5)</f>
        <v>114474.83750425623</v>
      </c>
      <c r="J21" s="23"/>
      <c r="K21" s="20">
        <f>I21-Data!$K$4</f>
        <v>114454.83750425623</v>
      </c>
      <c r="L21" s="20">
        <f>K21*H21*(G20*(1-Data!$K$8)^E20)*((1-F21)*Data!$K$8)</f>
        <v>1743.6018101933062</v>
      </c>
      <c r="M21" s="23"/>
      <c r="N21" s="20">
        <f>MAX(Data!$K$3*Data!$H$3,'expenses risk'!I21)-Data!$K$4</f>
        <v>114454.83750425623</v>
      </c>
      <c r="O21" s="20">
        <f>N21*H21*(G20*(1-Data!$K$8)^E20)*(F21)</f>
        <v>277.29558886784167</v>
      </c>
      <c r="P21" s="23"/>
      <c r="Q21" s="30">
        <f>Data!$K$11*(1+(Data!$K$10+$C$3))^'expenses risk'!E20*Data!$K$12*(1+$C$2)</f>
        <v>78.416848776539837</v>
      </c>
      <c r="R21" s="20">
        <f>$Q21*$H21*($G20*(1-Data!$K$8)^$E20)</f>
        <v>8.1539851273955701</v>
      </c>
      <c r="S21" s="23"/>
      <c r="T21" s="30">
        <f>C20*Data!$K$6*(1+$C$2)</f>
        <v>1772.1303606328554</v>
      </c>
      <c r="U21" s="20">
        <f>$T21*$H21*($G20*(1-Data!$K$8)^$E20)</f>
        <v>184.27066159701985</v>
      </c>
      <c r="V21" s="22"/>
      <c r="W21" s="20">
        <f t="shared" si="0"/>
        <v>2213.3220457855632</v>
      </c>
    </row>
    <row r="22" spans="2:23" x14ac:dyDescent="0.75">
      <c r="B22" s="15">
        <v>14</v>
      </c>
      <c r="C22" s="20">
        <f>$C$8*EXP(Data!N18*'expenses risk'!B22)</f>
        <v>118426.22418666462</v>
      </c>
      <c r="E22" s="15">
        <v>14</v>
      </c>
      <c r="F22" s="15">
        <f>Data!C18</f>
        <v>2.5369679999999999E-2</v>
      </c>
      <c r="G22" s="15">
        <f>Data!E18</f>
        <v>0.81262361620276324</v>
      </c>
      <c r="H22" s="15">
        <f>EXP(-Data!N18*'expenses risk'!E22)</f>
        <v>0.84440756839784892</v>
      </c>
      <c r="I22" s="20">
        <f>C22-C21*(Data!$K$5)</f>
        <v>116090.69807656306</v>
      </c>
      <c r="J22" s="23"/>
      <c r="K22" s="20">
        <f>I22-Data!$K$4</f>
        <v>116070.69807656306</v>
      </c>
      <c r="L22" s="20">
        <f>K22*H22*(G21*(1-Data!$K$8)^E21)*((1-F22)*Data!$K$8)</f>
        <v>1444.4464519639664</v>
      </c>
      <c r="M22" s="23"/>
      <c r="N22" s="20">
        <f>MAX(Data!$K$3*Data!$H$3,'expenses risk'!I22)-Data!$K$4</f>
        <v>116070.69807656306</v>
      </c>
      <c r="O22" s="20">
        <f>N22*H22*(G21*(1-Data!$K$8)^E21)*(F22)</f>
        <v>250.66012901836257</v>
      </c>
      <c r="P22" s="23"/>
      <c r="Q22" s="30">
        <f>Data!$K$11*(1+(Data!$K$10+$C$3))^'expenses risk'!E21*Data!$K$12*(1+$C$2)</f>
        <v>80.769354239836034</v>
      </c>
      <c r="R22" s="20">
        <f>$Q22*$H22*($G21*(1-Data!$K$8)^$E21)</f>
        <v>6.8753416470000834</v>
      </c>
      <c r="S22" s="23"/>
      <c r="T22" s="30">
        <f>C21*Data!$K$6*(1+$C$2)</f>
        <v>1798.3551047782032</v>
      </c>
      <c r="U22" s="20">
        <f>$T22*$H22*($G21*(1-Data!$K$8)^$E21)</f>
        <v>153.08164667582071</v>
      </c>
      <c r="V22" s="22"/>
      <c r="W22" s="20">
        <f t="shared" si="0"/>
        <v>1855.0635693051499</v>
      </c>
    </row>
    <row r="23" spans="2:23" x14ac:dyDescent="0.75">
      <c r="B23" s="15">
        <v>15</v>
      </c>
      <c r="C23" s="20">
        <f>$C$8*EXP(Data!N19*'expenses risk'!B23)</f>
        <v>119865.48862989599</v>
      </c>
      <c r="E23" s="15">
        <v>15</v>
      </c>
      <c r="F23" s="15">
        <f>Data!C19</f>
        <v>2.8216439999999999E-2</v>
      </c>
      <c r="G23" s="15">
        <f>Data!E19</f>
        <v>0.78969427069359499</v>
      </c>
      <c r="H23" s="15">
        <f>EXP(-Data!N19*'expenses risk'!E23)</f>
        <v>0.83426848831164502</v>
      </c>
      <c r="I23" s="20">
        <f>C23-C22*(Data!$K$5)</f>
        <v>117496.9641461627</v>
      </c>
      <c r="J23" s="23"/>
      <c r="K23" s="20">
        <f>I23-Data!$K$4</f>
        <v>117476.9641461627</v>
      </c>
      <c r="L23" s="20">
        <f>K23*H23*(G22*(1-Data!$K$8)^E22)*((1-F23)*Data!$K$8)</f>
        <v>1193.0915257308475</v>
      </c>
      <c r="M23" s="23"/>
      <c r="N23" s="20">
        <f>MAX(Data!$K$3*Data!$H$3,'expenses risk'!I23)-Data!$K$4</f>
        <v>117476.9641461627</v>
      </c>
      <c r="O23" s="20">
        <f>N23*H23*(G22*(1-Data!$K$8)^E22)*(F23)</f>
        <v>230.94851457316216</v>
      </c>
      <c r="P23" s="23"/>
      <c r="Q23" s="30">
        <f>Data!$K$11*(1+(Data!$K$10+$C$3))^'expenses risk'!E22*Data!$K$12*(1+$C$2)</f>
        <v>83.19243486703111</v>
      </c>
      <c r="R23" s="20">
        <f>$Q23*$H23*($G22*(1-Data!$K$8)^$E22)</f>
        <v>5.7962095051606122</v>
      </c>
      <c r="S23" s="23"/>
      <c r="T23" s="30">
        <f>C22*Data!$K$6*(1+$C$2)</f>
        <v>1823.7638524746353</v>
      </c>
      <c r="U23" s="20">
        <f>$T23*$H23*($G22*(1-Data!$K$8)^$E22)</f>
        <v>127.06584912170946</v>
      </c>
      <c r="V23" s="22"/>
      <c r="W23" s="20">
        <f t="shared" si="0"/>
        <v>1556.9020989308797</v>
      </c>
    </row>
    <row r="24" spans="2:23" x14ac:dyDescent="0.75">
      <c r="B24" s="15">
        <v>16</v>
      </c>
      <c r="C24" s="20">
        <f>$C$8*EXP(Data!N20*'expenses risk'!B24)</f>
        <v>121031.42056620093</v>
      </c>
      <c r="E24" s="15">
        <v>16</v>
      </c>
      <c r="F24" s="15">
        <f>Data!C20</f>
        <v>3.1495290000000002E-2</v>
      </c>
      <c r="G24" s="15">
        <f>Data!E20</f>
        <v>0.76482262062676176</v>
      </c>
      <c r="H24" s="15">
        <f>EXP(-Data!N20*'expenses risk'!E24)</f>
        <v>0.82623173001016459</v>
      </c>
      <c r="I24" s="20">
        <f>C24-C23*(Data!$K$5)</f>
        <v>118634.11079360302</v>
      </c>
      <c r="J24" s="23"/>
      <c r="K24" s="20">
        <f>I24-Data!$K$4</f>
        <v>118614.11079360302</v>
      </c>
      <c r="L24" s="20">
        <f>K24*H24*(G23*(1-Data!$K$8)^E23)*((1-F24)*Data!$K$8)</f>
        <v>982.14157560156877</v>
      </c>
      <c r="M24" s="23"/>
      <c r="N24" s="20">
        <f>MAX(Data!$K$3*Data!$H$3,'expenses risk'!I24)-Data!$K$4</f>
        <v>118614.11079360302</v>
      </c>
      <c r="O24" s="20">
        <f>N24*H24*(G23*(1-Data!$K$8)^E23)*(F24)</f>
        <v>212.92502710787599</v>
      </c>
      <c r="P24" s="23"/>
      <c r="Q24" s="30">
        <f>Data!$K$11*(1+(Data!$K$10+$C$3))^'expenses risk'!E23*Data!$K$12*(1+$C$2)</f>
        <v>85.688207913042049</v>
      </c>
      <c r="R24" s="20">
        <f>$Q24*$H24*($G23*(1-Data!$K$8)^$E23)</f>
        <v>4.8838891959658666</v>
      </c>
      <c r="S24" s="23"/>
      <c r="T24" s="30">
        <f>C23*Data!$K$6*(1+$C$2)</f>
        <v>1845.9285249003985</v>
      </c>
      <c r="U24" s="20">
        <f>$T24*$H24*($G23*(1-Data!$K$8)^$E23)</f>
        <v>105.2106304806277</v>
      </c>
      <c r="V24" s="22"/>
      <c r="W24" s="20">
        <f t="shared" si="0"/>
        <v>1305.1611223860384</v>
      </c>
    </row>
    <row r="25" spans="2:23" x14ac:dyDescent="0.75">
      <c r="B25" s="15">
        <v>17</v>
      </c>
      <c r="C25" s="20">
        <f>$C$8*EXP(Data!N21*'expenses risk'!B25)</f>
        <v>122047.48447157405</v>
      </c>
      <c r="E25" s="15">
        <v>17</v>
      </c>
      <c r="F25" s="15">
        <f>Data!C21</f>
        <v>3.5661619999999998E-2</v>
      </c>
      <c r="G25" s="15">
        <f>Data!E21</f>
        <v>0.73754780696256605</v>
      </c>
      <c r="H25" s="15">
        <f>EXP(-Data!N21*'expenses risk'!E25)</f>
        <v>0.81935322495967455</v>
      </c>
      <c r="I25" s="20">
        <f>C25-C24*(Data!$K$5)</f>
        <v>119626.85606025002</v>
      </c>
      <c r="J25" s="23"/>
      <c r="K25" s="20">
        <f>I25-Data!$K$4</f>
        <v>119606.85606025002</v>
      </c>
      <c r="L25" s="20">
        <f>K25*H25*(G24*(1-Data!$K$8)^E24)*((1-F25)*Data!$K$8)</f>
        <v>805.02893192711997</v>
      </c>
      <c r="M25" s="23"/>
      <c r="N25" s="20">
        <f>MAX(Data!$K$3*Data!$H$3,'expenses risk'!I25)-Data!$K$4</f>
        <v>119606.85606025002</v>
      </c>
      <c r="O25" s="20">
        <f>N25*H25*(G24*(1-Data!$K$8)^E24)*(F25)</f>
        <v>198.46861817246364</v>
      </c>
      <c r="P25" s="23"/>
      <c r="Q25" s="30">
        <f>Data!$K$11*(1+(Data!$K$10+$C$3))^'expenses risk'!E24*Data!$K$12*(1+$C$2)</f>
        <v>88.258854150433294</v>
      </c>
      <c r="R25" s="20">
        <f>$Q25*$H25*($G24*(1-Data!$K$8)^$E24)</f>
        <v>4.1067000917533063</v>
      </c>
      <c r="S25" s="23"/>
      <c r="T25" s="30">
        <f>C24*Data!$K$6*(1+$C$2)</f>
        <v>1863.8838767194945</v>
      </c>
      <c r="U25" s="20">
        <f>$T25*$H25*($G24*(1-Data!$K$8)^$E24)</f>
        <v>86.726846402230109</v>
      </c>
      <c r="V25" s="22"/>
      <c r="W25" s="20">
        <f t="shared" si="0"/>
        <v>1094.3310965935671</v>
      </c>
    </row>
    <row r="26" spans="2:23" x14ac:dyDescent="0.75">
      <c r="B26" s="15">
        <v>18</v>
      </c>
      <c r="C26" s="20">
        <f>$C$8*EXP(Data!N22*'expenses risk'!B26)</f>
        <v>123064.69417332573</v>
      </c>
      <c r="E26" s="15">
        <v>18</v>
      </c>
      <c r="F26" s="15">
        <f>Data!C22</f>
        <v>3.9426679999999999E-2</v>
      </c>
      <c r="G26" s="15">
        <f>Data!E22</f>
        <v>0.70846874559275119</v>
      </c>
      <c r="H26" s="15">
        <f>EXP(-Data!N22*'expenses risk'!E26)</f>
        <v>0.81258073789350871</v>
      </c>
      <c r="I26" s="20">
        <f>C26-C25*(Data!$K$5)</f>
        <v>120623.74448389425</v>
      </c>
      <c r="J26" s="23"/>
      <c r="K26" s="20">
        <f>I26-Data!$K$4</f>
        <v>120603.74448389425</v>
      </c>
      <c r="L26" s="20">
        <f>K26*H26*(G25*(1-Data!$K$8)^E25)*((1-F26)*Data!$K$8)</f>
        <v>657.2960270609484</v>
      </c>
      <c r="M26" s="23"/>
      <c r="N26" s="20">
        <f>MAX(Data!$K$3*Data!$H$3,'expenses risk'!I26)-Data!$K$4</f>
        <v>120603.74448389425</v>
      </c>
      <c r="O26" s="20">
        <f>N26*H26*(G25*(1-Data!$K$8)^E25)*(F26)</f>
        <v>179.85786602389604</v>
      </c>
      <c r="P26" s="23"/>
      <c r="Q26" s="30">
        <f>Data!$K$11*(1+(Data!$K$10+$C$3))^'expenses risk'!E25*Data!$K$12*(1+$C$2)</f>
        <v>90.906619774946293</v>
      </c>
      <c r="R26" s="20">
        <f>$Q26*$H26*($G25*(1-Data!$K$8)^$E25)</f>
        <v>3.4385389317075816</v>
      </c>
      <c r="S26" s="23"/>
      <c r="T26" s="30">
        <f>C25*Data!$K$6*(1+$C$2)</f>
        <v>1879.5312608622405</v>
      </c>
      <c r="U26" s="20">
        <f>$T26*$H26*($G25*(1-Data!$K$8)^$E25)</f>
        <v>71.09318804104737</v>
      </c>
      <c r="V26" s="22"/>
      <c r="W26" s="20">
        <f t="shared" si="0"/>
        <v>911.68562005759941</v>
      </c>
    </row>
    <row r="27" spans="2:23" x14ac:dyDescent="0.75">
      <c r="B27" s="15">
        <v>19</v>
      </c>
      <c r="C27" s="20">
        <f>$C$8*EXP(Data!N23*'expenses risk'!B27)</f>
        <v>124255.5318588017</v>
      </c>
      <c r="E27" s="15">
        <v>19</v>
      </c>
      <c r="F27" s="15">
        <f>Data!C23</f>
        <v>4.4438100000000001E-2</v>
      </c>
      <c r="G27" s="15">
        <f>Data!E23</f>
        <v>0.6769857406292259</v>
      </c>
      <c r="H27" s="15">
        <f>EXP(-Data!N23*'expenses risk'!E27)</f>
        <v>0.80479314284079861</v>
      </c>
      <c r="I27" s="20">
        <f>C27-C26*(Data!$K$5)</f>
        <v>121794.23797533519</v>
      </c>
      <c r="J27" s="23"/>
      <c r="K27" s="20">
        <f>I27-Data!$K$4</f>
        <v>121774.23797533519</v>
      </c>
      <c r="L27" s="20">
        <f>K27*H27*(G26*(1-Data!$K$8)^E26)*((1-F27)*Data!$K$8)</f>
        <v>533.88919439026449</v>
      </c>
      <c r="M27" s="23"/>
      <c r="N27" s="20">
        <f>MAX(Data!$K$3*Data!$H$3,'expenses risk'!I27)-Data!$K$4</f>
        <v>121774.23797533519</v>
      </c>
      <c r="O27" s="20">
        <f>N27*H27*(G26*(1-Data!$K$8)^E26)*(F27)</f>
        <v>165.52230618957648</v>
      </c>
      <c r="P27" s="23"/>
      <c r="Q27" s="30">
        <f>Data!$K$11*(1+(Data!$K$10+$C$3))^'expenses risk'!E26*Data!$K$12*(1+$C$2)</f>
        <v>93.633818368194682</v>
      </c>
      <c r="R27" s="20">
        <f>$Q27*$H27*($G26*(1-Data!$K$8)^$E26)</f>
        <v>2.8640352595169798</v>
      </c>
      <c r="S27" s="23"/>
      <c r="T27" s="30">
        <f>C26*Data!$K$6*(1+$C$2)</f>
        <v>1895.1962902692164</v>
      </c>
      <c r="U27" s="20">
        <f>$T27*$H27*($G26*(1-Data!$K$8)^$E26)</f>
        <v>57.969535939383981</v>
      </c>
      <c r="V27" s="22"/>
      <c r="W27" s="20">
        <f t="shared" si="0"/>
        <v>760.24507177874193</v>
      </c>
    </row>
    <row r="28" spans="2:23" x14ac:dyDescent="0.75">
      <c r="B28" s="15">
        <v>20</v>
      </c>
      <c r="C28" s="20">
        <f>$C$8*EXP(Data!N24*'expenses risk'!B28)</f>
        <v>125709.05957472016</v>
      </c>
      <c r="E28" s="15">
        <v>20</v>
      </c>
      <c r="F28" s="15">
        <f>Data!C24</f>
        <v>4.9260350000000001E-2</v>
      </c>
      <c r="G28" s="15">
        <f>Data!E24</f>
        <v>0.64363718610082099</v>
      </c>
      <c r="H28" s="15">
        <f>EXP(-Data!N24*'expenses risk'!E28)</f>
        <v>0.79548761511942612</v>
      </c>
      <c r="I28" s="20">
        <f>C28-C27*(Data!$K$5)</f>
        <v>123223.94893754412</v>
      </c>
      <c r="J28" s="23"/>
      <c r="K28" s="20">
        <f>I28-Data!$K$4</f>
        <v>123203.94893754412</v>
      </c>
      <c r="L28" s="20">
        <f>K28*H28*(G27*(1-Data!$K$8)^E27)*((1-F28)*Data!$K$8)</f>
        <v>431.46942478271154</v>
      </c>
      <c r="M28" s="23"/>
      <c r="N28" s="20">
        <f>MAX(Data!$K$3*Data!$H$3,'expenses risk'!I28)-Data!$K$4</f>
        <v>123203.94893754412</v>
      </c>
      <c r="O28" s="20">
        <f>N28*H28*(G27*(1-Data!$K$8)^E27)*(F28)</f>
        <v>149.03719000320817</v>
      </c>
      <c r="P28" s="23"/>
      <c r="Q28" s="30">
        <f>Data!$K$11*(1+(Data!$K$10+$C$3))^'expenses risk'!E27*Data!$K$12*(1+$C$2)</f>
        <v>96.442832919240516</v>
      </c>
      <c r="R28" s="20">
        <f>$Q28*$H28*($G27*(1-Data!$K$8)^$E27)</f>
        <v>2.3683314993094462</v>
      </c>
      <c r="S28" s="23"/>
      <c r="T28" s="30">
        <f>C27*Data!$K$6*(1+$C$2)</f>
        <v>1913.5351906255462</v>
      </c>
      <c r="U28" s="20">
        <f>$T28*$H28*($G27*(1-Data!$K$8)^$E27)</f>
        <v>46.990383109033154</v>
      </c>
      <c r="V28" s="22"/>
      <c r="W28" s="20">
        <f t="shared" si="0"/>
        <v>629.86532939426229</v>
      </c>
    </row>
    <row r="29" spans="2:23" x14ac:dyDescent="0.75">
      <c r="B29" s="15">
        <v>21</v>
      </c>
      <c r="C29" s="20">
        <f>$C$8*EXP(Data!N25*'expenses risk'!B29)</f>
        <v>127583.38948511923</v>
      </c>
      <c r="E29" s="15">
        <v>21</v>
      </c>
      <c r="F29" s="15">
        <f>Data!C25</f>
        <v>5.4582220000000001E-2</v>
      </c>
      <c r="G29" s="15">
        <f>Data!E25</f>
        <v>0.60850603960888505</v>
      </c>
      <c r="H29" s="15">
        <f>EXP(-Data!N25*'expenses risk'!E29)</f>
        <v>0.78380109200393644</v>
      </c>
      <c r="I29" s="20">
        <f>C29-C28*(Data!$K$5)</f>
        <v>125069.20829362483</v>
      </c>
      <c r="J29" s="23"/>
      <c r="K29" s="20">
        <f>I29-Data!$K$4</f>
        <v>125049.20829362483</v>
      </c>
      <c r="L29" s="20">
        <f>K29*H29*(G28*(1-Data!$K$8)^E28)*((1-F29)*Data!$K$8)</f>
        <v>346.75399802694943</v>
      </c>
      <c r="M29" s="23"/>
      <c r="N29" s="20">
        <f>MAX(Data!$K$3*Data!$H$3,'expenses risk'!I29)-Data!$K$4</f>
        <v>125049.20829362483</v>
      </c>
      <c r="O29" s="20">
        <f>N29*H29*(G28*(1-Data!$K$8)^E28)*(F29)</f>
        <v>133.46200594469124</v>
      </c>
      <c r="P29" s="23"/>
      <c r="Q29" s="30">
        <f>Data!$K$11*(1+(Data!$K$10+$C$3))^'expenses risk'!E28*Data!$K$12*(1+$C$2)</f>
        <v>99.336117906817748</v>
      </c>
      <c r="R29" s="20">
        <f>$Q29*$H29*($G28*(1-Data!$K$8)^$E28)</f>
        <v>1.9423732552232011</v>
      </c>
      <c r="S29" s="23"/>
      <c r="T29" s="30">
        <f>C28*Data!$K$6*(1+$C$2)</f>
        <v>1935.9195174506906</v>
      </c>
      <c r="U29" s="20">
        <f>$T29*$H29*($G28*(1-Data!$K$8)^$E28)</f>
        <v>37.854089471144384</v>
      </c>
      <c r="V29" s="22"/>
      <c r="W29" s="20">
        <f t="shared" si="0"/>
        <v>520.01246669800821</v>
      </c>
    </row>
    <row r="30" spans="2:23" x14ac:dyDescent="0.75">
      <c r="B30" s="15">
        <v>22</v>
      </c>
      <c r="C30" s="20">
        <f>$C$8*EXP(Data!N26*'expenses risk'!B30)</f>
        <v>129812.38113746731</v>
      </c>
      <c r="E30" s="15">
        <v>22</v>
      </c>
      <c r="F30" s="15">
        <f>Data!C26</f>
        <v>6.0282510000000004E-2</v>
      </c>
      <c r="G30" s="15">
        <f>Data!E26</f>
        <v>0.57182376819110203</v>
      </c>
      <c r="H30" s="15">
        <f>EXP(-Data!N26*'expenses risk'!E30)</f>
        <v>0.77034254455361295</v>
      </c>
      <c r="I30" s="20">
        <f>C30-C29*(Data!$K$5)</f>
        <v>127260.71334776492</v>
      </c>
      <c r="J30" s="23"/>
      <c r="K30" s="20">
        <f>I30-Data!$K$4</f>
        <v>127240.71334776492</v>
      </c>
      <c r="L30" s="20">
        <f>K30*H30*(G29*(1-Data!$K$8)^E29)*((1-F30)*Data!$K$8)</f>
        <v>276.98795325375727</v>
      </c>
      <c r="M30" s="23"/>
      <c r="N30" s="20">
        <f>MAX(Data!$K$3*Data!$H$3,'expenses risk'!I30)-Data!$K$4</f>
        <v>127240.71334776492</v>
      </c>
      <c r="O30" s="20">
        <f>N30*H30*(G29*(1-Data!$K$8)^E29)*(F30)</f>
        <v>118.45779353607759</v>
      </c>
      <c r="P30" s="23"/>
      <c r="Q30" s="30">
        <f>Data!$K$11*(1+(Data!$K$10+$C$3))^'expenses risk'!E29*Data!$K$12*(1+$C$2)</f>
        <v>102.31620144402225</v>
      </c>
      <c r="R30" s="20">
        <f>$Q30*$H30*($G29*(1-Data!$K$8)^$E29)</f>
        <v>1.5801220196012764</v>
      </c>
      <c r="S30" s="23"/>
      <c r="T30" s="30">
        <f>C29*Data!$K$6*(1+$C$2)</f>
        <v>1964.7841980708365</v>
      </c>
      <c r="U30" s="20">
        <f>$T30*$H30*($G29*(1-Data!$K$8)^$E29)</f>
        <v>30.343178610231213</v>
      </c>
      <c r="V30" s="22"/>
      <c r="W30" s="20">
        <f t="shared" si="0"/>
        <v>427.36904741966737</v>
      </c>
    </row>
    <row r="31" spans="2:23" x14ac:dyDescent="0.75">
      <c r="B31" s="15">
        <v>23</v>
      </c>
      <c r="C31" s="20">
        <f>$C$8*EXP(Data!N27*'expenses risk'!B31)</f>
        <v>132392.39284358456</v>
      </c>
      <c r="E31" s="15">
        <v>23</v>
      </c>
      <c r="F31" s="15">
        <f>Data!C27</f>
        <v>6.5676349999999994E-2</v>
      </c>
      <c r="G31" s="15">
        <f>Data!E27</f>
        <v>0.53426847025306434</v>
      </c>
      <c r="H31" s="15">
        <f>EXP(-Data!N27*'expenses risk'!E31)</f>
        <v>0.75533040722472133</v>
      </c>
      <c r="I31" s="20">
        <f>C31-C30*(Data!$K$5)</f>
        <v>129796.14522083521</v>
      </c>
      <c r="J31" s="23"/>
      <c r="K31" s="20">
        <f>I31-Data!$K$4</f>
        <v>129776.14522083521</v>
      </c>
      <c r="L31" s="20">
        <f>K31*H31*(G30*(1-Data!$K$8)^E30)*((1-F31)*Data!$K$8)</f>
        <v>219.98800857881994</v>
      </c>
      <c r="M31" s="23"/>
      <c r="N31" s="20">
        <f>MAX(Data!$K$3*Data!$H$3,'expenses risk'!I31)-Data!$K$4</f>
        <v>129776.14522083521</v>
      </c>
      <c r="O31" s="20">
        <f>N31*H31*(G30*(1-Data!$K$8)^E30)*(F31)</f>
        <v>103.09068274307717</v>
      </c>
      <c r="P31" s="23"/>
      <c r="Q31" s="30">
        <f>Data!$K$11*(1+(Data!$K$10+$C$3))^'expenses risk'!E30*Data!$K$12*(1+$C$2)</f>
        <v>105.38568748734292</v>
      </c>
      <c r="R31" s="20">
        <f>$Q31*$H31*($G30*(1-Data!$K$8)^$E30)</f>
        <v>1.2746682554532394</v>
      </c>
      <c r="S31" s="23"/>
      <c r="T31" s="30">
        <f>C30*Data!$K$6*(1+$C$2)</f>
        <v>1999.1106695169967</v>
      </c>
      <c r="U31" s="20">
        <f>$T31*$H31*($G30*(1-Data!$K$8)^$E30)</f>
        <v>24.179781622407056</v>
      </c>
      <c r="V31" s="22"/>
      <c r="W31" s="20">
        <f t="shared" si="0"/>
        <v>348.53314119975744</v>
      </c>
    </row>
    <row r="32" spans="2:23" x14ac:dyDescent="0.75">
      <c r="B32" s="15">
        <v>24</v>
      </c>
      <c r="C32" s="20">
        <f>$C$8*EXP(Data!N28*'expenses risk'!B32)</f>
        <v>135277.76538194629</v>
      </c>
      <c r="E32" s="15">
        <v>24</v>
      </c>
      <c r="F32" s="15">
        <f>Data!C28</f>
        <v>7.3381680000000005E-2</v>
      </c>
      <c r="G32" s="15">
        <f>Data!E28</f>
        <v>0.49506295233486447</v>
      </c>
      <c r="H32" s="15">
        <f>EXP(-Data!N28*'expenses risk'!E32)</f>
        <v>0.73921978026217205</v>
      </c>
      <c r="I32" s="20">
        <f>C32-C31*(Data!$K$5)</f>
        <v>132629.91752507459</v>
      </c>
      <c r="J32" s="23"/>
      <c r="K32" s="20">
        <f>I32-Data!$K$4</f>
        <v>132609.91752507459</v>
      </c>
      <c r="L32" s="20">
        <f>K32*H32*(G31*(1-Data!$K$8)^E31)*((1-F32)*Data!$K$8)</f>
        <v>173.27526121765521</v>
      </c>
      <c r="M32" s="23"/>
      <c r="N32" s="20">
        <f>MAX(Data!$K$3*Data!$H$3,'expenses risk'!I32)-Data!$K$4</f>
        <v>132609.91752507459</v>
      </c>
      <c r="O32" s="20">
        <f>N32*H32*(G31*(1-Data!$K$8)^E31)*(F32)</f>
        <v>91.481245989829532</v>
      </c>
      <c r="P32" s="23"/>
      <c r="Q32" s="30">
        <f>Data!$K$11*(1+(Data!$K$10+$C$3))^'expenses risk'!E31*Data!$K$12*(1+$C$2)</f>
        <v>108.54725811196323</v>
      </c>
      <c r="R32" s="20">
        <f>$Q32*$H32*($G31*(1-Data!$K$8)^$E31)</f>
        <v>1.0204395289968622</v>
      </c>
      <c r="S32" s="23"/>
      <c r="T32" s="30">
        <f>C31*Data!$K$6*(1+$C$2)</f>
        <v>2038.8428497912025</v>
      </c>
      <c r="U32" s="20">
        <f>$T32*$H32*($G31*(1-Data!$K$8)^$E31)</f>
        <v>19.166912859222712</v>
      </c>
      <c r="V32" s="22"/>
      <c r="W32" s="20">
        <f t="shared" si="0"/>
        <v>284.94385959570428</v>
      </c>
    </row>
    <row r="33" spans="2:23" x14ac:dyDescent="0.75">
      <c r="B33" s="15">
        <v>25</v>
      </c>
      <c r="C33" s="20">
        <f>$C$8*EXP(Data!N29*'expenses risk'!B33)</f>
        <v>138472.28343364102</v>
      </c>
      <c r="E33" s="15">
        <v>25</v>
      </c>
      <c r="F33" s="15">
        <f>Data!C29</f>
        <v>8.3277150000000008E-2</v>
      </c>
      <c r="G33" s="15">
        <f>Data!E29</f>
        <v>0.45383552059383109</v>
      </c>
      <c r="H33" s="15">
        <f>EXP(-Data!N29*'expenses risk'!E33)</f>
        <v>0.72216618026611956</v>
      </c>
      <c r="I33" s="20">
        <f>C33-C32*(Data!$K$5)</f>
        <v>135766.7281260021</v>
      </c>
      <c r="J33" s="23"/>
      <c r="K33" s="20">
        <f>I33-Data!$K$4</f>
        <v>135746.7281260021</v>
      </c>
      <c r="L33" s="20">
        <f>K33*H33*(G32*(1-Data!$K$8)^E32)*((1-F33)*Data!$K$8)</f>
        <v>135.02384688701622</v>
      </c>
      <c r="M33" s="23"/>
      <c r="N33" s="20">
        <f>MAX(Data!$K$3*Data!$H$3,'expenses risk'!I33)-Data!$K$4</f>
        <v>135746.7281260021</v>
      </c>
      <c r="O33" s="20">
        <f>N33*H33*(G32*(1-Data!$K$8)^E32)*(F33)</f>
        <v>81.772451006954341</v>
      </c>
      <c r="P33" s="23"/>
      <c r="Q33" s="30">
        <f>Data!$K$11*(1+(Data!$K$10+$C$3))^'expenses risk'!E32*Data!$K$12*(1+$C$2)</f>
        <v>111.80367585532211</v>
      </c>
      <c r="R33" s="20">
        <f>$Q33*$H33*($G32*(1-Data!$K$8)^$E32)</f>
        <v>0.80873804367747326</v>
      </c>
      <c r="S33" s="23"/>
      <c r="T33" s="30">
        <f>C32*Data!$K$6*(1+$C$2)</f>
        <v>2083.2775868819731</v>
      </c>
      <c r="U33" s="20">
        <f>$T33*$H33*($G32*(1-Data!$K$8)^$E32)</f>
        <v>15.069503101421084</v>
      </c>
      <c r="V33" s="22"/>
      <c r="W33" s="20">
        <f t="shared" si="0"/>
        <v>232.67453903906912</v>
      </c>
    </row>
    <row r="34" spans="2:23" x14ac:dyDescent="0.75">
      <c r="B34" s="15">
        <v>26</v>
      </c>
      <c r="C34" s="20">
        <f>$C$8*EXP(Data!N30*'expenses risk'!B34)</f>
        <v>141937.97777979009</v>
      </c>
      <c r="E34" s="15">
        <v>26</v>
      </c>
      <c r="F34" s="15">
        <f>Data!C30</f>
        <v>9.6081320000000012E-2</v>
      </c>
      <c r="G34" s="15">
        <f>Data!E30</f>
        <v>0.41023040471228861</v>
      </c>
      <c r="H34" s="15">
        <f>EXP(-Data!N30*'expenses risk'!E34)</f>
        <v>0.7045330753911766</v>
      </c>
      <c r="I34" s="20">
        <f>C34-C33*(Data!$K$5)</f>
        <v>139168.53211111727</v>
      </c>
      <c r="J34" s="23"/>
      <c r="K34" s="20">
        <f>I34-Data!$K$4</f>
        <v>139148.53211111727</v>
      </c>
      <c r="L34" s="20">
        <f>K34*H34*(G33*(1-Data!$K$8)^E33)*((1-F34)*Data!$K$8)</f>
        <v>103.7462154844773</v>
      </c>
      <c r="M34" s="23"/>
      <c r="N34" s="20">
        <f>MAX(Data!$K$3*Data!$H$3,'expenses risk'!I34)-Data!$K$4</f>
        <v>139148.53211111727</v>
      </c>
      <c r="O34" s="20">
        <f>N34*H34*(G33*(1-Data!$K$8)^E33)*(F34)</f>
        <v>73.517478576376817</v>
      </c>
      <c r="P34" s="23"/>
      <c r="Q34" s="30">
        <f>Data!$K$11*(1+(Data!$K$10+$C$3))^'expenses risk'!E33*Data!$K$12*(1+$C$2)</f>
        <v>115.15778613098176</v>
      </c>
      <c r="R34" s="20">
        <f>$Q34*$H34*($G33*(1-Data!$K$8)^$E33)</f>
        <v>0.63323705517419182</v>
      </c>
      <c r="S34" s="23"/>
      <c r="T34" s="30">
        <f>C33*Data!$K$6*(1+$C$2)</f>
        <v>2132.4731648780717</v>
      </c>
      <c r="U34" s="20">
        <f>$T34*$H34*($G33*(1-Data!$K$8)^$E33)</f>
        <v>11.726180856146913</v>
      </c>
      <c r="V34" s="22"/>
      <c r="W34" s="20">
        <f t="shared" si="0"/>
        <v>189.62311197217522</v>
      </c>
    </row>
    <row r="35" spans="2:23" x14ac:dyDescent="0.75">
      <c r="B35" s="15">
        <v>27</v>
      </c>
      <c r="C35" s="20">
        <f>$C$8*EXP(Data!N31*'expenses risk'!B35)</f>
        <v>145660.73517676292</v>
      </c>
      <c r="E35" s="15">
        <v>27</v>
      </c>
      <c r="F35" s="15">
        <f>Data!C31</f>
        <v>0.10923843</v>
      </c>
      <c r="G35" s="15">
        <f>Data!E31</f>
        <v>0.36541747936325358</v>
      </c>
      <c r="H35" s="15">
        <f>EXP(-Data!N31*'expenses risk'!E35)</f>
        <v>0.68652681093945822</v>
      </c>
      <c r="I35" s="20">
        <f>C35-C34*(Data!$K$5)</f>
        <v>142821.9756211671</v>
      </c>
      <c r="J35" s="23"/>
      <c r="K35" s="20">
        <f>I35-Data!$K$4</f>
        <v>142801.9756211671</v>
      </c>
      <c r="L35" s="20">
        <f>K35*H35*(G34*(1-Data!$K$8)^E34)*((1-F35)*Data!$K$8)</f>
        <v>78.553287166747566</v>
      </c>
      <c r="M35" s="23"/>
      <c r="N35" s="20">
        <f>MAX(Data!$K$3*Data!$H$3,'expenses risk'!I35)-Data!$K$4</f>
        <v>142801.9756211671</v>
      </c>
      <c r="O35" s="20">
        <f>N35*H35*(G34*(1-Data!$K$8)^E34)*(F35)</f>
        <v>64.222481454340652</v>
      </c>
      <c r="P35" s="23"/>
      <c r="Q35" s="30">
        <f>Data!$K$11*(1+(Data!$K$10+$C$3))^'expenses risk'!E34*Data!$K$12*(1+$C$2)</f>
        <v>118.61251971491124</v>
      </c>
      <c r="R35" s="20">
        <f>$Q35*$H35*($G34*(1-Data!$K$8)^$E34)</f>
        <v>0.48832386383936449</v>
      </c>
      <c r="S35" s="23"/>
      <c r="T35" s="30">
        <f>C34*Data!$K$6*(1+$C$2)</f>
        <v>2185.8448578087678</v>
      </c>
      <c r="U35" s="20">
        <f>$T35*$H35*($G34*(1-Data!$K$8)^$E34)</f>
        <v>8.9990517804032173</v>
      </c>
      <c r="V35" s="22"/>
      <c r="W35" s="20">
        <f t="shared" si="0"/>
        <v>152.26314426533079</v>
      </c>
    </row>
    <row r="36" spans="2:23" x14ac:dyDescent="0.75">
      <c r="B36" s="15">
        <v>28</v>
      </c>
      <c r="C36" s="20">
        <f>$C$8*EXP(Data!N32*'expenses risk'!B36)</f>
        <v>149660.61829700484</v>
      </c>
      <c r="E36" s="15">
        <v>28</v>
      </c>
      <c r="F36" s="15">
        <f>Data!C32</f>
        <v>0.12370281</v>
      </c>
      <c r="G36" s="15">
        <f>Data!E32</f>
        <v>0.32021431034290215</v>
      </c>
      <c r="H36" s="15">
        <f>EXP(-Data!N32*'expenses risk'!E36)</f>
        <v>0.66817845026904654</v>
      </c>
      <c r="I36" s="20">
        <f>C36-C35*(Data!$K$5)</f>
        <v>146747.40359346959</v>
      </c>
      <c r="J36" s="23"/>
      <c r="K36" s="20">
        <f>I36-Data!$K$4</f>
        <v>146727.40359346959</v>
      </c>
      <c r="L36" s="20">
        <f>K36*H36*(G35*(1-Data!$K$8)^E35)*((1-F36)*Data!$K$8)</f>
        <v>58.512235022835192</v>
      </c>
      <c r="M36" s="23"/>
      <c r="N36" s="20">
        <f>MAX(Data!$K$3*Data!$H$3,'expenses risk'!I36)-Data!$K$4</f>
        <v>146727.40359346959</v>
      </c>
      <c r="O36" s="20">
        <f>N36*H36*(G35*(1-Data!$K$8)^E35)*(F36)</f>
        <v>55.066005569070519</v>
      </c>
      <c r="P36" s="23"/>
      <c r="Q36" s="30">
        <f>Data!$K$11*(1+(Data!$K$10+$C$3))^'expenses risk'!E35*Data!$K$12*(1+$C$2)</f>
        <v>122.17089530635856</v>
      </c>
      <c r="R36" s="20">
        <f>$Q36*$H36*($G35*(1-Data!$K$8)^$E35)</f>
        <v>0.37064703750071026</v>
      </c>
      <c r="S36" s="23"/>
      <c r="T36" s="30">
        <f>C35*Data!$K$6*(1+$C$2)</f>
        <v>2243.175321722149</v>
      </c>
      <c r="U36" s="20">
        <f>$T36*$H36*($G35*(1-Data!$K$8)^$E35)</f>
        <v>6.8054366427135813</v>
      </c>
      <c r="V36" s="22"/>
      <c r="W36" s="20">
        <f t="shared" si="0"/>
        <v>120.75432427212002</v>
      </c>
    </row>
    <row r="37" spans="2:23" x14ac:dyDescent="0.75">
      <c r="B37" s="15">
        <v>29</v>
      </c>
      <c r="C37" s="20">
        <f>$C$8*EXP(Data!N33*'expenses risk'!B37)</f>
        <v>153870.32249936444</v>
      </c>
      <c r="E37" s="15">
        <v>29</v>
      </c>
      <c r="F37" s="15">
        <f>Data!C33</f>
        <v>0.13953249000000001</v>
      </c>
      <c r="G37" s="15">
        <f>Data!E33</f>
        <v>0.27553401028712426</v>
      </c>
      <c r="H37" s="15">
        <f>EXP(-Data!N33*'expenses risk'!E37)</f>
        <v>0.64989790347916543</v>
      </c>
      <c r="I37" s="20">
        <f>C37-C36*(Data!$K$5)</f>
        <v>150877.11013342434</v>
      </c>
      <c r="J37" s="23"/>
      <c r="K37" s="20">
        <f>I37-Data!$K$4</f>
        <v>150857.11013342434</v>
      </c>
      <c r="L37" s="20">
        <f>K37*H37*(G36*(1-Data!$K$8)^E36)*((1-F37)*Data!$K$8)</f>
        <v>42.796407312188933</v>
      </c>
      <c r="M37" s="23"/>
      <c r="N37" s="20">
        <f>MAX(Data!$K$3*Data!$H$3,'expenses risk'!I37)-Data!$K$4</f>
        <v>150857.11013342434</v>
      </c>
      <c r="O37" s="20">
        <f>N37*H37*(G36*(1-Data!$K$8)^E36)*(F37)</f>
        <v>46.265463878071969</v>
      </c>
      <c r="P37" s="23"/>
      <c r="Q37" s="30">
        <f>Data!$K$11*(1+(Data!$K$10+$C$3))^'expenses risk'!E36*Data!$K$12*(1+$C$2)</f>
        <v>125.83602216554932</v>
      </c>
      <c r="R37" s="20">
        <f>$Q37*$H37*($G36*(1-Data!$K$8)^$E36)</f>
        <v>0.27658000096100571</v>
      </c>
      <c r="S37" s="23"/>
      <c r="T37" s="30">
        <f>C36*Data!$K$6*(1+$C$2)</f>
        <v>2304.7735217738746</v>
      </c>
      <c r="U37" s="20">
        <f>$T37*$H37*($G36*(1-Data!$K$8)^$E36)</f>
        <v>5.0657534456110396</v>
      </c>
      <c r="V37" s="22"/>
      <c r="W37" s="20">
        <f t="shared" si="0"/>
        <v>94.404204636832944</v>
      </c>
    </row>
    <row r="38" spans="2:23" x14ac:dyDescent="0.75">
      <c r="B38" s="15">
        <v>30</v>
      </c>
      <c r="C38" s="20">
        <f>$C$8*EXP(Data!N34*'expenses risk'!B38)</f>
        <v>158391.55855160882</v>
      </c>
      <c r="E38" s="15">
        <v>30</v>
      </c>
      <c r="F38" s="15">
        <f>Data!C34</f>
        <v>0.15663443000000002</v>
      </c>
      <c r="G38" s="15">
        <f>Data!E34</f>
        <v>0.23237589764018643</v>
      </c>
      <c r="H38" s="15">
        <f>EXP(-Data!N34*'expenses risk'!E38)</f>
        <v>0.63134677702800013</v>
      </c>
      <c r="I38" s="20">
        <f>C38-C37*(Data!$K$5)</f>
        <v>155314.15210162153</v>
      </c>
      <c r="J38" s="23"/>
      <c r="K38" s="20">
        <f>I38-Data!$K$4</f>
        <v>155294.15210162153</v>
      </c>
      <c r="L38" s="20">
        <f>K38*H38*(G37*(1-Data!$K$8)^E37)*((1-F38)*Data!$K$8)</f>
        <v>30.679922258794488</v>
      </c>
      <c r="M38" s="23"/>
      <c r="N38" s="20">
        <f>MAX(Data!$K$3*Data!$H$3,'expenses risk'!I38)-Data!$K$4</f>
        <v>155294.15210162153</v>
      </c>
      <c r="O38" s="20">
        <f>N38*H38*(G37*(1-Data!$K$8)^E37)*(F38)</f>
        <v>37.98694426546713</v>
      </c>
      <c r="P38" s="23"/>
      <c r="Q38" s="30">
        <f>Data!$K$11*(1+(Data!$K$10+$C$3))^'expenses risk'!E37*Data!$K$12*(1+$C$2)</f>
        <v>129.61110283051579</v>
      </c>
      <c r="R38" s="20">
        <f>$Q38*$H38*($G37*(1-Data!$K$8)^$E37)</f>
        <v>0.20241105694448919</v>
      </c>
      <c r="S38" s="23"/>
      <c r="T38" s="30">
        <f>C37*Data!$K$6*(1+$C$2)</f>
        <v>2369.6029664902126</v>
      </c>
      <c r="U38" s="20">
        <f>$T38*$H38*($G37*(1-Data!$K$8)^$E37)</f>
        <v>3.7005613756197082</v>
      </c>
      <c r="V38" s="22"/>
      <c r="W38" s="20">
        <f t="shared" si="0"/>
        <v>72.569838956825819</v>
      </c>
    </row>
    <row r="39" spans="2:23" x14ac:dyDescent="0.75">
      <c r="B39" s="15">
        <v>31</v>
      </c>
      <c r="C39" s="20">
        <f>$C$8*EXP(Data!N35*'expenses risk'!B39)</f>
        <v>163097.82692897582</v>
      </c>
      <c r="E39" s="15">
        <v>31</v>
      </c>
      <c r="F39" s="15">
        <f>Data!C35</f>
        <v>0.17330804</v>
      </c>
      <c r="G39" s="15">
        <f>Data!E35</f>
        <v>0.19210328627692511</v>
      </c>
      <c r="H39" s="15">
        <f>EXP(-Data!N35*'expenses risk'!E39)</f>
        <v>0.61312895384894972</v>
      </c>
      <c r="I39" s="20">
        <f>C39-C38*(Data!$K$5)</f>
        <v>159929.99575794363</v>
      </c>
      <c r="J39" s="23"/>
      <c r="K39" s="20">
        <f>I39-Data!$K$4</f>
        <v>159909.99575794363</v>
      </c>
      <c r="L39" s="20">
        <f>K39*H39*(G38*(1-Data!$K$8)^E38)*((1-F39)*Data!$K$8)</f>
        <v>21.55863510822677</v>
      </c>
      <c r="M39" s="23"/>
      <c r="N39" s="20">
        <f>MAX(Data!$K$3*Data!$H$3,'expenses risk'!I39)-Data!$K$4</f>
        <v>159909.99575794363</v>
      </c>
      <c r="O39" s="20">
        <f>N39*H39*(G38*(1-Data!$K$8)^E38)*(F39)</f>
        <v>30.130407104172711</v>
      </c>
      <c r="P39" s="23"/>
      <c r="Q39" s="30">
        <f>Data!$K$11*(1+(Data!$K$10+$C$3))^'expenses risk'!E38*Data!$K$12*(1+$C$2)</f>
        <v>133.49943591543126</v>
      </c>
      <c r="R39" s="20">
        <f>$Q39*$H39*($G38*(1-Data!$K$8)^$E38)</f>
        <v>0.14514099894756366</v>
      </c>
      <c r="S39" s="23"/>
      <c r="T39" s="30">
        <f>C38*Data!$K$6*(1+$C$2)</f>
        <v>2439.2300016947761</v>
      </c>
      <c r="U39" s="20">
        <f>$T39*$H39*($G38*(1-Data!$K$8)^$E38)</f>
        <v>2.651938389710637</v>
      </c>
      <c r="V39" s="22"/>
      <c r="W39" s="20">
        <f t="shared" si="0"/>
        <v>54.486121601057683</v>
      </c>
    </row>
    <row r="40" spans="2:23" x14ac:dyDescent="0.75">
      <c r="B40" s="15">
        <v>32</v>
      </c>
      <c r="C40" s="20">
        <f>$C$8*EXP(Data!N36*'expenses risk'!B40)</f>
        <v>168095.14964088646</v>
      </c>
      <c r="E40" s="15">
        <v>32</v>
      </c>
      <c r="F40" s="15">
        <f>Data!C36</f>
        <v>0.19215108</v>
      </c>
      <c r="G40" s="15">
        <f>Data!E36</f>
        <v>0.15519043234726476</v>
      </c>
      <c r="H40" s="15">
        <f>EXP(-Data!N36*'expenses risk'!E40)</f>
        <v>0.59490116290468265</v>
      </c>
      <c r="I40" s="20">
        <f>C40-C39*(Data!$K$5)</f>
        <v>164833.19310230695</v>
      </c>
      <c r="J40" s="23"/>
      <c r="K40" s="20">
        <f>I40-Data!$K$4</f>
        <v>164813.19310230695</v>
      </c>
      <c r="L40" s="20">
        <f>K40*H40*(G39*(1-Data!$K$8)^E39)*((1-F40)*Data!$K$8)</f>
        <v>14.804020936787886</v>
      </c>
      <c r="M40" s="23"/>
      <c r="N40" s="20">
        <f>MAX(Data!$K$3*Data!$H$3,'expenses risk'!I40)-Data!$K$4</f>
        <v>164813.19310230695</v>
      </c>
      <c r="O40" s="20">
        <f>N40*H40*(G39*(1-Data!$K$8)^E39)*(F40)</f>
        <v>23.474757395202097</v>
      </c>
      <c r="P40" s="23"/>
      <c r="Q40" s="30">
        <f>Data!$K$11*(1+(Data!$K$10+$C$3))^'expenses risk'!E39*Data!$K$12*(1+$C$2)</f>
        <v>137.50441899289422</v>
      </c>
      <c r="R40" s="20">
        <f>$Q40*$H40*($G39*(1-Data!$K$8)^$E39)</f>
        <v>0.10192552678318124</v>
      </c>
      <c r="S40" s="23"/>
      <c r="T40" s="30">
        <f>C39*Data!$K$6*(1+$C$2)</f>
        <v>2511.706534706228</v>
      </c>
      <c r="U40" s="20">
        <f>$T40*$H40*($G39*(1-Data!$K$8)^$E39)</f>
        <v>1.861809340745046</v>
      </c>
      <c r="V40" s="22"/>
      <c r="W40" s="20">
        <f t="shared" si="0"/>
        <v>40.242513199518214</v>
      </c>
    </row>
    <row r="41" spans="2:23" x14ac:dyDescent="0.75">
      <c r="B41" s="15">
        <v>33</v>
      </c>
      <c r="C41" s="20">
        <f>$C$8*EXP(Data!N37*'expenses risk'!B41)</f>
        <v>173344.36861859259</v>
      </c>
      <c r="E41" s="15">
        <v>33</v>
      </c>
      <c r="F41" s="15">
        <f>Data!C37</f>
        <v>0.21016615999999999</v>
      </c>
      <c r="G41" s="15">
        <f>Data!E37</f>
        <v>0.12257465511210035</v>
      </c>
      <c r="H41" s="15">
        <f>EXP(-Data!N37*'expenses risk'!E41)</f>
        <v>0.5768863493917632</v>
      </c>
      <c r="I41" s="20">
        <f>C41-C40*(Data!$K$5)</f>
        <v>169982.46562577487</v>
      </c>
      <c r="J41" s="23"/>
      <c r="K41" s="20">
        <f>I41-Data!$K$4</f>
        <v>169962.46562577487</v>
      </c>
      <c r="L41" s="20">
        <f>K41*H41*(G40*(1-Data!$K$8)^E40)*((1-F41)*Data!$K$8)</f>
        <v>9.9389578118162412</v>
      </c>
      <c r="M41" s="23"/>
      <c r="N41" s="20">
        <f>MAX(Data!$K$3*Data!$H$3,'expenses risk'!I41)-Data!$K$4</f>
        <v>169962.46562577487</v>
      </c>
      <c r="O41" s="20">
        <f>N41*H41*(G40*(1-Data!$K$8)^E40)*(F41)</f>
        <v>17.630987615584413</v>
      </c>
      <c r="P41" s="23"/>
      <c r="Q41" s="30">
        <f>Data!$K$11*(1+(Data!$K$10+$C$3))^'expenses risk'!E40*Data!$K$12*(1+$C$2)</f>
        <v>141.62955156268103</v>
      </c>
      <c r="R41" s="20">
        <f>$Q41*$H41*($G40*(1-Data!$K$8)^$E40)</f>
        <v>6.9906041186465637E-2</v>
      </c>
      <c r="S41" s="23"/>
      <c r="T41" s="30">
        <f>C40*Data!$K$6*(1+$C$2)</f>
        <v>2588.6653044696518</v>
      </c>
      <c r="U41" s="20">
        <f>$T41*$H41*($G40*(1-Data!$K$8)^$E40)</f>
        <v>1.2777230556445072</v>
      </c>
      <c r="V41" s="22"/>
      <c r="W41" s="20">
        <f t="shared" si="0"/>
        <v>28.917574524231629</v>
      </c>
    </row>
    <row r="42" spans="2:23" x14ac:dyDescent="0.75">
      <c r="B42" s="15">
        <v>34</v>
      </c>
      <c r="C42" s="20">
        <f>$C$8*EXP(Data!N38*'expenses risk'!B42)</f>
        <v>178793.26352376863</v>
      </c>
      <c r="E42" s="15">
        <v>34</v>
      </c>
      <c r="F42" s="15">
        <f>Data!C38</f>
        <v>0.22946572000000001</v>
      </c>
      <c r="G42" s="15">
        <f>Data!E38</f>
        <v>9.444797362305056E-2</v>
      </c>
      <c r="H42" s="15">
        <f>EXP(-Data!N38*'expenses risk'!E42)</f>
        <v>0.55930518873663315</v>
      </c>
      <c r="I42" s="20">
        <f>C42-C41*(Data!$K$5)</f>
        <v>175326.37615139678</v>
      </c>
      <c r="J42" s="23"/>
      <c r="K42" s="20">
        <f>I42-Data!$K$4</f>
        <v>175306.37615139678</v>
      </c>
      <c r="L42" s="20">
        <f>K42*H42*(G41*(1-Data!$K$8)^E41)*((1-F42)*Data!$K$8)</f>
        <v>6.5096106404308411</v>
      </c>
      <c r="M42" s="23"/>
      <c r="N42" s="20">
        <f>MAX(Data!$K$3*Data!$H$3,'expenses risk'!I42)-Data!$K$4</f>
        <v>175306.37615139678</v>
      </c>
      <c r="O42" s="20">
        <f>N42*H42*(G41*(1-Data!$K$8)^E41)*(F42)</f>
        <v>12.923781427142771</v>
      </c>
      <c r="P42" s="23"/>
      <c r="Q42" s="30">
        <f>Data!$K$11*(1+(Data!$K$10+$C$3))^'expenses risk'!E41*Data!$K$12*(1+$C$2)</f>
        <v>145.87843810956144</v>
      </c>
      <c r="R42" s="20">
        <f>$Q42*$H42*($G41*(1-Data!$K$8)^$E41)</f>
        <v>4.6866787063209951E-2</v>
      </c>
      <c r="S42" s="23"/>
      <c r="T42" s="30">
        <f>C41*Data!$K$6*(1+$C$2)</f>
        <v>2669.503276726326</v>
      </c>
      <c r="U42" s="20">
        <f>$T42*$H42*($G41*(1-Data!$K$8)^$E41)</f>
        <v>0.85763902641259271</v>
      </c>
      <c r="V42" s="22"/>
      <c r="W42" s="20">
        <f t="shared" si="0"/>
        <v>20.337897881049415</v>
      </c>
    </row>
    <row r="43" spans="2:23" x14ac:dyDescent="0.75">
      <c r="B43" s="15">
        <v>35</v>
      </c>
      <c r="C43" s="20">
        <f>$C$8*EXP(Data!N39*'expenses risk'!B43)</f>
        <v>184503.82334224999</v>
      </c>
      <c r="E43" s="15">
        <v>35</v>
      </c>
      <c r="F43" s="15">
        <f>Data!C39</f>
        <v>0.25075094999999997</v>
      </c>
      <c r="G43" s="15">
        <f>Data!E39</f>
        <v>7.0765054511495687E-2</v>
      </c>
      <c r="H43" s="15">
        <f>EXP(-Data!N39*'expenses risk'!E43)</f>
        <v>0.54199418845918712</v>
      </c>
      <c r="I43" s="20">
        <f>C43-C42*(Data!$K$5)</f>
        <v>180927.95807177463</v>
      </c>
      <c r="J43" s="23"/>
      <c r="K43" s="20">
        <f>I43-Data!$K$4</f>
        <v>180907.95807177463</v>
      </c>
      <c r="L43" s="20">
        <f>K43*H43*(G42*(1-Data!$K$8)^E42)*((1-F43)*Data!$K$8)</f>
        <v>4.1457764523164613</v>
      </c>
      <c r="M43" s="23"/>
      <c r="N43" s="20">
        <f>MAX(Data!$K$3*Data!$H$3,'expenses risk'!I43)-Data!$K$4</f>
        <v>180907.95807177463</v>
      </c>
      <c r="O43" s="20">
        <f>N43*H43*(G42*(1-Data!$K$8)^E42)*(F43)</f>
        <v>9.2497715671087146</v>
      </c>
      <c r="P43" s="23"/>
      <c r="Q43" s="30">
        <f>Data!$K$11*(1+(Data!$K$10+$C$3))^'expenses risk'!E42*Data!$K$12*(1+$C$2)</f>
        <v>150.25479125284826</v>
      </c>
      <c r="R43" s="20">
        <f>$Q43*$H43*($G42*(1-Data!$K$8)^$E42)</f>
        <v>3.0637905915552103E-2</v>
      </c>
      <c r="S43" s="23"/>
      <c r="T43" s="30">
        <f>C42*Data!$K$6*(1+$C$2)</f>
        <v>2753.4162582660374</v>
      </c>
      <c r="U43" s="20">
        <f>$T43*$H43*($G42*(1-Data!$K$8)^$E42)</f>
        <v>0.56143905670966243</v>
      </c>
      <c r="V43" s="22"/>
      <c r="W43" s="20">
        <f t="shared" si="0"/>
        <v>13.987624982050392</v>
      </c>
    </row>
    <row r="44" spans="2:23" x14ac:dyDescent="0.75">
      <c r="B44" s="15">
        <v>36</v>
      </c>
      <c r="C44" s="20">
        <f>$C$8*EXP(Data!N40*'expenses risk'!B44)</f>
        <v>190484.37800634195</v>
      </c>
      <c r="E44" s="15">
        <v>36</v>
      </c>
      <c r="F44" s="15">
        <f>Data!C40</f>
        <v>0.27485301000000001</v>
      </c>
      <c r="G44" s="15">
        <f>Data!E40</f>
        <v>5.1315066276197023E-2</v>
      </c>
      <c r="H44" s="15">
        <f>EXP(-Data!N40*'expenses risk'!E44)</f>
        <v>0.52497743409000508</v>
      </c>
      <c r="I44" s="20">
        <f>C44-C43*(Data!$K$5)</f>
        <v>186794.30153949696</v>
      </c>
      <c r="J44" s="23"/>
      <c r="K44" s="20">
        <f>I44-Data!$K$4</f>
        <v>186774.30153949696</v>
      </c>
      <c r="L44" s="20">
        <f>K44*H44*(G43*(1-Data!$K$8)^E43)*((1-F44)*Data!$K$8)</f>
        <v>2.5553848169884095</v>
      </c>
      <c r="M44" s="23"/>
      <c r="N44" s="20">
        <f>MAX(Data!$K$3*Data!$H$3,'expenses risk'!I44)-Data!$K$4</f>
        <v>186774.30153949696</v>
      </c>
      <c r="O44" s="20">
        <f>N44*H44*(G43*(1-Data!$K$8)^E43)*(F44)</f>
        <v>6.4571295506819784</v>
      </c>
      <c r="P44" s="23"/>
      <c r="Q44" s="30">
        <f>Data!$K$11*(1+(Data!$K$10+$C$3))^'expenses risk'!E43*Data!$K$12*(1+$C$2)</f>
        <v>154.76243499043375</v>
      </c>
      <c r="R44" s="20">
        <f>$Q44*$H44*($G43*(1-Data!$K$8)^$E43)</f>
        <v>1.9466480344324896E-2</v>
      </c>
      <c r="S44" s="23"/>
      <c r="T44" s="30">
        <f>C43*Data!$K$6*(1+$C$2)</f>
        <v>2841.3588794706498</v>
      </c>
      <c r="U44" s="20">
        <f>$T44*$H44*($G43*(1-Data!$K$8)^$E43)</f>
        <v>0.35739458856283407</v>
      </c>
      <c r="V44" s="22"/>
      <c r="W44" s="20">
        <f t="shared" si="0"/>
        <v>9.3893754365775468</v>
      </c>
    </row>
    <row r="45" spans="2:23" x14ac:dyDescent="0.75">
      <c r="B45" s="15">
        <v>37</v>
      </c>
      <c r="C45" s="20">
        <f>$C$8*EXP(Data!N41*'expenses risk'!B45)</f>
        <v>196743.36937910231</v>
      </c>
      <c r="E45" s="15">
        <v>37</v>
      </c>
      <c r="F45" s="15">
        <f>Data!C41</f>
        <v>0.29448656000000001</v>
      </c>
      <c r="G45" s="15">
        <f>Data!E41</f>
        <v>3.6203468932347757E-2</v>
      </c>
      <c r="H45" s="15">
        <f>EXP(-Data!N41*'expenses risk'!E45)</f>
        <v>0.50827634148783563</v>
      </c>
      <c r="I45" s="20">
        <f>C45-C44*(Data!$K$5)</f>
        <v>192933.68181897548</v>
      </c>
      <c r="J45" s="23"/>
      <c r="K45" s="20">
        <f>I45-Data!$K$4</f>
        <v>192913.68181897548</v>
      </c>
      <c r="L45" s="20">
        <f>K45*H45*(G44*(1-Data!$K$8)^E44)*((1-F45)*Data!$K$8)</f>
        <v>1.5324478190596207</v>
      </c>
      <c r="M45" s="23"/>
      <c r="N45" s="20">
        <f>MAX(Data!$K$3*Data!$H$3,'expenses risk'!I45)-Data!$K$4</f>
        <v>192913.68181897548</v>
      </c>
      <c r="O45" s="20">
        <f>N45*H45*(G44*(1-Data!$K$8)^E44)*(F45)</f>
        <v>4.2643674901914466</v>
      </c>
      <c r="P45" s="23"/>
      <c r="Q45" s="30">
        <f>Data!$K$11*(1+(Data!$K$10+$C$3))^'expenses risk'!E44*Data!$K$12*(1+$C$2)</f>
        <v>159.40530804014676</v>
      </c>
      <c r="R45" s="20">
        <f>$Q45*$H45*($G44*(1-Data!$K$8)^$E44)</f>
        <v>1.1965446079077966E-2</v>
      </c>
      <c r="S45" s="23"/>
      <c r="T45" s="30">
        <f>C44*Data!$K$6*(1+$C$2)</f>
        <v>2933.4594212976663</v>
      </c>
      <c r="U45" s="20">
        <f>$T45*$H45*($G44*(1-Data!$K$8)^$E44)</f>
        <v>0.22019436468113335</v>
      </c>
      <c r="V45" s="22"/>
      <c r="W45" s="20">
        <f t="shared" si="0"/>
        <v>6.0289751200112782</v>
      </c>
    </row>
    <row r="46" spans="2:23" x14ac:dyDescent="0.75">
      <c r="B46" s="15">
        <v>38</v>
      </c>
      <c r="C46" s="20">
        <f>$C$8*EXP(Data!N42*'expenses risk'!B46)</f>
        <v>203212.08472099825</v>
      </c>
      <c r="E46" s="15">
        <v>38</v>
      </c>
      <c r="F46" s="15">
        <f>Data!C42</f>
        <v>0.31527348999999999</v>
      </c>
      <c r="G46" s="15">
        <f>Data!E42</f>
        <v>2.4789474931939903E-2</v>
      </c>
      <c r="H46" s="15">
        <f>EXP(-Data!N42*'expenses risk'!E46)</f>
        <v>0.49209671825027451</v>
      </c>
      <c r="I46" s="20">
        <f>C46-C45*(Data!$K$5)</f>
        <v>199277.21733341619</v>
      </c>
      <c r="J46" s="23"/>
      <c r="K46" s="20">
        <f>I46-Data!$K$4</f>
        <v>199257.21733341619</v>
      </c>
      <c r="L46" s="20">
        <f>K46*H46*(G45*(1-Data!$K$8)^E45)*((1-F46)*Data!$K$8)</f>
        <v>0.89191479558888387</v>
      </c>
      <c r="M46" s="23"/>
      <c r="N46" s="20">
        <f>MAX(Data!$K$3*Data!$H$3,'expenses risk'!I46)-Data!$K$4</f>
        <v>199257.21733341619</v>
      </c>
      <c r="O46" s="20">
        <f>N46*H46*(G45*(1-Data!$K$8)^E45)*(F46)</f>
        <v>2.7378044253799376</v>
      </c>
      <c r="P46" s="23"/>
      <c r="Q46" s="30">
        <f>Data!$K$11*(1+(Data!$K$10+$C$3))^'expenses risk'!E45*Data!$K$12*(1+$C$2)</f>
        <v>164.18746728135113</v>
      </c>
      <c r="R46" s="20">
        <f>$Q46*$H46*($G45*(1-Data!$K$8)^$E45)</f>
        <v>7.1555152132117151E-3</v>
      </c>
      <c r="S46" s="23"/>
      <c r="T46" s="30">
        <f>C45*Data!$K$6*(1+$C$2)</f>
        <v>3029.8478884381757</v>
      </c>
      <c r="U46" s="20">
        <f>$T46*$H46*($G45*(1-Data!$K$8)^$E45)</f>
        <v>0.13204493021556735</v>
      </c>
      <c r="V46" s="22"/>
      <c r="W46" s="20">
        <f t="shared" si="0"/>
        <v>3.7689196663976006</v>
      </c>
    </row>
    <row r="47" spans="2:23" x14ac:dyDescent="0.75">
      <c r="B47" s="15">
        <v>39</v>
      </c>
      <c r="C47" s="20">
        <f>$C$8*EXP(Data!N43*'expenses risk'!B47)</f>
        <v>209966.9602062176</v>
      </c>
      <c r="E47" s="15">
        <v>39</v>
      </c>
      <c r="F47" s="15">
        <f>Data!C43</f>
        <v>0.33659532999999997</v>
      </c>
      <c r="G47" s="15">
        <f>Data!E43</f>
        <v>1.6445453436696865E-2</v>
      </c>
      <c r="H47" s="15">
        <f>EXP(-Data!N43*'expenses risk'!E47)</f>
        <v>0.47626540814700408</v>
      </c>
      <c r="I47" s="20">
        <f>C47-C46*(Data!$K$5)</f>
        <v>205902.71851179763</v>
      </c>
      <c r="J47" s="23"/>
      <c r="K47" s="20">
        <f>I47-Data!$K$4</f>
        <v>205882.71851179763</v>
      </c>
      <c r="L47" s="20">
        <f>K47*H47*(G46*(1-Data!$K$8)^E46)*((1-F47)*Data!$K$8)</f>
        <v>0.50295047419731054</v>
      </c>
      <c r="M47" s="23"/>
      <c r="N47" s="20">
        <f>MAX(Data!$K$3*Data!$H$3,'expenses risk'!I47)-Data!$K$4</f>
        <v>205882.71851179763</v>
      </c>
      <c r="O47" s="20">
        <f>N47*H47*(G46*(1-Data!$K$8)^E46)*(F47)</f>
        <v>1.7012319276769658</v>
      </c>
      <c r="P47" s="23"/>
      <c r="Q47" s="30">
        <f>Data!$K$11*(1+(Data!$K$10+$C$3))^'expenses risk'!E46*Data!$K$12*(1+$C$2)</f>
        <v>169.11309129979168</v>
      </c>
      <c r="R47" s="20">
        <f>$Q47*$H47*($G46*(1-Data!$K$8)^$E46)</f>
        <v>4.1515738971865121E-3</v>
      </c>
      <c r="S47" s="23"/>
      <c r="T47" s="30">
        <f>C46*Data!$K$6*(1+$C$2)</f>
        <v>3129.4661047033733</v>
      </c>
      <c r="U47" s="20">
        <f>$T47*$H47*($G46*(1-Data!$K$8)^$E46)</f>
        <v>7.6825570939300078E-2</v>
      </c>
      <c r="V47" s="22"/>
      <c r="W47" s="20">
        <f t="shared" si="0"/>
        <v>2.285159546710763</v>
      </c>
    </row>
    <row r="48" spans="2:23" x14ac:dyDescent="0.75">
      <c r="B48" s="15">
        <v>40</v>
      </c>
      <c r="C48" s="20">
        <f>$C$8*EXP(Data!N44*'expenses risk'!B48)</f>
        <v>217015.80521669541</v>
      </c>
      <c r="E48" s="15">
        <v>40</v>
      </c>
      <c r="F48" s="15">
        <f>Data!C44</f>
        <v>0.35982628999999999</v>
      </c>
      <c r="G48" s="15">
        <f>Data!E44</f>
        <v>1.0527946939202483E-2</v>
      </c>
      <c r="H48" s="15">
        <f>EXP(-Data!N44*'expenses risk'!E48)</f>
        <v>0.46079593096985555</v>
      </c>
      <c r="I48" s="20">
        <f>C48-C47*(Data!$K$5)</f>
        <v>212816.46601257107</v>
      </c>
      <c r="J48" s="23"/>
      <c r="K48" s="20">
        <f>I48-Data!$K$4</f>
        <v>212796.46601257107</v>
      </c>
      <c r="L48" s="20">
        <f>K48*H48*(G47*(1-Data!$K$8)^E47)*((1-F48)*Data!$K$8)</f>
        <v>0.27368191244431139</v>
      </c>
      <c r="M48" s="23"/>
      <c r="N48" s="20">
        <f>MAX(Data!$K$3*Data!$H$3,'expenses risk'!I48)-Data!$K$4</f>
        <v>212796.46601257107</v>
      </c>
      <c r="O48" s="20">
        <f>N48*H48*(G47*(1-Data!$K$8)^E47)*(F48)</f>
        <v>1.0255335976953444</v>
      </c>
      <c r="P48" s="23"/>
      <c r="Q48" s="30">
        <f>Data!$K$11*(1+(Data!$K$10+$C$3))^'expenses risk'!E47*Data!$K$12*(1+$C$2)</f>
        <v>174.18648403878544</v>
      </c>
      <c r="R48" s="20">
        <f>$Q48*$H48*($G47*(1-Data!$K$8)^$E47)</f>
        <v>2.3329586628321763E-3</v>
      </c>
      <c r="S48" s="23"/>
      <c r="T48" s="30">
        <f>C47*Data!$K$6*(1+$C$2)</f>
        <v>3233.4911871757513</v>
      </c>
      <c r="U48" s="20">
        <f>$T48*$H48*($G47*(1-Data!$K$8)^$E47)</f>
        <v>4.3307615501518827E-2</v>
      </c>
      <c r="V48" s="22"/>
      <c r="W48" s="20">
        <f t="shared" si="0"/>
        <v>1.3448560843040067</v>
      </c>
    </row>
    <row r="49" spans="2:23" x14ac:dyDescent="0.75">
      <c r="B49" s="15">
        <v>41</v>
      </c>
      <c r="C49" s="20">
        <f>$C$8*EXP(Data!N45*'expenses risk'!B49)</f>
        <v>224274.37394679774</v>
      </c>
      <c r="E49" s="15">
        <v>41</v>
      </c>
      <c r="F49" s="15">
        <f>Data!C45</f>
        <v>0.39030531000000002</v>
      </c>
      <c r="G49" s="15">
        <f>Data!E45</f>
        <v>6.4188333454335061E-3</v>
      </c>
      <c r="H49" s="15">
        <f>EXP(-Data!N45*'expenses risk'!E49)</f>
        <v>0.44588241732745604</v>
      </c>
      <c r="I49" s="20">
        <f>C49-C48*(Data!$K$5)</f>
        <v>219934.05784246384</v>
      </c>
      <c r="J49" s="23"/>
      <c r="K49" s="20">
        <f>I49-Data!$K$4</f>
        <v>219914.05784246384</v>
      </c>
      <c r="L49" s="20">
        <f>K49*H49*(G48*(1-Data!$K$8)^E48)*((1-F49)*Data!$K$8)</f>
        <v>0.14183314299212663</v>
      </c>
      <c r="M49" s="23"/>
      <c r="N49" s="20">
        <f>MAX(Data!$K$3*Data!$H$3,'expenses risk'!I49)-Data!$K$4</f>
        <v>219914.05784246384</v>
      </c>
      <c r="O49" s="20">
        <f>N49*H49*(G48*(1-Data!$K$8)^E48)*(F49)</f>
        <v>0.60531092858751223</v>
      </c>
      <c r="P49" s="23"/>
      <c r="Q49" s="30">
        <f>Data!$K$11*(1+(Data!$K$10+$C$3))^'expenses risk'!E48*Data!$K$12*(1+$C$2)</f>
        <v>179.41207855994898</v>
      </c>
      <c r="R49" s="20">
        <f>$Q49*$H49*($G48*(1-Data!$K$8)^$E48)</f>
        <v>1.265239496535409E-3</v>
      </c>
      <c r="S49" s="23"/>
      <c r="T49" s="30">
        <f>C48*Data!$K$6*(1+$C$2)</f>
        <v>3342.0434003371097</v>
      </c>
      <c r="U49" s="20">
        <f>$T49*$H49*($G48*(1-Data!$K$8)^$E48)</f>
        <v>2.3568565411994261E-2</v>
      </c>
      <c r="V49" s="22"/>
      <c r="W49" s="20">
        <f t="shared" si="0"/>
        <v>0.77197787648816862</v>
      </c>
    </row>
    <row r="50" spans="2:23" x14ac:dyDescent="0.75">
      <c r="B50" s="15">
        <v>42</v>
      </c>
      <c r="C50" s="20">
        <f>$C$8*EXP(Data!N46*'expenses risk'!B50)</f>
        <v>231928.7438676453</v>
      </c>
      <c r="E50" s="15">
        <v>42</v>
      </c>
      <c r="F50" s="15">
        <f>Data!C46</f>
        <v>0.42755694999999999</v>
      </c>
      <c r="G50" s="15">
        <f>Data!E46</f>
        <v>3.6744165377016595E-3</v>
      </c>
      <c r="H50" s="15">
        <f>EXP(-Data!N46*'expenses risk'!E50)</f>
        <v>0.43116691071748731</v>
      </c>
      <c r="I50" s="20">
        <f>C50-C49*(Data!$K$5)</f>
        <v>227443.25638870936</v>
      </c>
      <c r="J50" s="23"/>
      <c r="K50" s="20">
        <f>I50-Data!$K$4</f>
        <v>227423.25638870936</v>
      </c>
      <c r="L50" s="20">
        <f>K50*H50*(G49*(1-Data!$K$8)^E49)*((1-F50)*Data!$K$8)</f>
        <v>6.9013793224387832E-2</v>
      </c>
      <c r="M50" s="23"/>
      <c r="N50" s="20">
        <f>MAX(Data!$K$3*Data!$H$3,'expenses risk'!I50)-Data!$K$4</f>
        <v>227423.25638870936</v>
      </c>
      <c r="O50" s="20">
        <f>N50*H50*(G49*(1-Data!$K$8)^E49)*(F50)</f>
        <v>0.34364206697300781</v>
      </c>
      <c r="P50" s="23"/>
      <c r="Q50" s="30">
        <f>Data!$K$11*(1+(Data!$K$10+$C$3))^'expenses risk'!E49*Data!$K$12*(1+$C$2)</f>
        <v>184.79444091674745</v>
      </c>
      <c r="R50" s="20">
        <f>$Q50*$H50*($G49*(1-Data!$K$8)^$E49)</f>
        <v>6.5307999526160695E-4</v>
      </c>
      <c r="S50" s="23"/>
      <c r="T50" s="30">
        <f>C49*Data!$K$6*(1+$C$2)</f>
        <v>3453.8253587806857</v>
      </c>
      <c r="U50" s="20">
        <f>$T50*$H50*($G49*(1-Data!$K$8)^$E49)</f>
        <v>1.2206126102911826E-2</v>
      </c>
      <c r="V50" s="22"/>
      <c r="W50" s="20">
        <f t="shared" si="0"/>
        <v>0.42551506629556907</v>
      </c>
    </row>
    <row r="51" spans="2:23" x14ac:dyDescent="0.75">
      <c r="B51" s="15">
        <v>43</v>
      </c>
      <c r="C51" s="20">
        <f>$C$8*EXP(Data!N47*'expenses risk'!B51)</f>
        <v>239796.38945322504</v>
      </c>
      <c r="E51" s="15">
        <v>43</v>
      </c>
      <c r="F51" s="15">
        <f>Data!C47</f>
        <v>0.46082994999999999</v>
      </c>
      <c r="G51" s="15">
        <f>Data!E47</f>
        <v>1.9811353483534309E-3</v>
      </c>
      <c r="H51" s="15">
        <f>EXP(-Data!N47*'expenses risk'!E51)</f>
        <v>0.41702045734723675</v>
      </c>
      <c r="I51" s="20">
        <f>C51-C50*(Data!$K$5)</f>
        <v>235157.81457587212</v>
      </c>
      <c r="J51" s="23"/>
      <c r="K51" s="20">
        <f>I51-Data!$K$4</f>
        <v>235137.81457587212</v>
      </c>
      <c r="L51" s="20">
        <f>K51*H51*(G50*(1-Data!$K$8)^E50)*((1-F51)*Data!$K$8)</f>
        <v>3.1628611276065352E-2</v>
      </c>
      <c r="M51" s="23"/>
      <c r="N51" s="20">
        <f>MAX(Data!$K$3*Data!$H$3,'expenses risk'!I51)-Data!$K$4</f>
        <v>235137.81457587212</v>
      </c>
      <c r="O51" s="20">
        <f>N51*H51*(G50*(1-Data!$K$8)^E50)*(F51)</f>
        <v>0.18022033868434928</v>
      </c>
      <c r="P51" s="23"/>
      <c r="Q51" s="30">
        <f>Data!$K$11*(1+(Data!$K$10+$C$3))^'expenses risk'!E50*Data!$K$12*(1+$C$2)</f>
        <v>190.33827414424988</v>
      </c>
      <c r="R51" s="20">
        <f>$Q51*$H51*($G50*(1-Data!$K$8)^$E50)</f>
        <v>3.1656781190599818E-4</v>
      </c>
      <c r="S51" s="23"/>
      <c r="T51" s="30">
        <f>C50*Data!$K$6*(1+$C$2)</f>
        <v>3571.7026555617381</v>
      </c>
      <c r="U51" s="20">
        <f>$T51*$H51*($G50*(1-Data!$K$8)^$E50)</f>
        <v>5.9404032086217192E-3</v>
      </c>
      <c r="V51" s="22"/>
      <c r="W51" s="20">
        <f t="shared" si="0"/>
        <v>0.21810592098094236</v>
      </c>
    </row>
    <row r="52" spans="2:23" x14ac:dyDescent="0.75">
      <c r="B52" s="15">
        <v>44</v>
      </c>
      <c r="C52" s="20">
        <f>$C$8*EXP(Data!N48*'expenses risk'!B52)</f>
        <v>247975.55828064092</v>
      </c>
      <c r="E52" s="15">
        <v>44</v>
      </c>
      <c r="F52" s="15">
        <f>Data!C48</f>
        <v>0.49461828000000002</v>
      </c>
      <c r="G52" s="15">
        <f>Data!E48</f>
        <v>1.0012295899036558E-3</v>
      </c>
      <c r="H52" s="15">
        <f>EXP(-Data!N48*'expenses risk'!E52)</f>
        <v>0.4032655504169777</v>
      </c>
      <c r="I52" s="20">
        <f>C52-C51*(Data!$K$5)</f>
        <v>243179.63049157642</v>
      </c>
      <c r="J52" s="23"/>
      <c r="K52" s="20">
        <f>I52-Data!$K$4</f>
        <v>243159.63049157642</v>
      </c>
      <c r="L52" s="20">
        <f>K52*H52*(G51*(1-Data!$K$8)^E51)*((1-F52)*Data!$K$8)</f>
        <v>1.3586930031151523E-2</v>
      </c>
      <c r="M52" s="23"/>
      <c r="N52" s="20">
        <f>MAX(Data!$K$3*Data!$H$3,'expenses risk'!I52)-Data!$K$4</f>
        <v>243159.63049157642</v>
      </c>
      <c r="O52" s="20">
        <f>N52*H52*(G51*(1-Data!$K$8)^E51)*(F52)</f>
        <v>8.8650402874201228E-2</v>
      </c>
      <c r="P52" s="23"/>
      <c r="Q52" s="30">
        <f>Data!$K$11*(1+(Data!$K$10+$C$3))^'expenses risk'!E51*Data!$K$12*(1+$C$2)</f>
        <v>196.04842236857738</v>
      </c>
      <c r="R52" s="20">
        <f>$Q52*$H52*($G51*(1-Data!$K$8)^$E51)</f>
        <v>1.4450485141956934E-4</v>
      </c>
      <c r="S52" s="23"/>
      <c r="T52" s="30">
        <f>C51*Data!$K$6*(1+$C$2)</f>
        <v>3692.8643975796658</v>
      </c>
      <c r="U52" s="20">
        <f>$T52*$H52*($G51*(1-Data!$K$8)^$E51)</f>
        <v>2.7219643730752013E-3</v>
      </c>
      <c r="V52" s="22"/>
      <c r="W52" s="20">
        <f t="shared" si="0"/>
        <v>0.10510380212984752</v>
      </c>
    </row>
    <row r="53" spans="2:23" x14ac:dyDescent="0.75">
      <c r="B53" s="15">
        <v>45</v>
      </c>
      <c r="C53" s="20">
        <f>$C$8*EXP(Data!N49*'expenses risk'!B53)</f>
        <v>256472.17674241067</v>
      </c>
      <c r="E53" s="15">
        <v>45</v>
      </c>
      <c r="F53" s="15">
        <f>Data!C49</f>
        <v>0.52863235999999991</v>
      </c>
      <c r="G53" s="15">
        <f>Data!E49</f>
        <v>4.7194722889105418E-4</v>
      </c>
      <c r="H53" s="15">
        <f>EXP(-Data!N49*'expenses risk'!E53)</f>
        <v>0.38990584191296346</v>
      </c>
      <c r="I53" s="20">
        <f>C53-C52*(Data!$K$5)</f>
        <v>251512.66557679785</v>
      </c>
      <c r="J53" s="23"/>
      <c r="K53" s="20">
        <f>I53-Data!$K$4</f>
        <v>251492.66557679785</v>
      </c>
      <c r="L53" s="20">
        <f>K53*H53*(G52*(1-Data!$K$8)^E52)*((1-F53)*Data!$K$8)</f>
        <v>5.4438042098378242E-3</v>
      </c>
      <c r="M53" s="23"/>
      <c r="N53" s="20">
        <f>MAX(Data!$K$3*Data!$H$3,'expenses risk'!I53)-Data!$K$4</f>
        <v>251492.66557679785</v>
      </c>
      <c r="O53" s="20">
        <f>N53*H53*(G52*(1-Data!$K$8)^E52)*(F53)</f>
        <v>4.0701013004407108E-2</v>
      </c>
      <c r="P53" s="23"/>
      <c r="Q53" s="30">
        <f>Data!$K$11*(1+(Data!$K$10+$C$3))^'expenses risk'!E52*Data!$K$12*(1+$C$2)</f>
        <v>201.92987503963465</v>
      </c>
      <c r="R53" s="20">
        <f>$Q53*$H53*($G52*(1-Data!$K$8)^$E52)</f>
        <v>6.1819676237983361E-5</v>
      </c>
      <c r="S53" s="23"/>
      <c r="T53" s="30">
        <f>C52*Data!$K$6*(1+$C$2)</f>
        <v>3818.8235975218704</v>
      </c>
      <c r="U53" s="20">
        <f>$T53*$H53*($G52*(1-Data!$K$8)^$E52)</f>
        <v>1.1691110013435882E-3</v>
      </c>
      <c r="V53" s="22"/>
      <c r="W53" s="20">
        <f t="shared" si="0"/>
        <v>4.7375747891826497E-2</v>
      </c>
    </row>
    <row r="54" spans="2:23" x14ac:dyDescent="0.75">
      <c r="B54" s="15">
        <v>46</v>
      </c>
      <c r="C54" s="20">
        <f>$C$8*EXP(Data!N50*'expenses risk'!B54)</f>
        <v>265291.75588931283</v>
      </c>
      <c r="E54" s="15">
        <v>46</v>
      </c>
      <c r="F54" s="15">
        <f>Data!C50</f>
        <v>0.56256638999999997</v>
      </c>
      <c r="G54" s="15">
        <f>Data!E50</f>
        <v>2.0644558006331014E-4</v>
      </c>
      <c r="H54" s="15">
        <f>EXP(-Data!N50*'expenses risk'!E54)</f>
        <v>0.37694348874422928</v>
      </c>
      <c r="I54" s="20">
        <f>C54-C53*(Data!$K$5)</f>
        <v>260162.31235446461</v>
      </c>
      <c r="J54" s="23"/>
      <c r="K54" s="20">
        <f>I54-Data!$K$4</f>
        <v>260142.31235446461</v>
      </c>
      <c r="L54" s="20">
        <f>K54*H54*(G53*(1-Data!$K$8)^E53)*((1-F54)*Data!$K$8)</f>
        <v>2.024117629467569E-3</v>
      </c>
      <c r="M54" s="23"/>
      <c r="N54" s="20">
        <f>MAX(Data!$K$3*Data!$H$3,'expenses risk'!I54)-Data!$K$4</f>
        <v>260142.31235446461</v>
      </c>
      <c r="O54" s="20">
        <f>N54*H54*(G53*(1-Data!$K$8)^E53)*(F54)</f>
        <v>1.7354260878504939E-2</v>
      </c>
      <c r="P54" s="23"/>
      <c r="Q54" s="30">
        <f>Data!$K$11*(1+(Data!$K$10+$C$3))^'expenses risk'!E53*Data!$K$12*(1+$C$2)</f>
        <v>207.9877712908237</v>
      </c>
      <c r="R54" s="20">
        <f>$Q54*$H54*($G53*(1-Data!$K$8)^$E53)</f>
        <v>2.4663751986387796E-5</v>
      </c>
      <c r="S54" s="23"/>
      <c r="T54" s="30">
        <f>C53*Data!$K$6*(1+$C$2)</f>
        <v>3949.6715218331246</v>
      </c>
      <c r="U54" s="20">
        <f>$T54*$H54*($G53*(1-Data!$K$8)^$E53)</f>
        <v>4.6836272266209363E-4</v>
      </c>
      <c r="V54" s="22"/>
      <c r="W54" s="20">
        <f t="shared" si="0"/>
        <v>1.9871404982620987E-2</v>
      </c>
    </row>
    <row r="55" spans="2:23" x14ac:dyDescent="0.75">
      <c r="B55" s="15">
        <v>47</v>
      </c>
      <c r="C55" s="20">
        <f>$C$8*EXP(Data!N51*'expenses risk'!B55)</f>
        <v>274310.36545645952</v>
      </c>
      <c r="E55" s="15">
        <v>47</v>
      </c>
      <c r="F55" s="15">
        <f>Data!C51</f>
        <v>0.59611694999999998</v>
      </c>
      <c r="G55" s="15">
        <f>Data!E51</f>
        <v>8.3379870534988892E-5</v>
      </c>
      <c r="H55" s="15">
        <f>EXP(-Data!N51*'expenses risk'!E55)</f>
        <v>0.36455056969355643</v>
      </c>
      <c r="I55" s="20">
        <f>C55-C54*(Data!$K$5)</f>
        <v>269004.53033867327</v>
      </c>
      <c r="J55" s="23"/>
      <c r="K55" s="20">
        <f>I55-Data!$K$4</f>
        <v>268984.53033867327</v>
      </c>
      <c r="L55" s="20">
        <f>K55*H55*(G54*(1-Data!$K$8)^E54)*((1-F55)*Data!$K$8)</f>
        <v>6.9487733032233805E-4</v>
      </c>
      <c r="M55" s="23"/>
      <c r="N55" s="20">
        <f>MAX(Data!$K$3*Data!$H$3,'expenses risk'!I55)-Data!$K$4</f>
        <v>268984.53033867327</v>
      </c>
      <c r="O55" s="20">
        <f>N55*H55*(G54*(1-Data!$K$8)^E54)*(F55)</f>
        <v>6.8374273984493725E-3</v>
      </c>
      <c r="P55" s="23"/>
      <c r="Q55" s="30">
        <f>Data!$K$11*(1+(Data!$K$10+$C$3))^'expenses risk'!E54*Data!$K$12*(1+$C$2)</f>
        <v>214.22740442954844</v>
      </c>
      <c r="R55" s="20">
        <f>$Q55*$H55*($G54*(1-Data!$K$8)^$E54)</f>
        <v>9.1350089932585675E-6</v>
      </c>
      <c r="S55" s="23"/>
      <c r="T55" s="30">
        <f>C54*Data!$K$6*(1+$C$2)</f>
        <v>4085.4930406954181</v>
      </c>
      <c r="U55" s="20">
        <f>$T55*$H55*($G54*(1-Data!$K$8)^$E54)</f>
        <v>1.7421214511760305E-4</v>
      </c>
      <c r="V55" s="22"/>
      <c r="W55" s="20">
        <f t="shared" si="0"/>
        <v>7.7156518828825722E-3</v>
      </c>
    </row>
    <row r="56" spans="2:23" x14ac:dyDescent="0.75">
      <c r="B56" s="15">
        <v>48</v>
      </c>
      <c r="C56" s="20">
        <f>$C$8*EXP(Data!N52*'expenses risk'!B56)</f>
        <v>283783.09205787984</v>
      </c>
      <c r="E56" s="15">
        <v>48</v>
      </c>
      <c r="F56" s="15">
        <f>Data!C52</f>
        <v>0.62898604999999996</v>
      </c>
      <c r="G56" s="15">
        <f>Data!E52</f>
        <v>3.0935095117674846E-5</v>
      </c>
      <c r="H56" s="15">
        <f>EXP(-Data!N52*'expenses risk'!E56)</f>
        <v>0.35238181131525692</v>
      </c>
      <c r="I56" s="20">
        <f>C56-C55*(Data!$K$5)</f>
        <v>278296.88474875066</v>
      </c>
      <c r="J56" s="23"/>
      <c r="K56" s="20">
        <f>I56-Data!$K$4</f>
        <v>278276.88474875066</v>
      </c>
      <c r="L56" s="20">
        <f>K56*H56*(G55*(1-Data!$K$8)^E55)*((1-F56)*Data!$K$8)</f>
        <v>2.1914059667284055E-4</v>
      </c>
      <c r="M56" s="23"/>
      <c r="N56" s="20">
        <f>MAX(Data!$K$3*Data!$H$3,'expenses risk'!I56)-Data!$K$4</f>
        <v>278276.88474875066</v>
      </c>
      <c r="O56" s="20">
        <f>N56*H56*(G55*(1-Data!$K$8)^E55)*(F56)</f>
        <v>2.4767510457202142E-3</v>
      </c>
      <c r="P56" s="23"/>
      <c r="Q56" s="30">
        <f>Data!$K$11*(1+(Data!$K$10+$C$3))^'expenses risk'!E55*Data!$K$12*(1+$C$2)</f>
        <v>220.65422656243493</v>
      </c>
      <c r="R56" s="20">
        <f>$Q56*$H56*($G55*(1-Data!$K$8)^$E55)</f>
        <v>3.1223131580407137E-6</v>
      </c>
      <c r="S56" s="23"/>
      <c r="T56" s="30">
        <f>C55*Data!$K$6*(1+$C$2)</f>
        <v>4224.3796280294773</v>
      </c>
      <c r="U56" s="20">
        <f>$T56*$H56*($G55*(1-Data!$K$8)^$E55)</f>
        <v>5.9776041015119467E-5</v>
      </c>
      <c r="V56" s="22"/>
      <c r="W56" s="20">
        <f t="shared" si="0"/>
        <v>2.7587899965662147E-3</v>
      </c>
    </row>
    <row r="57" spans="2:23" x14ac:dyDescent="0.75">
      <c r="B57" s="15">
        <v>49</v>
      </c>
      <c r="C57" s="20">
        <f>$C$8*EXP(Data!N53*'expenses risk'!B57)</f>
        <v>293591.74679913622</v>
      </c>
      <c r="E57" s="15">
        <v>49</v>
      </c>
      <c r="F57" s="15">
        <f>Data!C53</f>
        <v>0.66089964000000001</v>
      </c>
      <c r="G57" s="15">
        <f>Data!E53</f>
        <v>1.0490101891037782E-5</v>
      </c>
      <c r="H57" s="15">
        <f>EXP(-Data!N53*'expenses risk'!E57)</f>
        <v>0.34060902968235013</v>
      </c>
      <c r="I57" s="20">
        <f>C57-C56*(Data!$K$5)</f>
        <v>287916.08495797863</v>
      </c>
      <c r="J57" s="23"/>
      <c r="K57" s="20">
        <f>I57-Data!$K$4</f>
        <v>287896.08495797863</v>
      </c>
      <c r="L57" s="20">
        <f>K57*H57*(G56*(1-Data!$K$8)^E56)*((1-F57)*Data!$K$8)</f>
        <v>6.3164245962781426E-5</v>
      </c>
      <c r="M57" s="23"/>
      <c r="N57" s="20">
        <f>MAX(Data!$K$3*Data!$H$3,'expenses risk'!I57)-Data!$K$4</f>
        <v>287896.08495797863</v>
      </c>
      <c r="O57" s="20">
        <f>N57*H57*(G56*(1-Data!$K$8)^E56)*(F57)</f>
        <v>8.2070545757552318E-4</v>
      </c>
      <c r="P57" s="23"/>
      <c r="Q57" s="30">
        <f>Data!$K$11*(1+(Data!$K$10+$C$3))^'expenses risk'!E56*Data!$K$12*(1+$C$2)</f>
        <v>227.27385335930794</v>
      </c>
      <c r="R57" s="20">
        <f>$Q57*$H57*($G56*(1-Data!$K$8)^$E56)</f>
        <v>9.8031471675172986E-7</v>
      </c>
      <c r="S57" s="23"/>
      <c r="T57" s="30">
        <f>C56*Data!$K$6*(1+$C$2)</f>
        <v>4370.2596176913503</v>
      </c>
      <c r="U57" s="20">
        <f>$T57*$H57*($G56*(1-Data!$K$8)^$E56)</f>
        <v>1.8850517804507321E-5</v>
      </c>
      <c r="V57" s="22"/>
      <c r="W57" s="20">
        <f t="shared" si="0"/>
        <v>9.0370053605956361E-4</v>
      </c>
    </row>
    <row r="58" spans="2:23" x14ac:dyDescent="0.75">
      <c r="B58" s="15">
        <v>50</v>
      </c>
      <c r="C58" s="20">
        <f>$C$8*EXP(Data!N54*'expenses risk'!B58)</f>
        <v>303739.42705151613</v>
      </c>
      <c r="E58" s="15">
        <v>50</v>
      </c>
      <c r="F58" s="15">
        <f>Data!C54</f>
        <v>0.69160641</v>
      </c>
      <c r="G58" s="15">
        <f>Data!E54</f>
        <v>3.2350801816429304E-6</v>
      </c>
      <c r="H58" s="15">
        <f>EXP(-Data!N54*'expenses risk'!E58)</f>
        <v>0.32922956683868165</v>
      </c>
      <c r="I58" s="20">
        <f>C58-C57*(Data!$K$5)</f>
        <v>297867.59211553342</v>
      </c>
      <c r="J58" s="24"/>
      <c r="K58" s="20">
        <f>I58-Data!$K$4</f>
        <v>297847.59211553342</v>
      </c>
      <c r="L58" s="20">
        <f>K58*H58*(G57*(1-Data!$K$8)^E57)*(1-F58)</f>
        <v>1.1038379809977173E-4</v>
      </c>
      <c r="M58" s="24"/>
      <c r="N58" s="20">
        <f>MAX(Data!$K$3*Data!$H$3,'expenses risk'!I58)-Data!$K$4</f>
        <v>297847.59211553342</v>
      </c>
      <c r="O58" s="20">
        <f>N58*H58*(G57*(1-Data!$K$8)^E57)*(F58)</f>
        <v>2.4754775975060941E-4</v>
      </c>
      <c r="P58" s="24"/>
      <c r="Q58" s="30">
        <f>Data!$K$11*(1+(Data!$K$10+$C$3))^'expenses risk'!E57*Data!$K$12*(1+$C$2)</f>
        <v>234.09206896008715</v>
      </c>
      <c r="R58" s="20">
        <f>$Q58*$H58*($G57*(1-Data!$K$8)^$E57)</f>
        <v>2.8131481046454654E-7</v>
      </c>
      <c r="S58" s="24"/>
      <c r="T58" s="30">
        <f>C57*Data!$K$6*(1+$C$2)</f>
        <v>4521.3129007066982</v>
      </c>
      <c r="U58" s="20">
        <f>$T58*$H58*($G57*(1-Data!$K$8)^$E57)</f>
        <v>5.4333847676406151E-6</v>
      </c>
      <c r="V58" s="25"/>
      <c r="W58" s="20">
        <f t="shared" si="0"/>
        <v>3.6364625742848632E-4</v>
      </c>
    </row>
    <row r="60" spans="2:23" x14ac:dyDescent="0.75">
      <c r="K60" s="43" t="s">
        <v>62</v>
      </c>
      <c r="L60" s="20">
        <f>SUM(L9:L58)</f>
        <v>89612.547620833837</v>
      </c>
      <c r="N60" s="43" t="s">
        <v>62</v>
      </c>
      <c r="O60" s="20">
        <f>SUM(O9:O58)</f>
        <v>8771.8282613110823</v>
      </c>
      <c r="P60" s="1"/>
      <c r="Q60" s="43" t="s">
        <v>62</v>
      </c>
      <c r="R60" s="20">
        <f>SUM(R9:R58)</f>
        <v>371.88070863965703</v>
      </c>
      <c r="S60" s="1"/>
      <c r="T60" s="43" t="s">
        <v>62</v>
      </c>
      <c r="U60" s="20">
        <f>SUM(U9:U58)</f>
        <v>9424.1102054824205</v>
      </c>
      <c r="V60" s="15" t="s">
        <v>15</v>
      </c>
      <c r="W60" s="20">
        <f>SUM(W9:W58)</f>
        <v>108180.36679626693</v>
      </c>
    </row>
    <row r="61" spans="2:23" x14ac:dyDescent="0.75">
      <c r="V61" s="15" t="s">
        <v>32</v>
      </c>
      <c r="W61" s="15">
        <f>SUMPRODUCT(W9:W58,E9:E58)/W60</f>
        <v>6.1464190451105098</v>
      </c>
    </row>
  </sheetData>
  <mergeCells count="2">
    <mergeCell ref="B5:C5"/>
    <mergeCell ref="E5:W5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0D8C-B07A-4226-8480-C58E40BA8128}">
  <dimension ref="B3:P24"/>
  <sheetViews>
    <sheetView showGridLines="0" tabSelected="1" zoomScale="80" zoomScaleNormal="80" workbookViewId="0"/>
  </sheetViews>
  <sheetFormatPr defaultRowHeight="14.75" x14ac:dyDescent="0.75"/>
  <cols>
    <col min="2" max="2" width="12.1796875" bestFit="1" customWidth="1"/>
    <col min="3" max="3" width="16" customWidth="1"/>
    <col min="4" max="4" width="11.2265625" customWidth="1"/>
    <col min="5" max="5" width="9.54296875" bestFit="1" customWidth="1"/>
    <col min="6" max="6" width="11.453125" customWidth="1"/>
    <col min="7" max="7" width="9.31640625" bestFit="1" customWidth="1"/>
    <col min="9" max="9" width="11.5" customWidth="1"/>
    <col min="11" max="11" width="9.453125" bestFit="1" customWidth="1"/>
    <col min="12" max="12" width="9.7265625" bestFit="1" customWidth="1"/>
    <col min="13" max="13" width="9.453125" customWidth="1"/>
    <col min="14" max="14" width="11.31640625" customWidth="1"/>
    <col min="15" max="15" width="9.7265625" bestFit="1" customWidth="1"/>
  </cols>
  <sheetData>
    <row r="3" spans="2:16" x14ac:dyDescent="0.75">
      <c r="B3" s="41"/>
      <c r="C3" s="42" t="s">
        <v>13</v>
      </c>
      <c r="D3" s="28" t="s">
        <v>15</v>
      </c>
      <c r="E3" s="28" t="s">
        <v>34</v>
      </c>
      <c r="F3" s="28" t="s">
        <v>40</v>
      </c>
      <c r="G3" s="28" t="s">
        <v>32</v>
      </c>
      <c r="I3" s="60" t="s">
        <v>51</v>
      </c>
      <c r="J3" s="60"/>
      <c r="L3" s="46" t="s">
        <v>59</v>
      </c>
      <c r="M3" s="48"/>
      <c r="O3" s="46" t="s">
        <v>50</v>
      </c>
      <c r="P3" s="48"/>
    </row>
    <row r="4" spans="2:16" x14ac:dyDescent="0.75">
      <c r="B4" s="17" t="s">
        <v>41</v>
      </c>
      <c r="C4" s="44">
        <f>'Caso base'!C8</f>
        <v>100000</v>
      </c>
      <c r="D4" s="44">
        <f>'Caso base'!W60</f>
        <v>107273.11221908146</v>
      </c>
      <c r="E4" s="44">
        <f>'Caso base'!W2</f>
        <v>-7273.112219081464</v>
      </c>
      <c r="F4" s="44"/>
      <c r="G4" s="45">
        <f>'Caso base'!W61</f>
        <v>6.1476852359466259</v>
      </c>
      <c r="I4" s="15" t="s">
        <v>22</v>
      </c>
      <c r="J4" s="15">
        <f>MAX(F5,F6)</f>
        <v>143.05926981806988</v>
      </c>
      <c r="L4" s="15" t="s">
        <v>46</v>
      </c>
      <c r="M4" s="15">
        <f>F8</f>
        <v>0</v>
      </c>
      <c r="O4" s="15" t="s">
        <v>60</v>
      </c>
      <c r="P4" s="15">
        <f>J6</f>
        <v>476.63858504426491</v>
      </c>
    </row>
    <row r="5" spans="2:16" x14ac:dyDescent="0.75">
      <c r="B5" s="15" t="s">
        <v>49</v>
      </c>
      <c r="C5" s="44">
        <f>'ir risk (up)'!C8</f>
        <v>100000</v>
      </c>
      <c r="D5" s="44">
        <f>'ir risk (up)'!W60</f>
        <v>107020.93866741245</v>
      </c>
      <c r="E5" s="44">
        <f>'ir risk (up)'!W2</f>
        <v>-7020.9386674124544</v>
      </c>
      <c r="F5" s="44">
        <f>'ir risk (up)'!W3</f>
        <v>0</v>
      </c>
      <c r="G5" s="45">
        <f>'ir risk (up)'!W61</f>
        <v>6.1489325777563577</v>
      </c>
      <c r="I5" s="15" t="s">
        <v>47</v>
      </c>
      <c r="J5" s="15">
        <f>F7</f>
        <v>388.72559291824291</v>
      </c>
      <c r="L5" s="15" t="s">
        <v>57</v>
      </c>
      <c r="M5" s="15">
        <f>MAX(F9,F10,F11)</f>
        <v>6259.6377853359882</v>
      </c>
      <c r="O5" s="15" t="s">
        <v>61</v>
      </c>
      <c r="P5" s="15">
        <f>M8</f>
        <v>6798.4536453638411</v>
      </c>
    </row>
    <row r="6" spans="2:16" x14ac:dyDescent="0.75">
      <c r="B6" s="15" t="s">
        <v>48</v>
      </c>
      <c r="C6" s="44">
        <f>'ir risk (down)'!C8</f>
        <v>100000</v>
      </c>
      <c r="D6" s="44">
        <f>'ir risk (down)'!W60</f>
        <v>107416.17148889953</v>
      </c>
      <c r="E6" s="44">
        <f>'ir risk (down)'!W2</f>
        <v>-7416.1714888995339</v>
      </c>
      <c r="F6" s="44">
        <f>'ir risk (down)'!W3</f>
        <v>143.05926981806988</v>
      </c>
      <c r="G6" s="45">
        <f>'ir risk (down)'!W61</f>
        <v>6.1490022713598274</v>
      </c>
      <c r="I6" s="15" t="s">
        <v>52</v>
      </c>
      <c r="J6" s="15" cm="1">
        <f t="array" ref="J6">SQRT(MMULT(MMULT(TRANSPOSE(J4:J5),IF(F5&gt;F6,E20:F21,H20:I21)),J4:J5))</f>
        <v>476.63858504426491</v>
      </c>
      <c r="L6" s="15" t="s">
        <v>58</v>
      </c>
      <c r="M6" s="15">
        <f>F12</f>
        <v>143.21424632909475</v>
      </c>
      <c r="O6" s="15" t="s">
        <v>50</v>
      </c>
      <c r="P6" s="15" cm="1">
        <f t="array" ref="P6">SQRT(MMULT(MMULT(TRANSPOSE(P4:P5),B20:C21),P4:P5))</f>
        <v>6932.9906225179284</v>
      </c>
    </row>
    <row r="7" spans="2:16" x14ac:dyDescent="0.75">
      <c r="B7" s="15" t="s">
        <v>47</v>
      </c>
      <c r="C7" s="44">
        <f>'equity risk'!C8</f>
        <v>61000</v>
      </c>
      <c r="D7" s="44">
        <f>'equity risk'!W60</f>
        <v>68661.837811999707</v>
      </c>
      <c r="E7" s="44">
        <f>'equity risk'!W2</f>
        <v>-7661.8378119997069</v>
      </c>
      <c r="F7" s="44">
        <f>'equity risk'!W3</f>
        <v>388.72559291824291</v>
      </c>
      <c r="G7" s="45">
        <f>'equity risk'!W61</f>
        <v>6.2434297457458543</v>
      </c>
      <c r="L7" s="15" t="s">
        <v>35</v>
      </c>
      <c r="M7" s="15">
        <f>F13</f>
        <v>907.25457718546386</v>
      </c>
    </row>
    <row r="8" spans="2:16" x14ac:dyDescent="0.75">
      <c r="B8" s="15" t="s">
        <v>46</v>
      </c>
      <c r="C8" s="44">
        <f>'mortality risk'!C8</f>
        <v>100000</v>
      </c>
      <c r="D8" s="44">
        <f>'mortality risk'!W60</f>
        <v>107245.02181920876</v>
      </c>
      <c r="E8" s="44">
        <f>'mortality risk'!W2</f>
        <v>-7245.0218192087632</v>
      </c>
      <c r="F8" s="44">
        <f>'mortality risk'!W3</f>
        <v>0</v>
      </c>
      <c r="G8" s="45">
        <f>'mortality risk'!W61</f>
        <v>6.0867048621786921</v>
      </c>
      <c r="L8" s="15" t="s">
        <v>52</v>
      </c>
      <c r="M8" s="15" cm="1">
        <f t="array" ref="M8">SQRT(MMULT(MMULT(TRANSPOSE(M4:M7),K20:N23),M4:M7))</f>
        <v>6798.4536453638411</v>
      </c>
    </row>
    <row r="9" spans="2:16" x14ac:dyDescent="0.75">
      <c r="B9" s="15" t="s">
        <v>42</v>
      </c>
      <c r="C9" s="44">
        <f>'lapse risk (up)'!C8</f>
        <v>100000</v>
      </c>
      <c r="D9" s="44">
        <f>'lapse risk (up)'!W60</f>
        <v>104477.59784502289</v>
      </c>
      <c r="E9" s="44">
        <f>'lapse risk (up)'!W2</f>
        <v>-4477.5978450228868</v>
      </c>
      <c r="F9" s="44">
        <f>'lapse risk (up)'!W3</f>
        <v>0</v>
      </c>
      <c r="G9" s="45">
        <f>'lapse risk (up)'!W61</f>
        <v>4.2785231225615687</v>
      </c>
    </row>
    <row r="10" spans="2:16" x14ac:dyDescent="0.75">
      <c r="B10" s="15" t="s">
        <v>43</v>
      </c>
      <c r="C10" s="44">
        <f>'lapse risk (down)'!C8</f>
        <v>100000</v>
      </c>
      <c r="D10" s="44">
        <f>'lapse risk (down)'!W60</f>
        <v>113532.75000441745</v>
      </c>
      <c r="E10" s="44">
        <f>'lapse risk (down)'!W2</f>
        <v>-13532.750004417452</v>
      </c>
      <c r="F10" s="44">
        <f>'lapse risk (down)'!W3</f>
        <v>6259.6377853359882</v>
      </c>
      <c r="G10" s="45">
        <f>'lapse risk (down)'!W61</f>
        <v>10.236334062851759</v>
      </c>
    </row>
    <row r="11" spans="2:16" x14ac:dyDescent="0.75">
      <c r="B11" s="15" t="s">
        <v>45</v>
      </c>
      <c r="C11" s="44">
        <f>'lapse risk (mass)'!C8</f>
        <v>100000</v>
      </c>
      <c r="D11" s="44">
        <f>'lapse risk (mass)'!W60</f>
        <v>104991.52482087398</v>
      </c>
      <c r="E11" s="44">
        <f>'lapse risk (mass)'!W2</f>
        <v>-4991.5248208739795</v>
      </c>
      <c r="F11" s="44">
        <f>'lapse risk (mass)'!W3</f>
        <v>0</v>
      </c>
      <c r="G11" s="45">
        <f>'lapse risk (mass)'!W61</f>
        <v>4.7126238091828059</v>
      </c>
    </row>
    <row r="12" spans="2:16" x14ac:dyDescent="0.75">
      <c r="B12" s="15" t="s">
        <v>44</v>
      </c>
      <c r="C12" s="44">
        <f>'cat risk'!C8</f>
        <v>100000</v>
      </c>
      <c r="D12" s="44">
        <f>'cat risk'!W60</f>
        <v>107416.32646541056</v>
      </c>
      <c r="E12" s="44">
        <f>'cat risk'!W2</f>
        <v>-7416.3264654105587</v>
      </c>
      <c r="F12" s="44">
        <f>'cat risk'!W3</f>
        <v>143.21424632909475</v>
      </c>
      <c r="G12" s="45">
        <f>'cat risk'!W61</f>
        <v>6.140822016120886</v>
      </c>
    </row>
    <row r="13" spans="2:16" x14ac:dyDescent="0.75">
      <c r="B13" s="15" t="s">
        <v>35</v>
      </c>
      <c r="C13" s="44">
        <f>'expenses risk'!C8</f>
        <v>100000</v>
      </c>
      <c r="D13" s="44">
        <f>'expenses risk'!W60</f>
        <v>108180.36679626693</v>
      </c>
      <c r="E13" s="44">
        <f>'expenses risk'!W2</f>
        <v>-8180.3667962669278</v>
      </c>
      <c r="F13" s="44">
        <f>'expenses risk'!W3</f>
        <v>907.25457718546386</v>
      </c>
      <c r="G13" s="45">
        <f>'expenses risk'!W61</f>
        <v>6.1464190451105098</v>
      </c>
    </row>
    <row r="14" spans="2:16" x14ac:dyDescent="0.75">
      <c r="B14" s="57" t="s">
        <v>50</v>
      </c>
      <c r="C14" s="58"/>
      <c r="D14" s="57">
        <f>P6</f>
        <v>6932.9906225179284</v>
      </c>
      <c r="E14" s="59"/>
      <c r="F14" s="59"/>
      <c r="G14" s="58"/>
    </row>
    <row r="19" spans="2:15" x14ac:dyDescent="0.75">
      <c r="B19" s="46" t="s">
        <v>53</v>
      </c>
      <c r="C19" s="48"/>
      <c r="D19" s="37"/>
      <c r="E19" s="46" t="s">
        <v>54</v>
      </c>
      <c r="F19" s="48"/>
      <c r="H19" s="46" t="s">
        <v>55</v>
      </c>
      <c r="I19" s="48"/>
      <c r="K19" s="46" t="s">
        <v>56</v>
      </c>
      <c r="L19" s="47"/>
      <c r="M19" s="47"/>
      <c r="N19" s="56"/>
    </row>
    <row r="20" spans="2:15" x14ac:dyDescent="0.75">
      <c r="B20" s="15">
        <v>1</v>
      </c>
      <c r="C20" s="15">
        <v>0.25</v>
      </c>
      <c r="E20" s="15">
        <v>1</v>
      </c>
      <c r="F20" s="15">
        <v>0</v>
      </c>
      <c r="H20" s="15">
        <v>1</v>
      </c>
      <c r="I20" s="15">
        <v>0.5</v>
      </c>
      <c r="K20" s="17">
        <v>1</v>
      </c>
      <c r="L20" s="17">
        <v>0</v>
      </c>
      <c r="M20" s="38">
        <v>0.25</v>
      </c>
      <c r="N20" s="40">
        <v>0.25</v>
      </c>
      <c r="O20" s="15" t="s">
        <v>46</v>
      </c>
    </row>
    <row r="21" spans="2:15" x14ac:dyDescent="0.75">
      <c r="B21" s="15">
        <v>0.25</v>
      </c>
      <c r="C21" s="15">
        <v>1</v>
      </c>
      <c r="E21" s="15">
        <v>0</v>
      </c>
      <c r="F21" s="15">
        <v>1</v>
      </c>
      <c r="H21" s="15">
        <v>0.5</v>
      </c>
      <c r="I21" s="15">
        <v>1</v>
      </c>
      <c r="K21" s="15">
        <v>0</v>
      </c>
      <c r="L21" s="15">
        <v>1</v>
      </c>
      <c r="M21" s="26">
        <v>0.25</v>
      </c>
      <c r="N21" s="40">
        <v>0.5</v>
      </c>
      <c r="O21" s="15" t="s">
        <v>57</v>
      </c>
    </row>
    <row r="22" spans="2:15" x14ac:dyDescent="0.75">
      <c r="K22" s="39">
        <v>0.25</v>
      </c>
      <c r="L22" s="39">
        <v>0.25</v>
      </c>
      <c r="M22" s="21">
        <v>1</v>
      </c>
      <c r="N22" s="40">
        <v>0.25</v>
      </c>
      <c r="O22" s="15" t="s">
        <v>58</v>
      </c>
    </row>
    <row r="23" spans="2:15" x14ac:dyDescent="0.75">
      <c r="K23" s="40">
        <v>0.25</v>
      </c>
      <c r="L23" s="40">
        <v>0.5</v>
      </c>
      <c r="M23" s="40">
        <v>0.25</v>
      </c>
      <c r="N23" s="40">
        <v>1</v>
      </c>
      <c r="O23" s="15" t="s">
        <v>35</v>
      </c>
    </row>
    <row r="24" spans="2:15" x14ac:dyDescent="0.75">
      <c r="K24" s="15" t="s">
        <v>46</v>
      </c>
      <c r="L24" s="15" t="s">
        <v>57</v>
      </c>
      <c r="M24" s="15" t="s">
        <v>58</v>
      </c>
      <c r="N24" s="15" t="s">
        <v>35</v>
      </c>
    </row>
  </sheetData>
  <mergeCells count="9">
    <mergeCell ref="K19:N19"/>
    <mergeCell ref="L3:M3"/>
    <mergeCell ref="O3:P3"/>
    <mergeCell ref="B14:C14"/>
    <mergeCell ref="D14:G14"/>
    <mergeCell ref="I3:J3"/>
    <mergeCell ref="B19:C19"/>
    <mergeCell ref="E19:F19"/>
    <mergeCell ref="H19:I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Caso base</vt:lpstr>
      <vt:lpstr>ir risk (up)</vt:lpstr>
      <vt:lpstr>ir risk (down)</vt:lpstr>
      <vt:lpstr>equity risk</vt:lpstr>
      <vt:lpstr>mortality risk</vt:lpstr>
      <vt:lpstr>lapse risk (up)</vt:lpstr>
      <vt:lpstr>lapse risk (down)</vt:lpstr>
      <vt:lpstr>lapse risk (mass)</vt:lpstr>
      <vt:lpstr>cat risk</vt:lpstr>
      <vt:lpstr>expenses risk</vt:lpstr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Castellano</dc:creator>
  <cp:lastModifiedBy>Sebastian Castellano</cp:lastModifiedBy>
  <dcterms:created xsi:type="dcterms:W3CDTF">2015-06-05T18:17:20Z</dcterms:created>
  <dcterms:modified xsi:type="dcterms:W3CDTF">2022-06-08T17:49:50Z</dcterms:modified>
</cp:coreProperties>
</file>