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-PC\Desktop\"/>
    </mc:Choice>
  </mc:AlternateContent>
  <xr:revisionPtr revIDLastSave="0" documentId="13_ncr:1_{EC87015E-01FC-4D73-81BA-3A919C04B1FA}" xr6:coauthVersionLast="47" xr6:coauthVersionMax="47" xr10:uidLastSave="{00000000-0000-0000-0000-000000000000}"/>
  <bookViews>
    <workbookView xWindow="-28920" yWindow="-120" windowWidth="29040" windowHeight="17640" xr2:uid="{17D96201-D0ED-42EB-B63E-CEBD2CF344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8" i="1" l="1"/>
  <c r="K38" i="1"/>
  <c r="H38" i="1"/>
  <c r="E38" i="1"/>
  <c r="B6" i="1"/>
  <c r="B7" i="1"/>
  <c r="N6" i="1"/>
  <c r="N7" i="1"/>
  <c r="B5" i="1"/>
  <c r="O5" i="1" s="1"/>
  <c r="B37" i="1"/>
  <c r="O37" i="1" s="1"/>
  <c r="B38" i="1"/>
  <c r="B40" i="1"/>
  <c r="B39" i="1"/>
  <c r="B45" i="1"/>
  <c r="F45" i="1" s="1"/>
  <c r="B43" i="1"/>
  <c r="L43" i="1" s="1"/>
  <c r="B27" i="1"/>
  <c r="I27" i="1" s="1"/>
  <c r="B36" i="1"/>
  <c r="B4" i="1"/>
  <c r="L4" i="1" s="1"/>
  <c r="B3" i="1"/>
  <c r="B2" i="1"/>
  <c r="L2" i="1" s="1"/>
  <c r="B60" i="1"/>
  <c r="B62" i="1" s="1"/>
  <c r="B26" i="1"/>
  <c r="L26" i="1" s="1"/>
  <c r="B44" i="1"/>
  <c r="O44" i="1" s="1"/>
  <c r="B25" i="1"/>
  <c r="I25" i="1" s="1"/>
  <c r="B42" i="1"/>
  <c r="B32" i="1"/>
  <c r="B33" i="1"/>
  <c r="B31" i="1"/>
  <c r="L31" i="1" s="1"/>
  <c r="B30" i="1"/>
  <c r="B29" i="1"/>
  <c r="I29" i="1" s="1"/>
  <c r="B28" i="1"/>
  <c r="O42" i="1"/>
  <c r="O3" i="1"/>
  <c r="L5" i="1"/>
  <c r="B46" i="1"/>
  <c r="B13" i="1"/>
  <c r="B14" i="1"/>
  <c r="B11" i="1"/>
  <c r="B12" i="1"/>
  <c r="O27" i="1" l="1"/>
  <c r="O6" i="1"/>
  <c r="L44" i="1"/>
  <c r="O38" i="1"/>
  <c r="O31" i="1"/>
  <c r="O2" i="1"/>
  <c r="O43" i="1"/>
  <c r="I2" i="1"/>
  <c r="L37" i="1"/>
  <c r="L45" i="1"/>
  <c r="I45" i="1"/>
  <c r="O45" i="1"/>
  <c r="O4" i="1"/>
  <c r="I4" i="1"/>
  <c r="I44" i="1"/>
  <c r="F25" i="1"/>
  <c r="O25" i="1"/>
  <c r="L25" i="1"/>
  <c r="H30" i="1"/>
  <c r="I30" i="1" s="1"/>
  <c r="E30" i="1"/>
  <c r="F30" i="1" s="1"/>
  <c r="O10" i="1"/>
  <c r="L10" i="1"/>
  <c r="O16" i="1"/>
  <c r="N23" i="1"/>
  <c r="O23" i="1" s="1"/>
  <c r="N40" i="1"/>
  <c r="O40" i="1" s="1"/>
  <c r="L16" i="1"/>
  <c r="N22" i="1"/>
  <c r="N41" i="1"/>
  <c r="O41" i="1" s="1"/>
  <c r="K41" i="1"/>
  <c r="L41" i="1" s="1"/>
  <c r="K34" i="1"/>
  <c r="L34" i="1" s="1"/>
  <c r="N34" i="1"/>
  <c r="O34" i="1" s="1"/>
  <c r="N15" i="1"/>
  <c r="O15" i="1" s="1"/>
  <c r="K15" i="1"/>
  <c r="L15" i="1" s="1"/>
  <c r="N33" i="1"/>
  <c r="O33" i="1" s="1"/>
  <c r="N32" i="1"/>
  <c r="O32" i="1" s="1"/>
  <c r="N29" i="1"/>
  <c r="O29" i="1" s="1"/>
  <c r="K33" i="1"/>
  <c r="L33" i="1" s="1"/>
  <c r="K32" i="1"/>
  <c r="L32" i="1" s="1"/>
  <c r="K29" i="1"/>
  <c r="L29" i="1" s="1"/>
  <c r="K24" i="1"/>
  <c r="L24" i="1" s="1"/>
  <c r="N24" i="1"/>
  <c r="O24" i="1" s="1"/>
  <c r="E41" i="1"/>
  <c r="F41" i="1" s="1"/>
  <c r="E24" i="1"/>
  <c r="F24" i="1" s="1"/>
  <c r="E3" i="1"/>
  <c r="F3" i="1" s="1"/>
  <c r="E39" i="1"/>
  <c r="F39" i="1" s="1"/>
  <c r="F38" i="1"/>
  <c r="E26" i="1"/>
  <c r="F26" i="1" s="1"/>
  <c r="H3" i="1"/>
  <c r="I3" i="1" s="1"/>
  <c r="E4" i="1"/>
  <c r="F4" i="1" s="1"/>
  <c r="E36" i="1"/>
  <c r="F36" i="1" s="1"/>
  <c r="E2" i="1"/>
  <c r="F2" i="1" s="1"/>
  <c r="E40" i="1"/>
  <c r="F40" i="1" s="1"/>
  <c r="E21" i="1"/>
  <c r="E37" i="1"/>
  <c r="F37" i="1" s="1"/>
  <c r="E43" i="1"/>
  <c r="F43" i="1" s="1"/>
  <c r="E12" i="1"/>
  <c r="F12" i="1" s="1"/>
  <c r="E15" i="1"/>
  <c r="F15" i="1" s="1"/>
  <c r="E46" i="1"/>
  <c r="F46" i="1" s="1"/>
  <c r="E33" i="1"/>
  <c r="F33" i="1" s="1"/>
  <c r="E32" i="1"/>
  <c r="F32" i="1" s="1"/>
  <c r="E28" i="1"/>
  <c r="F28" i="1" s="1"/>
  <c r="E5" i="1"/>
  <c r="F5" i="1" s="1"/>
  <c r="E14" i="1"/>
  <c r="F14" i="1" s="1"/>
  <c r="E9" i="1"/>
  <c r="F9" i="1" s="1"/>
  <c r="E8" i="1"/>
  <c r="F8" i="1" s="1"/>
  <c r="H41" i="1"/>
  <c r="I41" i="1" s="1"/>
  <c r="H24" i="1"/>
  <c r="I24" i="1" s="1"/>
  <c r="H15" i="1"/>
  <c r="I15" i="1" s="1"/>
  <c r="H21" i="1"/>
  <c r="H39" i="1"/>
  <c r="I39" i="1" s="1"/>
  <c r="H40" i="1"/>
  <c r="I40" i="1" s="1"/>
  <c r="H33" i="1"/>
  <c r="I33" i="1" s="1"/>
  <c r="H32" i="1"/>
  <c r="I32" i="1" s="1"/>
  <c r="H28" i="1"/>
  <c r="I28" i="1" s="1"/>
  <c r="I38" i="1"/>
  <c r="H7" i="1"/>
  <c r="I7" i="1" s="1"/>
  <c r="H11" i="1"/>
  <c r="I11" i="1" s="1"/>
  <c r="H13" i="1"/>
  <c r="I13" i="1" s="1"/>
  <c r="H9" i="1"/>
  <c r="I9" i="1" s="1"/>
  <c r="H8" i="1"/>
  <c r="I8" i="1" s="1"/>
  <c r="H43" i="1" l="1"/>
  <c r="I43" i="1" s="1"/>
  <c r="H36" i="1"/>
  <c r="I36" i="1" s="1"/>
  <c r="B57" i="1"/>
  <c r="F21" i="1" s="1"/>
  <c r="F49" i="1" s="1"/>
  <c r="F50" i="1" s="1"/>
  <c r="H5" i="1"/>
  <c r="I5" i="1" s="1"/>
  <c r="K36" i="1"/>
  <c r="L36" i="1" s="1"/>
  <c r="K35" i="1"/>
  <c r="K22" i="1"/>
  <c r="K40" i="1"/>
  <c r="L40" i="1" s="1"/>
  <c r="K39" i="1"/>
  <c r="L39" i="1" s="1"/>
  <c r="L38" i="1"/>
  <c r="N20" i="1"/>
  <c r="K20" i="1"/>
  <c r="K19" i="1"/>
  <c r="N19" i="1"/>
  <c r="K18" i="1"/>
  <c r="N18" i="1"/>
  <c r="K17" i="1"/>
  <c r="K16" i="1"/>
  <c r="K10" i="1"/>
  <c r="N39" i="1"/>
  <c r="O39" i="1" s="1"/>
  <c r="N36" i="1"/>
  <c r="O36" i="1" s="1"/>
  <c r="N35" i="1"/>
  <c r="O7" i="1"/>
  <c r="N17" i="1"/>
  <c r="N16" i="1"/>
  <c r="I21" i="1" l="1"/>
  <c r="I49" i="1" s="1"/>
  <c r="I50" i="1" s="1"/>
  <c r="L49" i="1"/>
  <c r="L50" i="1" s="1"/>
  <c r="O49" i="1"/>
  <c r="O50" i="1" s="1"/>
</calcChain>
</file>

<file path=xl/sharedStrings.xml><?xml version="1.0" encoding="utf-8"?>
<sst xmlns="http://schemas.openxmlformats.org/spreadsheetml/2006/main" count="172" uniqueCount="91">
  <si>
    <t>Consumables</t>
  </si>
  <si>
    <t>Full-scale Amplicon</t>
  </si>
  <si>
    <t>Down-Scale Amplicon</t>
  </si>
  <si>
    <t>Full-scale metagenome</t>
  </si>
  <si>
    <t>Down-scale metagenome</t>
  </si>
  <si>
    <t>Foil</t>
  </si>
  <si>
    <t>PCR strip caps</t>
  </si>
  <si>
    <t>Qubit HS 1X, µL</t>
  </si>
  <si>
    <t>IDT UDP index, µL</t>
  </si>
  <si>
    <t>NFW, µL</t>
  </si>
  <si>
    <t>BLT, µL</t>
  </si>
  <si>
    <t>TB1, µL</t>
  </si>
  <si>
    <t>TWB, µL</t>
  </si>
  <si>
    <t>Enhanced PCR MM, µL</t>
  </si>
  <si>
    <t>SPB, µL</t>
  </si>
  <si>
    <t>NA</t>
  </si>
  <si>
    <t>Pronex beads</t>
  </si>
  <si>
    <t>TSB</t>
  </si>
  <si>
    <t>EP motion tips</t>
  </si>
  <si>
    <t>80% EtOH</t>
  </si>
  <si>
    <t>1 mL combi tip</t>
  </si>
  <si>
    <t>Highest amount</t>
  </si>
  <si>
    <t>Enclosed wash buffer µL</t>
  </si>
  <si>
    <t>PCR strip</t>
  </si>
  <si>
    <t>1 µM Amplicon primer mix</t>
  </si>
  <si>
    <t>2 µM Amplicon primer mix</t>
  </si>
  <si>
    <t>PCR Ultramix PCR1, µL</t>
  </si>
  <si>
    <t>PCR Ultramix PCR2, µL</t>
  </si>
  <si>
    <t>CleanNGS beads</t>
  </si>
  <si>
    <t>96-well plate</t>
  </si>
  <si>
    <t>Illumina IDT UDP index plate</t>
  </si>
  <si>
    <t>SPB beads</t>
  </si>
  <si>
    <t>Price</t>
  </si>
  <si>
    <t>Qubit tubes</t>
  </si>
  <si>
    <t>Tapestation tips</t>
  </si>
  <si>
    <t>Tapestation strips</t>
  </si>
  <si>
    <t>Illumina DNA prep, 96</t>
  </si>
  <si>
    <t>ILMN DNA prep IPB</t>
  </si>
  <si>
    <t>Semi-skrirted PCR plate</t>
  </si>
  <si>
    <t>CleanNGS beads, 500 mL</t>
  </si>
  <si>
    <t>ProNex beads, 500 mL</t>
  </si>
  <si>
    <t>Qubit plate 200 µL</t>
  </si>
  <si>
    <t>Qubit plate 100 µL</t>
  </si>
  <si>
    <t>D1000 screentape</t>
  </si>
  <si>
    <t>4 µM Nextera adaptor</t>
  </si>
  <si>
    <t>Hamilton tips</t>
  </si>
  <si>
    <t>Low volume reservoir</t>
  </si>
  <si>
    <t>Ekstra SPB, µL</t>
  </si>
  <si>
    <t>-</t>
  </si>
  <si>
    <t>Comment</t>
  </si>
  <si>
    <t>Total</t>
  </si>
  <si>
    <t>Price pr rxn</t>
  </si>
  <si>
    <t>Nuclease free water, 1000 mL</t>
  </si>
  <si>
    <t>80% EtOH, 1000 mL</t>
  </si>
  <si>
    <t>PCR Ultramix, 400 rxn (20 mL)</t>
  </si>
  <si>
    <t>D1000 HS Screentape</t>
  </si>
  <si>
    <t>D1000 reagents</t>
  </si>
  <si>
    <t>D1000 HS reagents</t>
  </si>
  <si>
    <t>1 µM Nextera adapator mix</t>
  </si>
  <si>
    <t>Qubit HS 1X, 500 rxn (100 mL)</t>
  </si>
  <si>
    <t>Eppendorf tube, 2mL</t>
  </si>
  <si>
    <t>Tips 100-1000 µL</t>
  </si>
  <si>
    <t>USD</t>
  </si>
  <si>
    <t>5067-5582</t>
  </si>
  <si>
    <t>5067-5584</t>
  </si>
  <si>
    <t>5067-5602</t>
  </si>
  <si>
    <t>5067-5603</t>
  </si>
  <si>
    <t>5067-5599</t>
  </si>
  <si>
    <t>SS-3320-00</t>
  </si>
  <si>
    <t>SS-3240-00</t>
  </si>
  <si>
    <t>732-0664</t>
  </si>
  <si>
    <t>732-0680</t>
  </si>
  <si>
    <t>391-1256</t>
  </si>
  <si>
    <t>IPB 400 mL</t>
  </si>
  <si>
    <t>GREI675161_40</t>
  </si>
  <si>
    <t>613-1174</t>
  </si>
  <si>
    <t>GR-623201</t>
  </si>
  <si>
    <t>96 % EtOH, 1000 mL</t>
  </si>
  <si>
    <t>732-0516</t>
  </si>
  <si>
    <t>732-0528</t>
  </si>
  <si>
    <t>732-0611</t>
  </si>
  <si>
    <t>732-0534</t>
  </si>
  <si>
    <t>Tips 30-300 µL</t>
  </si>
  <si>
    <t>Tips 0.1-10 µL</t>
  </si>
  <si>
    <t>Tips 1-40 µL</t>
  </si>
  <si>
    <t>Oligo 100 µM</t>
  </si>
  <si>
    <t>QQ33231</t>
  </si>
  <si>
    <t>I-DOT jets, S100</t>
  </si>
  <si>
    <t>PB10 32-05</t>
  </si>
  <si>
    <t>I-DOT jets, S200</t>
  </si>
  <si>
    <t>Highest amount, maybe omit in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</si>
</sst>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F753-BDE3-43D1-B954-5A26E29B69DA}">
  <dimension ref="A1:Q64"/>
  <sheetViews>
    <sheetView tabSelected="1" topLeftCell="A31" workbookViewId="0">
      <selection activeCell="K57" sqref="K57"/>
    </sheetView>
  </sheetViews>
  <sheetFormatPr defaultRowHeight="15" x14ac:dyDescent="0.25"/>
  <cols>
    <col min="1" max="1" width="31.85546875" bestFit="1" customWidth="1"/>
    <col min="2" max="2" width="7" bestFit="1" customWidth="1"/>
    <col min="3" max="3" width="14.140625" bestFit="1" customWidth="1"/>
    <col min="5" max="5" width="18.5703125" bestFit="1" customWidth="1"/>
    <col min="6" max="6" width="11" style="2" bestFit="1" customWidth="1"/>
    <col min="7" max="7" width="5.42578125" customWidth="1"/>
    <col min="8" max="8" width="22.140625" bestFit="1" customWidth="1"/>
    <col min="9" max="9" width="11" style="2" bestFit="1" customWidth="1"/>
    <col min="10" max="10" width="5.42578125" customWidth="1"/>
    <col min="11" max="11" width="22.140625" bestFit="1" customWidth="1"/>
    <col min="12" max="12" width="12" style="2" bestFit="1" customWidth="1"/>
    <col min="14" max="14" width="24" bestFit="1" customWidth="1"/>
    <col min="15" max="15" width="12" style="2" bestFit="1" customWidth="1"/>
    <col min="16" max="16" width="15.140625" customWidth="1"/>
    <col min="17" max="17" width="36.42578125" bestFit="1" customWidth="1"/>
  </cols>
  <sheetData>
    <row r="1" spans="1:17" x14ac:dyDescent="0.25">
      <c r="A1" s="1" t="s">
        <v>0</v>
      </c>
      <c r="B1" s="1" t="s">
        <v>32</v>
      </c>
      <c r="C1" s="1"/>
      <c r="E1" s="1" t="s">
        <v>1</v>
      </c>
      <c r="F1" s="3" t="s">
        <v>51</v>
      </c>
      <c r="G1" s="1"/>
      <c r="H1" s="1" t="s">
        <v>2</v>
      </c>
      <c r="I1" s="3" t="s">
        <v>51</v>
      </c>
      <c r="J1" s="1"/>
      <c r="K1" s="1" t="s">
        <v>3</v>
      </c>
      <c r="L1" s="3" t="s">
        <v>51</v>
      </c>
      <c r="M1" s="1"/>
      <c r="N1" s="1" t="s">
        <v>4</v>
      </c>
      <c r="O1" s="3" t="s">
        <v>51</v>
      </c>
      <c r="P1" s="1"/>
      <c r="Q1" s="1" t="s">
        <v>49</v>
      </c>
    </row>
    <row r="2" spans="1:17" x14ac:dyDescent="0.25">
      <c r="A2" t="s">
        <v>29</v>
      </c>
      <c r="B2">
        <f>301/10</f>
        <v>30.1</v>
      </c>
      <c r="C2" t="s">
        <v>70</v>
      </c>
      <c r="E2">
        <f>1+1+1</f>
        <v>3</v>
      </c>
      <c r="F2" s="2">
        <f>E2*B2/94</f>
        <v>0.96063829787234056</v>
      </c>
      <c r="H2">
        <v>1</v>
      </c>
      <c r="I2" s="2">
        <f>H2*B2/94</f>
        <v>0.3202127659574468</v>
      </c>
      <c r="K2">
        <v>3</v>
      </c>
      <c r="L2" s="2">
        <f>K2*B2/94</f>
        <v>0.96063829787234056</v>
      </c>
      <c r="N2">
        <v>3</v>
      </c>
      <c r="O2" s="2">
        <f>N2*B2/94</f>
        <v>0.96063829787234056</v>
      </c>
    </row>
    <row r="3" spans="1:17" x14ac:dyDescent="0.25">
      <c r="A3" t="s">
        <v>6</v>
      </c>
      <c r="B3">
        <f>211/125</f>
        <v>1.6879999999999999</v>
      </c>
      <c r="C3" t="s">
        <v>71</v>
      </c>
      <c r="E3">
        <f>12+12+12+12</f>
        <v>48</v>
      </c>
      <c r="F3" s="2">
        <f>E3*B3/94</f>
        <v>0.86195744680851061</v>
      </c>
      <c r="H3">
        <f>24+12+12</f>
        <v>48</v>
      </c>
      <c r="I3" s="2">
        <f>H3*B3/94</f>
        <v>0.86195744680851061</v>
      </c>
      <c r="K3" t="s">
        <v>15</v>
      </c>
      <c r="L3" s="2">
        <v>0</v>
      </c>
      <c r="N3">
        <v>12</v>
      </c>
      <c r="O3" s="2">
        <f>N3*B3/94</f>
        <v>0.21548936170212765</v>
      </c>
    </row>
    <row r="4" spans="1:17" x14ac:dyDescent="0.25">
      <c r="A4" t="s">
        <v>5</v>
      </c>
      <c r="B4">
        <f>698/100</f>
        <v>6.98</v>
      </c>
      <c r="C4" t="s">
        <v>72</v>
      </c>
      <c r="E4">
        <f>1+1+1</f>
        <v>3</v>
      </c>
      <c r="F4" s="2">
        <f>E4*B4/94</f>
        <v>0.22276595744680852</v>
      </c>
      <c r="H4">
        <v>2</v>
      </c>
      <c r="I4" s="2">
        <f>H4*B4/94</f>
        <v>0.14851063829787234</v>
      </c>
      <c r="K4">
        <v>4</v>
      </c>
      <c r="L4" s="2">
        <f>K4*B4/94</f>
        <v>0.29702127659574468</v>
      </c>
      <c r="N4">
        <v>4</v>
      </c>
      <c r="O4" s="2">
        <f>N4*B4/94</f>
        <v>0.29702127659574468</v>
      </c>
    </row>
    <row r="5" spans="1:17" x14ac:dyDescent="0.25">
      <c r="A5" t="s">
        <v>38</v>
      </c>
      <c r="B5">
        <f>1848/50</f>
        <v>36.96</v>
      </c>
      <c r="E5">
        <f>2+1</f>
        <v>3</v>
      </c>
      <c r="F5" s="2">
        <f>E5*B5/94</f>
        <v>1.1795744680851064</v>
      </c>
      <c r="H5">
        <f>2+1</f>
        <v>3</v>
      </c>
      <c r="I5" s="2">
        <f>H5*B5/94</f>
        <v>1.1795744680851064</v>
      </c>
      <c r="K5">
        <v>1</v>
      </c>
      <c r="L5" s="2">
        <f>K5*B5/94</f>
        <v>0.39319148936170212</v>
      </c>
      <c r="N5">
        <v>1</v>
      </c>
      <c r="O5" s="2">
        <f>N5*B5/94</f>
        <v>0.39319148936170212</v>
      </c>
    </row>
    <row r="6" spans="1:17" x14ac:dyDescent="0.25">
      <c r="A6" t="s">
        <v>89</v>
      </c>
      <c r="B6">
        <f>15101/(100*96)</f>
        <v>1.5730208333333333</v>
      </c>
      <c r="E6" t="s">
        <v>15</v>
      </c>
      <c r="F6" s="2">
        <v>0</v>
      </c>
      <c r="H6" t="s">
        <v>15</v>
      </c>
      <c r="I6" s="2">
        <v>0</v>
      </c>
      <c r="K6" t="s">
        <v>15</v>
      </c>
      <c r="L6" s="2">
        <v>0</v>
      </c>
      <c r="N6">
        <f>4</f>
        <v>4</v>
      </c>
      <c r="O6" s="2">
        <f>N6*B6/94</f>
        <v>6.6937056737588652E-2</v>
      </c>
    </row>
    <row r="7" spans="1:17" x14ac:dyDescent="0.25">
      <c r="A7" t="s">
        <v>87</v>
      </c>
      <c r="B7">
        <f>15101/(100*96)</f>
        <v>1.5730208333333333</v>
      </c>
      <c r="E7" t="s">
        <v>15</v>
      </c>
      <c r="F7" s="2">
        <v>0</v>
      </c>
      <c r="H7">
        <f>96+10+96+4+8+12+94</f>
        <v>320</v>
      </c>
      <c r="I7" s="2">
        <f>H7*B7/94</f>
        <v>5.3549645390070921</v>
      </c>
      <c r="K7" t="s">
        <v>15</v>
      </c>
      <c r="L7" s="2">
        <v>0</v>
      </c>
      <c r="N7">
        <f>96*2+2+8</f>
        <v>202</v>
      </c>
      <c r="O7" s="2">
        <f>N7*B7/94</f>
        <v>3.3803213652482267</v>
      </c>
    </row>
    <row r="8" spans="1:17" x14ac:dyDescent="0.25">
      <c r="A8" t="s">
        <v>26</v>
      </c>
      <c r="B8" t="s">
        <v>48</v>
      </c>
      <c r="E8">
        <f>94*2*12.5*1.05</f>
        <v>2467.5</v>
      </c>
      <c r="F8" s="2">
        <f>((E8/1000)/20)*B63/94</f>
        <v>2.31</v>
      </c>
      <c r="H8">
        <f>2*94*2.5*1.05</f>
        <v>493.5</v>
      </c>
      <c r="I8" s="2">
        <f>((H8/1000)/20)*B63/94</f>
        <v>0.46199999999999997</v>
      </c>
      <c r="K8" t="s">
        <v>15</v>
      </c>
      <c r="L8" s="2">
        <v>0</v>
      </c>
      <c r="N8" t="s">
        <v>15</v>
      </c>
      <c r="O8" s="2">
        <v>0</v>
      </c>
    </row>
    <row r="9" spans="1:17" x14ac:dyDescent="0.25">
      <c r="A9" t="s">
        <v>27</v>
      </c>
      <c r="B9" t="s">
        <v>48</v>
      </c>
      <c r="E9">
        <f>94*12.5*1.05</f>
        <v>1233.75</v>
      </c>
      <c r="F9" s="2">
        <f>((E9/1000)/20)*B63/94</f>
        <v>1.155</v>
      </c>
      <c r="H9">
        <f>94*2.5*1.05</f>
        <v>246.75</v>
      </c>
      <c r="I9" s="2">
        <f>((H9/1000)/20)*B63/94</f>
        <v>0.23099999999999998</v>
      </c>
      <c r="K9" t="s">
        <v>15</v>
      </c>
      <c r="L9" s="2">
        <v>0</v>
      </c>
      <c r="N9" t="s">
        <v>15</v>
      </c>
      <c r="O9" s="2">
        <v>0</v>
      </c>
    </row>
    <row r="10" spans="1:17" x14ac:dyDescent="0.25">
      <c r="A10" t="s">
        <v>8</v>
      </c>
      <c r="B10" t="s">
        <v>48</v>
      </c>
      <c r="E10" t="s">
        <v>15</v>
      </c>
      <c r="F10" s="2">
        <v>0</v>
      </c>
      <c r="H10" t="s">
        <v>15</v>
      </c>
      <c r="I10" s="2">
        <v>0</v>
      </c>
      <c r="K10">
        <f>94*10</f>
        <v>940</v>
      </c>
      <c r="L10" s="2">
        <f>B54/94</f>
        <v>36.542553191489361</v>
      </c>
      <c r="N10">
        <v>94</v>
      </c>
      <c r="O10" s="2">
        <f>(B54/10)/94</f>
        <v>3.6542553191489362</v>
      </c>
    </row>
    <row r="11" spans="1:17" x14ac:dyDescent="0.25">
      <c r="A11" t="s">
        <v>44</v>
      </c>
      <c r="B11">
        <f>4*622.62/12300</f>
        <v>0.20247804878048781</v>
      </c>
      <c r="E11" t="s">
        <v>15</v>
      </c>
      <c r="F11" s="2">
        <v>0</v>
      </c>
      <c r="H11">
        <f>94*0.5*2*1.05</f>
        <v>98.7</v>
      </c>
      <c r="I11" s="2">
        <f>H11*B11/94</f>
        <v>0.21260195121951223</v>
      </c>
      <c r="K11" t="s">
        <v>15</v>
      </c>
      <c r="L11" s="2">
        <v>0</v>
      </c>
      <c r="N11" t="s">
        <v>15</v>
      </c>
      <c r="O11" s="2">
        <v>0</v>
      </c>
    </row>
    <row r="12" spans="1:17" x14ac:dyDescent="0.25">
      <c r="A12" t="s">
        <v>58</v>
      </c>
      <c r="B12">
        <f>622.62/12300</f>
        <v>5.0619512195121952E-2</v>
      </c>
      <c r="E12">
        <f>94*10*1.05</f>
        <v>987</v>
      </c>
      <c r="F12" s="2">
        <f>E12*B12/94</f>
        <v>0.53150487804878055</v>
      </c>
      <c r="H12" t="s">
        <v>15</v>
      </c>
      <c r="I12" s="2">
        <v>0</v>
      </c>
      <c r="K12" t="s">
        <v>15</v>
      </c>
      <c r="L12" s="2">
        <v>0</v>
      </c>
      <c r="N12" t="s">
        <v>15</v>
      </c>
      <c r="O12" s="2">
        <v>0</v>
      </c>
    </row>
    <row r="13" spans="1:17" x14ac:dyDescent="0.25">
      <c r="A13" t="s">
        <v>25</v>
      </c>
      <c r="B13">
        <f>2*622.62/12300</f>
        <v>0.1012390243902439</v>
      </c>
      <c r="E13" t="s">
        <v>15</v>
      </c>
      <c r="F13" s="2">
        <v>0</v>
      </c>
      <c r="H13">
        <f>94*2*1*1.05</f>
        <v>197.4</v>
      </c>
      <c r="I13" s="2">
        <f>H13*B13/94</f>
        <v>0.21260195121951223</v>
      </c>
      <c r="K13" t="s">
        <v>15</v>
      </c>
      <c r="L13" s="2">
        <v>0</v>
      </c>
      <c r="N13" t="s">
        <v>15</v>
      </c>
      <c r="O13" s="2">
        <v>0</v>
      </c>
    </row>
    <row r="14" spans="1:17" x14ac:dyDescent="0.25">
      <c r="A14" t="s">
        <v>24</v>
      </c>
      <c r="B14">
        <f>622.62/12300</f>
        <v>5.0619512195121952E-2</v>
      </c>
      <c r="E14">
        <f>94*2*10*1.05</f>
        <v>1974</v>
      </c>
      <c r="F14" s="2">
        <f>E14*B14/94</f>
        <v>1.0630097560975611</v>
      </c>
      <c r="H14" t="s">
        <v>15</v>
      </c>
      <c r="I14" s="2">
        <v>0</v>
      </c>
      <c r="K14" t="s">
        <v>15</v>
      </c>
      <c r="L14" s="2">
        <v>0</v>
      </c>
      <c r="N14" t="s">
        <v>15</v>
      </c>
      <c r="O14" s="2">
        <v>0</v>
      </c>
    </row>
    <row r="15" spans="1:17" x14ac:dyDescent="0.25">
      <c r="A15" t="s">
        <v>9</v>
      </c>
      <c r="B15" t="s">
        <v>48</v>
      </c>
      <c r="E15">
        <f>4*94*1.05+94*2*0.5*1.05+94*25*1.05+94*0.5*1.05</f>
        <v>3010.35</v>
      </c>
      <c r="F15" s="2">
        <f>((E15/1000)/1000)*B60/94</f>
        <v>6.1680149999999998E-3</v>
      </c>
      <c r="H15">
        <f>2*94*1.5*1.05+94*15*1.05+94*1.5*1.05+94*22*1.05</f>
        <v>4096.05</v>
      </c>
      <c r="I15" s="2">
        <f>((H15/1000)/1000)*B60/94</f>
        <v>8.3925450000000013E-3</v>
      </c>
      <c r="K15">
        <f>(94*29+94*22)*1.05</f>
        <v>5033.7</v>
      </c>
      <c r="L15" s="2">
        <f>((K15/1000)/1000)*B60/94</f>
        <v>1.0313729999999998E-2</v>
      </c>
      <c r="N15">
        <f>(2.9*94+2.2*94+18*94*1.05+94*17+94*20+35+18)*1.05</f>
        <v>6076.35</v>
      </c>
      <c r="O15" s="2">
        <f>((N15/1000)/1000)*B60/94</f>
        <v>1.2450053297872342E-2</v>
      </c>
      <c r="Q15" t="s">
        <v>90</v>
      </c>
    </row>
    <row r="16" spans="1:17" x14ac:dyDescent="0.25">
      <c r="A16" t="s">
        <v>10</v>
      </c>
      <c r="B16" t="s">
        <v>48</v>
      </c>
      <c r="E16" t="s">
        <v>15</v>
      </c>
      <c r="F16" s="2">
        <v>0</v>
      </c>
      <c r="H16" t="s">
        <v>15</v>
      </c>
      <c r="I16" s="2">
        <v>0</v>
      </c>
      <c r="K16">
        <f>94*11</f>
        <v>1034</v>
      </c>
      <c r="L16" s="2">
        <f>B52/96</f>
        <v>303.52083333333331</v>
      </c>
      <c r="N16">
        <f>94*1.1</f>
        <v>103.4</v>
      </c>
      <c r="O16" s="2">
        <f>B52/960</f>
        <v>30.352083333333333</v>
      </c>
    </row>
    <row r="17" spans="1:15" x14ac:dyDescent="0.25">
      <c r="A17" t="s">
        <v>11</v>
      </c>
      <c r="B17" t="s">
        <v>48</v>
      </c>
      <c r="E17" t="s">
        <v>15</v>
      </c>
      <c r="F17" s="2">
        <v>0</v>
      </c>
      <c r="H17" t="s">
        <v>15</v>
      </c>
      <c r="I17" s="2">
        <v>0</v>
      </c>
      <c r="K17">
        <f>94*11</f>
        <v>1034</v>
      </c>
      <c r="L17" s="2">
        <v>0</v>
      </c>
      <c r="N17">
        <f>94*1.1</f>
        <v>103.4</v>
      </c>
      <c r="O17" s="2">
        <v>0</v>
      </c>
    </row>
    <row r="18" spans="1:15" x14ac:dyDescent="0.25">
      <c r="A18" t="s">
        <v>17</v>
      </c>
      <c r="B18" t="s">
        <v>48</v>
      </c>
      <c r="E18" t="s">
        <v>15</v>
      </c>
      <c r="F18" s="2">
        <v>0</v>
      </c>
      <c r="H18" t="s">
        <v>15</v>
      </c>
      <c r="I18" s="2">
        <v>0</v>
      </c>
      <c r="K18">
        <f>94*10</f>
        <v>940</v>
      </c>
      <c r="L18" s="2">
        <v>0</v>
      </c>
      <c r="N18">
        <f>96*1</f>
        <v>96</v>
      </c>
      <c r="O18" s="2">
        <v>0</v>
      </c>
    </row>
    <row r="19" spans="1:15" x14ac:dyDescent="0.25">
      <c r="A19" t="s">
        <v>12</v>
      </c>
      <c r="B19" t="s">
        <v>48</v>
      </c>
      <c r="E19" t="s">
        <v>15</v>
      </c>
      <c r="F19" s="2">
        <v>0</v>
      </c>
      <c r="H19" t="s">
        <v>15</v>
      </c>
      <c r="I19" s="2">
        <v>0</v>
      </c>
      <c r="K19">
        <f>94*100*3</f>
        <v>28200</v>
      </c>
      <c r="L19" s="2">
        <v>0</v>
      </c>
      <c r="N19">
        <f>94*10*3</f>
        <v>2820</v>
      </c>
      <c r="O19" s="2">
        <v>0</v>
      </c>
    </row>
    <row r="20" spans="1:15" x14ac:dyDescent="0.25">
      <c r="A20" t="s">
        <v>13</v>
      </c>
      <c r="B20" t="s">
        <v>48</v>
      </c>
      <c r="E20" t="s">
        <v>15</v>
      </c>
      <c r="F20" s="2">
        <v>0</v>
      </c>
      <c r="H20" t="s">
        <v>15</v>
      </c>
      <c r="I20" s="2">
        <v>0</v>
      </c>
      <c r="K20">
        <f>94*22</f>
        <v>2068</v>
      </c>
      <c r="L20" s="2">
        <v>0</v>
      </c>
      <c r="N20">
        <f>94*2.2</f>
        <v>206.8</v>
      </c>
      <c r="O20" s="2">
        <v>0</v>
      </c>
    </row>
    <row r="21" spans="1:15" x14ac:dyDescent="0.25">
      <c r="A21" t="s">
        <v>28</v>
      </c>
      <c r="B21" t="s">
        <v>48</v>
      </c>
      <c r="E21">
        <f>94*40*1.05+94*20*1.05</f>
        <v>5922</v>
      </c>
      <c r="F21" s="2">
        <f>((E21/1000)/500)*B57/94</f>
        <v>4.7249999999999988</v>
      </c>
      <c r="H21">
        <f>94*8*1.05+94*4*1.05</f>
        <v>1184.4000000000001</v>
      </c>
      <c r="I21" s="2">
        <f>((H21/1000)/500)*B57/94</f>
        <v>0.94500000000000017</v>
      </c>
      <c r="K21" t="s">
        <v>15</v>
      </c>
      <c r="L21" s="2">
        <v>0</v>
      </c>
      <c r="N21" t="s">
        <v>15</v>
      </c>
      <c r="O21" s="2">
        <v>0</v>
      </c>
    </row>
    <row r="22" spans="1:15" x14ac:dyDescent="0.25">
      <c r="A22" t="s">
        <v>14</v>
      </c>
      <c r="B22" t="s">
        <v>48</v>
      </c>
      <c r="E22" t="s">
        <v>15</v>
      </c>
      <c r="F22" s="2">
        <v>0</v>
      </c>
      <c r="H22" t="s">
        <v>15</v>
      </c>
      <c r="I22" s="2">
        <v>0</v>
      </c>
      <c r="K22">
        <f>45*94+15*94</f>
        <v>5640</v>
      </c>
      <c r="L22" s="2">
        <v>0</v>
      </c>
      <c r="N22">
        <f>16*94+6*94</f>
        <v>2068</v>
      </c>
      <c r="O22" s="2">
        <v>0</v>
      </c>
    </row>
    <row r="23" spans="1:15" x14ac:dyDescent="0.25">
      <c r="A23" t="s">
        <v>47</v>
      </c>
      <c r="B23" t="s">
        <v>48</v>
      </c>
      <c r="E23" t="s">
        <v>15</v>
      </c>
      <c r="F23" s="2">
        <v>0</v>
      </c>
      <c r="H23" t="s">
        <v>15</v>
      </c>
      <c r="I23" s="2">
        <v>0</v>
      </c>
      <c r="K23" t="s">
        <v>15</v>
      </c>
      <c r="L23" s="2">
        <v>0</v>
      </c>
      <c r="N23">
        <f>(18-6)*94</f>
        <v>1128</v>
      </c>
      <c r="O23" s="2">
        <f>((N23/1000)/400)*B56/94</f>
        <v>0.68249999999999988</v>
      </c>
    </row>
    <row r="24" spans="1:15" x14ac:dyDescent="0.25">
      <c r="A24" t="s">
        <v>7</v>
      </c>
      <c r="B24" t="s">
        <v>48</v>
      </c>
      <c r="E24">
        <f>(92*198+2*190+92*198+2*190+3*198+2*190)*1.05</f>
        <v>40074.300000000003</v>
      </c>
      <c r="F24" s="2">
        <f>((E24/1000)/100)*B59/94</f>
        <v>9.3108799148936168</v>
      </c>
      <c r="H24">
        <f>(92*99+2*90+92*99+2*90+3*198+2*190)*1.05</f>
        <v>20527.5</v>
      </c>
      <c r="I24" s="2">
        <f>((H24/1000)/100)*B59/94</f>
        <v>4.7693680851063824</v>
      </c>
      <c r="K24">
        <f>94*198+2*190+3*199+2*190</f>
        <v>19969</v>
      </c>
      <c r="L24" s="2">
        <f>((K24/1000)/100)*B59/94</f>
        <v>4.6396059574468085</v>
      </c>
      <c r="N24">
        <f>94*98+2*90+3*199+2*190</f>
        <v>10369</v>
      </c>
      <c r="O24" s="2">
        <f>((N24/1000)/100)*B59/94</f>
        <v>2.4091378723404255</v>
      </c>
    </row>
    <row r="25" spans="1:15" x14ac:dyDescent="0.25">
      <c r="A25" t="s">
        <v>33</v>
      </c>
      <c r="B25">
        <f>240/1000</f>
        <v>0.24</v>
      </c>
      <c r="C25" t="s">
        <v>68</v>
      </c>
      <c r="E25">
        <v>5</v>
      </c>
      <c r="F25" s="2">
        <f>E25*B25/94</f>
        <v>1.276595744680851E-2</v>
      </c>
      <c r="H25">
        <v>5</v>
      </c>
      <c r="I25" s="2">
        <f>H25*B25/94</f>
        <v>1.276595744680851E-2</v>
      </c>
      <c r="K25">
        <v>5</v>
      </c>
      <c r="L25" s="2">
        <f>K25*B25/94</f>
        <v>1.276595744680851E-2</v>
      </c>
      <c r="N25">
        <v>7</v>
      </c>
      <c r="O25" s="2">
        <f>N25*B25/94</f>
        <v>1.7872340425531916E-2</v>
      </c>
    </row>
    <row r="26" spans="1:15" x14ac:dyDescent="0.25">
      <c r="A26" t="s">
        <v>41</v>
      </c>
      <c r="B26">
        <f>2587/180</f>
        <v>14.372222222222222</v>
      </c>
      <c r="C26">
        <v>10307451</v>
      </c>
      <c r="E26">
        <f>1+1</f>
        <v>2</v>
      </c>
      <c r="F26" s="2">
        <f>E26*B26/94</f>
        <v>0.30579196217494087</v>
      </c>
      <c r="H26" t="s">
        <v>15</v>
      </c>
      <c r="I26" s="2">
        <v>0</v>
      </c>
      <c r="K26">
        <v>1</v>
      </c>
      <c r="L26" s="2">
        <f>K26*B26/94</f>
        <v>0.15289598108747043</v>
      </c>
      <c r="N26" t="s">
        <v>15</v>
      </c>
      <c r="O26" s="2">
        <v>0</v>
      </c>
    </row>
    <row r="27" spans="1:15" x14ac:dyDescent="0.25">
      <c r="A27" t="s">
        <v>42</v>
      </c>
      <c r="B27">
        <f>838/40</f>
        <v>20.95</v>
      </c>
      <c r="C27" t="s">
        <v>74</v>
      </c>
      <c r="E27" t="s">
        <v>15</v>
      </c>
      <c r="F27" s="2">
        <v>0</v>
      </c>
      <c r="H27">
        <v>2</v>
      </c>
      <c r="I27" s="2">
        <f>H27*B27/94</f>
        <v>0.44574468085106383</v>
      </c>
      <c r="K27" t="s">
        <v>15</v>
      </c>
      <c r="L27" s="2">
        <v>0</v>
      </c>
      <c r="N27">
        <v>1</v>
      </c>
      <c r="O27" s="2">
        <f>N27*B27/94</f>
        <v>0.22287234042553192</v>
      </c>
    </row>
    <row r="28" spans="1:15" x14ac:dyDescent="0.25">
      <c r="A28" t="s">
        <v>43</v>
      </c>
      <c r="B28">
        <f>1301/112</f>
        <v>11.616071428571429</v>
      </c>
      <c r="C28" t="s">
        <v>63</v>
      </c>
      <c r="E28">
        <f>0.5+0.5+(2/16)</f>
        <v>1.125</v>
      </c>
      <c r="F28" s="2">
        <f>E28*B28/94</f>
        <v>0.13902213145896658</v>
      </c>
      <c r="H28">
        <f>0.5+0.5+(2/16)</f>
        <v>1.125</v>
      </c>
      <c r="I28" s="2">
        <f>H28*B28/94</f>
        <v>0.13902213145896658</v>
      </c>
      <c r="K28" t="s">
        <v>15</v>
      </c>
      <c r="L28" s="2">
        <v>0</v>
      </c>
      <c r="N28" t="s">
        <v>15</v>
      </c>
      <c r="O28" s="2">
        <v>0</v>
      </c>
    </row>
    <row r="29" spans="1:15" x14ac:dyDescent="0.25">
      <c r="A29" t="s">
        <v>55</v>
      </c>
      <c r="B29">
        <f>2107/112</f>
        <v>18.8125</v>
      </c>
      <c r="C29" t="s">
        <v>64</v>
      </c>
      <c r="E29" t="s">
        <v>15</v>
      </c>
      <c r="F29" s="2">
        <v>0</v>
      </c>
      <c r="I29" s="2">
        <f>H29*B29/94</f>
        <v>0</v>
      </c>
      <c r="K29">
        <f>0.5+(2/16)</f>
        <v>0.625</v>
      </c>
      <c r="L29" s="2">
        <f>K29*B29/94</f>
        <v>0.12508311170212766</v>
      </c>
      <c r="N29">
        <f>0.5+(2/16)</f>
        <v>0.625</v>
      </c>
      <c r="O29" s="2">
        <f>N29*B29/94</f>
        <v>0.12508311170212766</v>
      </c>
    </row>
    <row r="30" spans="1:15" x14ac:dyDescent="0.25">
      <c r="A30" t="s">
        <v>56</v>
      </c>
      <c r="B30">
        <f>273/112</f>
        <v>2.4375</v>
      </c>
      <c r="C30" t="s">
        <v>65</v>
      </c>
      <c r="E30">
        <f>8+8+2</f>
        <v>18</v>
      </c>
      <c r="F30" s="2">
        <f>E30*B30/94</f>
        <v>0.46675531914893614</v>
      </c>
      <c r="H30">
        <f>8+8+2</f>
        <v>18</v>
      </c>
      <c r="I30" s="2">
        <f>H30*B30/94</f>
        <v>0.46675531914893614</v>
      </c>
      <c r="K30" t="s">
        <v>15</v>
      </c>
      <c r="L30" s="2">
        <v>0</v>
      </c>
      <c r="N30" t="s">
        <v>15</v>
      </c>
      <c r="O30" s="2">
        <v>0</v>
      </c>
    </row>
    <row r="31" spans="1:15" x14ac:dyDescent="0.25">
      <c r="A31" t="s">
        <v>57</v>
      </c>
      <c r="B31">
        <f>343/112</f>
        <v>3.0625</v>
      </c>
      <c r="C31" t="s">
        <v>66</v>
      </c>
      <c r="E31" t="s">
        <v>15</v>
      </c>
      <c r="F31" s="2">
        <v>0</v>
      </c>
      <c r="H31" t="s">
        <v>15</v>
      </c>
      <c r="I31" s="2">
        <v>0</v>
      </c>
      <c r="K31">
        <v>10</v>
      </c>
      <c r="L31" s="2">
        <f>K31*B31/94</f>
        <v>0.32579787234042551</v>
      </c>
      <c r="N31">
        <v>10</v>
      </c>
      <c r="O31" s="2">
        <f>N31*B31/94</f>
        <v>0.32579787234042551</v>
      </c>
    </row>
    <row r="32" spans="1:15" x14ac:dyDescent="0.25">
      <c r="A32" t="s">
        <v>34</v>
      </c>
      <c r="B32">
        <f>2646/1120</f>
        <v>2.3624999999999998</v>
      </c>
      <c r="C32" t="s">
        <v>67</v>
      </c>
      <c r="E32">
        <f>8+8+2</f>
        <v>18</v>
      </c>
      <c r="F32" s="2">
        <f>E32*B32/94</f>
        <v>0.45239361702127656</v>
      </c>
      <c r="H32">
        <f>8+8+2</f>
        <v>18</v>
      </c>
      <c r="I32" s="2">
        <f>H32*B32/94</f>
        <v>0.45239361702127656</v>
      </c>
      <c r="K32">
        <f>8+2</f>
        <v>10</v>
      </c>
      <c r="L32" s="2">
        <f>K32*B32/94</f>
        <v>0.25132978723404253</v>
      </c>
      <c r="N32">
        <f>8+2</f>
        <v>10</v>
      </c>
      <c r="O32" s="2">
        <f>N32*B32/94</f>
        <v>0.25132978723404253</v>
      </c>
    </row>
    <row r="33" spans="1:17" x14ac:dyDescent="0.25">
      <c r="A33" t="s">
        <v>35</v>
      </c>
      <c r="B33">
        <f>682/120</f>
        <v>5.6833333333333336</v>
      </c>
      <c r="C33">
        <v>401428</v>
      </c>
      <c r="E33">
        <f>1+1+(2/8)</f>
        <v>2.25</v>
      </c>
      <c r="F33" s="2">
        <f>E33*B33/94</f>
        <v>0.13603723404255322</v>
      </c>
      <c r="H33">
        <f>1+1+(2/8)</f>
        <v>2.25</v>
      </c>
      <c r="I33" s="2">
        <f>H33*B33/94</f>
        <v>0.13603723404255322</v>
      </c>
      <c r="K33">
        <f>1+(2/8)</f>
        <v>1.25</v>
      </c>
      <c r="L33" s="2">
        <f>K33*B33/94</f>
        <v>7.5576241134751782E-2</v>
      </c>
      <c r="N33">
        <f>1+(2/8)</f>
        <v>1.25</v>
      </c>
      <c r="O33" s="2">
        <f>N33*B33/94</f>
        <v>7.5576241134751782E-2</v>
      </c>
    </row>
    <row r="34" spans="1:17" x14ac:dyDescent="0.25">
      <c r="A34" t="s">
        <v>16</v>
      </c>
      <c r="B34" t="s">
        <v>48</v>
      </c>
      <c r="E34" t="s">
        <v>15</v>
      </c>
      <c r="F34" s="2">
        <v>0</v>
      </c>
      <c r="H34" t="s">
        <v>15</v>
      </c>
      <c r="I34" s="2">
        <v>0</v>
      </c>
      <c r="K34">
        <f>9*94*2</f>
        <v>1692</v>
      </c>
      <c r="L34" s="2">
        <f>((K34/1000)/500)*B58/94</f>
        <v>0.97682400000000003</v>
      </c>
      <c r="N34">
        <f>9*94*2</f>
        <v>1692</v>
      </c>
      <c r="O34" s="2">
        <f>((N34/1000)/500)*B58/94</f>
        <v>0.97682400000000003</v>
      </c>
      <c r="Q34" t="s">
        <v>21</v>
      </c>
    </row>
    <row r="35" spans="1:17" x14ac:dyDescent="0.25">
      <c r="A35" t="s">
        <v>22</v>
      </c>
      <c r="B35" t="s">
        <v>48</v>
      </c>
      <c r="E35" t="s">
        <v>15</v>
      </c>
      <c r="F35" s="2">
        <v>0</v>
      </c>
      <c r="H35" t="s">
        <v>15</v>
      </c>
      <c r="I35" s="2">
        <v>0</v>
      </c>
      <c r="K35">
        <f>800*2</f>
        <v>1600</v>
      </c>
      <c r="L35" s="2">
        <v>0</v>
      </c>
      <c r="N35">
        <f>800*2</f>
        <v>1600</v>
      </c>
      <c r="O35" s="2">
        <v>0</v>
      </c>
    </row>
    <row r="36" spans="1:17" x14ac:dyDescent="0.25">
      <c r="A36" t="s">
        <v>18</v>
      </c>
      <c r="B36">
        <f>923/960</f>
        <v>0.9614583333333333</v>
      </c>
      <c r="E36">
        <f>94+94+94</f>
        <v>282</v>
      </c>
      <c r="F36" s="2">
        <f t="shared" ref="F36:F40" si="0">E36*B36/94</f>
        <v>2.8843749999999995</v>
      </c>
      <c r="H36">
        <f>94+94</f>
        <v>188</v>
      </c>
      <c r="I36" s="2">
        <f>H36*B36/94</f>
        <v>1.9229166666666666</v>
      </c>
      <c r="K36">
        <f>94*2</f>
        <v>188</v>
      </c>
      <c r="L36" s="2">
        <f t="shared" ref="L36:L40" si="1">K36*B36/94</f>
        <v>1.9229166666666666</v>
      </c>
      <c r="N36">
        <f>94*2</f>
        <v>188</v>
      </c>
      <c r="O36" s="2">
        <f t="shared" ref="O36:O40" si="2">N36*B36/94</f>
        <v>1.9229166666666666</v>
      </c>
    </row>
    <row r="37" spans="1:17" x14ac:dyDescent="0.25">
      <c r="A37" t="s">
        <v>61</v>
      </c>
      <c r="B37">
        <f>426/(6*96)</f>
        <v>0.73958333333333337</v>
      </c>
      <c r="C37" t="s">
        <v>81</v>
      </c>
      <c r="E37">
        <f>1+1+1+1</f>
        <v>4</v>
      </c>
      <c r="F37" s="2">
        <f t="shared" si="0"/>
        <v>3.1471631205673763E-2</v>
      </c>
      <c r="H37" t="s">
        <v>15</v>
      </c>
      <c r="I37" s="2">
        <v>0</v>
      </c>
      <c r="K37">
        <v>3</v>
      </c>
      <c r="L37" s="2">
        <f t="shared" si="1"/>
        <v>2.360372340425532E-2</v>
      </c>
      <c r="N37">
        <v>7</v>
      </c>
      <c r="O37" s="2">
        <f t="shared" si="2"/>
        <v>5.5075354609929086E-2</v>
      </c>
    </row>
    <row r="38" spans="1:17" x14ac:dyDescent="0.25">
      <c r="A38" t="s">
        <v>82</v>
      </c>
      <c r="B38">
        <f>329/(6*96)</f>
        <v>0.57118055555555558</v>
      </c>
      <c r="C38" t="s">
        <v>80</v>
      </c>
      <c r="E38">
        <f>1+8+8+8+8+8+8+8</f>
        <v>57</v>
      </c>
      <c r="F38" s="2">
        <f t="shared" si="0"/>
        <v>0.34635416666666674</v>
      </c>
      <c r="H38">
        <f>1+1+2+94+1+1+1+94+9</f>
        <v>204</v>
      </c>
      <c r="I38" s="2">
        <f>H38*B38/94</f>
        <v>1.2395833333333335</v>
      </c>
      <c r="K38">
        <f>96+94*4+94+94+2*94+94</f>
        <v>942</v>
      </c>
      <c r="L38" s="2">
        <f t="shared" si="1"/>
        <v>5.7239583333333339</v>
      </c>
      <c r="N38">
        <f>1+1+8+8+1+4+2+94</f>
        <v>119</v>
      </c>
      <c r="O38" s="2">
        <f t="shared" si="2"/>
        <v>0.72309027777777779</v>
      </c>
    </row>
    <row r="39" spans="1:17" x14ac:dyDescent="0.25">
      <c r="A39" t="s">
        <v>83</v>
      </c>
      <c r="B39">
        <f>737/(12*96)</f>
        <v>0.63975694444444442</v>
      </c>
      <c r="C39" t="s">
        <v>78</v>
      </c>
      <c r="E39">
        <f>2+94+96+9+8+94+94+94+94</f>
        <v>585</v>
      </c>
      <c r="F39" s="2">
        <f t="shared" si="0"/>
        <v>3.9814660904255321</v>
      </c>
      <c r="H39">
        <f>1+94+94+96+94+96+3+2+9+9+3</f>
        <v>501</v>
      </c>
      <c r="I39" s="2">
        <f>H39*B39/94</f>
        <v>3.4097683953900706</v>
      </c>
      <c r="K39">
        <f>94+94+94</f>
        <v>282</v>
      </c>
      <c r="L39" s="2">
        <f t="shared" si="1"/>
        <v>1.919270833333333</v>
      </c>
      <c r="N39">
        <f>94+8+96+5+2</f>
        <v>205</v>
      </c>
      <c r="O39" s="2">
        <f t="shared" si="2"/>
        <v>1.3952146128841607</v>
      </c>
    </row>
    <row r="40" spans="1:17" x14ac:dyDescent="0.25">
      <c r="A40" t="s">
        <v>84</v>
      </c>
      <c r="B40">
        <f>713.4/(10*96)</f>
        <v>0.74312499999999992</v>
      </c>
      <c r="C40" t="s">
        <v>79</v>
      </c>
      <c r="E40">
        <f>94+8+8+8</f>
        <v>118</v>
      </c>
      <c r="F40" s="2">
        <f t="shared" si="0"/>
        <v>0.9328590425531913</v>
      </c>
      <c r="H40">
        <f>8+8+8+8+12+8+8+8+94</f>
        <v>162</v>
      </c>
      <c r="I40" s="2">
        <f>H40*B40/94</f>
        <v>1.2807047872340425</v>
      </c>
      <c r="K40">
        <f>96+94+8+94+94</f>
        <v>386</v>
      </c>
      <c r="L40" s="2">
        <f t="shared" si="1"/>
        <v>3.0515558510638296</v>
      </c>
      <c r="N40">
        <f>94+1</f>
        <v>95</v>
      </c>
      <c r="O40" s="2">
        <f t="shared" si="2"/>
        <v>0.75103058510638299</v>
      </c>
    </row>
    <row r="41" spans="1:17" x14ac:dyDescent="0.25">
      <c r="A41" t="s">
        <v>19</v>
      </c>
      <c r="B41" t="s">
        <v>48</v>
      </c>
      <c r="E41">
        <f>(94*180*2+94*2*180)*1.05</f>
        <v>71064</v>
      </c>
      <c r="F41" s="2">
        <f>((E41/1000)/1000)*B62/94</f>
        <v>4.5450719999999993E-2</v>
      </c>
      <c r="H41">
        <f>(94*2*40+94*2*40)*1.05</f>
        <v>15792</v>
      </c>
      <c r="I41" s="2">
        <f>((H41/1000)/1000)*B62/94</f>
        <v>1.010016E-2</v>
      </c>
      <c r="K41">
        <f>94*200*2*1.05</f>
        <v>39480</v>
      </c>
      <c r="L41" s="2">
        <f>((K41/1000)/1000)*B62/94</f>
        <v>2.5250399999999996E-2</v>
      </c>
      <c r="N41">
        <f>94*45*2*1.05</f>
        <v>8883</v>
      </c>
      <c r="O41" s="2">
        <f>((N41/1000)/1000)*B62/94</f>
        <v>5.6813399999999991E-3</v>
      </c>
    </row>
    <row r="42" spans="1:17" x14ac:dyDescent="0.25">
      <c r="A42" t="s">
        <v>20</v>
      </c>
      <c r="B42">
        <f>945.25/100</f>
        <v>9.4525000000000006</v>
      </c>
      <c r="C42">
        <v>12964607</v>
      </c>
      <c r="E42" t="s">
        <v>15</v>
      </c>
      <c r="F42" s="2">
        <v>0</v>
      </c>
      <c r="H42" t="s">
        <v>15</v>
      </c>
      <c r="I42" s="2">
        <v>0</v>
      </c>
      <c r="K42" t="s">
        <v>15</v>
      </c>
      <c r="L42" s="2">
        <v>0</v>
      </c>
      <c r="N42">
        <v>1</v>
      </c>
      <c r="O42" s="2">
        <f>N42*B42/94</f>
        <v>0.10055851063829788</v>
      </c>
    </row>
    <row r="43" spans="1:17" x14ac:dyDescent="0.25">
      <c r="A43" t="s">
        <v>46</v>
      </c>
      <c r="B43">
        <f>605/200</f>
        <v>3.0249999999999999</v>
      </c>
      <c r="C43" t="s">
        <v>75</v>
      </c>
      <c r="E43">
        <f>1+1+1+1+1+1</f>
        <v>6</v>
      </c>
      <c r="F43" s="2">
        <f>E43*B43/94</f>
        <v>0.19308510638297871</v>
      </c>
      <c r="H43">
        <f>1+1+1</f>
        <v>3</v>
      </c>
      <c r="I43" s="2">
        <f>H43*B43/94</f>
        <v>9.6542553191489355E-2</v>
      </c>
      <c r="K43">
        <v>4</v>
      </c>
      <c r="L43" s="2">
        <f>K43*B43/94</f>
        <v>0.12872340425531914</v>
      </c>
      <c r="N43">
        <v>4</v>
      </c>
      <c r="O43" s="2">
        <f>N43*B43/94</f>
        <v>0.12872340425531914</v>
      </c>
    </row>
    <row r="44" spans="1:17" x14ac:dyDescent="0.25">
      <c r="A44" t="s">
        <v>23</v>
      </c>
      <c r="B44">
        <f>455/120</f>
        <v>3.7916666666666665</v>
      </c>
      <c r="C44" t="s">
        <v>69</v>
      </c>
      <c r="E44" t="s">
        <v>15</v>
      </c>
      <c r="F44" s="2">
        <v>0</v>
      </c>
      <c r="H44">
        <v>1</v>
      </c>
      <c r="I44" s="2">
        <f>H44*B44/94</f>
        <v>4.0336879432624109E-2</v>
      </c>
      <c r="K44">
        <v>2</v>
      </c>
      <c r="L44" s="2">
        <f>K44*B44/94</f>
        <v>8.0673758865248218E-2</v>
      </c>
      <c r="N44">
        <v>1</v>
      </c>
      <c r="O44" s="2">
        <f>N44*B44/94</f>
        <v>4.0336879432624109E-2</v>
      </c>
    </row>
    <row r="45" spans="1:17" x14ac:dyDescent="0.25">
      <c r="A45" t="s">
        <v>60</v>
      </c>
      <c r="B45">
        <f>722/(8*500)</f>
        <v>0.18049999999999999</v>
      </c>
      <c r="C45" t="s">
        <v>76</v>
      </c>
      <c r="E45">
        <v>1</v>
      </c>
      <c r="F45" s="2">
        <f>E45*B45/94</f>
        <v>1.9202127659574467E-3</v>
      </c>
      <c r="H45">
        <v>2</v>
      </c>
      <c r="I45" s="2">
        <f>H45*B45/94</f>
        <v>3.8404255319148934E-3</v>
      </c>
      <c r="K45">
        <v>4</v>
      </c>
      <c r="L45" s="2">
        <f>K45*B45/94</f>
        <v>7.6808510638297868E-3</v>
      </c>
      <c r="N45">
        <v>4</v>
      </c>
      <c r="O45" s="2">
        <f>N45*B45/94</f>
        <v>7.6808510638297868E-3</v>
      </c>
    </row>
    <row r="46" spans="1:17" x14ac:dyDescent="0.25">
      <c r="A46" t="s">
        <v>45</v>
      </c>
      <c r="B46">
        <f>5778/(16*5*96)</f>
        <v>0.75234374999999998</v>
      </c>
      <c r="E46">
        <f>94+94</f>
        <v>188</v>
      </c>
      <c r="F46" s="2">
        <f>E46*B46/94</f>
        <v>1.5046874999999997</v>
      </c>
      <c r="H46" t="s">
        <v>15</v>
      </c>
      <c r="I46" s="2">
        <v>0</v>
      </c>
      <c r="K46" t="s">
        <v>15</v>
      </c>
      <c r="L46" s="2">
        <v>0</v>
      </c>
      <c r="N46" t="s">
        <v>15</v>
      </c>
      <c r="O46" s="2">
        <v>0</v>
      </c>
    </row>
    <row r="49" spans="1:15" x14ac:dyDescent="0.25">
      <c r="A49" t="s">
        <v>50</v>
      </c>
      <c r="F49" s="2">
        <f>SUM(F2:F48)</f>
        <v>33.76093442554621</v>
      </c>
      <c r="I49" s="2">
        <f>SUM(I2:I48)</f>
        <v>24.362696531451178</v>
      </c>
      <c r="L49" s="2">
        <f>SUM(L2:L48)</f>
        <v>361.16806404903065</v>
      </c>
      <c r="O49" s="2">
        <f>SUM(O2:O48)</f>
        <v>49.549689601335693</v>
      </c>
    </row>
    <row r="50" spans="1:15" x14ac:dyDescent="0.25">
      <c r="A50" t="s">
        <v>62</v>
      </c>
      <c r="F50" s="2">
        <f>F49/6.83</f>
        <v>4.9430357870492259</v>
      </c>
      <c r="I50" s="2">
        <f>I49/6.83</f>
        <v>3.5670126693193525</v>
      </c>
      <c r="L50" s="2">
        <f>L49/6.83</f>
        <v>52.879657986680911</v>
      </c>
      <c r="O50" s="2">
        <f>O49/6.83</f>
        <v>7.2547129723771144</v>
      </c>
    </row>
    <row r="52" spans="1:15" x14ac:dyDescent="0.25">
      <c r="A52" t="s">
        <v>36</v>
      </c>
      <c r="B52">
        <v>29138</v>
      </c>
    </row>
    <row r="53" spans="1:15" x14ac:dyDescent="0.25">
      <c r="A53" t="s">
        <v>37</v>
      </c>
      <c r="B53">
        <v>22852</v>
      </c>
    </row>
    <row r="54" spans="1:15" x14ac:dyDescent="0.25">
      <c r="A54" t="s">
        <v>30</v>
      </c>
      <c r="B54">
        <v>3435</v>
      </c>
    </row>
    <row r="55" spans="1:15" x14ac:dyDescent="0.25">
      <c r="A55" t="s">
        <v>31</v>
      </c>
    </row>
    <row r="56" spans="1:15" x14ac:dyDescent="0.25">
      <c r="A56" t="s">
        <v>73</v>
      </c>
      <c r="B56">
        <v>22750</v>
      </c>
    </row>
    <row r="57" spans="1:15" x14ac:dyDescent="0.25">
      <c r="A57" t="s">
        <v>39</v>
      </c>
      <c r="B57">
        <f>75000/2</f>
        <v>37500</v>
      </c>
    </row>
    <row r="58" spans="1:15" x14ac:dyDescent="0.25">
      <c r="A58" t="s">
        <v>40</v>
      </c>
      <c r="B58">
        <v>27134</v>
      </c>
    </row>
    <row r="59" spans="1:15" x14ac:dyDescent="0.25">
      <c r="A59" t="s">
        <v>59</v>
      </c>
      <c r="B59">
        <v>2184</v>
      </c>
      <c r="C59" t="s">
        <v>86</v>
      </c>
    </row>
    <row r="60" spans="1:15" x14ac:dyDescent="0.25">
      <c r="A60" t="s">
        <v>52</v>
      </c>
      <c r="B60">
        <f>963/5</f>
        <v>192.6</v>
      </c>
    </row>
    <row r="61" spans="1:15" x14ac:dyDescent="0.25">
      <c r="A61" t="s">
        <v>77</v>
      </c>
      <c r="B61">
        <v>27</v>
      </c>
    </row>
    <row r="62" spans="1:15" x14ac:dyDescent="0.25">
      <c r="A62" t="s">
        <v>53</v>
      </c>
      <c r="B62">
        <f>0.8*B61+0.2*B60</f>
        <v>60.120000000000005</v>
      </c>
      <c r="C62">
        <v>20824296</v>
      </c>
    </row>
    <row r="63" spans="1:15" x14ac:dyDescent="0.25">
      <c r="A63" t="s">
        <v>54</v>
      </c>
      <c r="B63">
        <v>1760</v>
      </c>
      <c r="C63" t="s">
        <v>88</v>
      </c>
    </row>
    <row r="64" spans="1:15" x14ac:dyDescent="0.25">
      <c r="A64" t="s">
        <v>85</v>
      </c>
      <c r="B64">
        <v>120</v>
      </c>
    </row>
  </sheetData>
  <pageMargins left="0.7" right="0.7" top="0.75" bottom="0.75" header="0.3" footer="0.3"/>
  <pageSetup paperSize="9" orientation="portrait" r:id="rId1"/>
  <ignoredErrors>
    <ignoredError sqref="E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Nymann</dc:creator>
  <cp:lastModifiedBy>Thomas Nymann</cp:lastModifiedBy>
  <dcterms:created xsi:type="dcterms:W3CDTF">2023-04-11T07:29:05Z</dcterms:created>
  <dcterms:modified xsi:type="dcterms:W3CDTF">2023-04-12T09:23:14Z</dcterms:modified>
</cp:coreProperties>
</file>