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5.CAMPUS.015\Desktop\Arkusz-kalkulacyjny\zajecia2\"/>
    </mc:Choice>
  </mc:AlternateContent>
  <xr:revisionPtr revIDLastSave="0" documentId="13_ncr:1_{9806120F-7292-4E12-B80D-0D5F6514703E}" xr6:coauthVersionLast="47" xr6:coauthVersionMax="47" xr10:uidLastSave="{00000000-0000-0000-0000-000000000000}"/>
  <bookViews>
    <workbookView xWindow="-120" yWindow="-120" windowWidth="29040" windowHeight="15840" xr2:uid="{62A0D93C-5002-49C4-A772-11F6673F183F}"/>
  </bookViews>
  <sheets>
    <sheet name="Kategorie" sheetId="1" r:id="rId1"/>
    <sheet name="operacje" sheetId="2" r:id="rId2"/>
    <sheet name="styczeń" sheetId="3" r:id="rId3"/>
    <sheet name="luty" sheetId="4" r:id="rId4"/>
    <sheet name="marzec" sheetId="5" r:id="rId5"/>
    <sheet name="kwiecień" sheetId="6" r:id="rId6"/>
    <sheet name="maj" sheetId="7" r:id="rId7"/>
    <sheet name="lipiec" sheetId="9" r:id="rId8"/>
    <sheet name="czerwiec" sheetId="8" r:id="rId9"/>
    <sheet name="sierpień" sheetId="10" r:id="rId10"/>
    <sheet name="wrzesień" sheetId="11" r:id="rId11"/>
    <sheet name="październik" sheetId="12" r:id="rId12"/>
    <sheet name="listopad" sheetId="13" r:id="rId13"/>
    <sheet name="grudzień" sheetId="14" r:id="rId14"/>
    <sheet name="Salda" sheetId="15" r:id="rId15"/>
    <sheet name="Obroty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H13" i="4" l="1"/>
  <c r="H14" i="4"/>
  <c r="H6" i="3"/>
  <c r="H13" i="3"/>
  <c r="H14" i="3"/>
  <c r="H14" i="14"/>
  <c r="H13" i="14"/>
  <c r="H12" i="14"/>
  <c r="H14" i="13"/>
  <c r="H13" i="13"/>
  <c r="H14" i="12"/>
  <c r="H13" i="12"/>
  <c r="H14" i="11"/>
  <c r="H13" i="11"/>
  <c r="H12" i="11"/>
  <c r="H8" i="11"/>
  <c r="H14" i="10"/>
  <c r="H13" i="10"/>
  <c r="H3" i="10"/>
  <c r="H14" i="9"/>
  <c r="H13" i="9"/>
  <c r="H6" i="9"/>
  <c r="H2" i="9"/>
  <c r="H14" i="8"/>
  <c r="H13" i="8"/>
  <c r="H9" i="8"/>
  <c r="H5" i="8"/>
  <c r="H14" i="7"/>
  <c r="H13" i="7"/>
  <c r="H12" i="7"/>
  <c r="H15" i="6"/>
  <c r="H14" i="6"/>
  <c r="H13" i="6"/>
  <c r="H7" i="6"/>
  <c r="H3" i="6"/>
  <c r="H14" i="5"/>
  <c r="H13" i="5"/>
  <c r="H10" i="5"/>
  <c r="H6" i="5"/>
  <c r="B13" i="11"/>
  <c r="B13" i="9"/>
  <c r="B13" i="3"/>
  <c r="C9" i="3"/>
  <c r="D4" i="3"/>
  <c r="E4" i="3" s="1"/>
  <c r="C11" i="3"/>
  <c r="E2" i="2"/>
  <c r="B14" i="14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G3" i="2"/>
  <c r="G4" i="2"/>
  <c r="H5" i="9" s="1"/>
  <c r="G5" i="2"/>
  <c r="D5" i="3" s="1"/>
  <c r="E5" i="3" s="1"/>
  <c r="G6" i="2"/>
  <c r="G7" i="2"/>
  <c r="G8" i="2"/>
  <c r="H17" i="3" s="1"/>
  <c r="G9" i="2"/>
  <c r="H10" i="13" s="1"/>
  <c r="G10" i="2"/>
  <c r="H12" i="4" s="1"/>
  <c r="G11" i="2"/>
  <c r="H7" i="10" s="1"/>
  <c r="G12" i="2"/>
  <c r="H3" i="3" s="1"/>
  <c r="G13" i="2"/>
  <c r="G14" i="2"/>
  <c r="G15" i="2"/>
  <c r="G16" i="2"/>
  <c r="H6" i="13" s="1"/>
  <c r="G17" i="2"/>
  <c r="G18" i="2"/>
  <c r="G19" i="2"/>
  <c r="H15" i="10" s="1"/>
  <c r="G20" i="2"/>
  <c r="G21" i="2"/>
  <c r="H8" i="4" s="1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H6" i="12" s="1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D8" i="3" s="1"/>
  <c r="E8" i="3" s="1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H4" i="7" s="1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H16" i="4" s="1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" i="2"/>
  <c r="H2" i="10" s="1"/>
  <c r="C11" i="14"/>
  <c r="C11" i="13"/>
  <c r="C11" i="12"/>
  <c r="C11" i="11"/>
  <c r="C11" i="10"/>
  <c r="C11" i="9"/>
  <c r="C11" i="8"/>
  <c r="D6" i="8"/>
  <c r="C11" i="7"/>
  <c r="C11" i="6"/>
  <c r="C11" i="5"/>
  <c r="C11" i="4"/>
  <c r="C7" i="16" a="1"/>
  <c r="C8" i="15" a="1"/>
  <c r="C5" i="15" a="1"/>
  <c r="C6" i="16" a="1"/>
  <c r="C5" i="16" a="1"/>
  <c r="C3" i="16" a="1"/>
  <c r="C2" i="16" a="1"/>
  <c r="C8" i="16" a="1"/>
  <c r="D2" i="16" a="1"/>
  <c r="C4" i="16" a="1"/>
  <c r="C4" i="15" a="1"/>
  <c r="C2" i="15" a="1"/>
  <c r="C5" i="16" l="1"/>
  <c r="C3" i="16"/>
  <c r="C6" i="16"/>
  <c r="D2" i="16"/>
  <c r="C8" i="16"/>
  <c r="C4" i="16"/>
  <c r="C7" i="16"/>
  <c r="C2" i="16"/>
  <c r="C2" i="15"/>
  <c r="H5" i="12"/>
  <c r="H16" i="13"/>
  <c r="H16" i="10"/>
  <c r="H16" i="6"/>
  <c r="H16" i="14"/>
  <c r="H16" i="11"/>
  <c r="H9" i="12"/>
  <c r="H17" i="12"/>
  <c r="H17" i="9"/>
  <c r="H10" i="3"/>
  <c r="H10" i="4"/>
  <c r="H10" i="12"/>
  <c r="H10" i="8"/>
  <c r="H11" i="3"/>
  <c r="H11" i="14"/>
  <c r="H11" i="11"/>
  <c r="H11" i="7"/>
  <c r="H11" i="9"/>
  <c r="H11" i="5"/>
  <c r="H11" i="4"/>
  <c r="H11" i="13"/>
  <c r="H11" i="12"/>
  <c r="H11" i="8"/>
  <c r="B13" i="5"/>
  <c r="B13" i="13"/>
  <c r="H11" i="6"/>
  <c r="H10" i="9"/>
  <c r="H4" i="14"/>
  <c r="H8" i="10"/>
  <c r="H8" i="6"/>
  <c r="H8" i="14"/>
  <c r="H8" i="13"/>
  <c r="D8" i="6"/>
  <c r="D8" i="13"/>
  <c r="D8" i="8"/>
  <c r="D8" i="7"/>
  <c r="D8" i="14"/>
  <c r="H3" i="9"/>
  <c r="H3" i="5"/>
  <c r="H3" i="4"/>
  <c r="H3" i="13"/>
  <c r="H15" i="3"/>
  <c r="H15" i="14"/>
  <c r="H15" i="11"/>
  <c r="H15" i="7"/>
  <c r="H15" i="9"/>
  <c r="H15" i="5"/>
  <c r="H15" i="12"/>
  <c r="H15" i="8"/>
  <c r="H15" i="4"/>
  <c r="H15" i="13"/>
  <c r="H7" i="3"/>
  <c r="H7" i="14"/>
  <c r="H7" i="11"/>
  <c r="H7" i="7"/>
  <c r="H7" i="9"/>
  <c r="H7" i="5"/>
  <c r="H7" i="12"/>
  <c r="H7" i="8"/>
  <c r="H7" i="4"/>
  <c r="H7" i="13"/>
  <c r="H2" i="3"/>
  <c r="H2" i="4"/>
  <c r="H2" i="13"/>
  <c r="H2" i="12"/>
  <c r="H2" i="8"/>
  <c r="H5" i="3"/>
  <c r="H17" i="13"/>
  <c r="H9" i="9"/>
  <c r="H4" i="4"/>
  <c r="B14" i="13"/>
  <c r="B13" i="7"/>
  <c r="H2" i="5"/>
  <c r="H8" i="7"/>
  <c r="H16" i="7"/>
  <c r="H11" i="10"/>
  <c r="H4" i="11"/>
  <c r="D7" i="3"/>
  <c r="E7" i="3" s="1"/>
  <c r="B14" i="3"/>
  <c r="B14" i="7"/>
  <c r="B14" i="11"/>
  <c r="H5" i="7"/>
  <c r="H9" i="7"/>
  <c r="H6" i="8"/>
  <c r="H5" i="11"/>
  <c r="H9" i="11"/>
  <c r="H4" i="13"/>
  <c r="H12" i="13"/>
  <c r="H5" i="14"/>
  <c r="H9" i="3"/>
  <c r="H17" i="5"/>
  <c r="H17" i="8"/>
  <c r="H6" i="4"/>
  <c r="D6" i="3"/>
  <c r="E6" i="3" s="1"/>
  <c r="D2" i="3"/>
  <c r="B13" i="4"/>
  <c r="B13" i="6"/>
  <c r="B13" i="8"/>
  <c r="B13" i="10"/>
  <c r="B13" i="12"/>
  <c r="B13" i="14"/>
  <c r="H4" i="5"/>
  <c r="H8" i="5"/>
  <c r="H12" i="5"/>
  <c r="H16" i="5"/>
  <c r="H5" i="6"/>
  <c r="H9" i="6"/>
  <c r="H2" i="7"/>
  <c r="H6" i="7"/>
  <c r="H10" i="7"/>
  <c r="H3" i="8"/>
  <c r="H4" i="9"/>
  <c r="H8" i="9"/>
  <c r="H12" i="9"/>
  <c r="H16" i="9"/>
  <c r="H5" i="10"/>
  <c r="H9" i="10"/>
  <c r="H2" i="11"/>
  <c r="H6" i="11"/>
  <c r="H10" i="11"/>
  <c r="H3" i="12"/>
  <c r="H5" i="13"/>
  <c r="H9" i="13"/>
  <c r="H2" i="14"/>
  <c r="H6" i="14"/>
  <c r="H10" i="14"/>
  <c r="H16" i="3"/>
  <c r="H12" i="3"/>
  <c r="H8" i="3"/>
  <c r="H4" i="3"/>
  <c r="H17" i="6"/>
  <c r="H17" i="10"/>
  <c r="H17" i="14"/>
  <c r="H9" i="4"/>
  <c r="H5" i="4"/>
  <c r="H17" i="4"/>
  <c r="D3" i="3"/>
  <c r="E3" i="3" s="1"/>
  <c r="B14" i="5"/>
  <c r="B14" i="9"/>
  <c r="H4" i="6"/>
  <c r="H12" i="6"/>
  <c r="H4" i="10"/>
  <c r="H12" i="10"/>
  <c r="H9" i="14"/>
  <c r="B14" i="4"/>
  <c r="B14" i="6"/>
  <c r="B14" i="8"/>
  <c r="B14" i="10"/>
  <c r="B14" i="12"/>
  <c r="H5" i="5"/>
  <c r="H9" i="5"/>
  <c r="H2" i="6"/>
  <c r="H6" i="6"/>
  <c r="H10" i="6"/>
  <c r="H3" i="7"/>
  <c r="H4" i="8"/>
  <c r="H8" i="8"/>
  <c r="H12" i="8"/>
  <c r="H16" i="8"/>
  <c r="H6" i="10"/>
  <c r="H10" i="10"/>
  <c r="H3" i="11"/>
  <c r="H4" i="12"/>
  <c r="H8" i="12"/>
  <c r="H12" i="12"/>
  <c r="H16" i="12"/>
  <c r="H3" i="14"/>
  <c r="H17" i="7"/>
  <c r="H17" i="11"/>
  <c r="C5" i="15"/>
  <c r="C8" i="15"/>
  <c r="C4" i="15"/>
  <c r="B15" i="3"/>
  <c r="E2" i="3"/>
  <c r="D9" i="3"/>
  <c r="D5" i="5"/>
  <c r="D4" i="11"/>
  <c r="D8" i="12"/>
  <c r="D4" i="7"/>
  <c r="D7" i="7"/>
  <c r="D4" i="9"/>
  <c r="D5" i="14"/>
  <c r="D3" i="13"/>
  <c r="D7" i="4"/>
  <c r="D7" i="9"/>
  <c r="D6" i="10"/>
  <c r="D8" i="4"/>
  <c r="D8" i="5"/>
  <c r="D8" i="9"/>
  <c r="D8" i="10"/>
  <c r="D7" i="11"/>
  <c r="D6" i="12"/>
  <c r="D4" i="13"/>
  <c r="D3" i="6"/>
  <c r="D6" i="6"/>
  <c r="D8" i="11"/>
  <c r="D7" i="13"/>
  <c r="D6" i="14"/>
  <c r="D5" i="4"/>
  <c r="D6" i="5"/>
  <c r="D4" i="6"/>
  <c r="D5" i="7"/>
  <c r="D3" i="8"/>
  <c r="D5" i="9"/>
  <c r="D3" i="10"/>
  <c r="D5" i="11"/>
  <c r="D3" i="12"/>
  <c r="D5" i="13"/>
  <c r="D3" i="14"/>
  <c r="D4" i="4"/>
  <c r="D7" i="6"/>
  <c r="D6" i="7"/>
  <c r="D4" i="8"/>
  <c r="D7" i="8"/>
  <c r="D6" i="9"/>
  <c r="D4" i="10"/>
  <c r="D7" i="10"/>
  <c r="D6" i="11"/>
  <c r="D4" i="12"/>
  <c r="D7" i="12"/>
  <c r="D6" i="13"/>
  <c r="D4" i="14"/>
  <c r="D7" i="14"/>
  <c r="D6" i="4"/>
  <c r="D4" i="5"/>
  <c r="D7" i="5"/>
  <c r="D5" i="6"/>
  <c r="D3" i="7"/>
  <c r="D5" i="8"/>
  <c r="D3" i="9"/>
  <c r="D5" i="10"/>
  <c r="D3" i="11"/>
  <c r="D5" i="12"/>
  <c r="D2" i="7"/>
  <c r="D2" i="9"/>
  <c r="D2" i="11"/>
  <c r="D2" i="13"/>
  <c r="B15" i="11"/>
  <c r="B15" i="13"/>
  <c r="D2" i="6"/>
  <c r="D2" i="8"/>
  <c r="D2" i="10"/>
  <c r="D2" i="12"/>
  <c r="D2" i="14"/>
  <c r="D2" i="5"/>
  <c r="D2" i="4"/>
  <c r="D3" i="5"/>
  <c r="D3" i="4"/>
  <c r="C2" i="4" a="1"/>
  <c r="C3" i="15" a="1"/>
  <c r="C4" i="4" a="1"/>
  <c r="C3" i="4" a="1"/>
  <c r="C7" i="15" a="1"/>
  <c r="C7" i="4" a="1"/>
  <c r="C6" i="15" a="1"/>
  <c r="C8" i="4" a="1"/>
  <c r="C6" i="4" a="1"/>
  <c r="C6" i="15" l="1"/>
  <c r="C7" i="15"/>
  <c r="C3" i="15"/>
  <c r="D9" i="14"/>
  <c r="E9" i="3"/>
  <c r="D9" i="6"/>
  <c r="D9" i="11"/>
  <c r="D9" i="12"/>
  <c r="D9" i="9"/>
  <c r="D9" i="10"/>
  <c r="D9" i="7"/>
  <c r="D9" i="8"/>
  <c r="D9" i="13"/>
  <c r="B15" i="6"/>
  <c r="B15" i="14"/>
  <c r="B15" i="10"/>
  <c r="B15" i="7"/>
  <c r="B15" i="9"/>
  <c r="B15" i="8"/>
  <c r="B15" i="5"/>
  <c r="B15" i="12"/>
  <c r="D9" i="4"/>
  <c r="D9" i="5"/>
  <c r="B15" i="4"/>
  <c r="C6" i="4"/>
  <c r="E6" i="4" s="1"/>
  <c r="C4" i="4"/>
  <c r="E4" i="4" s="1"/>
  <c r="C3" i="4"/>
  <c r="E3" i="4" s="1"/>
  <c r="C7" i="4"/>
  <c r="E7" i="4" s="1"/>
  <c r="C8" i="4"/>
  <c r="E8" i="4" s="1"/>
  <c r="C2" i="4"/>
  <c r="D3" i="15" a="1"/>
  <c r="C3" i="5" a="1"/>
  <c r="D4" i="15" a="1"/>
  <c r="D8" i="16" a="1"/>
  <c r="D4" i="16" a="1"/>
  <c r="D3" i="16" a="1"/>
  <c r="C8" i="5" a="1"/>
  <c r="D7" i="15" a="1"/>
  <c r="D6" i="16" a="1"/>
  <c r="D6" i="15" a="1"/>
  <c r="D8" i="15" a="1"/>
  <c r="C5" i="4" a="1"/>
  <c r="C4" i="5" a="1"/>
  <c r="D7" i="16" a="1"/>
  <c r="C6" i="5" a="1"/>
  <c r="C7" i="5" a="1"/>
  <c r="D7" i="16" l="1"/>
  <c r="D3" i="16"/>
  <c r="D4" i="16"/>
  <c r="D8" i="16"/>
  <c r="D6" i="16"/>
  <c r="D6" i="15"/>
  <c r="D7" i="15"/>
  <c r="D3" i="15"/>
  <c r="D8" i="15"/>
  <c r="D4" i="15"/>
  <c r="E2" i="4"/>
  <c r="C3" i="5"/>
  <c r="E3" i="5" s="1"/>
  <c r="C6" i="5"/>
  <c r="E6" i="5" s="1"/>
  <c r="C8" i="5"/>
  <c r="E8" i="5" s="1"/>
  <c r="C4" i="5"/>
  <c r="E4" i="5" s="1"/>
  <c r="C7" i="5"/>
  <c r="E7" i="5" s="1"/>
  <c r="C5" i="4"/>
  <c r="E5" i="4" s="1"/>
  <c r="E7" i="15" a="1"/>
  <c r="C2" i="5" a="1"/>
  <c r="E6" i="15" a="1"/>
  <c r="D5" i="15" a="1"/>
  <c r="C8" i="6" a="1"/>
  <c r="C3" i="6" a="1"/>
  <c r="D5" i="16" a="1"/>
  <c r="E8" i="16" a="1"/>
  <c r="E4" i="16" a="1"/>
  <c r="E4" i="15" a="1"/>
  <c r="C4" i="6" a="1"/>
  <c r="E3" i="16" a="1"/>
  <c r="C6" i="6" a="1"/>
  <c r="E8" i="15" a="1"/>
  <c r="C5" i="5" a="1"/>
  <c r="E6" i="16" a="1"/>
  <c r="E3" i="15" a="1"/>
  <c r="D2" i="15" a="1"/>
  <c r="E7" i="16" a="1"/>
  <c r="C7" i="6" a="1"/>
  <c r="E4" i="16" l="1"/>
  <c r="E8" i="16"/>
  <c r="E7" i="16"/>
  <c r="E3" i="16"/>
  <c r="D5" i="16"/>
  <c r="E6" i="16"/>
  <c r="E3" i="15"/>
  <c r="E6" i="15"/>
  <c r="E4" i="15"/>
  <c r="E7" i="15"/>
  <c r="E8" i="15"/>
  <c r="D5" i="15"/>
  <c r="D2" i="15"/>
  <c r="C9" i="4"/>
  <c r="C2" i="5"/>
  <c r="E2" i="5" s="1"/>
  <c r="C7" i="6"/>
  <c r="E7" i="6" s="1"/>
  <c r="C6" i="6"/>
  <c r="E6" i="6" s="1"/>
  <c r="C4" i="6"/>
  <c r="E4" i="6" s="1"/>
  <c r="C3" i="6"/>
  <c r="E3" i="6" s="1"/>
  <c r="C8" i="6"/>
  <c r="E8" i="6" s="1"/>
  <c r="C5" i="5"/>
  <c r="E5" i="5" s="1"/>
  <c r="E9" i="4"/>
  <c r="E5" i="16" a="1"/>
  <c r="C6" i="7" a="1"/>
  <c r="E5" i="15" a="1"/>
  <c r="F3" i="15" a="1"/>
  <c r="C3" i="7" a="1"/>
  <c r="C4" i="7" a="1"/>
  <c r="C2" i="6" a="1"/>
  <c r="C7" i="7" a="1"/>
  <c r="F3" i="16" a="1"/>
  <c r="F6" i="15" a="1"/>
  <c r="C5" i="6" a="1"/>
  <c r="F6" i="16" a="1"/>
  <c r="E2" i="16" a="1"/>
  <c r="F8" i="15" a="1"/>
  <c r="F7" i="16" a="1"/>
  <c r="F4" i="15" a="1"/>
  <c r="F4" i="16" a="1"/>
  <c r="F8" i="16" a="1"/>
  <c r="F7" i="15" a="1"/>
  <c r="E2" i="15" a="1"/>
  <c r="C8" i="7" a="1"/>
  <c r="F3" i="16" l="1"/>
  <c r="E2" i="16"/>
  <c r="F8" i="16"/>
  <c r="F4" i="16"/>
  <c r="F7" i="16"/>
  <c r="E5" i="16"/>
  <c r="F6" i="16"/>
  <c r="F6" i="15"/>
  <c r="F8" i="15"/>
  <c r="F7" i="15"/>
  <c r="F4" i="15"/>
  <c r="F3" i="15"/>
  <c r="E5" i="15"/>
  <c r="E2" i="15"/>
  <c r="C6" i="7"/>
  <c r="E6" i="7" s="1"/>
  <c r="C4" i="7"/>
  <c r="E4" i="7" s="1"/>
  <c r="C8" i="7"/>
  <c r="E8" i="7" s="1"/>
  <c r="C7" i="7"/>
  <c r="E7" i="7" s="1"/>
  <c r="C3" i="7"/>
  <c r="E3" i="7" s="1"/>
  <c r="C2" i="6"/>
  <c r="C5" i="6"/>
  <c r="E5" i="6" s="1"/>
  <c r="E9" i="5"/>
  <c r="C9" i="5"/>
  <c r="C4" i="8" a="1"/>
  <c r="C8" i="8" a="1"/>
  <c r="F5" i="16" a="1"/>
  <c r="G7" i="16" a="1"/>
  <c r="F5" i="15" a="1"/>
  <c r="G8" i="15" a="1"/>
  <c r="G6" i="15" a="1"/>
  <c r="C3" i="8" a="1"/>
  <c r="C6" i="8" a="1"/>
  <c r="G6" i="16" a="1"/>
  <c r="C5" i="7" a="1"/>
  <c r="G4" i="15" a="1"/>
  <c r="G3" i="16" a="1"/>
  <c r="G8" i="16" a="1"/>
  <c r="G7" i="15" a="1"/>
  <c r="C7" i="8" a="1"/>
  <c r="G4" i="16" a="1"/>
  <c r="G3" i="15" a="1"/>
  <c r="G3" i="16" l="1"/>
  <c r="G6" i="16"/>
  <c r="G4" i="16"/>
  <c r="G7" i="16"/>
  <c r="F5" i="16"/>
  <c r="G8" i="16"/>
  <c r="F5" i="15"/>
  <c r="G4" i="15"/>
  <c r="G6" i="15"/>
  <c r="G3" i="15"/>
  <c r="G7" i="15"/>
  <c r="G8" i="15"/>
  <c r="C7" i="8"/>
  <c r="E7" i="8" s="1"/>
  <c r="C8" i="8"/>
  <c r="E8" i="8" s="1"/>
  <c r="C4" i="8"/>
  <c r="E4" i="8" s="1"/>
  <c r="C3" i="8"/>
  <c r="E3" i="8" s="1"/>
  <c r="C6" i="8"/>
  <c r="E6" i="8" s="1"/>
  <c r="C5" i="7"/>
  <c r="E5" i="7" s="1"/>
  <c r="E2" i="6"/>
  <c r="C9" i="6"/>
  <c r="H7" i="16" a="1"/>
  <c r="C3" i="9" a="1"/>
  <c r="H3" i="15" a="1"/>
  <c r="H8" i="15" a="1"/>
  <c r="C7" i="9" a="1"/>
  <c r="C8" i="9" a="1"/>
  <c r="F2" i="15" a="1"/>
  <c r="H3" i="16" a="1"/>
  <c r="H4" i="16" a="1"/>
  <c r="H8" i="16" a="1"/>
  <c r="G5" i="16" a="1"/>
  <c r="C2" i="7" a="1"/>
  <c r="H6" i="15" a="1"/>
  <c r="H6" i="16" a="1"/>
  <c r="H7" i="15" a="1"/>
  <c r="F2" i="16" a="1"/>
  <c r="C4" i="9" a="1"/>
  <c r="G5" i="15" a="1"/>
  <c r="H4" i="15" a="1"/>
  <c r="C6" i="9" a="1"/>
  <c r="C5" i="8" a="1"/>
  <c r="H4" i="16" l="1"/>
  <c r="H3" i="16"/>
  <c r="F2" i="16"/>
  <c r="G5" i="16"/>
  <c r="H8" i="16"/>
  <c r="H6" i="16"/>
  <c r="H7" i="16"/>
  <c r="F2" i="15"/>
  <c r="H8" i="15"/>
  <c r="H4" i="15"/>
  <c r="H6" i="15"/>
  <c r="H7" i="15"/>
  <c r="G5" i="15"/>
  <c r="H3" i="15"/>
  <c r="C4" i="9"/>
  <c r="E4" i="9" s="1"/>
  <c r="C8" i="9"/>
  <c r="E8" i="9" s="1"/>
  <c r="C6" i="9"/>
  <c r="E6" i="9" s="1"/>
  <c r="C7" i="9"/>
  <c r="E7" i="9" s="1"/>
  <c r="C3" i="9"/>
  <c r="E3" i="9" s="1"/>
  <c r="C5" i="8"/>
  <c r="E5" i="8" s="1"/>
  <c r="C2" i="7"/>
  <c r="E9" i="6"/>
  <c r="C3" i="10" a="1"/>
  <c r="I4" i="16" a="1"/>
  <c r="C4" i="10" a="1"/>
  <c r="I3" i="16" a="1"/>
  <c r="H5" i="16" a="1"/>
  <c r="I6" i="16" a="1"/>
  <c r="I4" i="15" a="1"/>
  <c r="I6" i="15" a="1"/>
  <c r="I7" i="16" a="1"/>
  <c r="C6" i="10" a="1"/>
  <c r="H5" i="15" a="1"/>
  <c r="I3" i="15" a="1"/>
  <c r="C7" i="10" a="1"/>
  <c r="C8" i="10" a="1"/>
  <c r="I7" i="15" a="1"/>
  <c r="I8" i="16" a="1"/>
  <c r="I8" i="15" a="1"/>
  <c r="C5" i="9" a="1"/>
  <c r="H5" i="16" l="1"/>
  <c r="I8" i="16"/>
  <c r="I3" i="16"/>
  <c r="I4" i="16"/>
  <c r="I6" i="16"/>
  <c r="I7" i="16"/>
  <c r="I3" i="15"/>
  <c r="I4" i="15"/>
  <c r="H5" i="15"/>
  <c r="I7" i="15"/>
  <c r="I8" i="15"/>
  <c r="I6" i="15"/>
  <c r="C8" i="10"/>
  <c r="E8" i="10" s="1"/>
  <c r="C7" i="10"/>
  <c r="E7" i="10" s="1"/>
  <c r="C6" i="10"/>
  <c r="E6" i="10" s="1"/>
  <c r="C3" i="10"/>
  <c r="E3" i="10" s="1"/>
  <c r="C4" i="10"/>
  <c r="E4" i="10" s="1"/>
  <c r="C5" i="9"/>
  <c r="E5" i="9" s="1"/>
  <c r="E2" i="7"/>
  <c r="C9" i="7"/>
  <c r="J8" i="16" a="1"/>
  <c r="I5" i="15" a="1"/>
  <c r="J3" i="16" a="1"/>
  <c r="C2" i="8" a="1"/>
  <c r="J8" i="15" a="1"/>
  <c r="C8" i="11" a="1"/>
  <c r="J3" i="15" a="1"/>
  <c r="J7" i="16" a="1"/>
  <c r="C4" i="11" a="1"/>
  <c r="C7" i="11" a="1"/>
  <c r="J7" i="15" a="1"/>
  <c r="G2" i="15" a="1"/>
  <c r="C3" i="11" a="1"/>
  <c r="G2" i="16" a="1"/>
  <c r="I5" i="16" a="1"/>
  <c r="C5" i="10" a="1"/>
  <c r="C6" i="11" a="1"/>
  <c r="J6" i="16" a="1"/>
  <c r="J6" i="15" a="1"/>
  <c r="J4" i="15" a="1"/>
  <c r="J4" i="16" a="1"/>
  <c r="J3" i="16" l="1"/>
  <c r="J6" i="16"/>
  <c r="I5" i="16"/>
  <c r="J7" i="16"/>
  <c r="G2" i="16"/>
  <c r="J4" i="16"/>
  <c r="J8" i="16"/>
  <c r="J7" i="15"/>
  <c r="J4" i="15"/>
  <c r="J8" i="15"/>
  <c r="J3" i="15"/>
  <c r="J6" i="15"/>
  <c r="I5" i="15"/>
  <c r="G2" i="15"/>
  <c r="C3" i="11"/>
  <c r="E3" i="11" s="1"/>
  <c r="C6" i="11"/>
  <c r="E6" i="11" s="1"/>
  <c r="C7" i="11"/>
  <c r="E7" i="11" s="1"/>
  <c r="C4" i="11"/>
  <c r="E4" i="11" s="1"/>
  <c r="C8" i="11"/>
  <c r="E8" i="11" s="1"/>
  <c r="C5" i="10"/>
  <c r="E5" i="10" s="1"/>
  <c r="C2" i="8"/>
  <c r="E9" i="7"/>
  <c r="K7" i="16" a="1"/>
  <c r="K7" i="15" a="1"/>
  <c r="K4" i="15" a="1"/>
  <c r="C5" i="11" a="1"/>
  <c r="C7" i="12" a="1"/>
  <c r="K6" i="15" a="1"/>
  <c r="K3" i="16" a="1"/>
  <c r="J5" i="16" a="1"/>
  <c r="K3" i="15" a="1"/>
  <c r="C3" i="12" a="1"/>
  <c r="J5" i="15" a="1"/>
  <c r="K6" i="16" a="1"/>
  <c r="K4" i="16" a="1"/>
  <c r="K8" i="16" a="1"/>
  <c r="C8" i="12" a="1"/>
  <c r="C4" i="12" a="1"/>
  <c r="K8" i="15" a="1"/>
  <c r="C6" i="12" a="1"/>
  <c r="K6" i="16" l="1"/>
  <c r="K8" i="16"/>
  <c r="K3" i="16"/>
  <c r="J5" i="16"/>
  <c r="K4" i="16"/>
  <c r="K7" i="16"/>
  <c r="K8" i="15"/>
  <c r="K3" i="15"/>
  <c r="K7" i="15"/>
  <c r="K4" i="15"/>
  <c r="K6" i="15"/>
  <c r="J5" i="15"/>
  <c r="C8" i="12"/>
  <c r="E8" i="12" s="1"/>
  <c r="C3" i="12"/>
  <c r="E3" i="12" s="1"/>
  <c r="C4" i="12"/>
  <c r="E4" i="12" s="1"/>
  <c r="C7" i="12"/>
  <c r="E7" i="12" s="1"/>
  <c r="C6" i="12"/>
  <c r="E6" i="12" s="1"/>
  <c r="C5" i="11"/>
  <c r="E5" i="11" s="1"/>
  <c r="C9" i="8"/>
  <c r="E2" i="8"/>
  <c r="L8" i="16" a="1"/>
  <c r="L7" i="15" a="1"/>
  <c r="L4" i="15" a="1"/>
  <c r="C4" i="13" a="1"/>
  <c r="C5" i="12" a="1"/>
  <c r="C7" i="13" a="1"/>
  <c r="K5" i="16" a="1"/>
  <c r="L3" i="16" a="1"/>
  <c r="H2" i="16" a="1"/>
  <c r="L6" i="16" a="1"/>
  <c r="L8" i="15" a="1"/>
  <c r="C3" i="13" a="1"/>
  <c r="C8" i="13" a="1"/>
  <c r="L7" i="16" a="1"/>
  <c r="C2" i="9" a="1"/>
  <c r="L4" i="16" a="1"/>
  <c r="C6" i="13" a="1"/>
  <c r="K5" i="15" a="1"/>
  <c r="L3" i="15" a="1"/>
  <c r="L6" i="15" a="1"/>
  <c r="H2" i="15" a="1"/>
  <c r="H2" i="16" l="1"/>
  <c r="L4" i="16"/>
  <c r="L3" i="16"/>
  <c r="L7" i="16"/>
  <c r="K5" i="16"/>
  <c r="L6" i="16"/>
  <c r="L8" i="16"/>
  <c r="L6" i="15"/>
  <c r="L8" i="15"/>
  <c r="L3" i="15"/>
  <c r="L7" i="15"/>
  <c r="L4" i="15"/>
  <c r="K5" i="15"/>
  <c r="H2" i="15"/>
  <c r="C4" i="13"/>
  <c r="E4" i="13" s="1"/>
  <c r="C7" i="13"/>
  <c r="E7" i="13" s="1"/>
  <c r="C3" i="13"/>
  <c r="E3" i="13" s="1"/>
  <c r="C6" i="13"/>
  <c r="E6" i="13" s="1"/>
  <c r="C8" i="13"/>
  <c r="E8" i="13" s="1"/>
  <c r="C5" i="12"/>
  <c r="E5" i="12" s="1"/>
  <c r="C2" i="9"/>
  <c r="E9" i="8"/>
  <c r="M6" i="16" a="1"/>
  <c r="L5" i="15" a="1"/>
  <c r="M7" i="16" a="1"/>
  <c r="M3" i="15" a="1"/>
  <c r="C4" i="14" a="1"/>
  <c r="C8" i="14" a="1"/>
  <c r="M8" i="15" a="1"/>
  <c r="C7" i="14" a="1"/>
  <c r="C6" i="14" a="1"/>
  <c r="M3" i="16" a="1"/>
  <c r="M4" i="16" a="1"/>
  <c r="C5" i="13" a="1"/>
  <c r="M7" i="15" a="1"/>
  <c r="M6" i="15" a="1"/>
  <c r="L5" i="16" a="1"/>
  <c r="M8" i="16" a="1"/>
  <c r="C3" i="14" a="1"/>
  <c r="M4" i="15" a="1"/>
  <c r="M4" i="16" l="1"/>
  <c r="L5" i="16"/>
  <c r="M7" i="16"/>
  <c r="M6" i="16"/>
  <c r="M8" i="16"/>
  <c r="M3" i="16"/>
  <c r="L5" i="15"/>
  <c r="M3" i="15"/>
  <c r="M7" i="15"/>
  <c r="M8" i="15"/>
  <c r="M4" i="15"/>
  <c r="M6" i="15"/>
  <c r="C6" i="14"/>
  <c r="E6" i="14" s="1"/>
  <c r="C3" i="14"/>
  <c r="E3" i="14" s="1"/>
  <c r="C7" i="14"/>
  <c r="E7" i="14" s="1"/>
  <c r="C8" i="14"/>
  <c r="E8" i="14" s="1"/>
  <c r="C4" i="14"/>
  <c r="E4" i="14" s="1"/>
  <c r="C5" i="13"/>
  <c r="E5" i="13" s="1"/>
  <c r="E2" i="9"/>
  <c r="C9" i="9"/>
  <c r="N6" i="16" a="1"/>
  <c r="N4" i="16" a="1"/>
  <c r="C5" i="14" a="1"/>
  <c r="C2" i="10" a="1"/>
  <c r="N6" i="15" a="1"/>
  <c r="N8" i="16" a="1"/>
  <c r="M5" i="15" a="1"/>
  <c r="N7" i="16" a="1"/>
  <c r="I2" i="15" a="1"/>
  <c r="I2" i="16" a="1"/>
  <c r="N3" i="16" a="1"/>
  <c r="N7" i="15" a="1"/>
  <c r="M5" i="16" a="1"/>
  <c r="N3" i="15" a="1"/>
  <c r="N8" i="15" a="1"/>
  <c r="N4" i="15" a="1"/>
  <c r="N7" i="16" l="1"/>
  <c r="N3" i="16"/>
  <c r="N8" i="16"/>
  <c r="I2" i="16"/>
  <c r="M5" i="16"/>
  <c r="N4" i="16"/>
  <c r="N6" i="16"/>
  <c r="N4" i="15"/>
  <c r="N6" i="15"/>
  <c r="N8" i="15"/>
  <c r="N3" i="15"/>
  <c r="N7" i="15"/>
  <c r="I2" i="15"/>
  <c r="M5" i="15"/>
  <c r="C5" i="14"/>
  <c r="E5" i="14" s="1"/>
  <c r="C2" i="10"/>
  <c r="E9" i="9"/>
  <c r="N5" i="16" a="1"/>
  <c r="N5" i="15" a="1"/>
  <c r="N5" i="16" l="1"/>
  <c r="N5" i="15"/>
  <c r="C9" i="10"/>
  <c r="E2" i="10"/>
  <c r="J2" i="16" a="1"/>
  <c r="C2" i="11" a="1"/>
  <c r="K2" i="15" a="1"/>
  <c r="K2" i="16" a="1"/>
  <c r="L2" i="16" a="1"/>
  <c r="J2" i="15" a="1"/>
  <c r="L2" i="15" a="1"/>
  <c r="L2" i="16" l="1"/>
  <c r="K2" i="16"/>
  <c r="J2" i="16"/>
  <c r="L2" i="15"/>
  <c r="K2" i="15"/>
  <c r="J2" i="15"/>
  <c r="C2" i="11"/>
  <c r="E9" i="10"/>
  <c r="C9" i="11" l="1"/>
  <c r="E2" i="11"/>
  <c r="C2" i="12" a="1"/>
  <c r="C2" i="12" l="1"/>
  <c r="E9" i="11"/>
  <c r="C9" i="12" l="1"/>
  <c r="E2" i="12"/>
  <c r="C2" i="13" a="1"/>
  <c r="C2" i="13" l="1"/>
  <c r="E9" i="12"/>
  <c r="E2" i="13" l="1"/>
  <c r="C9" i="13"/>
  <c r="C2" i="14" a="1"/>
  <c r="M2" i="15" a="1"/>
  <c r="M2" i="16" a="1"/>
  <c r="M2" i="16" l="1"/>
  <c r="M2" i="15"/>
  <c r="C2" i="14"/>
  <c r="E9" i="13"/>
  <c r="C9" i="14" l="1"/>
  <c r="E2" i="14"/>
  <c r="N2" i="16" a="1"/>
  <c r="N2" i="15" a="1"/>
  <c r="N2" i="16" l="1"/>
  <c r="N2" i="15"/>
  <c r="E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<sst xmlns="http://schemas.openxmlformats.org/spreadsheetml/2006/main" count="1251" uniqueCount="65">
  <si>
    <t>Kategoria</t>
  </si>
  <si>
    <t>Kategoria:</t>
  </si>
  <si>
    <t>Jedzenie</t>
  </si>
  <si>
    <t>Transport</t>
  </si>
  <si>
    <t>Mieszkanie</t>
  </si>
  <si>
    <t>Studia</t>
  </si>
  <si>
    <t>Typ:</t>
  </si>
  <si>
    <t>Rozrywka</t>
  </si>
  <si>
    <t>Zdrowie i uroda</t>
  </si>
  <si>
    <t>pozostałe wydatki</t>
  </si>
  <si>
    <t>Wydatki</t>
  </si>
  <si>
    <t>Wypłata</t>
  </si>
  <si>
    <t>Kieszonkowe</t>
  </si>
  <si>
    <t>Stypendium</t>
  </si>
  <si>
    <t>Darowizna</t>
  </si>
  <si>
    <t>Inwestycje</t>
  </si>
  <si>
    <t>Świadczenia</t>
  </si>
  <si>
    <t>Pozostałe wpływy</t>
  </si>
  <si>
    <t>Wpływy</t>
  </si>
  <si>
    <t>Konto</t>
  </si>
  <si>
    <t>Bank</t>
  </si>
  <si>
    <t>mBank</t>
  </si>
  <si>
    <t>PKO BP</t>
  </si>
  <si>
    <t>Karta</t>
  </si>
  <si>
    <t>Lokata</t>
  </si>
  <si>
    <t>Skarbonka</t>
  </si>
  <si>
    <t>Kwota</t>
  </si>
  <si>
    <t>Produkt</t>
  </si>
  <si>
    <t>Typ</t>
  </si>
  <si>
    <t>Data</t>
  </si>
  <si>
    <t>Miesiąc</t>
  </si>
  <si>
    <t>Portfel</t>
  </si>
  <si>
    <t>Gotówka</t>
  </si>
  <si>
    <t>Bony</t>
  </si>
  <si>
    <t>Saldo początkowe</t>
  </si>
  <si>
    <t>Operacje</t>
  </si>
  <si>
    <t>Saldo końcowe</t>
  </si>
  <si>
    <t>Suma</t>
  </si>
  <si>
    <t>miesiąc</t>
  </si>
  <si>
    <t>wpływy</t>
  </si>
  <si>
    <t>wydatki</t>
  </si>
  <si>
    <t>Zysk/Strata</t>
  </si>
  <si>
    <t>Kategorie</t>
  </si>
  <si>
    <t>wrześ</t>
  </si>
  <si>
    <t>paźdź</t>
  </si>
  <si>
    <t>Subskrypcje</t>
  </si>
  <si>
    <t>Odzież</t>
  </si>
  <si>
    <t>Pozostałe wydatki</t>
  </si>
  <si>
    <t>Darowizny</t>
  </si>
  <si>
    <t>Przelew</t>
  </si>
  <si>
    <t>Transakcja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</si>
  <si>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</si>
  <si>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</si>
  <si>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</si>
  <si>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</si>
  <si>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</si>
  <si>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</si>
  <si>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</si>
  <si>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</si>
  <si>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</si>
  <si>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</si>
  <si>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</si>
  <si>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</si>
  <si>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Autor Arkusza</t>
  </si>
  <si>
    <t>Sebastian Duda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</si>
</sst>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zł&quot;;[Red]\-#,##0.00\ &quot;zł&quot;"/>
    <numFmt numFmtId="164" formatCode="#,##0.00\ &quot;zł&quot;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8" fontId="0" fillId="0" borderId="0" xfId="0" applyNumberFormat="1"/>
  </cellXfs>
  <cellStyles count="1">
    <cellStyle name="Normalny" xfId="0" builtinId="0"/>
  </cellStyles>
  <dxfs count="104"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8585"/>
        </patternFill>
      </fill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2" formatCode="#,##0.00\ &quot;zł&quot;;[Red]\-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2" formatCode="#,##0.00\ &quot;zł&quot;;[Red]\-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2" formatCode="#,##0.00\ &quot;zł&quot;;[Red]\-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2" formatCode="#,##0.00\ &quot;zł&quot;;[Red]\-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2" formatCode="#,##0.00\ &quot;zł&quot;;[Red]\-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2" formatCode="#,##0.00\ &quot;zł&quot;;[Red]\-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2" formatCode="#,##0.00\ &quot;zł&quot;;[Red]\-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2" formatCode="#,##0.00\ &quot;zł&quot;;[Red]\-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2" formatCode="#,##0.00\ &quot;zł&quot;;[Red]\-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2" formatCode="#,##0.00\ &quot;zł&quot;;[Red]\-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2" formatCode="#,##0.00\ &quot;zł&quot;;[Red]\-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9" formatCode="dd/mm/yyyy"/>
    </dxf>
    <dxf>
      <numFmt numFmtId="12" formatCode="#,##0.00\ &quot;zł&quot;;[Red]\-#,##0.00\ &quot;zł&quot;"/>
    </dxf>
  </dxfs>
  <tableStyles count="0" defaultTableStyle="TableStyleMedium2" defaultPivotStyle="PivotStyleLight16"/>
  <colors>
    <mruColors>
      <color rgb="FFFF8585"/>
      <color rgb="FFFF7171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D4B87-5EDE-4597-AFC4-7C064094196F}" name="kategorie" displayName="kategorie" ref="A1:B18" totalsRowShown="0">
  <autoFilter ref="A1:B18" xr:uid="{FA2D4B87-5EDE-4597-AFC4-7C064094196F}"/>
  <tableColumns count="2">
    <tableColumn id="1" xr3:uid="{52013A97-E076-4B7F-BA8C-1B4A478AE63F}" name="Kategoria:"/>
    <tableColumn id="2" xr3:uid="{98B2055A-2125-46C5-891A-8B582509D3E7}" name="Typ: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FB477C-D94F-42F7-86D6-510F5B3EA92B}" name="produkty" displayName="produkty" ref="D1:E8" totalsRowShown="0">
  <autoFilter ref="D1:E8" xr:uid="{9CFB477C-D94F-42F7-86D6-510F5B3EA92B}"/>
  <tableColumns count="2">
    <tableColumn id="1" xr3:uid="{4376D7A9-2B14-4A05-8521-807391CCD6DA}" name="Bank"/>
    <tableColumn id="2" xr3:uid="{9A4E4C75-28A0-48C5-BC39-AAAC79ADF88D}" name="Produkt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C4AD3C-D834-48AA-8B55-0D5CDCB07B23}" name="operacje" displayName="operacje" ref="A1:G207" totalsRowShown="0">
  <autoFilter ref="A1:G207" xr:uid="{DBC4AD3C-D834-48AA-8B55-0D5CDCB07B23}"/>
  <tableColumns count="7">
    <tableColumn id="1" xr3:uid="{991C6950-EC3E-47E3-AFB4-2E2D0954E4BE}" name="Kwota" dataDxfId="103"/>
    <tableColumn id="2" xr3:uid="{E24D3898-6D17-40E7-A2C7-46576DA7C710}" name="Bank"/>
    <tableColumn id="3" xr3:uid="{1A61588D-B055-4BA2-B415-84694440762F}" name="Produkt"/>
    <tableColumn id="4" xr3:uid="{6BD8377F-329E-46CE-B3CE-8EC5BB4914ED}" name="Kategoria"/>
    <tableColumn id="5" xr3:uid="{49E5DF0A-5FEE-40E0-9503-4D1BCC2D8AF6}" name="Typ">
      <calculatedColumnFormula>_xlfn.XLOOKUP(D2,kategorie[Kategoria:],kategorie[Typ:],"",0,1)</calculatedColumnFormula>
    </tableColumn>
    <tableColumn id="6" xr3:uid="{D3F8BACD-AF9F-4A99-B4C2-AE7E89AB88D7}" name="Data" dataDxfId="102"/>
    <tableColumn id="7" xr3:uid="{89863C08-425E-4DD6-A168-683372B8B5E0}" name="Miesiąc">
      <calculatedColumnFormula>IF(ISBLANK(F2),"",MONTH(F2))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71616C-20EE-49A7-9347-44C7074B45CD}" name="styczeń_saldo" displayName="styczeń_saldo" ref="A1:E9" totalsRowShown="0">
  <autoFilter ref="A1:E9" xr:uid="{4571616C-20EE-49A7-9347-44C7074B45CD}"/>
  <tableColumns count="5">
    <tableColumn id="1" xr3:uid="{0A2F8A81-D94D-4B89-9593-EFDBF7805A75}" name="Bank"/>
    <tableColumn id="2" xr3:uid="{2B51DC1A-285E-4F89-AE4B-055A15B40B4F}" name="Produkt"/>
    <tableColumn id="3" xr3:uid="{5E4335B4-4EE3-4610-9BF7-5FE163C1D13A}" name="Saldo początkowe" dataDxfId="101">
      <calculatedColumnFormula array="1">sum</calculatedColumnFormula>
    </tableColumn>
    <tableColumn id="4" xr3:uid="{5C36D0FE-E178-4E5E-AB28-BBF0E07A47BB}" name="Operacje" dataDxfId="100"/>
    <tableColumn id="5" xr3:uid="{078D71F4-A39E-4080-A3DE-6A95B2EB414B}" name="Saldo końcowe" dataDxfId="99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1E29B76-5F95-44E1-9035-B1028C12C716}" name="styczeń_kategorie" displayName="styczeń_kategorie" ref="G1:H17" totalsRowShown="0">
  <autoFilter ref="G1:H17" xr:uid="{91E29B76-5F95-44E1-9035-B1028C12C716}"/>
  <tableColumns count="2">
    <tableColumn id="1" xr3:uid="{400F418F-99E4-4692-87B7-F77E5E9DE02E}" name="Kategorie"/>
    <tableColumn id="2" xr3:uid="{24A42A5B-1FBE-42E7-883C-7714A36174D5}" name="Suma" dataDxfId="98">
      <calculatedColumnFormula>SUMIFS(operacje[Kwota],operacje[Kategoria],$G2,operacje[Miesiąc],$B$11)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5F036D-53F5-4910-B464-7EF0CE153853}" name="luty_saldo" displayName="luty_saldo" ref="A1:E9" totalsRowShown="0">
  <autoFilter ref="A1:E9" xr:uid="{4571616C-20EE-49A7-9347-44C7074B45CD}"/>
  <tableColumns count="5">
    <tableColumn id="1" xr3:uid="{B8EDE24D-5A5C-4EC4-A10A-CEECE3EAF1FC}" name="Bank"/>
    <tableColumn id="2" xr3:uid="{EAD1A66E-7036-48DD-BCD0-B7B23D39E4A1}" name="Produkt"/>
    <tableColumn id="3" xr3:uid="{AF94360C-219B-4B71-A737-402A161CAFE9}" name="Saldo początkowe" dataDxfId="97">
      <calculatedColumnFormula array="1">sum</calculatedColumnFormula>
    </tableColumn>
    <tableColumn id="4" xr3:uid="{8713AC19-6C17-4CA0-95B6-A8DE59C26666}" name="Operacje" dataDxfId="96"/>
    <tableColumn id="5" xr3:uid="{828FF591-21EE-4EF7-B661-5F1A38A96372}" name="Saldo końcowe" dataDxfId="95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A67433-3227-4773-86DF-11AE9AEA4371}" name="luty_kategorie" displayName="luty_kategorie" ref="G1:H17" totalsRowShown="0">
  <autoFilter ref="G1:H17" xr:uid="{91E29B76-5F95-44E1-9035-B1028C12C716}"/>
  <tableColumns count="2">
    <tableColumn id="1" xr3:uid="{97393F2D-251A-48BC-B381-9D1E1062B6B8}" name="Kategorie"/>
    <tableColumn id="2" xr3:uid="{2AB84687-E343-42C2-86F1-1ADD1E515AEB}" name="Suma" dataDxfId="94">
      <calculatedColumnFormula>SUMIFS(operacje[Kwota],operacje[Kategoria],$G2,operacje[Miesiąc],$B$11)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B203A5-6241-4A9C-93FC-45C976C9C530}" name="marzec_saldo" displayName="marzec_saldo" ref="A1:E9" totalsRowShown="0">
  <autoFilter ref="A1:E9" xr:uid="{4571616C-20EE-49A7-9347-44C7074B45CD}"/>
  <tableColumns count="5">
    <tableColumn id="1" xr3:uid="{BE1278C5-C272-4296-AC50-FC2F4923C362}" name="Bank"/>
    <tableColumn id="2" xr3:uid="{5F307224-BAC5-458F-B06C-3CD92B71A330}" name="Produkt"/>
    <tableColumn id="3" xr3:uid="{2BC24C77-6314-443F-87A4-29B6FF02F2C0}" name="Saldo początkowe" dataDxfId="93">
      <calculatedColumnFormula array="1">sum</calculatedColumnFormula>
    </tableColumn>
    <tableColumn id="4" xr3:uid="{EB11A881-825B-408A-BE41-EECDBED45B6B}" name="Operacje" dataDxfId="92"/>
    <tableColumn id="5" xr3:uid="{3FE77EB7-F1D7-4474-BDCB-704A89D75F61}" name="Saldo końcowe" dataDxfId="91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D75D40-74A5-443A-A7B3-4BD2AEC61DDA}" name="marzec_kategorie" displayName="marzec_kategorie" ref="G1:H17" totalsRowShown="0">
  <autoFilter ref="G1:H17" xr:uid="{91E29B76-5F95-44E1-9035-B1028C12C716}"/>
  <tableColumns count="2">
    <tableColumn id="1" xr3:uid="{AAF2D0B6-8D60-4539-AE13-788843E252DA}" name="Kategorie"/>
    <tableColumn id="2" xr3:uid="{834B4892-A905-45B6-90AC-21470D4E00EA}" name="Suma" dataDxfId="90">
      <calculatedColumnFormula>SUMIFS(operacje[Kwota],operacje[Kategoria],$G2,operacje[Miesiąc],$B$11)</calculatedColumnFormula>
    </tableColumn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22E06C-9386-4875-A2B8-3B132CC2A18E}" name="kwiecień_saldo" displayName="kwiecień_saldo" ref="A1:E9" totalsRowShown="0">
  <autoFilter ref="A1:E9" xr:uid="{4571616C-20EE-49A7-9347-44C7074B45CD}"/>
  <tableColumns count="5">
    <tableColumn id="1" xr3:uid="{1CD7B935-1276-43ED-A3C3-A0CB4E842119}" name="Bank"/>
    <tableColumn id="2" xr3:uid="{C9809459-E684-4598-A678-CAF85124207F}" name="Produkt"/>
    <tableColumn id="3" xr3:uid="{3325B8F7-4D22-48B1-942B-079960FB87CB}" name="Saldo początkowe" dataDxfId="89">
      <calculatedColumnFormula array="1">sum</calculatedColumnFormula>
    </tableColumn>
    <tableColumn id="4" xr3:uid="{FFF8CB5C-E12A-4183-905C-71061C80CCFA}" name="Operacje" dataDxfId="88"/>
    <tableColumn id="5" xr3:uid="{6FB323E2-39D5-489C-AA36-C657B59A2F4F}" name="Saldo końcowe" dataDxfId="87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042436-6FAF-4947-A58D-79EAC96E94E8}" name="kwiecień_kategorie" displayName="kwiecień_kategorie" ref="G1:H17" totalsRowShown="0">
  <autoFilter ref="G1:H17" xr:uid="{91E29B76-5F95-44E1-9035-B1028C12C716}"/>
  <tableColumns count="2">
    <tableColumn id="1" xr3:uid="{EBDB3014-0DF9-4A75-AF09-5F50358B347B}" name="Kategorie"/>
    <tableColumn id="2" xr3:uid="{E83EF540-779C-4C95-B483-4DDE81C69B52}" name="Suma" dataDxfId="86">
      <calculatedColumnFormula>SUMIFS(operacje[Kwota],operacje[Kategoria],$G2,operacje[Miesiąc],$B$11)</calculatedColumnFormula>
    </tableColumn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31A09F-3AA6-4876-8305-4F91BC2B6473}" name="maj_saldo" displayName="maj_saldo" ref="A1:E9" totalsRowShown="0">
  <autoFilter ref="A1:E9" xr:uid="{4571616C-20EE-49A7-9347-44C7074B45CD}"/>
  <tableColumns count="5">
    <tableColumn id="1" xr3:uid="{93FB5818-8C73-4382-9741-4E496A40884F}" name="Bank"/>
    <tableColumn id="2" xr3:uid="{63586722-26C3-436B-99AF-C074E5C9B9C3}" name="Produkt"/>
    <tableColumn id="3" xr3:uid="{DF507743-5CEA-4FBE-9039-832A2CE45E4B}" name="Saldo początkowe" dataDxfId="85">
      <calculatedColumnFormula array="1">sum</calculatedColumnFormula>
    </tableColumn>
    <tableColumn id="4" xr3:uid="{2DF02AC9-92BD-43A3-8EF5-28E84EF6A865}" name="Operacje" dataDxfId="84"/>
    <tableColumn id="5" xr3:uid="{8E479C05-B394-43B1-96F2-D4023FD40D74}" name="Saldo końcowe" dataDxfId="83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7EC9C2-19B0-4D51-90B1-A4000A302CC7}" name="maj_kategorie" displayName="maj_kategorie" ref="G1:H17" totalsRowShown="0">
  <autoFilter ref="G1:H17" xr:uid="{91E29B76-5F95-44E1-9035-B1028C12C716}"/>
  <tableColumns count="2">
    <tableColumn id="1" xr3:uid="{0F27FF2C-AFB2-4644-9DDA-4DEB2C9C455C}" name="Kategorie"/>
    <tableColumn id="2" xr3:uid="{987A23D5-C9E9-45D5-9202-1A200D56297D}" name="Suma" dataDxfId="82">
      <calculatedColumnFormula>SUMIFS(operacje[Kwota],operacje[Kategoria],$G2,operacje[Miesiąc],$B$11)</calculatedColumnFormula>
    </tableColumn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658101E-B9B2-4022-A82A-16171BC67648}" name="lipiec_saldo" displayName="lipiec_saldo" ref="A1:E9" totalsRowShown="0">
  <autoFilter ref="A1:E9" xr:uid="{4571616C-20EE-49A7-9347-44C7074B45CD}"/>
  <tableColumns count="5">
    <tableColumn id="1" xr3:uid="{4B9DA505-15CA-46D5-BB8B-048E3EBFFA64}" name="Bank"/>
    <tableColumn id="2" xr3:uid="{3AEDBEBF-FD45-4A97-ACEE-4F2DB38E6ED1}" name="Produkt"/>
    <tableColumn id="3" xr3:uid="{F57F476B-6009-43C1-BEF2-870233F2E121}" name="Saldo początkowe" dataDxfId="81">
      <calculatedColumnFormula array="1">sum</calculatedColumnFormula>
    </tableColumn>
    <tableColumn id="4" xr3:uid="{BC657CF6-5B58-4BA1-A652-19D2B178FA5E}" name="Operacje" dataDxfId="80"/>
    <tableColumn id="5" xr3:uid="{34692B59-BB30-4DEC-80F0-C63AE702EACC}" name="Saldo końcowe" dataDxfId="79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1ED3E2F-A8B5-4D1F-9F81-C7B402C7633F}" name="lipiec_kategorie" displayName="lipiec_kategorie" ref="G1:H17" totalsRowShown="0">
  <autoFilter ref="G1:H17" xr:uid="{91E29B76-5F95-44E1-9035-B1028C12C716}"/>
  <tableColumns count="2">
    <tableColumn id="1" xr3:uid="{BFCBB165-6BD3-45D2-8697-D27FCC3EC3BB}" name="Kategorie"/>
    <tableColumn id="2" xr3:uid="{7F25B4E1-D615-442B-A09C-AF0BE26EC1C3}" name="Suma" dataDxfId="78">
      <calculatedColumnFormula>SUMIFS(operacje[Kwota],operacje[Kategoria],$G2,operacje[Miesiąc],$B$11)</calculatedColumnFormula>
    </tableColumn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646963-EABE-43CD-8A61-9DB1F5D2E8C3}" name="czerwiec_saldo" displayName="czerwiec_saldo" ref="A1:E9" totalsRowShown="0">
  <autoFilter ref="A1:E9" xr:uid="{4571616C-20EE-49A7-9347-44C7074B45CD}"/>
  <tableColumns count="5">
    <tableColumn id="1" xr3:uid="{FA20EEF0-4203-43AC-A294-60F815A2A57C}" name="Bank"/>
    <tableColumn id="2" xr3:uid="{3699E032-9495-4EAD-BE5E-2FBE27D40A43}" name="Produkt"/>
    <tableColumn id="3" xr3:uid="{723EB640-0A36-4CFD-AE8C-B12F4E6AB997}" name="Saldo początkowe" dataDxfId="77">
      <calculatedColumnFormula array="1">sum</calculatedColumnFormula>
    </tableColumn>
    <tableColumn id="4" xr3:uid="{95669056-B012-4613-8042-D53FB000D921}" name="Operacje" dataDxfId="76"/>
    <tableColumn id="5" xr3:uid="{2F9B335F-AB9D-4D01-8A1B-BAF50A50FC95}" name="Saldo końcowe" dataDxfId="75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3F790B9-BF71-43D6-8CB6-4F25E6B19AB3}" name="czerwiec_kategorie" displayName="czerwiec_kategorie" ref="G1:H17" totalsRowShown="0">
  <autoFilter ref="G1:H17" xr:uid="{91E29B76-5F95-44E1-9035-B1028C12C716}"/>
  <tableColumns count="2">
    <tableColumn id="1" xr3:uid="{E722C771-0407-432B-840A-BAF2131D0B0D}" name="Kategorie"/>
    <tableColumn id="2" xr3:uid="{D24C2CEB-13D3-46A7-8A22-15FDDCBAAFDC}" name="Suma" dataDxfId="74">
      <calculatedColumnFormula>SUMIFS(operacje[Kwota],operacje[Kategoria],$G2,operacje[Miesiąc],$B$11)</calculatedColumnFormula>
    </tableColumn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1D591C4-4432-4D19-9950-B5EBFBFB6E98}" name="sierpień_saldo" displayName="sierpień_saldo" ref="A1:E9" totalsRowShown="0">
  <autoFilter ref="A1:E9" xr:uid="{4571616C-20EE-49A7-9347-44C7074B45CD}"/>
  <tableColumns count="5">
    <tableColumn id="1" xr3:uid="{1C781D08-8685-43E6-A0A7-0D1FFD819241}" name="Bank"/>
    <tableColumn id="2" xr3:uid="{92696795-6FA0-4C4E-BD06-C17E71DD1428}" name="Produkt"/>
    <tableColumn id="3" xr3:uid="{E8D9F154-7713-4A73-AF2A-34D3E7396B53}" name="Saldo początkowe" dataDxfId="73">
      <calculatedColumnFormula array="1">sum</calculatedColumnFormula>
    </tableColumn>
    <tableColumn id="4" xr3:uid="{BDFDA406-4791-4DA2-A9A9-207656C011B3}" name="Operacje" dataDxfId="72"/>
    <tableColumn id="5" xr3:uid="{B113DEB4-D7AE-43C5-BA51-5621D954BF34}" name="Saldo końcowe" dataDxfId="71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AA54A7E-65D6-49BA-BDDA-C43C416B07FC}" name="sierpień_kategorie" displayName="sierpień_kategorie" ref="G1:H17" totalsRowShown="0">
  <autoFilter ref="G1:H17" xr:uid="{91E29B76-5F95-44E1-9035-B1028C12C716}"/>
  <tableColumns count="2">
    <tableColumn id="1" xr3:uid="{74B0FFCC-7D6A-44A5-BC24-3B8697A7C8E6}" name="Kategorie"/>
    <tableColumn id="2" xr3:uid="{86CAF1D1-5181-4351-8FB9-69870148423B}" name="Suma" dataDxfId="70">
      <calculatedColumnFormula>SUMIFS(operacje[Kwota],operacje[Kategoria],$G2,operacje[Miesiąc],$B$11)</calculatedColumnFormula>
    </tableColumn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80A21E0-792E-4B71-BB69-A6D4733A7F97}" name="wrzesień_saldo" displayName="wrzesień_saldo" ref="A1:E9" totalsRowShown="0">
  <autoFilter ref="A1:E9" xr:uid="{4571616C-20EE-49A7-9347-44C7074B45CD}"/>
  <tableColumns count="5">
    <tableColumn id="1" xr3:uid="{46D0B269-777F-4640-99BF-403EBC1BCD29}" name="Bank"/>
    <tableColumn id="2" xr3:uid="{55DFCF4A-F6B7-4B8A-BEB4-40DEB3C695D4}" name="Produkt"/>
    <tableColumn id="3" xr3:uid="{B5349972-E32B-4DF8-A811-5A51EA41EAF1}" name="Saldo początkowe" dataDxfId="69">
      <calculatedColumnFormula array="1">sum</calculatedColumnFormula>
    </tableColumn>
    <tableColumn id="4" xr3:uid="{BFB4EB39-E79E-476D-B283-20D76C30F80B}" name="Operacje" dataDxfId="68"/>
    <tableColumn id="5" xr3:uid="{53CB0BB8-2ED0-44B7-8429-602ECCAF82C7}" name="Saldo końcowe" dataDxfId="67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1548A6B-AE9D-4A44-9546-68536B89EF1F}" name="wrzesień_kategorie" displayName="wrzesień_kategorie" ref="G1:H17" totalsRowShown="0">
  <autoFilter ref="G1:H17" xr:uid="{91E29B76-5F95-44E1-9035-B1028C12C716}"/>
  <tableColumns count="2">
    <tableColumn id="1" xr3:uid="{A6EB0F75-2882-4121-875A-608F250911F7}" name="Kategorie"/>
    <tableColumn id="2" xr3:uid="{E7D44AA2-8588-48B0-8066-95F9D2889EB0}" name="Suma" dataDxfId="66">
      <calculatedColumnFormula>SUMIFS(operacje[Kwota],operacje[Kategoria],$G2,operacje[Miesiąc],$B$11)</calculatedColumnFormula>
    </tableColumn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C602CEF-89BD-4EDA-894D-6B02C5431618}" name="październik_saldo" displayName="październik_saldo" ref="A1:E9" totalsRowShown="0">
  <autoFilter ref="A1:E9" xr:uid="{4571616C-20EE-49A7-9347-44C7074B45CD}"/>
  <tableColumns count="5">
    <tableColumn id="1" xr3:uid="{8884F61F-44FD-4C56-AC64-C6C29FE9ADC2}" name="Bank"/>
    <tableColumn id="2" xr3:uid="{F4A1A16A-8CA9-4957-8568-4F8A0A4E3AC8}" name="Produkt"/>
    <tableColumn id="3" xr3:uid="{1B70B1FE-CB6D-431F-97B0-7A8A55ABF243}" name="Saldo początkowe" dataDxfId="65">
      <calculatedColumnFormula array="1">sum</calculatedColumnFormula>
    </tableColumn>
    <tableColumn id="4" xr3:uid="{ADEC047A-36DE-4A32-9450-C77C5668D09D}" name="Operacje" dataDxfId="64"/>
    <tableColumn id="5" xr3:uid="{4536B3B8-8F33-422C-BFF5-022048103CCF}" name="Saldo końcowe" dataDxfId="63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933CA80-8D6A-4998-8BDA-6F5AD8571DE6}" name="październik_kategorie" displayName="październik_kategorie" ref="G1:H17" totalsRowShown="0">
  <autoFilter ref="G1:H17" xr:uid="{91E29B76-5F95-44E1-9035-B1028C12C716}"/>
  <tableColumns count="2">
    <tableColumn id="1" xr3:uid="{889EAE59-A96D-4373-A185-D82902825AA1}" name="Kategorie"/>
    <tableColumn id="2" xr3:uid="{74815059-5D47-4808-9104-53C52188F1BB}" name="Suma" dataDxfId="62">
      <calculatedColumnFormula>SUMIFS(operacje[Kwota],operacje[Kategoria],$G2,operacje[Miesiąc],$B$11)</calculatedColumnFormula>
    </tableColumn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C71E1CC-C3D8-45C9-AA44-F5E14BE22999}" name="listopad_saldo" displayName="listopad_saldo" ref="A1:E9" totalsRowShown="0">
  <autoFilter ref="A1:E9" xr:uid="{4571616C-20EE-49A7-9347-44C7074B45CD}"/>
  <tableColumns count="5">
    <tableColumn id="1" xr3:uid="{11B03B1D-A6DC-4B44-80EC-0E343F2E8CFA}" name="Bank"/>
    <tableColumn id="2" xr3:uid="{8885B9E7-228B-48CF-8B62-734D742D9DD7}" name="Produkt"/>
    <tableColumn id="3" xr3:uid="{2EF4D546-E8C2-43D2-A18F-E22E9307246C}" name="Saldo początkowe" dataDxfId="61">
      <calculatedColumnFormula array="1">sum</calculatedColumnFormula>
    </tableColumn>
    <tableColumn id="4" xr3:uid="{D0BD7CB5-1DEF-4839-8131-E10EDDF22B63}" name="Operacje" dataDxfId="60"/>
    <tableColumn id="5" xr3:uid="{10F77489-81B6-4DA9-BCA7-1269CBCAD92C}" name="Saldo końcowe" dataDxfId="59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EDAEB55-59A8-49F9-84B9-E70E4B483EE2}" name="listopad_kategorie" displayName="listopad_kategorie" ref="G1:H17" totalsRowShown="0">
  <autoFilter ref="G1:H17" xr:uid="{91E29B76-5F95-44E1-9035-B1028C12C716}"/>
  <tableColumns count="2">
    <tableColumn id="1" xr3:uid="{D66966E5-CD1E-40D0-B0B2-97DE7BEE2C74}" name="Kategorie"/>
    <tableColumn id="2" xr3:uid="{4A0B6044-7157-4D1C-B63F-3EA530D2DA8D}" name="Suma" dataDxfId="58">
      <calculatedColumnFormula>SUMIFS(operacje[Kwota],operacje[Kategoria],$G2,operacje[Miesiąc],$B$11)</calculatedColumnFormula>
    </tableColumn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DAA8047-ACF8-4E75-A26E-017EC68BBEB4}" name="grudzień_saldo" displayName="grudzień_saldo" ref="A1:E9" totalsRowShown="0">
  <autoFilter ref="A1:E9" xr:uid="{4571616C-20EE-49A7-9347-44C7074B45CD}"/>
  <tableColumns count="5">
    <tableColumn id="1" xr3:uid="{5858780B-27FF-4B0B-B472-175EF7B9075E}" name="Bank"/>
    <tableColumn id="2" xr3:uid="{30988FE0-8B74-4B7A-B2E7-FBED064BE900}" name="Produkt"/>
    <tableColumn id="3" xr3:uid="{AAAD0861-A385-49C8-863A-00F591FF54B5}" name="Saldo początkowe" dataDxfId="57">
      <calculatedColumnFormula array="1">sum</calculatedColumnFormula>
    </tableColumn>
    <tableColumn id="4" xr3:uid="{9A7B4384-D0E4-4DB7-9435-D26F4DE59494}" name="Operacje" dataDxfId="56"/>
    <tableColumn id="5" xr3:uid="{B4193803-AE47-4166-BE4B-FCE092E83E66}" name="Saldo końcowe" dataDxfId="55"/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A4C6F8B-3FFB-4208-9BF9-4D6303F6F3D3}" name="grudzień_kategorie" displayName="grudzień_kategorie" ref="G1:H17" totalsRowShown="0">
  <autoFilter ref="G1:H17" xr:uid="{91E29B76-5F95-44E1-9035-B1028C12C716}"/>
  <tableColumns count="2">
    <tableColumn id="1" xr3:uid="{1E5993EA-5BD6-45B7-9D70-3E8C5D5FA605}" name="Kategorie"/>
    <tableColumn id="2" xr3:uid="{87B92162-D93F-4442-B672-659E59FE6655}" name="Suma" dataDxfId="54">
      <calculatedColumnFormula>SUMIFS(operacje[Kwota],operacje[Kategoria],$G2,operacje[Miesiąc],$B$11)</calculatedColumnFormula>
    </tableColumn>
  </tableColumns>
  <tableStyleInfo name="TableStyleMedium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ECA6145-A60B-49EA-950B-427336AB21B4}" name="Salda" displayName="Salda" ref="A1:N8" totalsRowShown="0">
  <autoFilter ref="A1:N8" xr:uid="{5ECA6145-A60B-49EA-950B-427336AB21B4}"/>
  <tableColumns count="14">
    <tableColumn id="1" xr3:uid="{42EB0A7D-D145-4D55-8A6D-9807DEDC098E}" name="Bank"/>
    <tableColumn id="2" xr3:uid="{679789B7-9CBB-486B-81F6-74723AA0FDEB}" name="Produkt"/>
    <tableColumn id="3" xr3:uid="{E59C64D3-763F-4C13-AF60-07D4707653A3}" name="styczeń" dataDxfId="53">
      <calculatedColumnFormula array="1">INDIRECT(Salda[[#Headers],[styczeń]]&amp;"_saldo[@[Saldo końcowe]]")</calculatedColumnFormula>
    </tableColumn>
    <tableColumn id="4" xr3:uid="{E7482419-73EA-4380-82AA-D968C0AA09CE}" name="luty" dataDxfId="52">
      <calculatedColumnFormula array="1">INDIRECT(Salda[[#Headers],[luty]]&amp;"_saldo[@[Saldo końcowe]]")</calculatedColumnFormula>
    </tableColumn>
    <tableColumn id="5" xr3:uid="{3E352041-DA4B-4F5F-ACA1-FC6E87D2D822}" name="marzec" dataDxfId="51">
      <calculatedColumnFormula array="1">INDIRECT(Salda[[#Headers],[marzec]]&amp;"_saldo[@[Saldo końcowe]]")</calculatedColumnFormula>
    </tableColumn>
    <tableColumn id="6" xr3:uid="{014F81D9-2A0B-4AC0-937B-B3A212C6672D}" name="kwiecień" dataDxfId="50">
      <calculatedColumnFormula array="1">INDIRECT(Salda[[#Headers],[kwiecień]]&amp;"_saldo[@[Saldo końcowe]]")</calculatedColumnFormula>
    </tableColumn>
    <tableColumn id="7" xr3:uid="{F81709B2-F6AC-4EED-A45A-3C84C17590D5}" name="maj" dataDxfId="49">
      <calculatedColumnFormula array="1">INDIRECT(Salda[[#Headers],[maj]]&amp;"_saldo[@[Saldo końcowe]]")</calculatedColumnFormula>
    </tableColumn>
    <tableColumn id="8" xr3:uid="{93F717E3-3DB9-4ACF-9A90-F1060E055411}" name="czerwiec" dataDxfId="48">
      <calculatedColumnFormula array="1">INDIRECT(Salda[[#Headers],[czerwiec]]&amp;"_saldo[@[Saldo końcowe]]")</calculatedColumnFormula>
    </tableColumn>
    <tableColumn id="9" xr3:uid="{20BD1ACD-5E13-4DD7-A077-83F0938912E8}" name="lipiec" dataDxfId="47">
      <calculatedColumnFormula array="1">INDIRECT(Salda[[#Headers],[lipiec]]&amp;"_saldo[@[Saldo końcowe]]")</calculatedColumnFormula>
    </tableColumn>
    <tableColumn id="10" xr3:uid="{8BA26B43-B308-40C9-A0FB-CFAA58071AE8}" name="sierpień" dataDxfId="46">
      <calculatedColumnFormula array="1">INDIRECT(Salda[[#Headers],[sierpień]]&amp;"_saldo[@[Saldo końcowe]]")</calculatedColumnFormula>
    </tableColumn>
    <tableColumn id="11" xr3:uid="{593B9F27-8B17-4E46-9F3B-CA21DD6770FA}" name="wrzesień" dataDxfId="45">
      <calculatedColumnFormula array="1">INDIRECT(Salda[[#Headers],[wrzesień]]&amp;"_saldo[@[Saldo końcowe]]")</calculatedColumnFormula>
    </tableColumn>
    <tableColumn id="12" xr3:uid="{02CB76B1-62C3-48F0-A84D-8140F4AD9BA2}" name="październik" dataDxfId="44">
      <calculatedColumnFormula array="1">INDIRECT(Salda[[#Headers],[październik]]&amp;"_saldo[@[Saldo końcowe]]")</calculatedColumnFormula>
    </tableColumn>
    <tableColumn id="13" xr3:uid="{1A0284F4-A282-4506-B612-175A159CFED2}" name="listopad" dataDxfId="43">
      <calculatedColumnFormula array="1">INDIRECT(Salda[[#Headers],[listopad]]&amp;"_saldo[@[Saldo końcowe]]")</calculatedColumnFormula>
    </tableColumn>
    <tableColumn id="14" xr3:uid="{740157B8-E405-459C-935B-3EFCB32D8E2E}" name="grudzień" dataDxfId="42">
      <calculatedColumnFormula array="1">INDIRECT(Salda[[#Headers],[grudzień]]&amp;"_saldo[@[Saldo końcowe]]")</calculatedColumnFormula>
    </tableColumn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66A6BA3-D47E-4808-BB30-01169C67C192}" name="Obroty" displayName="Obroty" ref="A1:N8" totalsRowShown="0">
  <autoFilter ref="A1:N8" xr:uid="{466A6BA3-D47E-4808-BB30-01169C67C192}"/>
  <tableColumns count="14">
    <tableColumn id="1" xr3:uid="{2DEB79DF-67D1-4972-8853-71CFB96EADED}" name="Bank"/>
    <tableColumn id="2" xr3:uid="{7FEC79CE-986E-4E0A-9729-DB98A452EA5F}" name="Produkt"/>
    <tableColumn id="3" xr3:uid="{9E2E41F9-1833-4001-B015-96692D3BEB94}" name="styczeń" dataDxfId="41">
      <calculatedColumnFormula array="1">INDIRECT(Obroty[[#Headers],[styczeń]]&amp;"_saldo[@[Operacje]]")</calculatedColumnFormula>
    </tableColumn>
    <tableColumn id="4" xr3:uid="{C7534439-1C57-4FDA-881B-2CC5DC04CE8C}" name="luty" dataDxfId="40">
      <calculatedColumnFormula array="1">INDIRECT(Obroty[[#Headers],[luty]]&amp;"_saldo[@[Saldo końcowe]]")</calculatedColumnFormula>
    </tableColumn>
    <tableColumn id="5" xr3:uid="{FB9B8CE3-BE24-49D8-A758-76AF42A3C1D6}" name="marzec" dataDxfId="39">
      <calculatedColumnFormula array="1">INDIRECT(Obroty[[#Headers],[marzec]]&amp;"_saldo[@[Saldo końcowe]]")</calculatedColumnFormula>
    </tableColumn>
    <tableColumn id="6" xr3:uid="{B139D599-2443-4200-83EC-FACE0C7D2ACC}" name="kwiecień" dataDxfId="38">
      <calculatedColumnFormula array="1">INDIRECT(Obroty[[#Headers],[kwiecień]]&amp;"_saldo[@[Saldo końcowe]]")</calculatedColumnFormula>
    </tableColumn>
    <tableColumn id="7" xr3:uid="{50EB6EC2-D7F3-42FC-9420-66A9B04CD869}" name="maj" dataDxfId="37">
      <calculatedColumnFormula array="1">INDIRECT(Obroty[[#Headers],[maj]]&amp;"_saldo[@[Saldo końcowe]]")</calculatedColumnFormula>
    </tableColumn>
    <tableColumn id="8" xr3:uid="{5055A7F5-DB0D-48F2-B7C7-1BB62710C565}" name="czerwiec" dataDxfId="36">
      <calculatedColumnFormula array="1">INDIRECT(Obroty[[#Headers],[czerwiec]]&amp;"_saldo[@[Saldo końcowe]]")</calculatedColumnFormula>
    </tableColumn>
    <tableColumn id="9" xr3:uid="{EA570481-631B-416A-9C17-266E7FC2DA58}" name="lipiec" dataDxfId="35">
      <calculatedColumnFormula array="1">INDIRECT(Obroty[[#Headers],[lipiec]]&amp;"_saldo[@[Saldo końcowe]]")</calculatedColumnFormula>
    </tableColumn>
    <tableColumn id="10" xr3:uid="{E8534778-0D09-4C39-8603-E3FC886AB0DC}" name="sierpień" dataDxfId="34">
      <calculatedColumnFormula array="1">INDIRECT(Obroty[[#Headers],[sierpień]]&amp;"_saldo[@[Saldo końcowe]]")</calculatedColumnFormula>
    </tableColumn>
    <tableColumn id="11" xr3:uid="{32E305E7-F7C1-4BD4-A3F0-A1F3FDD0BF37}" name="wrzesień" dataDxfId="33">
      <calculatedColumnFormula array="1">INDIRECT(Obroty[[#Headers],[wrzesień]]&amp;"_saldo[@[Saldo końcowe]]")</calculatedColumnFormula>
    </tableColumn>
    <tableColumn id="12" xr3:uid="{E5D546DD-5D29-41E0-96B4-869837FA3E91}" name="październik" dataDxfId="32">
      <calculatedColumnFormula array="1">INDIRECT(Obroty[[#Headers],[październik]]&amp;"_saldo[@[Saldo końcowe]]")</calculatedColumnFormula>
    </tableColumn>
    <tableColumn id="13" xr3:uid="{BBF31584-1823-47B6-A1D8-3B2E4D56D0ED}" name="listopad" dataDxfId="31">
      <calculatedColumnFormula array="1">INDIRECT(Obroty[[#Headers],[listopad]]&amp;"_saldo[@[Saldo końcowe]]")</calculatedColumnFormula>
    </tableColumn>
    <tableColumn id="14" xr3:uid="{073BEF60-AD34-4C76-B3B1-A5B0C45FE0BE}" name="grudzień" dataDxfId="30">
      <calculatedColumnFormula array="1">INDIRECT(Obroty[[#Headers],[grudzień]]&amp;"_saldo[@[Saldo końcowe]]")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272C-E1C4-4B68-AB5E-9B9260CCAD5D}">
  <dimension ref="A1:N18"/>
  <sheetViews>
    <sheetView tabSelected="1" workbookViewId="0">
      <selection activeCell="N2" sqref="N2"/>
    </sheetView>
  </sheetViews>
  <sheetFormatPr defaultRowHeight="15" x14ac:dyDescent="0.25"/>
  <cols>
    <col min="1" max="1" width="19.7109375" customWidth="1"/>
    <col min="2" max="2" width="15.28515625" customWidth="1"/>
    <col min="5" max="5" width="10.140625" customWidth="1"/>
    <col min="8" max="8" width="12.140625" customWidth="1"/>
    <col min="13" max="13" width="17.7109375" customWidth="1"/>
    <col min="14" max="14" width="18.28515625" customWidth="1"/>
  </cols>
  <sheetData>
    <row r="1" spans="1:14" x14ac:dyDescent="0.25">
      <c r="A1" t="s">
        <v>1</v>
      </c>
      <c r="B1" t="s">
        <v>6</v>
      </c>
      <c r="D1" t="s">
        <v>20</v>
      </c>
      <c r="E1" t="s">
        <v>27</v>
      </c>
      <c r="G1" t="s">
        <v>21</v>
      </c>
      <c r="H1" t="s">
        <v>22</v>
      </c>
      <c r="I1" t="s">
        <v>31</v>
      </c>
      <c r="K1" t="s">
        <v>43</v>
      </c>
      <c r="M1" t="s">
        <v>63</v>
      </c>
      <c r="N1" t="s">
        <v>64</v>
      </c>
    </row>
    <row r="2" spans="1:14" x14ac:dyDescent="0.25">
      <c r="A2" t="s">
        <v>2</v>
      </c>
      <c r="B2" t="s">
        <v>10</v>
      </c>
      <c r="D2" t="s">
        <v>21</v>
      </c>
      <c r="E2" t="s">
        <v>19</v>
      </c>
      <c r="G2" t="s">
        <v>19</v>
      </c>
      <c r="H2" t="s">
        <v>19</v>
      </c>
      <c r="I2" t="s">
        <v>32</v>
      </c>
      <c r="K2" t="s">
        <v>44</v>
      </c>
    </row>
    <row r="3" spans="1:14" x14ac:dyDescent="0.25">
      <c r="A3" t="s">
        <v>3</v>
      </c>
      <c r="B3" t="s">
        <v>10</v>
      </c>
      <c r="D3" t="s">
        <v>21</v>
      </c>
      <c r="E3" t="s">
        <v>23</v>
      </c>
      <c r="G3" t="s">
        <v>23</v>
      </c>
      <c r="H3" t="s">
        <v>25</v>
      </c>
      <c r="I3" t="s">
        <v>33</v>
      </c>
    </row>
    <row r="4" spans="1:14" x14ac:dyDescent="0.25">
      <c r="A4" t="s">
        <v>45</v>
      </c>
      <c r="B4" t="s">
        <v>10</v>
      </c>
      <c r="D4" t="s">
        <v>21</v>
      </c>
      <c r="E4" t="s">
        <v>24</v>
      </c>
      <c r="G4" t="s">
        <v>24</v>
      </c>
    </row>
    <row r="5" spans="1:14" x14ac:dyDescent="0.25">
      <c r="A5" t="s">
        <v>4</v>
      </c>
      <c r="B5" t="s">
        <v>10</v>
      </c>
      <c r="D5" t="s">
        <v>22</v>
      </c>
      <c r="E5" t="s">
        <v>19</v>
      </c>
    </row>
    <row r="6" spans="1:14" x14ac:dyDescent="0.25">
      <c r="A6" t="s">
        <v>5</v>
      </c>
      <c r="B6" t="s">
        <v>10</v>
      </c>
      <c r="D6" t="s">
        <v>22</v>
      </c>
      <c r="E6" t="s">
        <v>25</v>
      </c>
    </row>
    <row r="7" spans="1:14" x14ac:dyDescent="0.25">
      <c r="A7" t="s">
        <v>7</v>
      </c>
      <c r="B7" t="s">
        <v>10</v>
      </c>
      <c r="D7" t="s">
        <v>31</v>
      </c>
      <c r="E7" t="s">
        <v>32</v>
      </c>
    </row>
    <row r="8" spans="1:14" x14ac:dyDescent="0.25">
      <c r="A8" t="s">
        <v>8</v>
      </c>
      <c r="B8" t="s">
        <v>10</v>
      </c>
      <c r="D8" t="s">
        <v>31</v>
      </c>
      <c r="E8" t="s">
        <v>33</v>
      </c>
    </row>
    <row r="9" spans="1:14" x14ac:dyDescent="0.25">
      <c r="A9" t="s">
        <v>46</v>
      </c>
      <c r="B9" t="s">
        <v>10</v>
      </c>
    </row>
    <row r="10" spans="1:14" x14ac:dyDescent="0.25">
      <c r="A10" t="s">
        <v>9</v>
      </c>
      <c r="B10" t="s">
        <v>10</v>
      </c>
    </row>
    <row r="11" spans="1:14" x14ac:dyDescent="0.25">
      <c r="A11" t="s">
        <v>11</v>
      </c>
      <c r="B11" t="s">
        <v>18</v>
      </c>
    </row>
    <row r="12" spans="1:14" x14ac:dyDescent="0.25">
      <c r="A12" t="s">
        <v>12</v>
      </c>
      <c r="B12" t="s">
        <v>18</v>
      </c>
    </row>
    <row r="13" spans="1:14" x14ac:dyDescent="0.25">
      <c r="A13" t="s">
        <v>13</v>
      </c>
      <c r="B13" t="s">
        <v>18</v>
      </c>
    </row>
    <row r="14" spans="1:14" x14ac:dyDescent="0.25">
      <c r="A14" t="s">
        <v>48</v>
      </c>
      <c r="B14" t="s">
        <v>18</v>
      </c>
    </row>
    <row r="15" spans="1:14" x14ac:dyDescent="0.25">
      <c r="A15" t="s">
        <v>15</v>
      </c>
      <c r="B15" t="s">
        <v>18</v>
      </c>
    </row>
    <row r="16" spans="1:14" x14ac:dyDescent="0.25">
      <c r="A16" t="s">
        <v>16</v>
      </c>
      <c r="B16" t="s">
        <v>18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49</v>
      </c>
      <c r="B18" t="s">
        <v>50</v>
      </c>
    </row>
  </sheetData>
  <conditionalFormatting sqref="A1:B18">
    <cfRule type="expression" dxfId="29" priority="3">
      <formula>$B1="Wydatki"</formula>
    </cfRule>
    <cfRule type="expression" dxfId="28" priority="4">
      <formula>$B1="Wpływy"</formula>
    </cfRule>
  </conditionalFormatting>
  <conditionalFormatting sqref="A18:B18">
    <cfRule type="expression" dxfId="27" priority="1">
      <formula>$B18="Wydatki"</formula>
    </cfRule>
    <cfRule type="expression" dxfId="26" priority="2">
      <formula>$B18="Wpływy"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6FB8-165E-4F5A-B56A-E9977D2B5FF9}">
  <dimension ref="A1:I208"/>
  <sheetViews>
    <sheetView zoomScale="130" zoomScaleNormal="130" workbookViewId="0">
      <selection activeCell="I3" sqref="I3"/>
    </sheetView>
  </sheetViews>
  <sheetFormatPr defaultRowHeight="15" x14ac:dyDescent="0.25"/>
  <cols>
    <col min="1" max="1" width="14.28515625" customWidth="1"/>
    <col min="4" max="4" width="20.28515625" customWidth="1"/>
    <col min="5" max="5" width="9.85546875" bestFit="1" customWidth="1"/>
    <col min="6" max="6" width="15.5703125" customWidth="1"/>
    <col min="7" max="7" width="11.5703125" customWidth="1"/>
  </cols>
  <sheetData>
    <row r="1" spans="1:9" x14ac:dyDescent="0.25">
      <c r="A1" t="s">
        <v>26</v>
      </c>
      <c r="B1" t="s">
        <v>20</v>
      </c>
      <c r="C1" t="s">
        <v>27</v>
      </c>
      <c r="D1" t="s">
        <v>0</v>
      </c>
      <c r="E1" t="s">
        <v>28</v>
      </c>
      <c r="F1" t="s">
        <v>29</v>
      </c>
      <c r="G1" t="s">
        <v>30</v>
      </c>
    </row>
    <row r="2" spans="1:9" x14ac:dyDescent="0.25">
      <c r="A2" s="3">
        <v>-1500</v>
      </c>
      <c r="B2" t="s">
        <v>21</v>
      </c>
      <c r="C2" t="s">
        <v>19</v>
      </c>
      <c r="D2" t="s">
        <v>2</v>
      </c>
      <c r="E2" t="str">
        <f>_xlfn.XLOOKUP(D2,kategorie[Kategoria:],kategorie[Typ:],"",0,1)</f>
        <v>Wydatki</v>
      </c>
      <c r="F2" s="1">
        <v>45296</v>
      </c>
      <c r="G2">
        <f>IF(ISBLANK(F2),"",MONTH(F2))</f>
        <v>1</v>
      </c>
      <c r="I2" t="str" cm="1">
        <f t="array" ref="I2:I4">CHOOSE(MATCH(B2,Kategorie!$G$1:$I$1,0),Kategorie!$G$2:$G$4,Kategorie!$H$2:$H$3,Kategorie!$I$2:$I$3)</f>
        <v>Konto</v>
      </c>
    </row>
    <row r="3" spans="1:9" x14ac:dyDescent="0.25">
      <c r="A3" s="3">
        <v>4500</v>
      </c>
      <c r="B3" t="s">
        <v>21</v>
      </c>
      <c r="C3" t="s">
        <v>19</v>
      </c>
      <c r="D3" t="s">
        <v>11</v>
      </c>
      <c r="E3" t="str">
        <f>_xlfn.XLOOKUP(D3,kategorie[Kategoria:],kategorie[Typ:],"",0,1)</f>
        <v>Wpływy</v>
      </c>
      <c r="F3" s="1">
        <v>45301</v>
      </c>
      <c r="G3">
        <f t="shared" ref="G3:G66" si="0">IF(ISBLANK(F3),"",MONTH(F3))</f>
        <v>1</v>
      </c>
      <c r="I3" t="str">
        <v>Karta</v>
      </c>
    </row>
    <row r="4" spans="1:9" x14ac:dyDescent="0.25">
      <c r="A4" s="3">
        <v>-2000</v>
      </c>
      <c r="B4" t="s">
        <v>21</v>
      </c>
      <c r="C4" t="s">
        <v>19</v>
      </c>
      <c r="D4" t="s">
        <v>4</v>
      </c>
      <c r="E4" t="str">
        <f>_xlfn.XLOOKUP(D4,kategorie[Kategoria:],kategorie[Typ:],"",0,1)</f>
        <v>Wydatki</v>
      </c>
      <c r="F4" s="1">
        <v>45302</v>
      </c>
      <c r="G4">
        <f t="shared" si="0"/>
        <v>1</v>
      </c>
      <c r="I4" t="str">
        <v>Lokata</v>
      </c>
    </row>
    <row r="5" spans="1:9" x14ac:dyDescent="0.25">
      <c r="A5" s="3">
        <v>-45</v>
      </c>
      <c r="B5" t="s">
        <v>22</v>
      </c>
      <c r="C5" t="s">
        <v>19</v>
      </c>
      <c r="D5" t="s">
        <v>2</v>
      </c>
      <c r="E5" t="str">
        <f>_xlfn.XLOOKUP(D5,kategorie[Kategoria:],kategorie[Typ:],"",0,1)</f>
        <v>Wydatki</v>
      </c>
      <c r="F5" s="1">
        <v>45305</v>
      </c>
      <c r="G5">
        <f t="shared" si="0"/>
        <v>1</v>
      </c>
    </row>
    <row r="6" spans="1:9" x14ac:dyDescent="0.25">
      <c r="A6" s="3">
        <v>-150</v>
      </c>
      <c r="B6" t="s">
        <v>21</v>
      </c>
      <c r="C6" t="s">
        <v>23</v>
      </c>
      <c r="D6" t="s">
        <v>45</v>
      </c>
      <c r="E6" t="str">
        <f>_xlfn.XLOOKUP(D6,kategorie[Kategoria:],kategorie[Typ:],"",0,1)</f>
        <v>Wydatki</v>
      </c>
      <c r="F6" s="1">
        <v>45306</v>
      </c>
      <c r="G6">
        <f t="shared" si="0"/>
        <v>1</v>
      </c>
    </row>
    <row r="7" spans="1:9" x14ac:dyDescent="0.25">
      <c r="A7" s="3">
        <v>-120</v>
      </c>
      <c r="B7" t="s">
        <v>21</v>
      </c>
      <c r="C7" t="s">
        <v>19</v>
      </c>
      <c r="D7" t="s">
        <v>2</v>
      </c>
      <c r="E7" t="str">
        <f>_xlfn.XLOOKUP(D7,kategorie[Kategoria:],kategorie[Typ:],"",0,1)</f>
        <v>Wydatki</v>
      </c>
      <c r="F7" s="1">
        <v>45307</v>
      </c>
      <c r="G7">
        <f t="shared" si="0"/>
        <v>1</v>
      </c>
    </row>
    <row r="8" spans="1:9" x14ac:dyDescent="0.25">
      <c r="A8" s="3">
        <v>500</v>
      </c>
      <c r="B8" t="s">
        <v>21</v>
      </c>
      <c r="C8" t="s">
        <v>19</v>
      </c>
      <c r="D8" t="s">
        <v>17</v>
      </c>
      <c r="E8" t="str">
        <f>_xlfn.XLOOKUP(D8,kategorie[Kategoria:],kategorie[Typ:],"",0,1)</f>
        <v>Wpływy</v>
      </c>
      <c r="F8" s="1">
        <v>45308</v>
      </c>
      <c r="G8">
        <f t="shared" si="0"/>
        <v>1</v>
      </c>
    </row>
    <row r="9" spans="1:9" x14ac:dyDescent="0.25">
      <c r="A9" s="3">
        <v>-500</v>
      </c>
      <c r="B9" t="s">
        <v>21</v>
      </c>
      <c r="C9" t="s">
        <v>24</v>
      </c>
      <c r="D9" t="s">
        <v>47</v>
      </c>
      <c r="E9" t="str">
        <f>_xlfn.XLOOKUP(D9,kategorie[Kategoria:],kategorie[Typ:],"",0,1)</f>
        <v>Wydatki</v>
      </c>
      <c r="F9" s="1">
        <v>45308</v>
      </c>
      <c r="G9">
        <f t="shared" si="0"/>
        <v>1</v>
      </c>
    </row>
    <row r="10" spans="1:9" x14ac:dyDescent="0.25">
      <c r="A10" s="3">
        <v>250</v>
      </c>
      <c r="B10" t="s">
        <v>22</v>
      </c>
      <c r="C10" t="s">
        <v>25</v>
      </c>
      <c r="D10" t="s">
        <v>12</v>
      </c>
      <c r="E10" t="str">
        <f>_xlfn.XLOOKUP(D10,kategorie[Kategoria:],kategorie[Typ:],"",0,1)</f>
        <v>Wpływy</v>
      </c>
      <c r="F10" s="1">
        <v>45308</v>
      </c>
      <c r="G10">
        <f t="shared" si="0"/>
        <v>1</v>
      </c>
    </row>
    <row r="11" spans="1:9" x14ac:dyDescent="0.25">
      <c r="A11" s="3">
        <v>-25</v>
      </c>
      <c r="B11" t="s">
        <v>21</v>
      </c>
      <c r="C11" t="s">
        <v>23</v>
      </c>
      <c r="D11" t="s">
        <v>7</v>
      </c>
      <c r="E11" t="str">
        <f>_xlfn.XLOOKUP(D11,kategorie[Kategoria:],kategorie[Typ:],"",0,1)</f>
        <v>Wydatki</v>
      </c>
      <c r="F11" s="1">
        <v>45310</v>
      </c>
      <c r="G11">
        <f t="shared" si="0"/>
        <v>1</v>
      </c>
    </row>
    <row r="12" spans="1:9" x14ac:dyDescent="0.25">
      <c r="A12" s="3">
        <v>-80</v>
      </c>
      <c r="B12" t="s">
        <v>21</v>
      </c>
      <c r="C12" t="s">
        <v>19</v>
      </c>
      <c r="D12" t="s">
        <v>3</v>
      </c>
      <c r="E12" t="str">
        <f>_xlfn.XLOOKUP(D12,kategorie[Kategoria:],kategorie[Typ:],"",0,1)</f>
        <v>Wydatki</v>
      </c>
      <c r="F12" s="1">
        <v>45311</v>
      </c>
      <c r="G12">
        <f t="shared" si="0"/>
        <v>1</v>
      </c>
    </row>
    <row r="13" spans="1:9" x14ac:dyDescent="0.25">
      <c r="A13" s="3">
        <v>150</v>
      </c>
      <c r="B13" t="s">
        <v>22</v>
      </c>
      <c r="C13" t="s">
        <v>19</v>
      </c>
      <c r="D13" t="s">
        <v>17</v>
      </c>
      <c r="E13" t="str">
        <f>_xlfn.XLOOKUP(D13,kategorie[Kategoria:],kategorie[Typ:],"",0,1)</f>
        <v>Wpływy</v>
      </c>
      <c r="F13" s="1">
        <v>45312</v>
      </c>
      <c r="G13">
        <f t="shared" si="0"/>
        <v>1</v>
      </c>
    </row>
    <row r="14" spans="1:9" x14ac:dyDescent="0.25">
      <c r="A14" s="3">
        <v>-80</v>
      </c>
      <c r="B14" t="s">
        <v>22</v>
      </c>
      <c r="C14" t="s">
        <v>19</v>
      </c>
      <c r="D14" t="s">
        <v>46</v>
      </c>
      <c r="E14" t="str">
        <f>_xlfn.XLOOKUP(D14,kategorie[Kategoria:],kategorie[Typ:],"",0,1)</f>
        <v>Wydatki</v>
      </c>
      <c r="F14" s="1">
        <v>45313</v>
      </c>
      <c r="G14">
        <f t="shared" si="0"/>
        <v>1</v>
      </c>
    </row>
    <row r="15" spans="1:9" x14ac:dyDescent="0.25">
      <c r="A15" s="3">
        <v>-60</v>
      </c>
      <c r="B15" t="s">
        <v>22</v>
      </c>
      <c r="C15" t="s">
        <v>19</v>
      </c>
      <c r="D15" t="s">
        <v>7</v>
      </c>
      <c r="E15" t="str">
        <f>_xlfn.XLOOKUP(D15,kategorie[Kategoria:],kategorie[Typ:],"",0,1)</f>
        <v>Wydatki</v>
      </c>
      <c r="F15" s="1">
        <v>45314</v>
      </c>
      <c r="G15">
        <f t="shared" si="0"/>
        <v>1</v>
      </c>
    </row>
    <row r="16" spans="1:9" x14ac:dyDescent="0.25">
      <c r="A16" s="3">
        <v>-100</v>
      </c>
      <c r="B16" t="s">
        <v>21</v>
      </c>
      <c r="C16" t="s">
        <v>19</v>
      </c>
      <c r="D16" t="s">
        <v>5</v>
      </c>
      <c r="E16" t="str">
        <f>_xlfn.XLOOKUP(D16,kategorie[Kategoria:],kategorie[Typ:],"",0,1)</f>
        <v>Wydatki</v>
      </c>
      <c r="F16" s="1">
        <v>45315</v>
      </c>
      <c r="G16">
        <f t="shared" si="0"/>
        <v>1</v>
      </c>
    </row>
    <row r="17" spans="1:7" x14ac:dyDescent="0.25">
      <c r="A17" s="3">
        <v>-50</v>
      </c>
      <c r="B17" t="s">
        <v>31</v>
      </c>
      <c r="C17" t="s">
        <v>33</v>
      </c>
      <c r="D17" t="s">
        <v>2</v>
      </c>
      <c r="E17" t="str">
        <f>_xlfn.XLOOKUP(D17,kategorie[Kategoria:],kategorie[Typ:],"",0,1)</f>
        <v>Wydatki</v>
      </c>
      <c r="F17" s="1">
        <v>45316</v>
      </c>
      <c r="G17">
        <f t="shared" si="0"/>
        <v>1</v>
      </c>
    </row>
    <row r="18" spans="1:7" x14ac:dyDescent="0.25">
      <c r="A18" s="3">
        <v>150</v>
      </c>
      <c r="B18" t="s">
        <v>31</v>
      </c>
      <c r="C18" t="s">
        <v>32</v>
      </c>
      <c r="D18" t="s">
        <v>17</v>
      </c>
      <c r="E18" t="str">
        <f>_xlfn.XLOOKUP(D18,kategorie[Kategoria:],kategorie[Typ:],"",0,1)</f>
        <v>Wpływy</v>
      </c>
      <c r="F18" s="1">
        <v>45316</v>
      </c>
      <c r="G18">
        <f t="shared" si="0"/>
        <v>1</v>
      </c>
    </row>
    <row r="19" spans="1:7" x14ac:dyDescent="0.25">
      <c r="A19" s="3">
        <v>5.5</v>
      </c>
      <c r="B19" t="s">
        <v>22</v>
      </c>
      <c r="C19" t="s">
        <v>25</v>
      </c>
      <c r="D19" t="s">
        <v>15</v>
      </c>
      <c r="E19" t="str">
        <f>_xlfn.XLOOKUP(D19,kategorie[Kategoria:],kategorie[Typ:],"",0,1)</f>
        <v>Wpływy</v>
      </c>
      <c r="F19" s="1">
        <v>45317</v>
      </c>
      <c r="G19">
        <f t="shared" si="0"/>
        <v>1</v>
      </c>
    </row>
    <row r="20" spans="1:7" x14ac:dyDescent="0.25">
      <c r="A20" s="3">
        <v>100</v>
      </c>
      <c r="B20" t="s">
        <v>21</v>
      </c>
      <c r="C20" t="s">
        <v>24</v>
      </c>
      <c r="D20" t="s">
        <v>15</v>
      </c>
      <c r="E20" t="str">
        <f>_xlfn.XLOOKUP(D20,kategorie[Kategoria:],kategorie[Typ:],"",0,1)</f>
        <v>Wpływy</v>
      </c>
      <c r="F20" s="1">
        <v>45318</v>
      </c>
      <c r="G20">
        <f t="shared" si="0"/>
        <v>1</v>
      </c>
    </row>
    <row r="21" spans="1:7" x14ac:dyDescent="0.25">
      <c r="A21" s="3">
        <v>-100</v>
      </c>
      <c r="B21" t="s">
        <v>21</v>
      </c>
      <c r="C21" t="s">
        <v>19</v>
      </c>
      <c r="D21" t="s">
        <v>8</v>
      </c>
      <c r="E21" t="str">
        <f>_xlfn.XLOOKUP(D21,kategorie[Kategoria:],kategorie[Typ:],"",0,1)</f>
        <v>Wydatki</v>
      </c>
      <c r="F21" s="1">
        <v>45319</v>
      </c>
      <c r="G21">
        <f t="shared" si="0"/>
        <v>1</v>
      </c>
    </row>
    <row r="22" spans="1:7" x14ac:dyDescent="0.25">
      <c r="A22" s="3">
        <v>200</v>
      </c>
      <c r="B22" t="s">
        <v>22</v>
      </c>
      <c r="C22" t="s">
        <v>19</v>
      </c>
      <c r="D22" t="s">
        <v>17</v>
      </c>
      <c r="E22" t="str">
        <f>_xlfn.XLOOKUP(D22,kategorie[Kategoria:],kategorie[Typ:],"",0,1)</f>
        <v>Wpływy</v>
      </c>
      <c r="F22" s="1">
        <v>45324</v>
      </c>
      <c r="G22">
        <f t="shared" si="0"/>
        <v>2</v>
      </c>
    </row>
    <row r="23" spans="1:7" x14ac:dyDescent="0.25">
      <c r="A23" s="3">
        <v>-15</v>
      </c>
      <c r="B23" t="s">
        <v>22</v>
      </c>
      <c r="C23" t="s">
        <v>19</v>
      </c>
      <c r="D23" t="s">
        <v>47</v>
      </c>
      <c r="E23" t="str">
        <f>_xlfn.XLOOKUP(D23,kategorie[Kategoria:],kategorie[Typ:],"",0,1)</f>
        <v>Wydatki</v>
      </c>
      <c r="F23" s="1">
        <v>45326</v>
      </c>
      <c r="G23">
        <f t="shared" si="0"/>
        <v>2</v>
      </c>
    </row>
    <row r="24" spans="1:7" x14ac:dyDescent="0.25">
      <c r="A24" s="3">
        <v>-5.5</v>
      </c>
      <c r="B24" t="s">
        <v>21</v>
      </c>
      <c r="C24" t="s">
        <v>19</v>
      </c>
      <c r="D24" t="s">
        <v>2</v>
      </c>
      <c r="E24" t="str">
        <f>_xlfn.XLOOKUP(D24,kategorie[Kategoria:],kategorie[Typ:],"",0,1)</f>
        <v>Wydatki</v>
      </c>
      <c r="F24" s="1">
        <v>45328</v>
      </c>
      <c r="G24">
        <f t="shared" si="0"/>
        <v>2</v>
      </c>
    </row>
    <row r="25" spans="1:7" x14ac:dyDescent="0.25">
      <c r="A25" s="3">
        <v>4500</v>
      </c>
      <c r="B25" t="s">
        <v>21</v>
      </c>
      <c r="C25" t="s">
        <v>19</v>
      </c>
      <c r="D25" t="s">
        <v>11</v>
      </c>
      <c r="E25" t="str">
        <f>_xlfn.XLOOKUP(D25,kategorie[Kategoria:],kategorie[Typ:],"",0,1)</f>
        <v>Wpływy</v>
      </c>
      <c r="F25" s="1">
        <v>45332</v>
      </c>
      <c r="G25">
        <f t="shared" si="0"/>
        <v>2</v>
      </c>
    </row>
    <row r="26" spans="1:7" x14ac:dyDescent="0.25">
      <c r="A26" s="3">
        <v>-2000</v>
      </c>
      <c r="B26" t="s">
        <v>21</v>
      </c>
      <c r="C26" t="s">
        <v>19</v>
      </c>
      <c r="D26" t="s">
        <v>4</v>
      </c>
      <c r="E26" t="str">
        <f>_xlfn.XLOOKUP(D26,kategorie[Kategoria:],kategorie[Typ:],"",0,1)</f>
        <v>Wydatki</v>
      </c>
      <c r="F26" s="1">
        <v>45333</v>
      </c>
      <c r="G26">
        <f t="shared" si="0"/>
        <v>2</v>
      </c>
    </row>
    <row r="27" spans="1:7" x14ac:dyDescent="0.25">
      <c r="A27" s="3">
        <v>-150</v>
      </c>
      <c r="B27" t="s">
        <v>21</v>
      </c>
      <c r="C27" t="s">
        <v>19</v>
      </c>
      <c r="D27" t="s">
        <v>7</v>
      </c>
      <c r="E27" t="str">
        <f>_xlfn.XLOOKUP(D27,kategorie[Kategoria:],kategorie[Typ:],"",0,1)</f>
        <v>Wydatki</v>
      </c>
      <c r="F27" s="1">
        <v>45335</v>
      </c>
      <c r="G27">
        <f t="shared" si="0"/>
        <v>2</v>
      </c>
    </row>
    <row r="28" spans="1:7" x14ac:dyDescent="0.25">
      <c r="A28" s="3">
        <v>500</v>
      </c>
      <c r="B28" t="s">
        <v>21</v>
      </c>
      <c r="C28" t="s">
        <v>19</v>
      </c>
      <c r="D28" t="s">
        <v>17</v>
      </c>
      <c r="E28" t="str">
        <f>_xlfn.XLOOKUP(D28,kategorie[Kategoria:],kategorie[Typ:],"",0,1)</f>
        <v>Wpływy</v>
      </c>
      <c r="F28" s="1">
        <v>45336</v>
      </c>
      <c r="G28">
        <f t="shared" si="0"/>
        <v>2</v>
      </c>
    </row>
    <row r="29" spans="1:7" x14ac:dyDescent="0.25">
      <c r="A29" s="3">
        <v>-300</v>
      </c>
      <c r="B29" t="s">
        <v>21</v>
      </c>
      <c r="C29" t="s">
        <v>19</v>
      </c>
      <c r="D29" t="s">
        <v>2</v>
      </c>
      <c r="E29" t="str">
        <f>_xlfn.XLOOKUP(D29,kategorie[Kategoria:],kategorie[Typ:],"",0,1)</f>
        <v>Wydatki</v>
      </c>
      <c r="F29" s="1">
        <v>45336</v>
      </c>
      <c r="G29">
        <f t="shared" si="0"/>
        <v>2</v>
      </c>
    </row>
    <row r="30" spans="1:7" x14ac:dyDescent="0.25">
      <c r="A30" s="3">
        <v>-500</v>
      </c>
      <c r="B30" t="s">
        <v>21</v>
      </c>
      <c r="C30" t="s">
        <v>24</v>
      </c>
      <c r="D30" t="s">
        <v>47</v>
      </c>
      <c r="E30" t="str">
        <f>_xlfn.XLOOKUP(D30,kategorie[Kategoria:],kategorie[Typ:],"",0,1)</f>
        <v>Wydatki</v>
      </c>
      <c r="F30" s="1">
        <v>45336</v>
      </c>
      <c r="G30">
        <f t="shared" si="0"/>
        <v>2</v>
      </c>
    </row>
    <row r="31" spans="1:7" x14ac:dyDescent="0.25">
      <c r="A31" s="3">
        <v>-200</v>
      </c>
      <c r="B31" t="s">
        <v>31</v>
      </c>
      <c r="C31" t="s">
        <v>32</v>
      </c>
      <c r="D31" t="s">
        <v>47</v>
      </c>
      <c r="E31" t="str">
        <f>_xlfn.XLOOKUP(D31,kategorie[Kategoria:],kategorie[Typ:],"",0,1)</f>
        <v>Wydatki</v>
      </c>
      <c r="F31" s="1">
        <v>45336</v>
      </c>
      <c r="G31">
        <f t="shared" si="0"/>
        <v>2</v>
      </c>
    </row>
    <row r="32" spans="1:7" x14ac:dyDescent="0.25">
      <c r="A32" s="3">
        <v>175</v>
      </c>
      <c r="B32" t="s">
        <v>21</v>
      </c>
      <c r="C32" t="s">
        <v>23</v>
      </c>
      <c r="D32" t="s">
        <v>49</v>
      </c>
      <c r="E32" t="str">
        <f>_xlfn.XLOOKUP(D32,kategorie[Kategoria:],kategorie[Typ:],"",0,1)</f>
        <v>Transakcja</v>
      </c>
      <c r="F32" s="1">
        <v>45337</v>
      </c>
      <c r="G32">
        <f t="shared" si="0"/>
        <v>2</v>
      </c>
    </row>
    <row r="33" spans="1:7" x14ac:dyDescent="0.25">
      <c r="A33" s="3">
        <v>-175</v>
      </c>
      <c r="B33" t="s">
        <v>21</v>
      </c>
      <c r="C33" t="s">
        <v>19</v>
      </c>
      <c r="D33" t="s">
        <v>49</v>
      </c>
      <c r="E33" t="str">
        <f>_xlfn.XLOOKUP(D33,kategorie[Kategoria:],kategorie[Typ:],"",0,1)</f>
        <v>Transakcja</v>
      </c>
      <c r="F33" s="1">
        <v>45337</v>
      </c>
      <c r="G33">
        <f t="shared" si="0"/>
        <v>2</v>
      </c>
    </row>
    <row r="34" spans="1:7" x14ac:dyDescent="0.25">
      <c r="A34" s="3">
        <v>-100</v>
      </c>
      <c r="B34" t="s">
        <v>21</v>
      </c>
      <c r="C34" t="s">
        <v>19</v>
      </c>
      <c r="D34" t="s">
        <v>5</v>
      </c>
      <c r="E34" t="str">
        <f>_xlfn.XLOOKUP(D34,kategorie[Kategoria:],kategorie[Typ:],"",0,1)</f>
        <v>Wydatki</v>
      </c>
      <c r="F34" s="1">
        <v>45339</v>
      </c>
      <c r="G34">
        <f t="shared" si="0"/>
        <v>2</v>
      </c>
    </row>
    <row r="35" spans="1:7" x14ac:dyDescent="0.25">
      <c r="A35" s="3">
        <v>-80</v>
      </c>
      <c r="B35" t="s">
        <v>21</v>
      </c>
      <c r="C35" t="s">
        <v>19</v>
      </c>
      <c r="D35" t="s">
        <v>3</v>
      </c>
      <c r="E35" t="str">
        <f>_xlfn.XLOOKUP(D35,kategorie[Kategoria:],kategorie[Typ:],"",0,1)</f>
        <v>Wydatki</v>
      </c>
      <c r="F35" s="1">
        <v>45342</v>
      </c>
      <c r="G35">
        <f t="shared" si="0"/>
        <v>2</v>
      </c>
    </row>
    <row r="36" spans="1:7" x14ac:dyDescent="0.25">
      <c r="A36" s="3">
        <v>150</v>
      </c>
      <c r="B36" t="s">
        <v>31</v>
      </c>
      <c r="C36" t="s">
        <v>32</v>
      </c>
      <c r="D36" t="s">
        <v>17</v>
      </c>
      <c r="E36" t="str">
        <f>_xlfn.XLOOKUP(D36,kategorie[Kategoria:],kategorie[Typ:],"",0,1)</f>
        <v>Wpływy</v>
      </c>
      <c r="F36" s="1">
        <v>45344</v>
      </c>
      <c r="G36">
        <f t="shared" si="0"/>
        <v>2</v>
      </c>
    </row>
    <row r="37" spans="1:7" x14ac:dyDescent="0.25">
      <c r="A37" s="3">
        <v>100</v>
      </c>
      <c r="B37" t="s">
        <v>31</v>
      </c>
      <c r="C37" t="s">
        <v>33</v>
      </c>
      <c r="D37" t="s">
        <v>17</v>
      </c>
      <c r="E37" t="str">
        <f>_xlfn.XLOOKUP(D37,kategorie[Kategoria:],kategorie[Typ:],"",0,1)</f>
        <v>Wpływy</v>
      </c>
      <c r="F37" s="1">
        <v>45345</v>
      </c>
      <c r="G37">
        <f t="shared" si="0"/>
        <v>2</v>
      </c>
    </row>
    <row r="38" spans="1:7" x14ac:dyDescent="0.25">
      <c r="A38" s="3">
        <v>-200</v>
      </c>
      <c r="B38" t="s">
        <v>31</v>
      </c>
      <c r="C38" t="s">
        <v>32</v>
      </c>
      <c r="D38" t="s">
        <v>7</v>
      </c>
      <c r="E38" t="str">
        <f>_xlfn.XLOOKUP(D38,kategorie[Kategoria:],kategorie[Typ:],"",0,1)</f>
        <v>Wydatki</v>
      </c>
      <c r="F38" s="1">
        <v>45346</v>
      </c>
      <c r="G38">
        <f t="shared" si="0"/>
        <v>2</v>
      </c>
    </row>
    <row r="39" spans="1:7" x14ac:dyDescent="0.25">
      <c r="A39" s="3">
        <v>1000</v>
      </c>
      <c r="B39" t="s">
        <v>31</v>
      </c>
      <c r="C39" t="s">
        <v>32</v>
      </c>
      <c r="D39" t="s">
        <v>17</v>
      </c>
      <c r="E39" t="str">
        <f>_xlfn.XLOOKUP(D39,kategorie[Kategoria:],kategorie[Typ:],"",0,1)</f>
        <v>Wpływy</v>
      </c>
      <c r="F39" s="1">
        <v>45347</v>
      </c>
      <c r="G39">
        <f t="shared" si="0"/>
        <v>2</v>
      </c>
    </row>
    <row r="40" spans="1:7" x14ac:dyDescent="0.25">
      <c r="A40" s="3">
        <v>-250</v>
      </c>
      <c r="B40" t="s">
        <v>31</v>
      </c>
      <c r="C40" t="s">
        <v>32</v>
      </c>
      <c r="D40" t="s">
        <v>8</v>
      </c>
      <c r="E40" t="str">
        <f>_xlfn.XLOOKUP(D40,kategorie[Kategoria:],kategorie[Typ:],"",0,1)</f>
        <v>Wydatki</v>
      </c>
      <c r="F40" s="1">
        <v>45347</v>
      </c>
      <c r="G40">
        <f t="shared" si="0"/>
        <v>2</v>
      </c>
    </row>
    <row r="41" spans="1:7" x14ac:dyDescent="0.25">
      <c r="A41" s="3">
        <v>-100</v>
      </c>
      <c r="B41" t="s">
        <v>22</v>
      </c>
      <c r="C41" t="s">
        <v>19</v>
      </c>
      <c r="D41" t="s">
        <v>2</v>
      </c>
      <c r="E41" t="str">
        <f>_xlfn.XLOOKUP(D41,kategorie[Kategoria:],kategorie[Typ:],"",0,1)</f>
        <v>Wydatki</v>
      </c>
      <c r="F41" s="1">
        <v>45348</v>
      </c>
      <c r="G41">
        <f t="shared" si="0"/>
        <v>2</v>
      </c>
    </row>
    <row r="42" spans="1:7" x14ac:dyDescent="0.25">
      <c r="A42" s="3">
        <v>-50</v>
      </c>
      <c r="B42" t="s">
        <v>22</v>
      </c>
      <c r="C42" t="s">
        <v>19</v>
      </c>
      <c r="D42" t="s">
        <v>47</v>
      </c>
      <c r="E42" t="str">
        <f>_xlfn.XLOOKUP(D42,kategorie[Kategoria:],kategorie[Typ:],"",0,1)</f>
        <v>Wydatki</v>
      </c>
      <c r="F42" s="1">
        <v>45348</v>
      </c>
      <c r="G42">
        <f t="shared" si="0"/>
        <v>2</v>
      </c>
    </row>
    <row r="43" spans="1:7" x14ac:dyDescent="0.25">
      <c r="A43" s="3">
        <v>15</v>
      </c>
      <c r="B43" t="s">
        <v>22</v>
      </c>
      <c r="C43" t="s">
        <v>25</v>
      </c>
      <c r="D43" t="s">
        <v>15</v>
      </c>
      <c r="E43" t="str">
        <f>_xlfn.XLOOKUP(D43,kategorie[Kategoria:],kategorie[Typ:],"",0,1)</f>
        <v>Wpływy</v>
      </c>
      <c r="F43" s="1">
        <v>45349</v>
      </c>
      <c r="G43">
        <f t="shared" si="0"/>
        <v>2</v>
      </c>
    </row>
    <row r="44" spans="1:7" x14ac:dyDescent="0.25">
      <c r="A44" s="3">
        <v>-150</v>
      </c>
      <c r="B44" t="s">
        <v>21</v>
      </c>
      <c r="C44" t="s">
        <v>19</v>
      </c>
      <c r="D44" t="s">
        <v>45</v>
      </c>
      <c r="E44" t="str">
        <f>_xlfn.XLOOKUP(D44,kategorie[Kategoria:],kategorie[Typ:],"",0,1)</f>
        <v>Wydatki</v>
      </c>
      <c r="F44" s="1">
        <v>45350</v>
      </c>
      <c r="G44">
        <f t="shared" si="0"/>
        <v>2</v>
      </c>
    </row>
    <row r="45" spans="1:7" x14ac:dyDescent="0.25">
      <c r="A45" s="3">
        <v>100</v>
      </c>
      <c r="B45" t="s">
        <v>21</v>
      </c>
      <c r="C45" t="s">
        <v>24</v>
      </c>
      <c r="D45" t="s">
        <v>15</v>
      </c>
      <c r="E45" t="str">
        <f>_xlfn.XLOOKUP(D45,kategorie[Kategoria:],kategorie[Typ:],"",0,1)</f>
        <v>Wpływy</v>
      </c>
      <c r="F45" s="1">
        <v>45350</v>
      </c>
      <c r="G45">
        <f t="shared" si="0"/>
        <v>2</v>
      </c>
    </row>
    <row r="46" spans="1:7" x14ac:dyDescent="0.25">
      <c r="A46" s="3">
        <v>-25</v>
      </c>
      <c r="B46" t="s">
        <v>21</v>
      </c>
      <c r="C46" t="s">
        <v>23</v>
      </c>
      <c r="D46" t="s">
        <v>2</v>
      </c>
      <c r="E46" t="str">
        <f>_xlfn.XLOOKUP(D46,kategorie[Kategoria:],kategorie[Typ:],"",0,1)</f>
        <v>Wydatki</v>
      </c>
      <c r="F46" s="1">
        <v>45352</v>
      </c>
      <c r="G46">
        <f t="shared" si="0"/>
        <v>3</v>
      </c>
    </row>
    <row r="47" spans="1:7" x14ac:dyDescent="0.25">
      <c r="A47" s="3">
        <v>-135.5</v>
      </c>
      <c r="B47" t="s">
        <v>21</v>
      </c>
      <c r="C47" t="s">
        <v>19</v>
      </c>
      <c r="D47" t="s">
        <v>2</v>
      </c>
      <c r="E47" t="str">
        <f>_xlfn.XLOOKUP(D47,kategorie[Kategoria:],kategorie[Typ:],"",0,1)</f>
        <v>Wydatki</v>
      </c>
      <c r="F47" s="1">
        <v>45353</v>
      </c>
      <c r="G47">
        <f t="shared" si="0"/>
        <v>3</v>
      </c>
    </row>
    <row r="48" spans="1:7" x14ac:dyDescent="0.25">
      <c r="A48" s="3">
        <v>-82.5</v>
      </c>
      <c r="B48" t="s">
        <v>22</v>
      </c>
      <c r="C48" t="s">
        <v>19</v>
      </c>
      <c r="D48" t="s">
        <v>3</v>
      </c>
      <c r="E48" t="str">
        <f>_xlfn.XLOOKUP(D48,kategorie[Kategoria:],kategorie[Typ:],"",0,1)</f>
        <v>Wydatki</v>
      </c>
      <c r="F48" s="1">
        <v>45353</v>
      </c>
      <c r="G48">
        <f t="shared" si="0"/>
        <v>3</v>
      </c>
    </row>
    <row r="49" spans="1:7" x14ac:dyDescent="0.25">
      <c r="A49" s="3">
        <v>-200</v>
      </c>
      <c r="B49" t="s">
        <v>21</v>
      </c>
      <c r="C49" t="s">
        <v>19</v>
      </c>
      <c r="D49" t="s">
        <v>7</v>
      </c>
      <c r="E49" t="str">
        <f>_xlfn.XLOOKUP(D49,kategorie[Kategoria:],kategorie[Typ:],"",0,1)</f>
        <v>Wydatki</v>
      </c>
      <c r="F49" s="1">
        <v>45355</v>
      </c>
      <c r="G49">
        <f t="shared" si="0"/>
        <v>3</v>
      </c>
    </row>
    <row r="50" spans="1:7" x14ac:dyDescent="0.25">
      <c r="A50" s="3">
        <v>150</v>
      </c>
      <c r="B50" t="s">
        <v>22</v>
      </c>
      <c r="C50" t="s">
        <v>19</v>
      </c>
      <c r="D50" t="s">
        <v>15</v>
      </c>
      <c r="E50" t="str">
        <f>_xlfn.XLOOKUP(D50,kategorie[Kategoria:],kategorie[Typ:],"",0,1)</f>
        <v>Wpływy</v>
      </c>
      <c r="F50" s="1">
        <v>45357</v>
      </c>
      <c r="G50">
        <f t="shared" si="0"/>
        <v>3</v>
      </c>
    </row>
    <row r="51" spans="1:7" x14ac:dyDescent="0.25">
      <c r="A51" s="3">
        <v>-24.49</v>
      </c>
      <c r="B51" t="s">
        <v>31</v>
      </c>
      <c r="C51" t="s">
        <v>33</v>
      </c>
      <c r="D51" t="s">
        <v>2</v>
      </c>
      <c r="E51" t="str">
        <f>_xlfn.XLOOKUP(D51,kategorie[Kategoria:],kategorie[Typ:],"",0,1)</f>
        <v>Wydatki</v>
      </c>
      <c r="F51" s="1">
        <v>45359</v>
      </c>
      <c r="G51">
        <f t="shared" si="0"/>
        <v>3</v>
      </c>
    </row>
    <row r="52" spans="1:7" x14ac:dyDescent="0.25">
      <c r="A52" s="3">
        <v>4500</v>
      </c>
      <c r="B52" t="s">
        <v>21</v>
      </c>
      <c r="C52" t="s">
        <v>19</v>
      </c>
      <c r="D52" t="s">
        <v>11</v>
      </c>
      <c r="E52" t="str">
        <f>_xlfn.XLOOKUP(D52,kategorie[Kategoria:],kategorie[Typ:],"",0,1)</f>
        <v>Wpływy</v>
      </c>
      <c r="F52" s="1">
        <v>45361</v>
      </c>
      <c r="G52">
        <f t="shared" si="0"/>
        <v>3</v>
      </c>
    </row>
    <row r="53" spans="1:7" x14ac:dyDescent="0.25">
      <c r="A53" s="3">
        <v>-2000</v>
      </c>
      <c r="B53" t="s">
        <v>21</v>
      </c>
      <c r="C53" t="s">
        <v>19</v>
      </c>
      <c r="D53" t="s">
        <v>4</v>
      </c>
      <c r="E53" t="str">
        <f>_xlfn.XLOOKUP(D53,kategorie[Kategoria:],kategorie[Typ:],"",0,1)</f>
        <v>Wydatki</v>
      </c>
      <c r="F53" s="1">
        <v>45362</v>
      </c>
      <c r="G53">
        <f t="shared" si="0"/>
        <v>3</v>
      </c>
    </row>
    <row r="54" spans="1:7" x14ac:dyDescent="0.25">
      <c r="A54" s="3">
        <v>-200</v>
      </c>
      <c r="B54" t="s">
        <v>21</v>
      </c>
      <c r="C54" t="s">
        <v>19</v>
      </c>
      <c r="D54" t="s">
        <v>2</v>
      </c>
      <c r="E54" t="str">
        <f>_xlfn.XLOOKUP(D54,kategorie[Kategoria:],kategorie[Typ:],"",0,1)</f>
        <v>Wydatki</v>
      </c>
      <c r="F54" s="1">
        <v>45363</v>
      </c>
      <c r="G54">
        <f t="shared" si="0"/>
        <v>3</v>
      </c>
    </row>
    <row r="55" spans="1:7" x14ac:dyDescent="0.25">
      <c r="A55" s="3">
        <v>-469.9</v>
      </c>
      <c r="B55" t="s">
        <v>21</v>
      </c>
      <c r="C55" t="s">
        <v>19</v>
      </c>
      <c r="D55" t="s">
        <v>46</v>
      </c>
      <c r="E55" t="str">
        <f>_xlfn.XLOOKUP(D55,kategorie[Kategoria:],kategorie[Typ:],"",0,1)</f>
        <v>Wydatki</v>
      </c>
      <c r="F55" s="1">
        <v>45364</v>
      </c>
      <c r="G55">
        <f t="shared" si="0"/>
        <v>3</v>
      </c>
    </row>
    <row r="56" spans="1:7" x14ac:dyDescent="0.25">
      <c r="A56" s="3">
        <v>-9.5</v>
      </c>
      <c r="B56" t="s">
        <v>31</v>
      </c>
      <c r="C56" t="s">
        <v>32</v>
      </c>
      <c r="D56" t="s">
        <v>8</v>
      </c>
      <c r="E56" t="str">
        <f>_xlfn.XLOOKUP(D56,kategorie[Kategoria:],kategorie[Typ:],"",0,1)</f>
        <v>Wydatki</v>
      </c>
      <c r="F56" s="1">
        <v>45368</v>
      </c>
      <c r="G56">
        <f t="shared" si="0"/>
        <v>3</v>
      </c>
    </row>
    <row r="57" spans="1:7" x14ac:dyDescent="0.25">
      <c r="A57" s="3">
        <v>-23</v>
      </c>
      <c r="B57" t="s">
        <v>21</v>
      </c>
      <c r="C57" t="s">
        <v>19</v>
      </c>
      <c r="D57" t="s">
        <v>45</v>
      </c>
      <c r="E57" t="str">
        <f>_xlfn.XLOOKUP(D57,kategorie[Kategoria:],kategorie[Typ:],"",0,1)</f>
        <v>Wydatki</v>
      </c>
      <c r="F57" s="1">
        <v>45371</v>
      </c>
      <c r="G57">
        <f t="shared" si="0"/>
        <v>3</v>
      </c>
    </row>
    <row r="58" spans="1:7" x14ac:dyDescent="0.25">
      <c r="A58" s="3">
        <v>-150</v>
      </c>
      <c r="B58" t="s">
        <v>21</v>
      </c>
      <c r="C58" t="s">
        <v>19</v>
      </c>
      <c r="D58" t="s">
        <v>2</v>
      </c>
      <c r="E58" t="str">
        <f>_xlfn.XLOOKUP(D58,kategorie[Kategoria:],kategorie[Typ:],"",0,1)</f>
        <v>Wydatki</v>
      </c>
      <c r="F58" s="1">
        <v>45373</v>
      </c>
      <c r="G58">
        <f t="shared" si="0"/>
        <v>3</v>
      </c>
    </row>
    <row r="59" spans="1:7" x14ac:dyDescent="0.25">
      <c r="A59" s="3">
        <v>-300</v>
      </c>
      <c r="B59" t="s">
        <v>21</v>
      </c>
      <c r="C59" t="s">
        <v>19</v>
      </c>
      <c r="D59" t="s">
        <v>47</v>
      </c>
      <c r="E59" t="str">
        <f>_xlfn.XLOOKUP(D59,kategorie[Kategoria:],kategorie[Typ:],"",0,1)</f>
        <v>Wydatki</v>
      </c>
      <c r="F59" s="1">
        <v>45375</v>
      </c>
      <c r="G59">
        <f t="shared" si="0"/>
        <v>3</v>
      </c>
    </row>
    <row r="60" spans="1:7" x14ac:dyDescent="0.25">
      <c r="A60" s="3">
        <v>5</v>
      </c>
      <c r="B60" t="s">
        <v>22</v>
      </c>
      <c r="C60" t="s">
        <v>25</v>
      </c>
      <c r="D60" t="s">
        <v>48</v>
      </c>
      <c r="E60" t="str">
        <f>_xlfn.XLOOKUP(D60,kategorie[Kategoria:],kategorie[Typ:],"",0,1)</f>
        <v>Wpływy</v>
      </c>
      <c r="F60" s="1">
        <v>45377</v>
      </c>
      <c r="G60">
        <f t="shared" si="0"/>
        <v>3</v>
      </c>
    </row>
    <row r="61" spans="1:7" x14ac:dyDescent="0.25">
      <c r="A61" s="3">
        <v>-79.5</v>
      </c>
      <c r="B61" t="s">
        <v>21</v>
      </c>
      <c r="C61" t="s">
        <v>23</v>
      </c>
      <c r="D61" t="s">
        <v>5</v>
      </c>
      <c r="E61" t="str">
        <f>_xlfn.XLOOKUP(D61,kategorie[Kategoria:],kategorie[Typ:],"",0,1)</f>
        <v>Wydatki</v>
      </c>
      <c r="F61" s="1">
        <v>45379</v>
      </c>
      <c r="G61">
        <f t="shared" si="0"/>
        <v>3</v>
      </c>
    </row>
    <row r="62" spans="1:7" x14ac:dyDescent="0.25">
      <c r="A62" s="3">
        <v>-200</v>
      </c>
      <c r="B62" t="s">
        <v>21</v>
      </c>
      <c r="C62" t="s">
        <v>19</v>
      </c>
      <c r="D62" t="s">
        <v>2</v>
      </c>
      <c r="E62" t="str">
        <f>_xlfn.XLOOKUP(D62,kategorie[Kategoria:],kategorie[Typ:],"",0,1)</f>
        <v>Wydatki</v>
      </c>
      <c r="F62" s="1">
        <v>45381</v>
      </c>
      <c r="G62">
        <f t="shared" si="0"/>
        <v>3</v>
      </c>
    </row>
    <row r="63" spans="1:7" x14ac:dyDescent="0.25">
      <c r="A63" s="3">
        <v>-23.5</v>
      </c>
      <c r="B63" t="s">
        <v>21</v>
      </c>
      <c r="C63" t="s">
        <v>23</v>
      </c>
      <c r="D63" t="s">
        <v>8</v>
      </c>
      <c r="E63" t="str">
        <f>_xlfn.XLOOKUP(D63,kategorie[Kategoria:],kategorie[Typ:],"",0,1)</f>
        <v>Wydatki</v>
      </c>
      <c r="F63" s="1">
        <v>45383</v>
      </c>
      <c r="G63">
        <f t="shared" si="0"/>
        <v>4</v>
      </c>
    </row>
    <row r="64" spans="1:7" x14ac:dyDescent="0.25">
      <c r="A64" s="3">
        <v>-82.5</v>
      </c>
      <c r="B64" t="s">
        <v>21</v>
      </c>
      <c r="C64" t="s">
        <v>19</v>
      </c>
      <c r="D64" t="s">
        <v>3</v>
      </c>
      <c r="E64" t="str">
        <f>_xlfn.XLOOKUP(D64,kategorie[Kategoria:],kategorie[Typ:],"",0,1)</f>
        <v>Wydatki</v>
      </c>
      <c r="F64" s="1">
        <v>45384</v>
      </c>
      <c r="G64">
        <f t="shared" si="0"/>
        <v>4</v>
      </c>
    </row>
    <row r="65" spans="1:7" x14ac:dyDescent="0.25">
      <c r="A65" s="3">
        <v>150</v>
      </c>
      <c r="B65" t="s">
        <v>22</v>
      </c>
      <c r="C65" t="s">
        <v>19</v>
      </c>
      <c r="D65" t="s">
        <v>15</v>
      </c>
      <c r="E65" t="str">
        <f>_xlfn.XLOOKUP(D65,kategorie[Kategoria:],kategorie[Typ:],"",0,1)</f>
        <v>Wpływy</v>
      </c>
      <c r="F65" s="1">
        <v>45388</v>
      </c>
      <c r="G65">
        <f t="shared" si="0"/>
        <v>4</v>
      </c>
    </row>
    <row r="66" spans="1:7" x14ac:dyDescent="0.25">
      <c r="A66" s="3">
        <v>-99.97</v>
      </c>
      <c r="B66" t="s">
        <v>21</v>
      </c>
      <c r="C66" t="s">
        <v>19</v>
      </c>
      <c r="D66" t="s">
        <v>2</v>
      </c>
      <c r="E66" t="str">
        <f>_xlfn.XLOOKUP(D66,kategorie[Kategoria:],kategorie[Typ:],"",0,1)</f>
        <v>Wydatki</v>
      </c>
      <c r="F66" s="1">
        <v>45389</v>
      </c>
      <c r="G66">
        <f t="shared" si="0"/>
        <v>4</v>
      </c>
    </row>
    <row r="67" spans="1:7" x14ac:dyDescent="0.25">
      <c r="A67" s="3">
        <v>4500</v>
      </c>
      <c r="B67" t="s">
        <v>21</v>
      </c>
      <c r="C67" t="s">
        <v>19</v>
      </c>
      <c r="D67" t="s">
        <v>11</v>
      </c>
      <c r="E67" t="str">
        <f>_xlfn.XLOOKUP(D67,kategorie[Kategoria:],kategorie[Typ:],"",0,1)</f>
        <v>Wpływy</v>
      </c>
      <c r="F67" s="1">
        <v>45392</v>
      </c>
      <c r="G67">
        <f t="shared" ref="G67:G130" si="1">IF(ISBLANK(F67),"",MONTH(F67))</f>
        <v>4</v>
      </c>
    </row>
    <row r="68" spans="1:7" x14ac:dyDescent="0.25">
      <c r="A68" s="3">
        <v>-2000</v>
      </c>
      <c r="B68" t="s">
        <v>21</v>
      </c>
      <c r="C68" t="s">
        <v>19</v>
      </c>
      <c r="D68" t="s">
        <v>4</v>
      </c>
      <c r="E68" t="str">
        <f>_xlfn.XLOOKUP(D68,kategorie[Kategoria:],kategorie[Typ:],"",0,1)</f>
        <v>Wydatki</v>
      </c>
      <c r="F68" s="1">
        <v>45393</v>
      </c>
      <c r="G68">
        <f t="shared" si="1"/>
        <v>4</v>
      </c>
    </row>
    <row r="69" spans="1:7" x14ac:dyDescent="0.25">
      <c r="A69" s="3">
        <v>-149</v>
      </c>
      <c r="B69" t="s">
        <v>21</v>
      </c>
      <c r="C69" t="s">
        <v>19</v>
      </c>
      <c r="D69" t="s">
        <v>46</v>
      </c>
      <c r="E69" t="str">
        <f>_xlfn.XLOOKUP(D69,kategorie[Kategoria:],kategorie[Typ:],"",0,1)</f>
        <v>Wydatki</v>
      </c>
      <c r="F69" s="1">
        <v>45395</v>
      </c>
      <c r="G69">
        <f t="shared" si="1"/>
        <v>4</v>
      </c>
    </row>
    <row r="70" spans="1:7" x14ac:dyDescent="0.25">
      <c r="A70" s="3">
        <v>104.5</v>
      </c>
      <c r="B70" t="s">
        <v>21</v>
      </c>
      <c r="C70" t="s">
        <v>23</v>
      </c>
      <c r="D70" t="s">
        <v>49</v>
      </c>
      <c r="E70" t="str">
        <f>_xlfn.XLOOKUP(D70,kategorie[Kategoria:],kategorie[Typ:],"",0,1)</f>
        <v>Transakcja</v>
      </c>
      <c r="F70" s="1">
        <v>45397</v>
      </c>
      <c r="G70">
        <f t="shared" si="1"/>
        <v>4</v>
      </c>
    </row>
    <row r="71" spans="1:7" x14ac:dyDescent="0.25">
      <c r="A71" s="3">
        <v>-104.5</v>
      </c>
      <c r="B71" t="s">
        <v>21</v>
      </c>
      <c r="C71" t="s">
        <v>19</v>
      </c>
      <c r="D71" t="s">
        <v>49</v>
      </c>
      <c r="E71" t="str">
        <f>_xlfn.XLOOKUP(D71,kategorie[Kategoria:],kategorie[Typ:],"",0,1)</f>
        <v>Transakcja</v>
      </c>
      <c r="F71" s="1">
        <v>45397</v>
      </c>
      <c r="G71">
        <f t="shared" si="1"/>
        <v>4</v>
      </c>
    </row>
    <row r="72" spans="1:7" x14ac:dyDescent="0.25">
      <c r="A72" s="3">
        <v>-49</v>
      </c>
      <c r="B72" t="s">
        <v>22</v>
      </c>
      <c r="C72" t="s">
        <v>19</v>
      </c>
      <c r="D72" t="s">
        <v>45</v>
      </c>
      <c r="E72" t="str">
        <f>_xlfn.XLOOKUP(D72,kategorie[Kategoria:],kategorie[Typ:],"",0,1)</f>
        <v>Wydatki</v>
      </c>
      <c r="F72" s="1">
        <v>45397</v>
      </c>
      <c r="G72">
        <f t="shared" si="1"/>
        <v>4</v>
      </c>
    </row>
    <row r="73" spans="1:7" x14ac:dyDescent="0.25">
      <c r="A73" s="3">
        <v>-9.99</v>
      </c>
      <c r="B73" t="s">
        <v>21</v>
      </c>
      <c r="C73" t="s">
        <v>23</v>
      </c>
      <c r="D73" t="s">
        <v>2</v>
      </c>
      <c r="E73" t="str">
        <f>_xlfn.XLOOKUP(D73,kategorie[Kategoria:],kategorie[Typ:],"",0,1)</f>
        <v>Wydatki</v>
      </c>
      <c r="F73" s="1">
        <v>45398</v>
      </c>
      <c r="G73">
        <f t="shared" si="1"/>
        <v>4</v>
      </c>
    </row>
    <row r="74" spans="1:7" x14ac:dyDescent="0.25">
      <c r="A74" s="3">
        <v>-100</v>
      </c>
      <c r="B74" t="s">
        <v>21</v>
      </c>
      <c r="C74" t="s">
        <v>19</v>
      </c>
      <c r="D74" t="s">
        <v>47</v>
      </c>
      <c r="E74" t="str">
        <f>_xlfn.XLOOKUP(D74,kategorie[Kategoria:],kategorie[Typ:],"",0,1)</f>
        <v>Wydatki</v>
      </c>
      <c r="F74" s="1">
        <v>45399</v>
      </c>
      <c r="G74">
        <f t="shared" si="1"/>
        <v>4</v>
      </c>
    </row>
    <row r="75" spans="1:7" x14ac:dyDescent="0.25">
      <c r="A75" s="3">
        <v>-57.9</v>
      </c>
      <c r="B75" t="s">
        <v>21</v>
      </c>
      <c r="C75" t="s">
        <v>23</v>
      </c>
      <c r="D75" t="s">
        <v>7</v>
      </c>
      <c r="E75" t="str">
        <f>_xlfn.XLOOKUP(D75,kategorie[Kategoria:],kategorie[Typ:],"",0,1)</f>
        <v>Wydatki</v>
      </c>
      <c r="F75" s="1">
        <v>45401</v>
      </c>
      <c r="G75">
        <f t="shared" si="1"/>
        <v>4</v>
      </c>
    </row>
    <row r="76" spans="1:7" x14ac:dyDescent="0.25">
      <c r="A76" s="3">
        <v>-159.9</v>
      </c>
      <c r="B76" t="s">
        <v>21</v>
      </c>
      <c r="C76" t="s">
        <v>19</v>
      </c>
      <c r="D76" t="s">
        <v>2</v>
      </c>
      <c r="E76" t="str">
        <f>_xlfn.XLOOKUP(D76,kategorie[Kategoria:],kategorie[Typ:],"",0,1)</f>
        <v>Wydatki</v>
      </c>
      <c r="F76" s="1">
        <v>45403</v>
      </c>
      <c r="G76">
        <f t="shared" si="1"/>
        <v>4</v>
      </c>
    </row>
    <row r="77" spans="1:7" x14ac:dyDescent="0.25">
      <c r="A77" s="3">
        <v>-1000</v>
      </c>
      <c r="B77" t="s">
        <v>21</v>
      </c>
      <c r="C77" t="s">
        <v>19</v>
      </c>
      <c r="D77" t="s">
        <v>7</v>
      </c>
      <c r="E77" t="str">
        <f>_xlfn.XLOOKUP(D77,kategorie[Kategoria:],kategorie[Typ:],"",0,1)</f>
        <v>Wydatki</v>
      </c>
      <c r="F77" s="1">
        <v>45405</v>
      </c>
      <c r="G77">
        <f t="shared" si="1"/>
        <v>4</v>
      </c>
    </row>
    <row r="78" spans="1:7" x14ac:dyDescent="0.25">
      <c r="A78" s="3">
        <v>50</v>
      </c>
      <c r="B78" t="s">
        <v>22</v>
      </c>
      <c r="C78" t="s">
        <v>25</v>
      </c>
      <c r="D78" t="s">
        <v>48</v>
      </c>
      <c r="E78" t="str">
        <f>_xlfn.XLOOKUP(D78,kategorie[Kategoria:],kategorie[Typ:],"",0,1)</f>
        <v>Wpływy</v>
      </c>
      <c r="F78" s="1">
        <v>45407</v>
      </c>
      <c r="G78">
        <f t="shared" si="1"/>
        <v>4</v>
      </c>
    </row>
    <row r="79" spans="1:7" x14ac:dyDescent="0.25">
      <c r="A79" s="3">
        <v>-69.900000000000006</v>
      </c>
      <c r="B79" t="s">
        <v>21</v>
      </c>
      <c r="C79" t="s">
        <v>19</v>
      </c>
      <c r="D79" t="s">
        <v>2</v>
      </c>
      <c r="E79" t="str">
        <f>_xlfn.XLOOKUP(D79,kategorie[Kategoria:],kategorie[Typ:],"",0,1)</f>
        <v>Wydatki</v>
      </c>
      <c r="F79" s="1">
        <v>45409</v>
      </c>
      <c r="G79">
        <f t="shared" si="1"/>
        <v>4</v>
      </c>
    </row>
    <row r="80" spans="1:7" x14ac:dyDescent="0.25">
      <c r="A80" s="3">
        <v>-32.5</v>
      </c>
      <c r="B80" t="s">
        <v>21</v>
      </c>
      <c r="C80" t="s">
        <v>19</v>
      </c>
      <c r="D80" t="s">
        <v>2</v>
      </c>
      <c r="E80" t="str">
        <f>_xlfn.XLOOKUP(D80,kategorie[Kategoria:],kategorie[Typ:],"",0,1)</f>
        <v>Wydatki</v>
      </c>
      <c r="F80" s="1">
        <v>45410</v>
      </c>
      <c r="G80">
        <f t="shared" si="1"/>
        <v>4</v>
      </c>
    </row>
    <row r="81" spans="1:7" x14ac:dyDescent="0.25">
      <c r="A81" s="3">
        <v>-139</v>
      </c>
      <c r="B81" t="s">
        <v>21</v>
      </c>
      <c r="C81" t="s">
        <v>19</v>
      </c>
      <c r="D81" t="s">
        <v>5</v>
      </c>
      <c r="E81" t="str">
        <f>_xlfn.XLOOKUP(D81,kategorie[Kategoria:],kategorie[Typ:],"",0,1)</f>
        <v>Wydatki</v>
      </c>
      <c r="F81" s="1">
        <v>45411</v>
      </c>
      <c r="G81">
        <f t="shared" si="1"/>
        <v>4</v>
      </c>
    </row>
    <row r="82" spans="1:7" x14ac:dyDescent="0.25">
      <c r="A82" s="3">
        <v>-250</v>
      </c>
      <c r="B82" t="s">
        <v>21</v>
      </c>
      <c r="C82" t="s">
        <v>23</v>
      </c>
      <c r="D82" t="s">
        <v>2</v>
      </c>
      <c r="E82" t="str">
        <f>_xlfn.XLOOKUP(D82,kategorie[Kategoria:],kategorie[Typ:],"",0,1)</f>
        <v>Wydatki</v>
      </c>
      <c r="F82" s="1">
        <v>45419</v>
      </c>
      <c r="G82">
        <f t="shared" si="1"/>
        <v>5</v>
      </c>
    </row>
    <row r="83" spans="1:7" x14ac:dyDescent="0.25">
      <c r="A83" s="3">
        <v>-80</v>
      </c>
      <c r="B83" t="s">
        <v>21</v>
      </c>
      <c r="C83" t="s">
        <v>19</v>
      </c>
      <c r="D83" t="s">
        <v>3</v>
      </c>
      <c r="E83" t="str">
        <f>_xlfn.XLOOKUP(D83,kategorie[Kategoria:],kategorie[Typ:],"",0,1)</f>
        <v>Wydatki</v>
      </c>
      <c r="F83" s="1">
        <v>45422</v>
      </c>
      <c r="G83">
        <f t="shared" si="1"/>
        <v>5</v>
      </c>
    </row>
    <row r="84" spans="1:7" x14ac:dyDescent="0.25">
      <c r="A84" s="3">
        <v>4500</v>
      </c>
      <c r="B84" t="s">
        <v>21</v>
      </c>
      <c r="C84" t="s">
        <v>19</v>
      </c>
      <c r="D84" t="s">
        <v>11</v>
      </c>
      <c r="E84" t="str">
        <f>_xlfn.XLOOKUP(D84,kategorie[Kategoria:],kategorie[Typ:],"",0,1)</f>
        <v>Wpływy</v>
      </c>
      <c r="F84" s="1">
        <v>45422</v>
      </c>
      <c r="G84">
        <f t="shared" si="1"/>
        <v>5</v>
      </c>
    </row>
    <row r="85" spans="1:7" x14ac:dyDescent="0.25">
      <c r="A85" s="3">
        <v>-2000</v>
      </c>
      <c r="B85" t="s">
        <v>21</v>
      </c>
      <c r="C85" t="s">
        <v>19</v>
      </c>
      <c r="D85" t="s">
        <v>4</v>
      </c>
      <c r="E85" t="str">
        <f>_xlfn.XLOOKUP(D85,kategorie[Kategoria:],kategorie[Typ:],"",0,1)</f>
        <v>Wydatki</v>
      </c>
      <c r="F85" s="1">
        <v>45423</v>
      </c>
      <c r="G85">
        <f t="shared" si="1"/>
        <v>5</v>
      </c>
    </row>
    <row r="86" spans="1:7" x14ac:dyDescent="0.25">
      <c r="A86" s="3">
        <v>-250</v>
      </c>
      <c r="B86" t="s">
        <v>21</v>
      </c>
      <c r="C86" t="s">
        <v>23</v>
      </c>
      <c r="D86" t="s">
        <v>2</v>
      </c>
      <c r="E86" t="str">
        <f>_xlfn.XLOOKUP(D86,kategorie[Kategoria:],kategorie[Typ:],"",0,1)</f>
        <v>Wydatki</v>
      </c>
      <c r="F86" s="1">
        <v>45426</v>
      </c>
      <c r="G86">
        <f t="shared" si="1"/>
        <v>5</v>
      </c>
    </row>
    <row r="87" spans="1:7" x14ac:dyDescent="0.25">
      <c r="A87" s="3">
        <v>91.39</v>
      </c>
      <c r="B87" t="s">
        <v>21</v>
      </c>
      <c r="C87" t="s">
        <v>23</v>
      </c>
      <c r="D87" t="s">
        <v>49</v>
      </c>
      <c r="E87" t="str">
        <f>_xlfn.XLOOKUP(D87,kategorie[Kategoria:],kategorie[Typ:],"",0,1)</f>
        <v>Transakcja</v>
      </c>
      <c r="F87" s="1">
        <v>45427</v>
      </c>
      <c r="G87">
        <f t="shared" si="1"/>
        <v>5</v>
      </c>
    </row>
    <row r="88" spans="1:7" x14ac:dyDescent="0.25">
      <c r="A88" s="3">
        <v>-91.39</v>
      </c>
      <c r="B88" t="s">
        <v>21</v>
      </c>
      <c r="C88" t="s">
        <v>19</v>
      </c>
      <c r="D88" t="s">
        <v>49</v>
      </c>
      <c r="E88" t="str">
        <f>_xlfn.XLOOKUP(D88,kategorie[Kategoria:],kategorie[Typ:],"",0,1)</f>
        <v>Transakcja</v>
      </c>
      <c r="F88" s="1">
        <v>45427</v>
      </c>
      <c r="G88">
        <f t="shared" si="1"/>
        <v>5</v>
      </c>
    </row>
    <row r="89" spans="1:7" x14ac:dyDescent="0.25">
      <c r="A89" s="3">
        <v>-250</v>
      </c>
      <c r="B89" t="s">
        <v>21</v>
      </c>
      <c r="C89" t="s">
        <v>23</v>
      </c>
      <c r="D89" t="s">
        <v>2</v>
      </c>
      <c r="E89" t="str">
        <f>_xlfn.XLOOKUP(D89,kategorie[Kategoria:],kategorie[Typ:],"",0,1)</f>
        <v>Wydatki</v>
      </c>
      <c r="F89" s="1">
        <v>45433</v>
      </c>
      <c r="G89">
        <f t="shared" si="1"/>
        <v>5</v>
      </c>
    </row>
    <row r="90" spans="1:7" x14ac:dyDescent="0.25">
      <c r="A90" s="3">
        <v>-250</v>
      </c>
      <c r="B90" t="s">
        <v>21</v>
      </c>
      <c r="C90" t="s">
        <v>23</v>
      </c>
      <c r="D90" t="s">
        <v>2</v>
      </c>
      <c r="E90" t="str">
        <f>_xlfn.XLOOKUP(D90,kategorie[Kategoria:],kategorie[Typ:],"",0,1)</f>
        <v>Wydatki</v>
      </c>
      <c r="F90" s="1">
        <v>45440</v>
      </c>
      <c r="G90">
        <f t="shared" si="1"/>
        <v>5</v>
      </c>
    </row>
    <row r="91" spans="1:7" x14ac:dyDescent="0.25">
      <c r="A91" s="3">
        <v>-50</v>
      </c>
      <c r="B91" t="s">
        <v>22</v>
      </c>
      <c r="C91" t="s">
        <v>19</v>
      </c>
      <c r="D91" t="s">
        <v>45</v>
      </c>
      <c r="E91" t="str">
        <f>_xlfn.XLOOKUP(D91,kategorie[Kategoria:],kategorie[Typ:],"",0,1)</f>
        <v>Wydatki</v>
      </c>
      <c r="F91" s="1">
        <v>45441</v>
      </c>
      <c r="G91">
        <f t="shared" si="1"/>
        <v>5</v>
      </c>
    </row>
    <row r="92" spans="1:7" x14ac:dyDescent="0.25">
      <c r="A92" s="3">
        <v>-80</v>
      </c>
      <c r="B92" t="s">
        <v>31</v>
      </c>
      <c r="C92" t="s">
        <v>32</v>
      </c>
      <c r="D92" t="s">
        <v>7</v>
      </c>
      <c r="E92" t="str">
        <f>_xlfn.XLOOKUP(D92,kategorie[Kategoria:],kategorie[Typ:],"",0,1)</f>
        <v>Wydatki</v>
      </c>
      <c r="F92" s="1">
        <v>45442</v>
      </c>
      <c r="G92">
        <f t="shared" si="1"/>
        <v>5</v>
      </c>
    </row>
    <row r="93" spans="1:7" x14ac:dyDescent="0.25">
      <c r="A93" s="3">
        <v>-250</v>
      </c>
      <c r="B93" t="s">
        <v>21</v>
      </c>
      <c r="C93" t="s">
        <v>23</v>
      </c>
      <c r="D93" t="s">
        <v>2</v>
      </c>
      <c r="E93" t="str">
        <f>_xlfn.XLOOKUP(D93,kategorie[Kategoria:],kategorie[Typ:],"",0,1)</f>
        <v>Wydatki</v>
      </c>
      <c r="F93" s="1">
        <v>45450</v>
      </c>
      <c r="G93">
        <f t="shared" si="1"/>
        <v>6</v>
      </c>
    </row>
    <row r="94" spans="1:7" x14ac:dyDescent="0.25">
      <c r="A94" s="3">
        <v>-80</v>
      </c>
      <c r="B94" t="s">
        <v>21</v>
      </c>
      <c r="C94" t="s">
        <v>19</v>
      </c>
      <c r="D94" t="s">
        <v>3</v>
      </c>
      <c r="E94" t="str">
        <f>_xlfn.XLOOKUP(D94,kategorie[Kategoria:],kategorie[Typ:],"",0,1)</f>
        <v>Wydatki</v>
      </c>
      <c r="F94" s="1">
        <v>45453</v>
      </c>
      <c r="G94">
        <f t="shared" si="1"/>
        <v>6</v>
      </c>
    </row>
    <row r="95" spans="1:7" x14ac:dyDescent="0.25">
      <c r="A95" s="3">
        <v>4500</v>
      </c>
      <c r="B95" t="s">
        <v>21</v>
      </c>
      <c r="C95" t="s">
        <v>19</v>
      </c>
      <c r="D95" t="s">
        <v>11</v>
      </c>
      <c r="E95" t="str">
        <f>_xlfn.XLOOKUP(D95,kategorie[Kategoria:],kategorie[Typ:],"",0,1)</f>
        <v>Wpływy</v>
      </c>
      <c r="F95" s="1">
        <v>45453</v>
      </c>
      <c r="G95">
        <f t="shared" si="1"/>
        <v>6</v>
      </c>
    </row>
    <row r="96" spans="1:7" x14ac:dyDescent="0.25">
      <c r="A96" s="3">
        <v>-2000</v>
      </c>
      <c r="B96" t="s">
        <v>21</v>
      </c>
      <c r="C96" t="s">
        <v>19</v>
      </c>
      <c r="D96" t="s">
        <v>4</v>
      </c>
      <c r="E96" t="str">
        <f>_xlfn.XLOOKUP(D96,kategorie[Kategoria:],kategorie[Typ:],"",0,1)</f>
        <v>Wydatki</v>
      </c>
      <c r="F96" s="1">
        <v>45454</v>
      </c>
      <c r="G96">
        <f t="shared" si="1"/>
        <v>6</v>
      </c>
    </row>
    <row r="97" spans="1:7" x14ac:dyDescent="0.25">
      <c r="A97" s="3">
        <v>-250</v>
      </c>
      <c r="B97" t="s">
        <v>21</v>
      </c>
      <c r="C97" t="s">
        <v>23</v>
      </c>
      <c r="D97" t="s">
        <v>2</v>
      </c>
      <c r="E97" t="str">
        <f>_xlfn.XLOOKUP(D97,kategorie[Kategoria:],kategorie[Typ:],"",0,1)</f>
        <v>Wydatki</v>
      </c>
      <c r="F97" s="1">
        <v>45457</v>
      </c>
      <c r="G97">
        <f t="shared" si="1"/>
        <v>6</v>
      </c>
    </row>
    <row r="98" spans="1:7" x14ac:dyDescent="0.25">
      <c r="A98" s="3">
        <v>1000</v>
      </c>
      <c r="B98" t="s">
        <v>21</v>
      </c>
      <c r="C98" t="s">
        <v>23</v>
      </c>
      <c r="D98" t="s">
        <v>49</v>
      </c>
      <c r="E98" t="str">
        <f>_xlfn.XLOOKUP(D98,kategorie[Kategoria:],kategorie[Typ:],"",0,1)</f>
        <v>Transakcja</v>
      </c>
      <c r="F98" s="1">
        <v>45458</v>
      </c>
      <c r="G98">
        <f t="shared" si="1"/>
        <v>6</v>
      </c>
    </row>
    <row r="99" spans="1:7" x14ac:dyDescent="0.25">
      <c r="A99" s="3">
        <v>-1000</v>
      </c>
      <c r="B99" t="s">
        <v>21</v>
      </c>
      <c r="C99" t="s">
        <v>19</v>
      </c>
      <c r="D99" t="s">
        <v>49</v>
      </c>
      <c r="E99" t="str">
        <f>_xlfn.XLOOKUP(D99,kategorie[Kategoria:],kategorie[Typ:],"",0,1)</f>
        <v>Transakcja</v>
      </c>
      <c r="F99" s="1">
        <v>45458</v>
      </c>
      <c r="G99">
        <f t="shared" si="1"/>
        <v>6</v>
      </c>
    </row>
    <row r="100" spans="1:7" x14ac:dyDescent="0.25">
      <c r="A100" s="3">
        <v>-100</v>
      </c>
      <c r="B100" t="s">
        <v>22</v>
      </c>
      <c r="C100" t="s">
        <v>19</v>
      </c>
      <c r="D100" t="s">
        <v>8</v>
      </c>
      <c r="E100" t="str">
        <f>_xlfn.XLOOKUP(D100,kategorie[Kategoria:],kategorie[Typ:],"",0,1)</f>
        <v>Wydatki</v>
      </c>
      <c r="F100" s="1">
        <v>45458</v>
      </c>
      <c r="G100">
        <f t="shared" si="1"/>
        <v>6</v>
      </c>
    </row>
    <row r="101" spans="1:7" x14ac:dyDescent="0.25">
      <c r="A101" s="3">
        <v>-250</v>
      </c>
      <c r="B101" t="s">
        <v>21</v>
      </c>
      <c r="C101" t="s">
        <v>23</v>
      </c>
      <c r="D101" t="s">
        <v>2</v>
      </c>
      <c r="E101" t="str">
        <f>_xlfn.XLOOKUP(D101,kategorie[Kategoria:],kategorie[Typ:],"",0,1)</f>
        <v>Wydatki</v>
      </c>
      <c r="F101" s="1">
        <v>45464</v>
      </c>
      <c r="G101">
        <f t="shared" si="1"/>
        <v>6</v>
      </c>
    </row>
    <row r="102" spans="1:7" x14ac:dyDescent="0.25">
      <c r="A102" s="3">
        <v>-250</v>
      </c>
      <c r="B102" t="s">
        <v>21</v>
      </c>
      <c r="C102" t="s">
        <v>23</v>
      </c>
      <c r="D102" t="s">
        <v>2</v>
      </c>
      <c r="E102" t="str">
        <f>_xlfn.XLOOKUP(D102,kategorie[Kategoria:],kategorie[Typ:],"",0,1)</f>
        <v>Wydatki</v>
      </c>
      <c r="F102" s="1">
        <v>45471</v>
      </c>
      <c r="G102">
        <f t="shared" si="1"/>
        <v>6</v>
      </c>
    </row>
    <row r="103" spans="1:7" x14ac:dyDescent="0.25">
      <c r="A103" s="3">
        <v>-300</v>
      </c>
      <c r="B103" t="s">
        <v>21</v>
      </c>
      <c r="C103" t="s">
        <v>23</v>
      </c>
      <c r="D103" t="s">
        <v>46</v>
      </c>
      <c r="E103" t="str">
        <f>_xlfn.XLOOKUP(D103,kategorie[Kategoria:],kategorie[Typ:],"",0,1)</f>
        <v>Wydatki</v>
      </c>
      <c r="F103" s="1">
        <v>45471</v>
      </c>
      <c r="G103">
        <f t="shared" si="1"/>
        <v>6</v>
      </c>
    </row>
    <row r="104" spans="1:7" x14ac:dyDescent="0.25">
      <c r="A104" s="3">
        <v>-50</v>
      </c>
      <c r="B104" t="s">
        <v>22</v>
      </c>
      <c r="C104" t="s">
        <v>19</v>
      </c>
      <c r="D104" t="s">
        <v>45</v>
      </c>
      <c r="E104" t="str">
        <f>_xlfn.XLOOKUP(D104,kategorie[Kategoria:],kategorie[Typ:],"",0,1)</f>
        <v>Wydatki</v>
      </c>
      <c r="F104" s="1">
        <v>45472</v>
      </c>
      <c r="G104">
        <f t="shared" si="1"/>
        <v>6</v>
      </c>
    </row>
    <row r="105" spans="1:7" x14ac:dyDescent="0.25">
      <c r="A105" s="3">
        <v>400</v>
      </c>
      <c r="B105" t="s">
        <v>22</v>
      </c>
      <c r="C105" t="s">
        <v>19</v>
      </c>
      <c r="D105" t="s">
        <v>12</v>
      </c>
      <c r="E105" t="str">
        <f>_xlfn.XLOOKUP(D105,kategorie[Kategoria:],kategorie[Typ:],"",0,1)</f>
        <v>Wpływy</v>
      </c>
      <c r="F105" s="1">
        <v>45472</v>
      </c>
      <c r="G105">
        <f t="shared" si="1"/>
        <v>6</v>
      </c>
    </row>
    <row r="106" spans="1:7" x14ac:dyDescent="0.25">
      <c r="A106" s="3">
        <v>-200</v>
      </c>
      <c r="B106" t="s">
        <v>31</v>
      </c>
      <c r="C106" t="s">
        <v>32</v>
      </c>
      <c r="D106" t="s">
        <v>7</v>
      </c>
      <c r="E106" t="str">
        <f>_xlfn.XLOOKUP(D106,kategorie[Kategoria:],kategorie[Typ:],"",0,1)</f>
        <v>Wydatki</v>
      </c>
      <c r="F106" s="1">
        <v>45473</v>
      </c>
      <c r="G106">
        <f t="shared" si="1"/>
        <v>6</v>
      </c>
    </row>
    <row r="107" spans="1:7" x14ac:dyDescent="0.25">
      <c r="A107" s="3">
        <v>-30</v>
      </c>
      <c r="B107" t="s">
        <v>31</v>
      </c>
      <c r="C107" t="s">
        <v>33</v>
      </c>
      <c r="D107" t="s">
        <v>2</v>
      </c>
      <c r="E107" t="str">
        <f>_xlfn.XLOOKUP(D107,kategorie[Kategoria:],kategorie[Typ:],"",0,1)</f>
        <v>Wydatki</v>
      </c>
      <c r="F107" s="1">
        <v>45476</v>
      </c>
      <c r="G107">
        <f t="shared" si="1"/>
        <v>7</v>
      </c>
    </row>
    <row r="108" spans="1:7" x14ac:dyDescent="0.25">
      <c r="A108" s="3">
        <v>-100</v>
      </c>
      <c r="B108" t="s">
        <v>21</v>
      </c>
      <c r="C108" t="s">
        <v>19</v>
      </c>
      <c r="D108" t="s">
        <v>7</v>
      </c>
      <c r="E108" t="str">
        <f>_xlfn.XLOOKUP(D108,kategorie[Kategoria:],kategorie[Typ:],"",0,1)</f>
        <v>Wydatki</v>
      </c>
      <c r="F108" s="1">
        <v>45480</v>
      </c>
      <c r="G108">
        <f t="shared" si="1"/>
        <v>7</v>
      </c>
    </row>
    <row r="109" spans="1:7" x14ac:dyDescent="0.25">
      <c r="A109" s="3">
        <v>4500</v>
      </c>
      <c r="B109" t="s">
        <v>21</v>
      </c>
      <c r="C109" t="s">
        <v>19</v>
      </c>
      <c r="D109" t="s">
        <v>11</v>
      </c>
      <c r="E109" t="str">
        <f>_xlfn.XLOOKUP(D109,kategorie[Kategoria:],kategorie[Typ:],"",0,1)</f>
        <v>Wpływy</v>
      </c>
      <c r="F109" s="1">
        <v>45483</v>
      </c>
      <c r="G109">
        <f t="shared" si="1"/>
        <v>7</v>
      </c>
    </row>
    <row r="110" spans="1:7" x14ac:dyDescent="0.25">
      <c r="A110" s="3">
        <v>-2000</v>
      </c>
      <c r="B110" t="s">
        <v>21</v>
      </c>
      <c r="C110" t="s">
        <v>19</v>
      </c>
      <c r="D110" t="s">
        <v>4</v>
      </c>
      <c r="E110" t="str">
        <f>_xlfn.XLOOKUP(D110,kategorie[Kategoria:],kategorie[Typ:],"",0,1)</f>
        <v>Wydatki</v>
      </c>
      <c r="F110" s="1">
        <v>45484</v>
      </c>
      <c r="G110">
        <f t="shared" si="1"/>
        <v>7</v>
      </c>
    </row>
    <row r="111" spans="1:7" x14ac:dyDescent="0.25">
      <c r="A111" s="3">
        <v>-40</v>
      </c>
      <c r="B111" t="s">
        <v>21</v>
      </c>
      <c r="C111" t="s">
        <v>23</v>
      </c>
      <c r="D111" t="s">
        <v>2</v>
      </c>
      <c r="E111" t="str">
        <f>_xlfn.XLOOKUP(D111,kategorie[Kategoria:],kategorie[Typ:],"",0,1)</f>
        <v>Wydatki</v>
      </c>
      <c r="F111" s="1">
        <v>45487</v>
      </c>
      <c r="G111">
        <f t="shared" si="1"/>
        <v>7</v>
      </c>
    </row>
    <row r="112" spans="1:7" x14ac:dyDescent="0.25">
      <c r="A112" s="3">
        <v>1300</v>
      </c>
      <c r="B112" t="s">
        <v>21</v>
      </c>
      <c r="C112" t="s">
        <v>23</v>
      </c>
      <c r="D112" t="s">
        <v>49</v>
      </c>
      <c r="E112" t="str">
        <f>_xlfn.XLOOKUP(D112,kategorie[Kategoria:],kategorie[Typ:],"",0,1)</f>
        <v>Transakcja</v>
      </c>
      <c r="F112" s="1">
        <v>45488</v>
      </c>
      <c r="G112">
        <f t="shared" si="1"/>
        <v>7</v>
      </c>
    </row>
    <row r="113" spans="1:7" x14ac:dyDescent="0.25">
      <c r="A113" s="3">
        <v>-1300</v>
      </c>
      <c r="B113" t="s">
        <v>21</v>
      </c>
      <c r="C113" t="s">
        <v>19</v>
      </c>
      <c r="D113" t="s">
        <v>49</v>
      </c>
      <c r="E113" t="str">
        <f>_xlfn.XLOOKUP(D113,kategorie[Kategoria:],kategorie[Typ:],"",0,1)</f>
        <v>Transakcja</v>
      </c>
      <c r="F113" s="1">
        <v>45488</v>
      </c>
      <c r="G113">
        <f t="shared" si="1"/>
        <v>7</v>
      </c>
    </row>
    <row r="114" spans="1:7" x14ac:dyDescent="0.25">
      <c r="A114" s="3">
        <v>-300</v>
      </c>
      <c r="B114" t="s">
        <v>21</v>
      </c>
      <c r="C114" t="s">
        <v>24</v>
      </c>
      <c r="D114" t="s">
        <v>8</v>
      </c>
      <c r="E114" t="str">
        <f>_xlfn.XLOOKUP(D114,kategorie[Kategoria:],kategorie[Typ:],"",0,1)</f>
        <v>Wydatki</v>
      </c>
      <c r="F114" s="1">
        <v>45489</v>
      </c>
      <c r="G114">
        <f t="shared" si="1"/>
        <v>7</v>
      </c>
    </row>
    <row r="115" spans="1:7" x14ac:dyDescent="0.25">
      <c r="A115" s="3">
        <v>800</v>
      </c>
      <c r="B115" t="s">
        <v>22</v>
      </c>
      <c r="C115" t="s">
        <v>25</v>
      </c>
      <c r="D115" t="s">
        <v>48</v>
      </c>
      <c r="E115" t="str">
        <f>_xlfn.XLOOKUP(D115,kategorie[Kategoria:],kategorie[Typ:],"",0,1)</f>
        <v>Wpływy</v>
      </c>
      <c r="F115" s="1">
        <v>45491</v>
      </c>
      <c r="G115">
        <f t="shared" si="1"/>
        <v>7</v>
      </c>
    </row>
    <row r="116" spans="1:7" x14ac:dyDescent="0.25">
      <c r="A116" s="3">
        <v>-600</v>
      </c>
      <c r="B116" t="s">
        <v>22</v>
      </c>
      <c r="C116" t="s">
        <v>19</v>
      </c>
      <c r="D116" t="s">
        <v>7</v>
      </c>
      <c r="E116" t="str">
        <f>_xlfn.XLOOKUP(D116,kategorie[Kategoria:],kategorie[Typ:],"",0,1)</f>
        <v>Wydatki</v>
      </c>
      <c r="F116" s="1">
        <v>45494</v>
      </c>
      <c r="G116">
        <f t="shared" si="1"/>
        <v>7</v>
      </c>
    </row>
    <row r="117" spans="1:7" x14ac:dyDescent="0.25">
      <c r="A117" s="3">
        <v>120</v>
      </c>
      <c r="B117" t="s">
        <v>21</v>
      </c>
      <c r="C117" t="s">
        <v>24</v>
      </c>
      <c r="D117" t="s">
        <v>15</v>
      </c>
      <c r="E117" t="str">
        <f>_xlfn.XLOOKUP(D117,kategorie[Kategoria:],kategorie[Typ:],"",0,1)</f>
        <v>Wpływy</v>
      </c>
      <c r="F117" s="1">
        <v>45495</v>
      </c>
      <c r="G117">
        <f t="shared" si="1"/>
        <v>7</v>
      </c>
    </row>
    <row r="118" spans="1:7" x14ac:dyDescent="0.25">
      <c r="A118" s="3">
        <v>-90</v>
      </c>
      <c r="B118" t="s">
        <v>21</v>
      </c>
      <c r="C118" t="s">
        <v>19</v>
      </c>
      <c r="D118" t="s">
        <v>3</v>
      </c>
      <c r="E118" t="str">
        <f>_xlfn.XLOOKUP(D118,kategorie[Kategoria:],kategorie[Typ:],"",0,1)</f>
        <v>Wydatki</v>
      </c>
      <c r="F118" s="1">
        <v>45497</v>
      </c>
      <c r="G118">
        <f t="shared" si="1"/>
        <v>7</v>
      </c>
    </row>
    <row r="119" spans="1:7" x14ac:dyDescent="0.25">
      <c r="A119" s="3">
        <v>-50</v>
      </c>
      <c r="B119" t="s">
        <v>21</v>
      </c>
      <c r="C119" t="s">
        <v>23</v>
      </c>
      <c r="D119" t="s">
        <v>2</v>
      </c>
      <c r="E119" t="str">
        <f>_xlfn.XLOOKUP(D119,kategorie[Kategoria:],kategorie[Typ:],"",0,1)</f>
        <v>Wydatki</v>
      </c>
      <c r="F119" s="1">
        <v>45499</v>
      </c>
      <c r="G119">
        <f t="shared" si="1"/>
        <v>7</v>
      </c>
    </row>
    <row r="120" spans="1:7" x14ac:dyDescent="0.25">
      <c r="A120" s="3">
        <v>250</v>
      </c>
      <c r="B120" t="s">
        <v>22</v>
      </c>
      <c r="C120" t="s">
        <v>25</v>
      </c>
      <c r="D120" t="s">
        <v>46</v>
      </c>
      <c r="E120" t="str">
        <f>_xlfn.XLOOKUP(D120,kategorie[Kategoria:],kategorie[Typ:],"",0,1)</f>
        <v>Wydatki</v>
      </c>
      <c r="F120" s="1">
        <v>45502</v>
      </c>
      <c r="G120">
        <f t="shared" si="1"/>
        <v>7</v>
      </c>
    </row>
    <row r="121" spans="1:7" x14ac:dyDescent="0.25">
      <c r="A121" s="3">
        <v>500</v>
      </c>
      <c r="B121" t="s">
        <v>22</v>
      </c>
      <c r="C121" t="s">
        <v>19</v>
      </c>
      <c r="D121" t="s">
        <v>16</v>
      </c>
      <c r="E121" t="str">
        <f>_xlfn.XLOOKUP(D121,kategorie[Kategoria:],kategorie[Typ:],"",0,1)</f>
        <v>Wpływy</v>
      </c>
      <c r="F121" s="1">
        <v>45503</v>
      </c>
      <c r="G121">
        <f t="shared" si="1"/>
        <v>7</v>
      </c>
    </row>
    <row r="122" spans="1:7" x14ac:dyDescent="0.25">
      <c r="A122" s="3">
        <v>-45</v>
      </c>
      <c r="B122" t="s">
        <v>21</v>
      </c>
      <c r="C122" t="s">
        <v>23</v>
      </c>
      <c r="D122" t="s">
        <v>2</v>
      </c>
      <c r="E122" t="str">
        <f>_xlfn.XLOOKUP(D122,kategorie[Kategoria:],kategorie[Typ:],"",0,1)</f>
        <v>Wydatki</v>
      </c>
      <c r="F122" s="1">
        <v>45504</v>
      </c>
      <c r="G122">
        <f t="shared" si="1"/>
        <v>7</v>
      </c>
    </row>
    <row r="123" spans="1:7" x14ac:dyDescent="0.25">
      <c r="A123" s="3">
        <v>-600</v>
      </c>
      <c r="B123" t="s">
        <v>21</v>
      </c>
      <c r="C123" t="s">
        <v>19</v>
      </c>
      <c r="D123" t="s">
        <v>2</v>
      </c>
      <c r="E123" t="str">
        <f>_xlfn.XLOOKUP(D123,kategorie[Kategoria:],kategorie[Typ:],"",0,1)</f>
        <v>Wydatki</v>
      </c>
      <c r="F123" s="1">
        <v>45505</v>
      </c>
      <c r="G123">
        <f t="shared" si="1"/>
        <v>8</v>
      </c>
    </row>
    <row r="124" spans="1:7" x14ac:dyDescent="0.25">
      <c r="A124" s="3">
        <v>-1020</v>
      </c>
      <c r="B124" t="s">
        <v>21</v>
      </c>
      <c r="C124" t="s">
        <v>24</v>
      </c>
      <c r="D124" t="s">
        <v>49</v>
      </c>
      <c r="E124" t="str">
        <f>_xlfn.XLOOKUP(D124,kategorie[Kategoria:],kategorie[Typ:],"",0,1)</f>
        <v>Transakcja</v>
      </c>
      <c r="F124" s="1">
        <v>45505</v>
      </c>
      <c r="G124">
        <f t="shared" si="1"/>
        <v>8</v>
      </c>
    </row>
    <row r="125" spans="1:7" x14ac:dyDescent="0.25">
      <c r="A125" s="3">
        <v>-200</v>
      </c>
      <c r="B125" t="s">
        <v>22</v>
      </c>
      <c r="C125" t="s">
        <v>19</v>
      </c>
      <c r="D125" t="s">
        <v>3</v>
      </c>
      <c r="E125" t="str">
        <f>_xlfn.XLOOKUP(D125,kategorie[Kategoria:],kategorie[Typ:],"",0,1)</f>
        <v>Wydatki</v>
      </c>
      <c r="F125" s="1">
        <v>45505</v>
      </c>
      <c r="G125">
        <f t="shared" si="1"/>
        <v>8</v>
      </c>
    </row>
    <row r="126" spans="1:7" x14ac:dyDescent="0.25">
      <c r="A126" s="3">
        <v>-70</v>
      </c>
      <c r="B126" t="s">
        <v>21</v>
      </c>
      <c r="C126" t="s">
        <v>23</v>
      </c>
      <c r="D126" t="s">
        <v>2</v>
      </c>
      <c r="E126" t="str">
        <f>_xlfn.XLOOKUP(D126,kategorie[Kategoria:],kategorie[Typ:],"",0,1)</f>
        <v>Wydatki</v>
      </c>
      <c r="F126" s="1">
        <v>45513</v>
      </c>
      <c r="G126">
        <f t="shared" si="1"/>
        <v>8</v>
      </c>
    </row>
    <row r="127" spans="1:7" x14ac:dyDescent="0.25">
      <c r="A127" s="3">
        <v>4500</v>
      </c>
      <c r="B127" t="s">
        <v>21</v>
      </c>
      <c r="C127" t="s">
        <v>19</v>
      </c>
      <c r="D127" t="s">
        <v>11</v>
      </c>
      <c r="E127" t="str">
        <f>_xlfn.XLOOKUP(D127,kategorie[Kategoria:],kategorie[Typ:],"",0,1)</f>
        <v>Wpływy</v>
      </c>
      <c r="F127" s="1">
        <v>45514</v>
      </c>
      <c r="G127">
        <f t="shared" si="1"/>
        <v>8</v>
      </c>
    </row>
    <row r="128" spans="1:7" x14ac:dyDescent="0.25">
      <c r="A128" s="3">
        <v>-2000</v>
      </c>
      <c r="B128" t="s">
        <v>21</v>
      </c>
      <c r="C128" t="s">
        <v>19</v>
      </c>
      <c r="D128" t="s">
        <v>4</v>
      </c>
      <c r="E128" t="str">
        <f>_xlfn.XLOOKUP(D128,kategorie[Kategoria:],kategorie[Typ:],"",0,1)</f>
        <v>Wydatki</v>
      </c>
      <c r="F128" s="1">
        <v>45515</v>
      </c>
      <c r="G128">
        <f t="shared" si="1"/>
        <v>8</v>
      </c>
    </row>
    <row r="129" spans="1:7" x14ac:dyDescent="0.25">
      <c r="A129" s="3">
        <v>-100</v>
      </c>
      <c r="B129" t="s">
        <v>22</v>
      </c>
      <c r="C129" t="s">
        <v>19</v>
      </c>
      <c r="D129" t="s">
        <v>7</v>
      </c>
      <c r="E129" t="str">
        <f>_xlfn.XLOOKUP(D129,kategorie[Kategoria:],kategorie[Typ:],"",0,1)</f>
        <v>Wydatki</v>
      </c>
      <c r="F129" s="1">
        <v>45518</v>
      </c>
      <c r="G129">
        <f t="shared" si="1"/>
        <v>8</v>
      </c>
    </row>
    <row r="130" spans="1:7" x14ac:dyDescent="0.25">
      <c r="A130" s="3">
        <v>135</v>
      </c>
      <c r="B130" t="s">
        <v>21</v>
      </c>
      <c r="C130" t="s">
        <v>23</v>
      </c>
      <c r="D130" t="s">
        <v>49</v>
      </c>
      <c r="E130" t="str">
        <f>_xlfn.XLOOKUP(D130,kategorie[Kategoria:],kategorie[Typ:],"",0,1)</f>
        <v>Transakcja</v>
      </c>
      <c r="F130" s="1">
        <v>45519</v>
      </c>
      <c r="G130">
        <f t="shared" si="1"/>
        <v>8</v>
      </c>
    </row>
    <row r="131" spans="1:7" x14ac:dyDescent="0.25">
      <c r="A131" s="3">
        <v>-135</v>
      </c>
      <c r="B131" t="s">
        <v>21</v>
      </c>
      <c r="C131" t="s">
        <v>19</v>
      </c>
      <c r="D131" t="s">
        <v>49</v>
      </c>
      <c r="E131" t="str">
        <f>_xlfn.XLOOKUP(D131,kategorie[Kategoria:],kategorie[Typ:],"",0,1)</f>
        <v>Transakcja</v>
      </c>
      <c r="F131" s="1">
        <v>45519</v>
      </c>
      <c r="G131">
        <f t="shared" ref="G131:G141" si="2">IF(ISBLANK(F131),"",MONTH(F131))</f>
        <v>8</v>
      </c>
    </row>
    <row r="132" spans="1:7" x14ac:dyDescent="0.25">
      <c r="A132" s="3">
        <v>-400</v>
      </c>
      <c r="B132" t="s">
        <v>21</v>
      </c>
      <c r="C132" t="s">
        <v>19</v>
      </c>
      <c r="D132" t="s">
        <v>8</v>
      </c>
      <c r="E132" t="str">
        <f>_xlfn.XLOOKUP(D132,kategorie[Kategoria:],kategorie[Typ:],"",0,1)</f>
        <v>Wydatki</v>
      </c>
      <c r="F132" s="1">
        <v>45520</v>
      </c>
      <c r="G132">
        <f t="shared" si="2"/>
        <v>8</v>
      </c>
    </row>
    <row r="133" spans="1:7" x14ac:dyDescent="0.25">
      <c r="A133" s="3">
        <v>-32</v>
      </c>
      <c r="B133" t="s">
        <v>21</v>
      </c>
      <c r="C133" t="s">
        <v>23</v>
      </c>
      <c r="D133" t="s">
        <v>2</v>
      </c>
      <c r="E133" t="str">
        <f>_xlfn.XLOOKUP(D133,kategorie[Kategoria:],kategorie[Typ:],"",0,1)</f>
        <v>Wydatki</v>
      </c>
      <c r="F133" s="1">
        <v>45522</v>
      </c>
      <c r="G133">
        <f t="shared" si="2"/>
        <v>8</v>
      </c>
    </row>
    <row r="134" spans="1:7" x14ac:dyDescent="0.25">
      <c r="A134" s="3">
        <v>200</v>
      </c>
      <c r="B134" t="s">
        <v>31</v>
      </c>
      <c r="C134" t="s">
        <v>32</v>
      </c>
      <c r="D134" t="s">
        <v>48</v>
      </c>
      <c r="E134" t="str">
        <f>_xlfn.XLOOKUP(D134,kategorie[Kategoria:],kategorie[Typ:],"",0,1)</f>
        <v>Wpływy</v>
      </c>
      <c r="F134" s="1">
        <v>45524</v>
      </c>
      <c r="G134">
        <f t="shared" si="2"/>
        <v>8</v>
      </c>
    </row>
    <row r="135" spans="1:7" x14ac:dyDescent="0.25">
      <c r="A135" s="3">
        <v>-150</v>
      </c>
      <c r="B135" t="s">
        <v>31</v>
      </c>
      <c r="C135" t="s">
        <v>32</v>
      </c>
      <c r="D135" t="s">
        <v>7</v>
      </c>
      <c r="E135" t="str">
        <f>_xlfn.XLOOKUP(D135,kategorie[Kategoria:],kategorie[Typ:],"",0,1)</f>
        <v>Wydatki</v>
      </c>
      <c r="F135" s="1">
        <v>45526</v>
      </c>
      <c r="G135">
        <f t="shared" si="2"/>
        <v>8</v>
      </c>
    </row>
    <row r="136" spans="1:7" x14ac:dyDescent="0.25">
      <c r="A136" s="3">
        <v>-47.5</v>
      </c>
      <c r="B136" t="s">
        <v>31</v>
      </c>
      <c r="C136" t="s">
        <v>32</v>
      </c>
      <c r="D136" t="s">
        <v>2</v>
      </c>
      <c r="E136" t="str">
        <f>_xlfn.XLOOKUP(D136,kategorie[Kategoria:],kategorie[Typ:],"",0,1)</f>
        <v>Wydatki</v>
      </c>
      <c r="F136" s="1">
        <v>45527</v>
      </c>
      <c r="G136">
        <f t="shared" si="2"/>
        <v>8</v>
      </c>
    </row>
    <row r="137" spans="1:7" x14ac:dyDescent="0.25">
      <c r="A137" s="3">
        <v>-90</v>
      </c>
      <c r="B137" t="s">
        <v>21</v>
      </c>
      <c r="C137" t="s">
        <v>19</v>
      </c>
      <c r="D137" t="s">
        <v>3</v>
      </c>
      <c r="E137" t="str">
        <f>_xlfn.XLOOKUP(D137,kategorie[Kategoria:],kategorie[Typ:],"",0,1)</f>
        <v>Wydatki</v>
      </c>
      <c r="F137" s="1">
        <v>45528</v>
      </c>
      <c r="G137">
        <f t="shared" si="2"/>
        <v>8</v>
      </c>
    </row>
    <row r="138" spans="1:7" x14ac:dyDescent="0.25">
      <c r="A138" s="3">
        <v>-300</v>
      </c>
      <c r="B138" t="s">
        <v>22</v>
      </c>
      <c r="C138" t="s">
        <v>25</v>
      </c>
      <c r="D138" t="s">
        <v>46</v>
      </c>
      <c r="E138" t="str">
        <f>_xlfn.XLOOKUP(D138,kategorie[Kategoria:],kategorie[Typ:],"",0,1)</f>
        <v>Wydatki</v>
      </c>
      <c r="F138" s="1">
        <v>45531</v>
      </c>
      <c r="G138">
        <f t="shared" si="2"/>
        <v>8</v>
      </c>
    </row>
    <row r="139" spans="1:7" x14ac:dyDescent="0.25">
      <c r="A139" s="3">
        <v>500</v>
      </c>
      <c r="B139" t="s">
        <v>22</v>
      </c>
      <c r="C139" t="s">
        <v>19</v>
      </c>
      <c r="D139" t="s">
        <v>16</v>
      </c>
      <c r="E139" t="str">
        <f>_xlfn.XLOOKUP(D139,kategorie[Kategoria:],kategorie[Typ:],"",0,1)</f>
        <v>Wpływy</v>
      </c>
      <c r="F139" s="1">
        <v>45534</v>
      </c>
      <c r="G139">
        <f t="shared" si="2"/>
        <v>8</v>
      </c>
    </row>
    <row r="140" spans="1:7" x14ac:dyDescent="0.25">
      <c r="A140" s="3">
        <v>200</v>
      </c>
      <c r="B140" t="s">
        <v>21</v>
      </c>
      <c r="C140" t="s">
        <v>19</v>
      </c>
      <c r="D140" t="s">
        <v>48</v>
      </c>
      <c r="E140" t="str">
        <f>_xlfn.XLOOKUP(D140,kategorie[Kategoria:],kategorie[Typ:],"",0,1)</f>
        <v>Wpływy</v>
      </c>
      <c r="F140" s="1">
        <v>45535</v>
      </c>
      <c r="G140">
        <f t="shared" si="2"/>
        <v>8</v>
      </c>
    </row>
    <row r="141" spans="1:7" x14ac:dyDescent="0.25">
      <c r="A141" s="3">
        <v>-150</v>
      </c>
      <c r="B141" t="s">
        <v>21</v>
      </c>
      <c r="C141" t="s">
        <v>19</v>
      </c>
      <c r="D141" t="s">
        <v>3</v>
      </c>
      <c r="E141" t="str">
        <f>_xlfn.XLOOKUP(D141,kategorie[Kategoria:],kategorie[Typ:],"",0,1)</f>
        <v>Wydatki</v>
      </c>
      <c r="F141" s="1">
        <v>45536</v>
      </c>
      <c r="G141">
        <f t="shared" si="2"/>
        <v>9</v>
      </c>
    </row>
    <row r="142" spans="1:7" x14ac:dyDescent="0.25">
      <c r="A142" s="3">
        <v>-20</v>
      </c>
      <c r="B142" t="s">
        <v>22</v>
      </c>
      <c r="C142" t="s">
        <v>19</v>
      </c>
      <c r="D142" t="s">
        <v>2</v>
      </c>
      <c r="E142" t="str">
        <f>_xlfn.XLOOKUP(D142,kategorie[Kategoria:],kategorie[Typ:],"",0,1)</f>
        <v>Wydatki</v>
      </c>
      <c r="F142" s="1">
        <v>45539</v>
      </c>
      <c r="G142">
        <f t="shared" ref="G142:G173" si="3">IF(ISBLANK(F142),"",MONTH(F142))</f>
        <v>9</v>
      </c>
    </row>
    <row r="143" spans="1:7" x14ac:dyDescent="0.25">
      <c r="A143" s="3">
        <v>-40</v>
      </c>
      <c r="B143" t="s">
        <v>21</v>
      </c>
      <c r="C143" t="s">
        <v>19</v>
      </c>
      <c r="D143" t="s">
        <v>45</v>
      </c>
      <c r="E143" t="str">
        <f>_xlfn.XLOOKUP(D143,kategorie[Kategoria:],kategorie[Typ:],"",0,1)</f>
        <v>Wydatki</v>
      </c>
      <c r="F143" s="1">
        <v>45542</v>
      </c>
      <c r="G143">
        <f t="shared" si="3"/>
        <v>9</v>
      </c>
    </row>
    <row r="144" spans="1:7" x14ac:dyDescent="0.25">
      <c r="A144" s="3">
        <v>-500</v>
      </c>
      <c r="B144" t="s">
        <v>21</v>
      </c>
      <c r="C144" t="s">
        <v>19</v>
      </c>
      <c r="D144" t="s">
        <v>2</v>
      </c>
      <c r="E144" t="str">
        <f>_xlfn.XLOOKUP(D144,kategorie[Kategoria:],kategorie[Typ:],"",0,1)</f>
        <v>Wydatki</v>
      </c>
      <c r="F144" s="1">
        <v>45543</v>
      </c>
      <c r="G144">
        <f t="shared" si="3"/>
        <v>9</v>
      </c>
    </row>
    <row r="145" spans="1:7" x14ac:dyDescent="0.25">
      <c r="A145" s="3">
        <v>4500</v>
      </c>
      <c r="B145" t="s">
        <v>21</v>
      </c>
      <c r="C145" t="s">
        <v>19</v>
      </c>
      <c r="D145" t="s">
        <v>11</v>
      </c>
      <c r="E145" t="str">
        <f>_xlfn.XLOOKUP(D145,kategorie[Kategoria:],kategorie[Typ:],"",0,1)</f>
        <v>Wpływy</v>
      </c>
      <c r="F145" s="1">
        <v>45545</v>
      </c>
      <c r="G145">
        <f t="shared" si="3"/>
        <v>9</v>
      </c>
    </row>
    <row r="146" spans="1:7" x14ac:dyDescent="0.25">
      <c r="A146" s="3">
        <v>-20</v>
      </c>
      <c r="B146" t="s">
        <v>21</v>
      </c>
      <c r="C146" t="s">
        <v>23</v>
      </c>
      <c r="D146" t="s">
        <v>7</v>
      </c>
      <c r="E146" t="str">
        <f>_xlfn.XLOOKUP(D146,kategorie[Kategoria:],kategorie[Typ:],"",0,1)</f>
        <v>Wydatki</v>
      </c>
      <c r="F146" s="1">
        <v>45546</v>
      </c>
      <c r="G146">
        <f t="shared" si="3"/>
        <v>9</v>
      </c>
    </row>
    <row r="147" spans="1:7" x14ac:dyDescent="0.25">
      <c r="A147" s="3">
        <v>-2000</v>
      </c>
      <c r="B147" t="s">
        <v>21</v>
      </c>
      <c r="C147" t="s">
        <v>19</v>
      </c>
      <c r="D147" t="s">
        <v>4</v>
      </c>
      <c r="E147" t="str">
        <f>_xlfn.XLOOKUP(D147,kategorie[Kategoria:],kategorie[Typ:],"",0,1)</f>
        <v>Wydatki</v>
      </c>
      <c r="F147" s="1">
        <v>45546</v>
      </c>
      <c r="G147">
        <f t="shared" si="3"/>
        <v>9</v>
      </c>
    </row>
    <row r="148" spans="1:7" x14ac:dyDescent="0.25">
      <c r="A148" s="3">
        <v>102</v>
      </c>
      <c r="B148" t="s">
        <v>21</v>
      </c>
      <c r="C148" t="s">
        <v>23</v>
      </c>
      <c r="D148" t="s">
        <v>49</v>
      </c>
      <c r="E148" t="str">
        <f>_xlfn.XLOOKUP(D148,kategorie[Kategoria:],kategorie[Typ:],"",0,1)</f>
        <v>Transakcja</v>
      </c>
      <c r="F148" s="1">
        <v>45550</v>
      </c>
      <c r="G148">
        <f t="shared" si="3"/>
        <v>9</v>
      </c>
    </row>
    <row r="149" spans="1:7" x14ac:dyDescent="0.25">
      <c r="A149" s="3">
        <v>-102</v>
      </c>
      <c r="B149" t="s">
        <v>21</v>
      </c>
      <c r="C149" t="s">
        <v>19</v>
      </c>
      <c r="D149" t="s">
        <v>49</v>
      </c>
      <c r="E149" t="str">
        <f>_xlfn.XLOOKUP(D149,kategorie[Kategoria:],kategorie[Typ:],"",0,1)</f>
        <v>Transakcja</v>
      </c>
      <c r="F149" s="1">
        <v>45550</v>
      </c>
      <c r="G149">
        <f t="shared" si="3"/>
        <v>9</v>
      </c>
    </row>
    <row r="150" spans="1:7" x14ac:dyDescent="0.25">
      <c r="A150" s="3">
        <v>-18.5</v>
      </c>
      <c r="B150" t="s">
        <v>21</v>
      </c>
      <c r="C150" t="s">
        <v>19</v>
      </c>
      <c r="D150" t="s">
        <v>2</v>
      </c>
      <c r="E150" t="str">
        <f>_xlfn.XLOOKUP(D150,kategorie[Kategoria:],kategorie[Typ:],"",0,1)</f>
        <v>Wydatki</v>
      </c>
      <c r="F150" s="1">
        <v>45553</v>
      </c>
      <c r="G150">
        <f t="shared" si="3"/>
        <v>9</v>
      </c>
    </row>
    <row r="151" spans="1:7" x14ac:dyDescent="0.25">
      <c r="A151" s="3">
        <v>-150</v>
      </c>
      <c r="B151" t="s">
        <v>21</v>
      </c>
      <c r="C151" t="s">
        <v>19</v>
      </c>
      <c r="D151" t="s">
        <v>3</v>
      </c>
      <c r="E151" t="str">
        <f>_xlfn.XLOOKUP(D151,kategorie[Kategoria:],kategorie[Typ:],"",0,1)</f>
        <v>Wydatki</v>
      </c>
      <c r="F151" s="1">
        <v>45566</v>
      </c>
      <c r="G151">
        <f t="shared" si="3"/>
        <v>10</v>
      </c>
    </row>
    <row r="152" spans="1:7" x14ac:dyDescent="0.25">
      <c r="A152" s="3">
        <v>-40</v>
      </c>
      <c r="B152" t="s">
        <v>21</v>
      </c>
      <c r="C152" t="s">
        <v>19</v>
      </c>
      <c r="D152" t="s">
        <v>45</v>
      </c>
      <c r="E152" t="str">
        <f>_xlfn.XLOOKUP(D152,kategorie[Kategoria:],kategorie[Typ:],"",0,1)</f>
        <v>Wydatki</v>
      </c>
      <c r="F152" s="1">
        <v>45572</v>
      </c>
      <c r="G152">
        <f t="shared" si="3"/>
        <v>10</v>
      </c>
    </row>
    <row r="153" spans="1:7" x14ac:dyDescent="0.25">
      <c r="A153" s="3">
        <v>-600</v>
      </c>
      <c r="B153" t="s">
        <v>21</v>
      </c>
      <c r="C153" t="s">
        <v>19</v>
      </c>
      <c r="D153" t="s">
        <v>2</v>
      </c>
      <c r="E153" t="str">
        <f>_xlfn.XLOOKUP(D153,kategorie[Kategoria:],kategorie[Typ:],"",0,1)</f>
        <v>Wydatki</v>
      </c>
      <c r="F153" s="1">
        <v>45573</v>
      </c>
      <c r="G153">
        <f t="shared" si="3"/>
        <v>10</v>
      </c>
    </row>
    <row r="154" spans="1:7" x14ac:dyDescent="0.25">
      <c r="A154" s="3">
        <v>4500</v>
      </c>
      <c r="B154" t="s">
        <v>21</v>
      </c>
      <c r="C154" t="s">
        <v>19</v>
      </c>
      <c r="D154" t="s">
        <v>11</v>
      </c>
      <c r="E154" t="str">
        <f>_xlfn.XLOOKUP(D154,kategorie[Kategoria:],kategorie[Typ:],"",0,1)</f>
        <v>Wpływy</v>
      </c>
      <c r="F154" s="1">
        <v>45575</v>
      </c>
      <c r="G154">
        <f t="shared" si="3"/>
        <v>10</v>
      </c>
    </row>
    <row r="155" spans="1:7" x14ac:dyDescent="0.25">
      <c r="A155" s="3">
        <v>-40</v>
      </c>
      <c r="B155" t="s">
        <v>21</v>
      </c>
      <c r="C155" t="s">
        <v>23</v>
      </c>
      <c r="D155" t="s">
        <v>7</v>
      </c>
      <c r="E155" t="str">
        <f>_xlfn.XLOOKUP(D155,kategorie[Kategoria:],kategorie[Typ:],"",0,1)</f>
        <v>Wydatki</v>
      </c>
      <c r="F155" s="1">
        <v>45576</v>
      </c>
      <c r="G155">
        <f t="shared" si="3"/>
        <v>10</v>
      </c>
    </row>
    <row r="156" spans="1:7" x14ac:dyDescent="0.25">
      <c r="A156" s="3">
        <v>-2000</v>
      </c>
      <c r="B156" t="s">
        <v>21</v>
      </c>
      <c r="C156" t="s">
        <v>19</v>
      </c>
      <c r="D156" t="s">
        <v>4</v>
      </c>
      <c r="E156" t="str">
        <f>_xlfn.XLOOKUP(D156,kategorie[Kategoria:],kategorie[Typ:],"",0,1)</f>
        <v>Wydatki</v>
      </c>
      <c r="F156" s="1">
        <v>45576</v>
      </c>
      <c r="G156">
        <f t="shared" si="3"/>
        <v>10</v>
      </c>
    </row>
    <row r="157" spans="1:7" x14ac:dyDescent="0.25">
      <c r="A157" s="3">
        <v>20</v>
      </c>
      <c r="B157" t="s">
        <v>21</v>
      </c>
      <c r="C157" t="s">
        <v>23</v>
      </c>
      <c r="D157" t="s">
        <v>49</v>
      </c>
      <c r="E157" t="str">
        <f>_xlfn.XLOOKUP(D157,kategorie[Kategoria:],kategorie[Typ:],"",0,1)</f>
        <v>Transakcja</v>
      </c>
      <c r="F157" s="1">
        <v>45580</v>
      </c>
      <c r="G157">
        <f t="shared" si="3"/>
        <v>10</v>
      </c>
    </row>
    <row r="158" spans="1:7" x14ac:dyDescent="0.25">
      <c r="A158" s="3">
        <v>-20</v>
      </c>
      <c r="B158" t="s">
        <v>21</v>
      </c>
      <c r="C158" t="s">
        <v>19</v>
      </c>
      <c r="D158" t="s">
        <v>49</v>
      </c>
      <c r="E158" t="str">
        <f>_xlfn.XLOOKUP(D158,kategorie[Kategoria:],kategorie[Typ:],"",0,1)</f>
        <v>Transakcja</v>
      </c>
      <c r="F158" s="1">
        <v>45580</v>
      </c>
      <c r="G158">
        <f t="shared" si="3"/>
        <v>10</v>
      </c>
    </row>
    <row r="159" spans="1:7" x14ac:dyDescent="0.25">
      <c r="A159" s="3">
        <v>4500</v>
      </c>
      <c r="B159" t="s">
        <v>21</v>
      </c>
      <c r="C159" t="s">
        <v>19</v>
      </c>
      <c r="D159" t="s">
        <v>11</v>
      </c>
      <c r="E159" t="str">
        <f>_xlfn.XLOOKUP(D159,kategorie[Kategoria:],kategorie[Typ:],"",0,1)</f>
        <v>Wpływy</v>
      </c>
      <c r="F159" s="1">
        <v>45606</v>
      </c>
      <c r="G159">
        <f t="shared" si="3"/>
        <v>11</v>
      </c>
    </row>
    <row r="160" spans="1:7" x14ac:dyDescent="0.25">
      <c r="A160" s="3">
        <v>-2000</v>
      </c>
      <c r="B160" t="s">
        <v>21</v>
      </c>
      <c r="C160" t="s">
        <v>19</v>
      </c>
      <c r="D160" t="s">
        <v>4</v>
      </c>
      <c r="E160" t="str">
        <f>_xlfn.XLOOKUP(D160,kategorie[Kategoria:],kategorie[Typ:],"",0,1)</f>
        <v>Wydatki</v>
      </c>
      <c r="F160" s="1">
        <v>45607</v>
      </c>
      <c r="G160">
        <f t="shared" si="3"/>
        <v>11</v>
      </c>
    </row>
    <row r="161" spans="1:7" x14ac:dyDescent="0.25">
      <c r="A161" s="3">
        <v>-82</v>
      </c>
      <c r="B161" t="s">
        <v>21</v>
      </c>
      <c r="C161" t="s">
        <v>19</v>
      </c>
      <c r="D161" t="s">
        <v>3</v>
      </c>
      <c r="E161" t="str">
        <f>_xlfn.XLOOKUP(D161,kategorie[Kategoria:],kategorie[Typ:],"",0,1)</f>
        <v>Wydatki</v>
      </c>
      <c r="F161" s="1">
        <v>45607</v>
      </c>
      <c r="G161">
        <f t="shared" si="3"/>
        <v>11</v>
      </c>
    </row>
    <row r="162" spans="1:7" x14ac:dyDescent="0.25">
      <c r="A162" s="3">
        <v>-200</v>
      </c>
      <c r="B162" t="s">
        <v>21</v>
      </c>
      <c r="C162" t="s">
        <v>19</v>
      </c>
      <c r="D162" t="s">
        <v>2</v>
      </c>
      <c r="E162" t="str">
        <f>_xlfn.XLOOKUP(D162,kategorie[Kategoria:],kategorie[Typ:],"",0,1)</f>
        <v>Wydatki</v>
      </c>
      <c r="F162" s="1">
        <v>45607</v>
      </c>
      <c r="G162">
        <f t="shared" si="3"/>
        <v>11</v>
      </c>
    </row>
    <row r="163" spans="1:7" x14ac:dyDescent="0.25">
      <c r="A163" s="3">
        <v>-12</v>
      </c>
      <c r="B163" t="s">
        <v>21</v>
      </c>
      <c r="C163" t="s">
        <v>19</v>
      </c>
      <c r="D163" t="s">
        <v>45</v>
      </c>
      <c r="E163" t="str">
        <f>_xlfn.XLOOKUP(D163,kategorie[Kategoria:],kategorie[Typ:],"",0,1)</f>
        <v>Wydatki</v>
      </c>
      <c r="F163" s="1">
        <v>45608</v>
      </c>
      <c r="G163">
        <f t="shared" si="3"/>
        <v>11</v>
      </c>
    </row>
    <row r="164" spans="1:7" x14ac:dyDescent="0.25">
      <c r="A164" s="3">
        <v>-90</v>
      </c>
      <c r="B164" t="s">
        <v>21</v>
      </c>
      <c r="C164" t="s">
        <v>19</v>
      </c>
      <c r="D164" t="s">
        <v>7</v>
      </c>
      <c r="E164" t="str">
        <f>_xlfn.XLOOKUP(D164,kategorie[Kategoria:],kategorie[Typ:],"",0,1)</f>
        <v>Wydatki</v>
      </c>
      <c r="F164" s="1">
        <v>45610</v>
      </c>
      <c r="G164">
        <f t="shared" si="3"/>
        <v>11</v>
      </c>
    </row>
    <row r="165" spans="1:7" x14ac:dyDescent="0.25">
      <c r="A165" s="3">
        <v>40</v>
      </c>
      <c r="B165" t="s">
        <v>21</v>
      </c>
      <c r="C165" t="s">
        <v>23</v>
      </c>
      <c r="D165" t="s">
        <v>49</v>
      </c>
      <c r="E165" t="str">
        <f>_xlfn.XLOOKUP(D165,kategorie[Kategoria:],kategorie[Typ:],"",0,1)</f>
        <v>Transakcja</v>
      </c>
      <c r="F165" s="1">
        <v>45611</v>
      </c>
      <c r="G165">
        <f t="shared" si="3"/>
        <v>11</v>
      </c>
    </row>
    <row r="166" spans="1:7" x14ac:dyDescent="0.25">
      <c r="A166" s="3">
        <v>-40</v>
      </c>
      <c r="B166" t="s">
        <v>21</v>
      </c>
      <c r="C166" t="s">
        <v>19</v>
      </c>
      <c r="D166" t="s">
        <v>49</v>
      </c>
      <c r="E166" t="str">
        <f>_xlfn.XLOOKUP(D166,kategorie[Kategoria:],kategorie[Typ:],"",0,1)</f>
        <v>Transakcja</v>
      </c>
      <c r="F166" s="1">
        <v>45611</v>
      </c>
      <c r="G166">
        <f t="shared" si="3"/>
        <v>11</v>
      </c>
    </row>
    <row r="167" spans="1:7" x14ac:dyDescent="0.25">
      <c r="A167" s="3">
        <v>-28</v>
      </c>
      <c r="B167" t="s">
        <v>21</v>
      </c>
      <c r="C167" t="s">
        <v>19</v>
      </c>
      <c r="D167" t="s">
        <v>2</v>
      </c>
      <c r="E167" t="str">
        <f>_xlfn.XLOOKUP(D167,kategorie[Kategoria:],kategorie[Typ:],"",0,1)</f>
        <v>Wydatki</v>
      </c>
      <c r="F167" s="1">
        <v>45612</v>
      </c>
      <c r="G167">
        <f t="shared" si="3"/>
        <v>11</v>
      </c>
    </row>
    <row r="168" spans="1:7" x14ac:dyDescent="0.25">
      <c r="A168" s="3">
        <v>-63</v>
      </c>
      <c r="B168" t="s">
        <v>21</v>
      </c>
      <c r="C168" t="s">
        <v>19</v>
      </c>
      <c r="D168" t="s">
        <v>8</v>
      </c>
      <c r="E168" t="str">
        <f>_xlfn.XLOOKUP(D168,kategorie[Kategoria:],kategorie[Typ:],"",0,1)</f>
        <v>Wydatki</v>
      </c>
      <c r="F168" s="1">
        <v>45613</v>
      </c>
      <c r="G168">
        <f t="shared" si="3"/>
        <v>11</v>
      </c>
    </row>
    <row r="169" spans="1:7" x14ac:dyDescent="0.25">
      <c r="A169" s="3">
        <v>-15</v>
      </c>
      <c r="B169" t="s">
        <v>21</v>
      </c>
      <c r="C169" t="s">
        <v>19</v>
      </c>
      <c r="D169" t="s">
        <v>3</v>
      </c>
      <c r="E169" t="str">
        <f>_xlfn.XLOOKUP(D169,kategorie[Kategoria:],kategorie[Typ:],"",0,1)</f>
        <v>Wydatki</v>
      </c>
      <c r="F169" s="1">
        <v>45613</v>
      </c>
      <c r="G169">
        <f t="shared" si="3"/>
        <v>11</v>
      </c>
    </row>
    <row r="170" spans="1:7" x14ac:dyDescent="0.25">
      <c r="A170" s="3">
        <v>-44</v>
      </c>
      <c r="B170" t="s">
        <v>21</v>
      </c>
      <c r="C170" t="s">
        <v>19</v>
      </c>
      <c r="D170" t="s">
        <v>2</v>
      </c>
      <c r="E170" t="str">
        <f>_xlfn.XLOOKUP(D170,kategorie[Kategoria:],kategorie[Typ:],"",0,1)</f>
        <v>Wydatki</v>
      </c>
      <c r="F170" s="1">
        <v>45615</v>
      </c>
      <c r="G170">
        <f t="shared" si="3"/>
        <v>11</v>
      </c>
    </row>
    <row r="171" spans="1:7" x14ac:dyDescent="0.25">
      <c r="A171" s="3">
        <v>-107</v>
      </c>
      <c r="B171" t="s">
        <v>21</v>
      </c>
      <c r="C171" t="s">
        <v>19</v>
      </c>
      <c r="D171" t="s">
        <v>46</v>
      </c>
      <c r="E171" t="str">
        <f>_xlfn.XLOOKUP(D171,kategorie[Kategoria:],kategorie[Typ:],"",0,1)</f>
        <v>Wydatki</v>
      </c>
      <c r="F171" s="1">
        <v>45616</v>
      </c>
      <c r="G171">
        <f t="shared" si="3"/>
        <v>11</v>
      </c>
    </row>
    <row r="172" spans="1:7" x14ac:dyDescent="0.25">
      <c r="A172" s="3">
        <v>-169</v>
      </c>
      <c r="B172" t="s">
        <v>21</v>
      </c>
      <c r="C172" t="s">
        <v>19</v>
      </c>
      <c r="D172" t="s">
        <v>47</v>
      </c>
      <c r="E172" t="str">
        <f>_xlfn.XLOOKUP(D172,kategorie[Kategoria:],kategorie[Typ:],"",0,1)</f>
        <v>Wydatki</v>
      </c>
      <c r="F172" s="1">
        <v>45617</v>
      </c>
      <c r="G172">
        <f t="shared" si="3"/>
        <v>11</v>
      </c>
    </row>
    <row r="173" spans="1:7" x14ac:dyDescent="0.25">
      <c r="A173" s="3">
        <v>-51</v>
      </c>
      <c r="B173" t="s">
        <v>21</v>
      </c>
      <c r="C173" t="s">
        <v>19</v>
      </c>
      <c r="D173" t="s">
        <v>46</v>
      </c>
      <c r="E173" t="str">
        <f>_xlfn.XLOOKUP(D173,kategorie[Kategoria:],kategorie[Typ:],"",0,1)</f>
        <v>Wydatki</v>
      </c>
      <c r="F173" s="1">
        <v>45618</v>
      </c>
      <c r="G173">
        <f t="shared" si="3"/>
        <v>11</v>
      </c>
    </row>
    <row r="174" spans="1:7" x14ac:dyDescent="0.25">
      <c r="A174" s="3">
        <v>-80</v>
      </c>
      <c r="B174" t="s">
        <v>21</v>
      </c>
      <c r="C174" t="s">
        <v>19</v>
      </c>
      <c r="D174" t="s">
        <v>2</v>
      </c>
      <c r="E174" t="str">
        <f>_xlfn.XLOOKUP(D174,kategorie[Kategoria:],kategorie[Typ:],"",0,1)</f>
        <v>Wydatki</v>
      </c>
      <c r="F174" s="1">
        <v>45618</v>
      </c>
      <c r="G174">
        <f t="shared" ref="G174:G194" si="4">IF(ISBLANK(F174),"",MONTH(F174))</f>
        <v>11</v>
      </c>
    </row>
    <row r="175" spans="1:7" x14ac:dyDescent="0.25">
      <c r="A175" s="3">
        <v>-70</v>
      </c>
      <c r="B175" t="s">
        <v>21</v>
      </c>
      <c r="C175" t="s">
        <v>19</v>
      </c>
      <c r="D175" t="s">
        <v>8</v>
      </c>
      <c r="E175" t="str">
        <f>_xlfn.XLOOKUP(D175,kategorie[Kategoria:],kategorie[Typ:],"",0,1)</f>
        <v>Wydatki</v>
      </c>
      <c r="F175" s="1">
        <v>45618</v>
      </c>
      <c r="G175">
        <f t="shared" si="4"/>
        <v>11</v>
      </c>
    </row>
    <row r="176" spans="1:7" x14ac:dyDescent="0.25">
      <c r="A176" s="3">
        <v>-35</v>
      </c>
      <c r="B176" t="s">
        <v>21</v>
      </c>
      <c r="C176" t="s">
        <v>19</v>
      </c>
      <c r="D176" t="s">
        <v>45</v>
      </c>
      <c r="E176" t="str">
        <f>_xlfn.XLOOKUP(D176,kategorie[Kategoria:],kategorie[Typ:],"",0,1)</f>
        <v>Wydatki</v>
      </c>
      <c r="F176" s="1">
        <v>45619</v>
      </c>
      <c r="G176">
        <f t="shared" si="4"/>
        <v>11</v>
      </c>
    </row>
    <row r="177" spans="1:7" x14ac:dyDescent="0.25">
      <c r="A177" s="3">
        <v>-11</v>
      </c>
      <c r="B177" t="s">
        <v>21</v>
      </c>
      <c r="C177" t="s">
        <v>19</v>
      </c>
      <c r="D177" t="s">
        <v>3</v>
      </c>
      <c r="E177" t="str">
        <f>_xlfn.XLOOKUP(D177,kategorie[Kategoria:],kategorie[Typ:],"",0,1)</f>
        <v>Wydatki</v>
      </c>
      <c r="F177" s="1">
        <v>45619</v>
      </c>
      <c r="G177">
        <f t="shared" si="4"/>
        <v>11</v>
      </c>
    </row>
    <row r="178" spans="1:7" x14ac:dyDescent="0.25">
      <c r="A178" s="3">
        <v>-80</v>
      </c>
      <c r="B178" t="s">
        <v>21</v>
      </c>
      <c r="C178" t="s">
        <v>19</v>
      </c>
      <c r="D178" t="s">
        <v>7</v>
      </c>
      <c r="E178" t="str">
        <f>_xlfn.XLOOKUP(D178,kategorie[Kategoria:],kategorie[Typ:],"",0,1)</f>
        <v>Wydatki</v>
      </c>
      <c r="F178" s="1">
        <v>45621</v>
      </c>
      <c r="G178">
        <f t="shared" si="4"/>
        <v>11</v>
      </c>
    </row>
    <row r="179" spans="1:7" x14ac:dyDescent="0.25">
      <c r="A179" s="3">
        <v>-58</v>
      </c>
      <c r="B179" t="s">
        <v>21</v>
      </c>
      <c r="C179" t="s">
        <v>19</v>
      </c>
      <c r="D179" t="s">
        <v>2</v>
      </c>
      <c r="E179" t="str">
        <f>_xlfn.XLOOKUP(D179,kategorie[Kategoria:],kategorie[Typ:],"",0,1)</f>
        <v>Wydatki</v>
      </c>
      <c r="F179" s="1">
        <v>45622</v>
      </c>
      <c r="G179">
        <f t="shared" si="4"/>
        <v>11</v>
      </c>
    </row>
    <row r="180" spans="1:7" x14ac:dyDescent="0.25">
      <c r="A180" s="3">
        <v>-52</v>
      </c>
      <c r="B180" t="s">
        <v>21</v>
      </c>
      <c r="C180" t="s">
        <v>19</v>
      </c>
      <c r="D180" t="s">
        <v>3</v>
      </c>
      <c r="E180" t="str">
        <f>_xlfn.XLOOKUP(D180,kategorie[Kategoria:],kategorie[Typ:],"",0,1)</f>
        <v>Wydatki</v>
      </c>
      <c r="F180" s="1">
        <v>45623</v>
      </c>
      <c r="G180">
        <f t="shared" si="4"/>
        <v>11</v>
      </c>
    </row>
    <row r="181" spans="1:7" x14ac:dyDescent="0.25">
      <c r="A181" s="3">
        <v>-44</v>
      </c>
      <c r="B181" t="s">
        <v>21</v>
      </c>
      <c r="C181" t="s">
        <v>19</v>
      </c>
      <c r="D181" t="s">
        <v>7</v>
      </c>
      <c r="E181" t="str">
        <f>_xlfn.XLOOKUP(D181,kategorie[Kategoria:],kategorie[Typ:],"",0,1)</f>
        <v>Wydatki</v>
      </c>
      <c r="F181" s="1">
        <v>45623</v>
      </c>
      <c r="G181">
        <f t="shared" si="4"/>
        <v>11</v>
      </c>
    </row>
    <row r="182" spans="1:7" x14ac:dyDescent="0.25">
      <c r="A182" s="3">
        <v>-48</v>
      </c>
      <c r="B182" t="s">
        <v>21</v>
      </c>
      <c r="C182" t="s">
        <v>19</v>
      </c>
      <c r="D182" t="s">
        <v>3</v>
      </c>
      <c r="E182" t="str">
        <f>_xlfn.XLOOKUP(D182,kategorie[Kategoria:],kategorie[Typ:],"",0,1)</f>
        <v>Wydatki</v>
      </c>
      <c r="F182" s="1">
        <v>45623</v>
      </c>
      <c r="G182">
        <f t="shared" si="4"/>
        <v>11</v>
      </c>
    </row>
    <row r="183" spans="1:7" x14ac:dyDescent="0.25">
      <c r="A183" s="3">
        <v>-65</v>
      </c>
      <c r="B183" t="s">
        <v>21</v>
      </c>
      <c r="C183" t="s">
        <v>19</v>
      </c>
      <c r="D183" t="s">
        <v>47</v>
      </c>
      <c r="E183" t="str">
        <f>_xlfn.XLOOKUP(D183,kategorie[Kategoria:],kategorie[Typ:],"",0,1)</f>
        <v>Wydatki</v>
      </c>
      <c r="F183" s="1">
        <v>45624</v>
      </c>
      <c r="G183">
        <f t="shared" si="4"/>
        <v>11</v>
      </c>
    </row>
    <row r="184" spans="1:7" x14ac:dyDescent="0.25">
      <c r="A184" s="3">
        <v>400</v>
      </c>
      <c r="B184" t="s">
        <v>31</v>
      </c>
      <c r="C184" t="s">
        <v>32</v>
      </c>
      <c r="D184" t="s">
        <v>48</v>
      </c>
      <c r="E184" t="str">
        <f>_xlfn.XLOOKUP(D184,kategorie[Kategoria:],kategorie[Typ:],"",0,1)</f>
        <v>Wpływy</v>
      </c>
      <c r="F184" s="1">
        <v>45625</v>
      </c>
      <c r="G184">
        <f t="shared" si="4"/>
        <v>11</v>
      </c>
    </row>
    <row r="185" spans="1:7" x14ac:dyDescent="0.25">
      <c r="A185" s="3">
        <v>-96</v>
      </c>
      <c r="B185" t="s">
        <v>21</v>
      </c>
      <c r="C185" t="s">
        <v>19</v>
      </c>
      <c r="D185" t="s">
        <v>2</v>
      </c>
      <c r="E185" t="str">
        <f>_xlfn.XLOOKUP(D185,kategorie[Kategoria:],kategorie[Typ:],"",0,1)</f>
        <v>Wydatki</v>
      </c>
      <c r="F185" s="1">
        <v>45626</v>
      </c>
      <c r="G185">
        <f t="shared" si="4"/>
        <v>11</v>
      </c>
    </row>
    <row r="186" spans="1:7" x14ac:dyDescent="0.25">
      <c r="A186" s="3">
        <v>-50</v>
      </c>
      <c r="B186" t="s">
        <v>21</v>
      </c>
      <c r="C186" t="s">
        <v>19</v>
      </c>
      <c r="D186" t="s">
        <v>2</v>
      </c>
      <c r="E186" t="str">
        <f>_xlfn.XLOOKUP(D186,kategorie[Kategoria:],kategorie[Typ:],"",0,1)</f>
        <v>Wydatki</v>
      </c>
      <c r="F186" s="1">
        <v>45627</v>
      </c>
      <c r="G186">
        <f t="shared" si="4"/>
        <v>12</v>
      </c>
    </row>
    <row r="187" spans="1:7" x14ac:dyDescent="0.25">
      <c r="A187" s="3">
        <v>-50</v>
      </c>
      <c r="B187" t="s">
        <v>21</v>
      </c>
      <c r="C187" t="s">
        <v>19</v>
      </c>
      <c r="D187" t="s">
        <v>2</v>
      </c>
      <c r="E187" t="str">
        <f>_xlfn.XLOOKUP(D187,kategorie[Kategoria:],kategorie[Typ:],"",0,1)</f>
        <v>Wydatki</v>
      </c>
      <c r="F187" s="1">
        <v>45627</v>
      </c>
      <c r="G187">
        <f t="shared" si="4"/>
        <v>12</v>
      </c>
    </row>
    <row r="188" spans="1:7" x14ac:dyDescent="0.25">
      <c r="A188" s="3">
        <v>-5</v>
      </c>
      <c r="B188" t="s">
        <v>21</v>
      </c>
      <c r="C188" t="s">
        <v>19</v>
      </c>
      <c r="D188" t="s">
        <v>8</v>
      </c>
      <c r="E188" t="str">
        <f>_xlfn.XLOOKUP(D188,kategorie[Kategoria:],kategorie[Typ:],"",0,1)</f>
        <v>Wydatki</v>
      </c>
      <c r="F188" s="1">
        <v>45628</v>
      </c>
      <c r="G188">
        <f t="shared" si="4"/>
        <v>12</v>
      </c>
    </row>
    <row r="189" spans="1:7" x14ac:dyDescent="0.25">
      <c r="A189" s="3">
        <v>-100</v>
      </c>
      <c r="B189" t="s">
        <v>21</v>
      </c>
      <c r="C189" t="s">
        <v>19</v>
      </c>
      <c r="D189" t="s">
        <v>47</v>
      </c>
      <c r="E189" t="str">
        <f>_xlfn.XLOOKUP(D189,kategorie[Kategoria:],kategorie[Typ:],"",0,1)</f>
        <v>Wydatki</v>
      </c>
      <c r="F189" s="1">
        <v>45628</v>
      </c>
      <c r="G189">
        <f t="shared" si="4"/>
        <v>12</v>
      </c>
    </row>
    <row r="190" spans="1:7" x14ac:dyDescent="0.25">
      <c r="A190" s="3">
        <v>-60</v>
      </c>
      <c r="B190" t="s">
        <v>21</v>
      </c>
      <c r="C190" t="s">
        <v>19</v>
      </c>
      <c r="D190" t="s">
        <v>46</v>
      </c>
      <c r="E190" t="str">
        <f>_xlfn.XLOOKUP(D190,kategorie[Kategoria:],kategorie[Typ:],"",0,1)</f>
        <v>Wydatki</v>
      </c>
      <c r="F190" s="1">
        <v>45628</v>
      </c>
      <c r="G190">
        <f t="shared" si="4"/>
        <v>12</v>
      </c>
    </row>
    <row r="191" spans="1:7" x14ac:dyDescent="0.25">
      <c r="A191" s="3">
        <v>-5</v>
      </c>
      <c r="B191" t="s">
        <v>21</v>
      </c>
      <c r="C191" t="s">
        <v>19</v>
      </c>
      <c r="D191" t="s">
        <v>8</v>
      </c>
      <c r="E191" t="str">
        <f>_xlfn.XLOOKUP(D191,kategorie[Kategoria:],kategorie[Typ:],"",0,1)</f>
        <v>Wydatki</v>
      </c>
      <c r="F191" s="1">
        <v>45628</v>
      </c>
      <c r="G191">
        <f t="shared" si="4"/>
        <v>12</v>
      </c>
    </row>
    <row r="192" spans="1:7" x14ac:dyDescent="0.25">
      <c r="A192" s="3">
        <v>-100</v>
      </c>
      <c r="B192" t="s">
        <v>21</v>
      </c>
      <c r="C192" t="s">
        <v>19</v>
      </c>
      <c r="D192" t="s">
        <v>47</v>
      </c>
      <c r="E192" t="str">
        <f>_xlfn.XLOOKUP(D192,kategorie[Kategoria:],kategorie[Typ:],"",0,1)</f>
        <v>Wydatki</v>
      </c>
      <c r="F192" s="1">
        <v>45628</v>
      </c>
      <c r="G192">
        <f t="shared" si="4"/>
        <v>12</v>
      </c>
    </row>
    <row r="193" spans="1:7" x14ac:dyDescent="0.25">
      <c r="A193" s="3">
        <v>-60</v>
      </c>
      <c r="B193" t="s">
        <v>21</v>
      </c>
      <c r="C193" t="s">
        <v>19</v>
      </c>
      <c r="D193" t="s">
        <v>46</v>
      </c>
      <c r="E193" t="str">
        <f>_xlfn.XLOOKUP(D193,kategorie[Kategoria:],kategorie[Typ:],"",0,1)</f>
        <v>Wydatki</v>
      </c>
      <c r="F193" s="1">
        <v>45628</v>
      </c>
      <c r="G193">
        <f t="shared" si="4"/>
        <v>12</v>
      </c>
    </row>
    <row r="194" spans="1:7" x14ac:dyDescent="0.25">
      <c r="A194" s="3">
        <v>-150</v>
      </c>
      <c r="B194" t="s">
        <v>21</v>
      </c>
      <c r="C194" t="s">
        <v>19</v>
      </c>
      <c r="D194" t="s">
        <v>7</v>
      </c>
      <c r="E194" t="str">
        <f>_xlfn.XLOOKUP(D194,kategorie[Kategoria:],kategorie[Typ:],"",0,1)</f>
        <v>Wydatki</v>
      </c>
      <c r="F194" s="1">
        <v>45629</v>
      </c>
      <c r="G194">
        <f t="shared" si="4"/>
        <v>12</v>
      </c>
    </row>
    <row r="195" spans="1:7" x14ac:dyDescent="0.25">
      <c r="A195" s="3">
        <v>-150</v>
      </c>
      <c r="B195" t="s">
        <v>21</v>
      </c>
      <c r="C195" t="s">
        <v>19</v>
      </c>
      <c r="D195" t="s">
        <v>7</v>
      </c>
      <c r="E195" t="str">
        <f>_xlfn.XLOOKUP(D195,kategorie[Kategoria:],kategorie[Typ:],"",0,1)</f>
        <v>Wydatki</v>
      </c>
      <c r="F195" s="1">
        <v>45629</v>
      </c>
      <c r="G195">
        <f t="shared" ref="G195:G207" si="5">IF(ISBLANK(F195),"",MONTH(F195))</f>
        <v>12</v>
      </c>
    </row>
    <row r="196" spans="1:7" x14ac:dyDescent="0.25">
      <c r="A196" s="3">
        <v>-100</v>
      </c>
      <c r="B196" t="s">
        <v>21</v>
      </c>
      <c r="C196" t="s">
        <v>19</v>
      </c>
      <c r="D196" t="s">
        <v>2</v>
      </c>
      <c r="E196" t="str">
        <f>_xlfn.XLOOKUP(D196,kategorie[Kategoria:],kategorie[Typ:],"",0,1)</f>
        <v>Wydatki</v>
      </c>
      <c r="F196" s="1">
        <v>45632</v>
      </c>
      <c r="G196">
        <f t="shared" si="5"/>
        <v>12</v>
      </c>
    </row>
    <row r="197" spans="1:7" x14ac:dyDescent="0.25">
      <c r="A197" s="3">
        <v>-100</v>
      </c>
      <c r="B197" t="s">
        <v>21</v>
      </c>
      <c r="C197" t="s">
        <v>19</v>
      </c>
      <c r="D197" t="s">
        <v>2</v>
      </c>
      <c r="E197" t="str">
        <f>_xlfn.XLOOKUP(D197,kategorie[Kategoria:],kategorie[Typ:],"",0,1)</f>
        <v>Wydatki</v>
      </c>
      <c r="F197" s="1">
        <v>45632</v>
      </c>
      <c r="G197">
        <f t="shared" si="5"/>
        <v>12</v>
      </c>
    </row>
    <row r="198" spans="1:7" x14ac:dyDescent="0.25">
      <c r="A198" s="3">
        <v>4500</v>
      </c>
      <c r="B198" t="s">
        <v>21</v>
      </c>
      <c r="C198" t="s">
        <v>19</v>
      </c>
      <c r="D198" t="s">
        <v>11</v>
      </c>
      <c r="E198" t="str">
        <f>_xlfn.XLOOKUP(D198,kategorie[Kategoria:],kategorie[Typ:],"",0,1)</f>
        <v>Wpływy</v>
      </c>
      <c r="F198" s="1">
        <v>45636</v>
      </c>
      <c r="G198">
        <f t="shared" si="5"/>
        <v>12</v>
      </c>
    </row>
    <row r="199" spans="1:7" x14ac:dyDescent="0.25">
      <c r="A199" s="3">
        <v>-2000</v>
      </c>
      <c r="B199" t="s">
        <v>21</v>
      </c>
      <c r="C199" t="s">
        <v>19</v>
      </c>
      <c r="D199" t="s">
        <v>4</v>
      </c>
      <c r="E199" t="str">
        <f>_xlfn.XLOOKUP(D199,kategorie[Kategoria:],kategorie[Typ:],"",0,1)</f>
        <v>Wydatki</v>
      </c>
      <c r="F199" s="1">
        <v>45637</v>
      </c>
      <c r="G199">
        <f t="shared" si="5"/>
        <v>12</v>
      </c>
    </row>
    <row r="200" spans="1:7" x14ac:dyDescent="0.25">
      <c r="A200" s="3">
        <v>-50</v>
      </c>
      <c r="B200" t="s">
        <v>21</v>
      </c>
      <c r="C200" t="s">
        <v>19</v>
      </c>
      <c r="D200" t="s">
        <v>7</v>
      </c>
      <c r="E200" t="str">
        <f>_xlfn.XLOOKUP(D200,kategorie[Kategoria:],kategorie[Typ:],"",0,1)</f>
        <v>Wydatki</v>
      </c>
      <c r="F200" s="1">
        <v>45640</v>
      </c>
      <c r="G200">
        <f t="shared" si="5"/>
        <v>12</v>
      </c>
    </row>
    <row r="201" spans="1:7" x14ac:dyDescent="0.25">
      <c r="A201" s="3">
        <v>-100</v>
      </c>
      <c r="B201" t="s">
        <v>21</v>
      </c>
      <c r="C201" t="s">
        <v>19</v>
      </c>
      <c r="D201" t="s">
        <v>5</v>
      </c>
      <c r="E201" t="str">
        <f>_xlfn.XLOOKUP(D201,kategorie[Kategoria:],kategorie[Typ:],"",0,1)</f>
        <v>Wydatki</v>
      </c>
      <c r="F201" s="1">
        <v>45641</v>
      </c>
      <c r="G201">
        <f t="shared" si="5"/>
        <v>12</v>
      </c>
    </row>
    <row r="202" spans="1:7" x14ac:dyDescent="0.25">
      <c r="A202" s="3">
        <v>-100</v>
      </c>
      <c r="B202" t="s">
        <v>21</v>
      </c>
      <c r="C202" t="s">
        <v>19</v>
      </c>
      <c r="D202" t="s">
        <v>2</v>
      </c>
      <c r="E202" t="str">
        <f>_xlfn.XLOOKUP(D202,kategorie[Kategoria:],kategorie[Typ:],"",0,1)</f>
        <v>Wydatki</v>
      </c>
      <c r="F202" s="1">
        <v>45644</v>
      </c>
      <c r="G202">
        <f t="shared" si="5"/>
        <v>12</v>
      </c>
    </row>
    <row r="203" spans="1:7" x14ac:dyDescent="0.25">
      <c r="A203" s="3">
        <v>500</v>
      </c>
      <c r="B203" t="s">
        <v>31</v>
      </c>
      <c r="C203" t="s">
        <v>32</v>
      </c>
      <c r="D203" t="s">
        <v>48</v>
      </c>
      <c r="E203" t="str">
        <f>_xlfn.XLOOKUP(D203,kategorie[Kategoria:],kategorie[Typ:],"",0,1)</f>
        <v>Wpływy</v>
      </c>
      <c r="F203" s="1">
        <v>45648</v>
      </c>
      <c r="G203">
        <f t="shared" si="5"/>
        <v>12</v>
      </c>
    </row>
    <row r="204" spans="1:7" x14ac:dyDescent="0.25">
      <c r="A204" s="3">
        <v>-100</v>
      </c>
      <c r="B204" t="s">
        <v>31</v>
      </c>
      <c r="C204" t="s">
        <v>32</v>
      </c>
      <c r="D204" t="s">
        <v>7</v>
      </c>
      <c r="E204" t="str">
        <f>_xlfn.XLOOKUP(D204,kategorie[Kategoria:],kategorie[Typ:],"",0,1)</f>
        <v>Wydatki</v>
      </c>
      <c r="F204" s="1">
        <v>45649</v>
      </c>
      <c r="G204">
        <f t="shared" si="5"/>
        <v>12</v>
      </c>
    </row>
    <row r="205" spans="1:7" x14ac:dyDescent="0.25">
      <c r="A205" s="3">
        <v>1500</v>
      </c>
      <c r="B205" t="s">
        <v>31</v>
      </c>
      <c r="C205" t="s">
        <v>32</v>
      </c>
      <c r="D205" t="s">
        <v>48</v>
      </c>
      <c r="E205" t="str">
        <f>_xlfn.XLOOKUP(D205,kategorie[Kategoria:],kategorie[Typ:],"",0,1)</f>
        <v>Wpływy</v>
      </c>
      <c r="F205" s="1">
        <v>45650</v>
      </c>
      <c r="G205">
        <f t="shared" si="5"/>
        <v>12</v>
      </c>
    </row>
    <row r="206" spans="1:7" x14ac:dyDescent="0.25">
      <c r="A206" s="3">
        <v>-500</v>
      </c>
      <c r="B206" t="s">
        <v>31</v>
      </c>
      <c r="C206" t="s">
        <v>32</v>
      </c>
      <c r="D206" t="s">
        <v>47</v>
      </c>
      <c r="E206" t="str">
        <f>_xlfn.XLOOKUP(D206,kategorie[Kategoria:],kategorie[Typ:],"",0,1)</f>
        <v>Wydatki</v>
      </c>
      <c r="F206" s="1">
        <v>45654</v>
      </c>
      <c r="G206">
        <f t="shared" si="5"/>
        <v>12</v>
      </c>
    </row>
    <row r="207" spans="1:7" x14ac:dyDescent="0.25">
      <c r="A207" s="3">
        <v>-300</v>
      </c>
      <c r="B207" t="s">
        <v>31</v>
      </c>
      <c r="C207" t="s">
        <v>32</v>
      </c>
      <c r="D207" t="s">
        <v>2</v>
      </c>
      <c r="E207" t="str">
        <f>_xlfn.XLOOKUP(D207,kategorie[Kategoria:],kategorie[Typ:],"",0,1)</f>
        <v>Wydatki</v>
      </c>
      <c r="F207" s="1">
        <v>45656</v>
      </c>
      <c r="G207">
        <f t="shared" si="5"/>
        <v>12</v>
      </c>
    </row>
    <row r="208" spans="1:7" x14ac:dyDescent="0.25">
      <c r="A208" s="3"/>
      <c r="F208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26A7EC6-2587-4F47-88AD-1CFD03FC05C7}">
          <x14:formula1>
            <xm:f>CHOOSE(MATCH(B208,Kategorie!$G$1:$I$1,0),Kategorie!$G$2:$G$4,Kategorie!$H$2:$H$3,Kategorie!$I$2:$I$3)</xm:f>
          </x14:formula1>
          <xm:sqref>C208</xm:sqref>
        </x14:dataValidation>
        <x14:dataValidation type="list" allowBlank="1" showInputMessage="1" showErrorMessage="1" xr:uid="{98BE18E6-5C77-43B7-AE9C-B0AE463E3CD6}">
          <x14:formula1>
            <xm:f>Kategorie!$G$1:$I$1</xm:f>
          </x14:formula1>
          <xm:sqref>B2:B207</xm:sqref>
        </x14:dataValidation>
        <x14:dataValidation type="list" allowBlank="1" showInputMessage="1" showErrorMessage="1" xr:uid="{04DBC01E-C9B3-467F-9228-D0F82B4A86F3}">
          <x14:formula1>
            <xm:f>Kategorie!$A$2:$A$18</xm:f>
          </x14:formula1>
          <xm:sqref>D2:D207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68A4-0A74-489E-B756-84EB81D1AF26}">
  <dimension ref="A1:H18"/>
  <sheetViews>
    <sheetView zoomScale="150" zoomScaleNormal="150" workbookViewId="0">
      <selection activeCell="D1" sqref="D1"/>
    </sheetView>
  </sheetViews>
  <sheetFormatPr defaultRowHeight="15" x14ac:dyDescent="0.25"/>
  <cols>
    <col min="1" max="1" width="12.42578125" customWidth="1"/>
    <col min="2" max="2" width="18" customWidth="1"/>
    <col min="3" max="3" width="22.85546875" customWidth="1"/>
    <col min="4" max="4" width="14.140625" customWidth="1"/>
    <col min="5" max="5" width="19" customWidth="1"/>
    <col min="7" max="7" width="20.140625" customWidth="1"/>
    <col min="8" max="8" width="10.5703125" bestFit="1" customWidth="1"/>
    <col min="9" max="10" width="9.140625" customWidth="1"/>
  </cols>
  <sheetData>
    <row r="1" spans="1:8" x14ac:dyDescent="0.25">
      <c r="A1" t="s">
        <v>20</v>
      </c>
      <c r="B1" t="s">
        <v>27</v>
      </c>
      <c r="C1" t="s">
        <v>34</v>
      </c>
      <c r="D1" t="s">
        <v>35</v>
      </c>
      <c r="E1" t="s">
        <v>36</v>
      </c>
      <c r="G1" t="s">
        <v>42</v>
      </c>
      <c r="H1" t="s">
        <v>37</v>
      </c>
    </row>
    <row r="2" spans="1:8" x14ac:dyDescent="0.25">
      <c r="A2" t="s">
        <v>21</v>
      </c>
      <c r="B2" t="s">
        <v>19</v>
      </c>
      <c r="C2" s="2">
        <v>600</v>
      </c>
      <c r="D2" s="2">
        <f>SUMIFS(operacje[Kwota],operacje[Bank],styczeń_saldo[[#This Row],[Bank]],operacje[Produkt],styczeń_saldo[[#This Row],[Produkt]],operacje[Miesiąc],$B$11)</f>
        <v>1100</v>
      </c>
      <c r="E2" s="2">
        <f>styczeń_saldo[[#This Row],[Saldo początkowe]]+styczeń_saldo[[#This Row],[Operacje]]</f>
        <v>1700</v>
      </c>
      <c r="G2" t="s">
        <v>2</v>
      </c>
      <c r="H2" s="3">
        <f>SUMIFS(operacje[Kwota],operacje[Kategoria],$G2,operacje[Miesiąc],$B$11)</f>
        <v>-1715</v>
      </c>
    </row>
    <row r="3" spans="1:8" x14ac:dyDescent="0.25">
      <c r="A3" t="s">
        <v>21</v>
      </c>
      <c r="B3" t="s">
        <v>23</v>
      </c>
      <c r="C3" s="2">
        <v>200</v>
      </c>
      <c r="D3" s="2">
        <f>SUMIFS(operacje[Kwota],operacje[Bank],styczeń_saldo[[#This Row],[Bank]],operacje[Produkt],styczeń_saldo[[#This Row],[Produkt]],operacje[Miesiąc],$B$11)</f>
        <v>-175</v>
      </c>
      <c r="E3" s="2">
        <f>styczeń_saldo[[#This Row],[Saldo początkowe]]+styczeń_saldo[[#This Row],[Operacje]]</f>
        <v>25</v>
      </c>
      <c r="G3" t="s">
        <v>3</v>
      </c>
      <c r="H3" s="3">
        <f>SUMIFS(operacje[Kwota],operacje[Kategoria],$G3,operacje[Miesiąc],$B$11)</f>
        <v>-80</v>
      </c>
    </row>
    <row r="4" spans="1:8" x14ac:dyDescent="0.25">
      <c r="A4" t="s">
        <v>21</v>
      </c>
      <c r="B4" t="s">
        <v>24</v>
      </c>
      <c r="C4" s="2">
        <v>2000</v>
      </c>
      <c r="D4" s="2">
        <f>SUMIFS(operacje[Kwota],operacje[Bank],styczeń_saldo[[#This Row],[Bank]],operacje[Produkt],styczeń_saldo[[#This Row],[Produkt]],operacje[Miesiąc],$B$11)</f>
        <v>-400</v>
      </c>
      <c r="E4" s="2">
        <f>styczeń_saldo[[#This Row],[Saldo początkowe]]+styczeń_saldo[[#This Row],[Operacje]]</f>
        <v>1600</v>
      </c>
      <c r="G4" t="s">
        <v>45</v>
      </c>
      <c r="H4" s="3">
        <f>SUMIFS(operacje[Kwota],operacje[Kategoria],$G4,operacje[Miesiąc],$B$11)</f>
        <v>-150</v>
      </c>
    </row>
    <row r="5" spans="1:8" x14ac:dyDescent="0.25">
      <c r="A5" t="s">
        <v>22</v>
      </c>
      <c r="B5" t="s">
        <v>19</v>
      </c>
      <c r="C5" s="2">
        <v>100</v>
      </c>
      <c r="D5" s="2">
        <f>SUMIFS(operacje[Kwota],operacje[Bank],styczeń_saldo[[#This Row],[Bank]],operacje[Produkt],styczeń_saldo[[#This Row],[Produkt]],operacje[Miesiąc],$B$11)</f>
        <v>-35</v>
      </c>
      <c r="E5" s="2">
        <f>styczeń_saldo[[#This Row],[Saldo początkowe]]+styczeń_saldo[[#This Row],[Operacje]]</f>
        <v>65</v>
      </c>
      <c r="G5" t="s">
        <v>4</v>
      </c>
      <c r="H5" s="3">
        <f>SUMIFS(operacje[Kwota],operacje[Kategoria],$G5,operacje[Miesiąc],$B$11)</f>
        <v>-2000</v>
      </c>
    </row>
    <row r="6" spans="1:8" x14ac:dyDescent="0.25">
      <c r="A6" t="s">
        <v>22</v>
      </c>
      <c r="B6" t="s">
        <v>25</v>
      </c>
      <c r="C6" s="2">
        <v>25</v>
      </c>
      <c r="D6" s="2">
        <f>SUMIFS(operacje[Kwota],operacje[Bank],styczeń_saldo[[#This Row],[Bank]],operacje[Produkt],styczeń_saldo[[#This Row],[Produkt]],operacje[Miesiąc],$B$11)</f>
        <v>255.5</v>
      </c>
      <c r="E6" s="2">
        <f>styczeń_saldo[[#This Row],[Saldo początkowe]]+styczeń_saldo[[#This Row],[Operacje]]</f>
        <v>280.5</v>
      </c>
      <c r="G6" t="s">
        <v>5</v>
      </c>
      <c r="H6" s="3">
        <f>SUMIFS(operacje[Kwota],operacje[Kategoria],$G6,operacje[Miesiąc],$B$11)</f>
        <v>-100</v>
      </c>
    </row>
    <row r="7" spans="1:8" x14ac:dyDescent="0.25">
      <c r="A7" t="s">
        <v>31</v>
      </c>
      <c r="B7" t="s">
        <v>32</v>
      </c>
      <c r="C7" s="2">
        <v>9.5</v>
      </c>
      <c r="D7" s="2">
        <f>SUMIFS(operacje[Kwota],operacje[Bank],styczeń_saldo[[#This Row],[Bank]],operacje[Produkt],styczeń_saldo[[#This Row],[Produkt]],operacje[Miesiąc],$B$11)</f>
        <v>150</v>
      </c>
      <c r="E7" s="2">
        <f>styczeń_saldo[[#This Row],[Saldo początkowe]]+styczeń_saldo[[#This Row],[Operacje]]</f>
        <v>159.5</v>
      </c>
      <c r="G7" t="s">
        <v>7</v>
      </c>
      <c r="H7" s="3">
        <f>SUMIFS(operacje[Kwota],operacje[Kategoria],$G7,operacje[Miesiąc],$B$11)</f>
        <v>-85</v>
      </c>
    </row>
    <row r="8" spans="1:8" x14ac:dyDescent="0.25">
      <c r="A8" t="s">
        <v>31</v>
      </c>
      <c r="B8" t="s">
        <v>33</v>
      </c>
      <c r="C8" s="2">
        <v>50</v>
      </c>
      <c r="D8" s="2">
        <f>SUMIFS(operacje[Kwota],operacje[Bank],styczeń_saldo[[#This Row],[Bank]],operacje[Produkt],styczeń_saldo[[#This Row],[Produkt]],operacje[Miesiąc],$B$11)</f>
        <v>-50</v>
      </c>
      <c r="E8" s="2">
        <f>styczeń_saldo[[#This Row],[Saldo początkowe]]+styczeń_saldo[[#This Row],[Operacje]]</f>
        <v>0</v>
      </c>
      <c r="G8" t="s">
        <v>8</v>
      </c>
      <c r="H8" s="3">
        <f>SUMIFS(operacje[Kwota],operacje[Kategoria],$G8,operacje[Miesiąc],$B$11)</f>
        <v>-100</v>
      </c>
    </row>
    <row r="9" spans="1:8" x14ac:dyDescent="0.25">
      <c r="A9" t="s">
        <v>37</v>
      </c>
      <c r="C9" s="2">
        <f>SUM(C2:C8)</f>
        <v>2984.5</v>
      </c>
      <c r="D9" s="2">
        <f>SUM(D2:D8)</f>
        <v>845.5</v>
      </c>
      <c r="E9" s="2">
        <f>SUM(E2:E8)</f>
        <v>3830</v>
      </c>
      <c r="G9" t="s">
        <v>46</v>
      </c>
      <c r="H9" s="3">
        <f>SUMIFS(operacje[Kwota],operacje[Kategoria],$G9,operacje[Miesiąc],$B$11)</f>
        <v>-80</v>
      </c>
    </row>
    <row r="10" spans="1:8" x14ac:dyDescent="0.25">
      <c r="G10" t="s">
        <v>9</v>
      </c>
      <c r="H10" s="3">
        <f>SUMIFS(operacje[Kwota],operacje[Kategoria],$G10,operacje[Miesiąc],$B$11)</f>
        <v>-500</v>
      </c>
    </row>
    <row r="11" spans="1:8" x14ac:dyDescent="0.25">
      <c r="A11" t="s">
        <v>38</v>
      </c>
      <c r="B11">
        <v>1</v>
      </c>
      <c r="C11" t="str">
        <f>TEXT(DATE(2025,B11,1),"mmmm")</f>
        <v>styczeń</v>
      </c>
      <c r="G11" t="s">
        <v>11</v>
      </c>
      <c r="H11" s="3">
        <f>SUMIFS(operacje[Kwota],operacje[Kategoria],$G11,operacje[Miesiąc],$B$11)</f>
        <v>4500</v>
      </c>
    </row>
    <row r="12" spans="1:8" x14ac:dyDescent="0.25">
      <c r="G12" t="s">
        <v>12</v>
      </c>
      <c r="H12" s="3">
        <f>SUMIFS(operacje[Kwota],operacje[Kategoria],$G12,operacje[Miesiąc],$B$11)</f>
        <v>250</v>
      </c>
    </row>
    <row r="13" spans="1:8" x14ac:dyDescent="0.25">
      <c r="A13" t="s">
        <v>39</v>
      </c>
      <c r="B13" s="2">
        <f>SUMIFS(operacje[Kwota],operacje[Typ],$A13,operacje[Miesiąc],$B$11)</f>
        <v>5655.5</v>
      </c>
      <c r="G13" t="s">
        <v>13</v>
      </c>
      <c r="H13" s="3">
        <f>SUMIFS(operacje[Kwota],operacje[Kategoria],$G13,operacje[Miesiąc],$B$11)</f>
        <v>0</v>
      </c>
    </row>
    <row r="14" spans="1:8" x14ac:dyDescent="0.25">
      <c r="A14" t="s">
        <v>40</v>
      </c>
      <c r="B14" s="2">
        <f>SUMIFS(operacje[Kwota],operacje[Typ],$A14,operacje[Miesiąc],$B$11)</f>
        <v>-4810</v>
      </c>
      <c r="G14" t="s">
        <v>14</v>
      </c>
      <c r="H14" s="3">
        <f>SUMIFS(operacje[Kwota],operacje[Kategoria],$G14,operacje[Miesiąc],$B$11)</f>
        <v>0</v>
      </c>
    </row>
    <row r="15" spans="1:8" x14ac:dyDescent="0.25">
      <c r="A15" t="s">
        <v>41</v>
      </c>
      <c r="B15" s="2">
        <f>SUM(B13,B14)</f>
        <v>845.5</v>
      </c>
      <c r="G15" t="s">
        <v>15</v>
      </c>
      <c r="H15" s="3">
        <f>SUMIFS(operacje[Kwota],operacje[Kategoria],$G15,operacje[Miesiąc],$B$11)</f>
        <v>105.5</v>
      </c>
    </row>
    <row r="16" spans="1:8" x14ac:dyDescent="0.25">
      <c r="G16" t="s">
        <v>16</v>
      </c>
      <c r="H16" s="3">
        <f>SUMIFS(operacje[Kwota],operacje[Kategoria],$G16,operacje[Miesiąc],$B$11)</f>
        <v>0</v>
      </c>
    </row>
    <row r="17" spans="7:8" x14ac:dyDescent="0.25">
      <c r="G17" t="s">
        <v>17</v>
      </c>
      <c r="H17" s="3">
        <f>SUMIFS(operacje[Kwota],operacje[Kategoria],$G17,operacje[Miesiąc],$B$11)</f>
        <v>800</v>
      </c>
    </row>
    <row r="18" spans="7:8" x14ac:dyDescent="0.25">
      <c r="H18" s="3"/>
    </row>
  </sheetData>
  <conditionalFormatting sqref="G2:G4">
    <cfRule type="expression" dxfId="25" priority="1">
      <formula>$B1="Wydatki"</formula>
    </cfRule>
    <cfRule type="expression" dxfId="24" priority="2">
      <formula>$B1="Wpływy"</formula>
    </cfRule>
  </conditionalFormatting>
  <conditionalFormatting sqref="G5:G18">
    <cfRule type="expression" dxfId="23" priority="3">
      <formula>$B4="Wydatki"</formula>
    </cfRule>
    <cfRule type="expression" dxfId="22" priority="4">
      <formula>$B4="Wpływy"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4CC0-E964-45DD-BE23-CA627769F61D}">
  <dimension ref="A1:H17"/>
  <sheetViews>
    <sheetView zoomScale="145" zoomScaleNormal="145" workbookViewId="0">
      <selection activeCell="I15" sqref="I15"/>
    </sheetView>
  </sheetViews>
  <sheetFormatPr defaultRowHeight="15" x14ac:dyDescent="0.25"/>
  <cols>
    <col min="1" max="1" width="12.42578125" customWidth="1"/>
    <col min="2" max="2" width="18" customWidth="1"/>
    <col min="3" max="3" width="22.85546875" customWidth="1"/>
    <col min="4" max="4" width="14.140625" customWidth="1"/>
    <col min="5" max="5" width="19" customWidth="1"/>
    <col min="7" max="7" width="20.140625" customWidth="1"/>
    <col min="8" max="8" width="15.28515625" customWidth="1"/>
    <col min="9" max="10" width="9.140625" customWidth="1"/>
  </cols>
  <sheetData>
    <row r="1" spans="1:8" x14ac:dyDescent="0.25">
      <c r="A1" t="s">
        <v>20</v>
      </c>
      <c r="B1" t="s">
        <v>27</v>
      </c>
      <c r="C1" t="s">
        <v>34</v>
      </c>
      <c r="D1" t="s">
        <v>35</v>
      </c>
      <c r="E1" t="s">
        <v>36</v>
      </c>
      <c r="G1" t="s">
        <v>42</v>
      </c>
      <c r="H1" t="s">
        <v>37</v>
      </c>
    </row>
    <row r="2" spans="1:8" x14ac:dyDescent="0.25">
      <c r="A2" t="s">
        <v>21</v>
      </c>
      <c r="B2" t="s">
        <v>19</v>
      </c>
      <c r="C2" s="2" cm="1">
        <f t="array" aca="1" ref="C2" ca="1">INDIRECT(TEXT(DATE(2025,$B$11-1,1),"mmmm")&amp;"!E"&amp;ROW())</f>
        <v>1700</v>
      </c>
      <c r="D2" s="2">
        <f>SUMIFS(operacje[Kwota],operacje[Bank],luty_saldo[[#This Row],[Bank]],operacje[Produkt],luty_saldo[[#This Row],[Produkt]],operacje[Miesiąc],$B$11)</f>
        <v>2039.5</v>
      </c>
      <c r="E2" s="2">
        <f ca="1">luty_saldo[[#This Row],[Saldo początkowe]]+luty_saldo[[#This Row],[Operacje]]</f>
        <v>3739.5</v>
      </c>
      <c r="G2" t="s">
        <v>2</v>
      </c>
      <c r="H2" s="3">
        <f>SUMIFS(operacje[Kwota],operacje[Kategoria],$G2,operacje[Miesiąc],$B$11)</f>
        <v>-405.5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25</v>
      </c>
      <c r="D3" s="2">
        <f>SUMIFS(operacje[Kwota],operacje[Bank],luty_saldo[[#This Row],[Bank]],operacje[Produkt],luty_saldo[[#This Row],[Produkt]],operacje[Miesiąc],$B$11)</f>
        <v>175</v>
      </c>
      <c r="E3" s="2">
        <f ca="1">luty_saldo[[#This Row],[Saldo początkowe]]+luty_saldo[[#This Row],[Operacje]]</f>
        <v>200</v>
      </c>
      <c r="G3" t="s">
        <v>3</v>
      </c>
      <c r="H3" s="3">
        <f>SUMIFS(operacje[Kwota],operacje[Kategoria],$G3,operacje[Miesiąc],$B$11)</f>
        <v>-80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1600</v>
      </c>
      <c r="D4" s="2">
        <f>SUMIFS(operacje[Kwota],operacje[Bank],luty_saldo[[#This Row],[Bank]],operacje[Produkt],luty_saldo[[#This Row],[Produkt]],operacje[Miesiąc],$B$11)</f>
        <v>-400</v>
      </c>
      <c r="E4" s="2">
        <f ca="1">luty_saldo[[#This Row],[Saldo początkowe]]+luty_saldo[[#This Row],[Operacje]]</f>
        <v>1200</v>
      </c>
      <c r="G4" t="s">
        <v>45</v>
      </c>
      <c r="H4" s="3">
        <f>SUMIFS(operacje[Kwota],operacje[Kategoria],$G4,operacje[Miesiąc],$B$11)</f>
        <v>-150</v>
      </c>
    </row>
    <row r="5" spans="1:8" x14ac:dyDescent="0.25">
      <c r="A5" t="s">
        <v>22</v>
      </c>
      <c r="B5" t="s">
        <v>19</v>
      </c>
      <c r="C5" s="2" cm="1">
        <f t="array" aca="1" ref="C5" ca="1">INDIRECT(TEXT(DATE(2025,$B$11-1,1),"mmmm")&amp;"!E"&amp;ROW())</f>
        <v>65</v>
      </c>
      <c r="D5" s="2">
        <f>SUMIFS(operacje[Kwota],operacje[Bank],luty_saldo[[#This Row],[Bank]],operacje[Produkt],luty_saldo[[#This Row],[Produkt]],operacje[Miesiąc],$B$11)</f>
        <v>35</v>
      </c>
      <c r="E5" s="2">
        <f ca="1">luty_saldo[[#This Row],[Saldo początkowe]]+luty_saldo[[#This Row],[Operacje]]</f>
        <v>100</v>
      </c>
      <c r="G5" t="s">
        <v>4</v>
      </c>
      <c r="H5" s="3">
        <f>SUMIFS(operacje[Kwota],operacje[Kategoria],$G5,operacje[Miesiąc],$B$11)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280.5</v>
      </c>
      <c r="D6" s="2">
        <f>SUMIFS(operacje[Kwota],operacje[Bank],luty_saldo[[#This Row],[Bank]],operacje[Produkt],luty_saldo[[#This Row],[Produkt]],operacje[Miesiąc],$B$11)</f>
        <v>15</v>
      </c>
      <c r="E6" s="2">
        <f ca="1">luty_saldo[[#This Row],[Saldo początkowe]]+luty_saldo[[#This Row],[Operacje]]</f>
        <v>295.5</v>
      </c>
      <c r="G6" t="s">
        <v>5</v>
      </c>
      <c r="H6" s="3">
        <f>SUMIFS(operacje[Kwota],operacje[Kategoria],$G6,operacje[Miesiąc],$B$11)</f>
        <v>-100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159.5</v>
      </c>
      <c r="D7" s="2">
        <f>SUMIFS(operacje[Kwota],operacje[Bank],luty_saldo[[#This Row],[Bank]],operacje[Produkt],luty_saldo[[#This Row],[Produkt]],operacje[Miesiąc],$B$11)</f>
        <v>500</v>
      </c>
      <c r="E7" s="2">
        <f ca="1">luty_saldo[[#This Row],[Saldo początkowe]]+luty_saldo[[#This Row],[Operacje]]</f>
        <v>659.5</v>
      </c>
      <c r="G7" t="s">
        <v>7</v>
      </c>
      <c r="H7" s="3">
        <f>SUMIFS(operacje[Kwota],operacje[Kategoria],$G7,operacje[Miesiąc],$B$11)</f>
        <v>-350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0</v>
      </c>
      <c r="D8" s="2">
        <f>SUMIFS(operacje[Kwota],operacje[Bank],luty_saldo[[#This Row],[Bank]],operacje[Produkt],luty_saldo[[#This Row],[Produkt]],operacje[Miesiąc],$B$11)</f>
        <v>100</v>
      </c>
      <c r="E8" s="2">
        <f ca="1">luty_saldo[[#This Row],[Saldo początkowe]]+luty_saldo[[#This Row],[Operacje]]</f>
        <v>100</v>
      </c>
      <c r="G8" t="s">
        <v>8</v>
      </c>
      <c r="H8" s="3">
        <f>SUMIFS(operacje[Kwota],operacje[Kategoria],$G8,operacje[Miesiąc],$B$11)</f>
        <v>-250</v>
      </c>
    </row>
    <row r="9" spans="1:8" x14ac:dyDescent="0.25">
      <c r="A9" t="s">
        <v>37</v>
      </c>
      <c r="C9" s="2">
        <f ca="1">SUM(C2:C8)</f>
        <v>3830</v>
      </c>
      <c r="D9" s="2">
        <f>SUM(D2:D8)</f>
        <v>2464.5</v>
      </c>
      <c r="E9" s="2">
        <f ca="1">SUM(E2:E8)</f>
        <v>6294.5</v>
      </c>
      <c r="G9" t="s">
        <v>46</v>
      </c>
      <c r="H9" s="3">
        <f>SUMIFS(operacje[Kwota],operacje[Kategoria],$G9,operacje[Miesiąc],$B$11)</f>
        <v>0</v>
      </c>
    </row>
    <row r="10" spans="1:8" x14ac:dyDescent="0.25">
      <c r="G10" t="s">
        <v>9</v>
      </c>
      <c r="H10" s="3">
        <f>SUMIFS(operacje[Kwota],operacje[Kategoria],$G10,operacje[Miesiąc],$B$11)</f>
        <v>-765</v>
      </c>
    </row>
    <row r="11" spans="1:8" x14ac:dyDescent="0.25">
      <c r="A11" t="s">
        <v>38</v>
      </c>
      <c r="B11">
        <v>2</v>
      </c>
      <c r="C11" t="str">
        <f>TEXT(DATE(2025,B11,1),"mmmm")</f>
        <v>luty</v>
      </c>
      <c r="G11" t="s">
        <v>11</v>
      </c>
      <c r="H11" s="3">
        <f>SUMIFS(operacje[Kwota],operacje[Kategoria],$G11,operacje[Miesiąc],$B$11)</f>
        <v>4500</v>
      </c>
    </row>
    <row r="12" spans="1:8" x14ac:dyDescent="0.25">
      <c r="G12" t="s">
        <v>12</v>
      </c>
      <c r="H12" s="3">
        <f>SUMIFS(operacje[Kwota],operacje[Kategoria],$G12,operacje[Miesiąc],$B$11)</f>
        <v>0</v>
      </c>
    </row>
    <row r="13" spans="1:8" x14ac:dyDescent="0.25">
      <c r="A13" t="s">
        <v>39</v>
      </c>
      <c r="B13" s="2">
        <f>SUMIFS(operacje[Kwota],operacje[Typ],$A13,operacje[Miesiąc],$B$11)</f>
        <v>6565</v>
      </c>
      <c r="G13" t="s">
        <v>13</v>
      </c>
      <c r="H13" s="3">
        <f>SUMIFS(operacje[Kwota],operacje[Kategoria],$G13,operacje[Miesiąc],$B$11)</f>
        <v>0</v>
      </c>
    </row>
    <row r="14" spans="1:8" x14ac:dyDescent="0.25">
      <c r="A14" t="s">
        <v>40</v>
      </c>
      <c r="B14" s="2">
        <f>SUMIFS(operacje[Kwota],operacje[Typ],$A14,operacje[Miesiąc],$B$11)</f>
        <v>-4100.5</v>
      </c>
      <c r="G14" t="s">
        <v>14</v>
      </c>
      <c r="H14" s="3">
        <f>SUMIFS(operacje[Kwota],operacje[Kategoria],$G14,operacje[Miesiąc],$B$11)</f>
        <v>0</v>
      </c>
    </row>
    <row r="15" spans="1:8" x14ac:dyDescent="0.25">
      <c r="A15" t="s">
        <v>41</v>
      </c>
      <c r="B15" s="2">
        <f>SUM(B13,B14)</f>
        <v>2464.5</v>
      </c>
      <c r="G15" t="s">
        <v>15</v>
      </c>
      <c r="H15" s="3">
        <f>SUMIFS(operacje[Kwota],operacje[Kategoria],$G15,operacje[Miesiąc],$B$11)</f>
        <v>115</v>
      </c>
    </row>
    <row r="16" spans="1:8" x14ac:dyDescent="0.25">
      <c r="G16" t="s">
        <v>16</v>
      </c>
      <c r="H16" s="3">
        <f>SUMIFS(operacje[Kwota],operacje[Kategoria],$G16,operacje[Miesiąc],$B$11)</f>
        <v>0</v>
      </c>
    </row>
    <row r="17" spans="7:8" x14ac:dyDescent="0.25">
      <c r="G17" t="s">
        <v>17</v>
      </c>
      <c r="H17" s="3">
        <f>SUMIFS(operacje[Kwota],operacje[Kategoria],$G17,operacje[Miesiąc],$B$11)</f>
        <v>1950</v>
      </c>
    </row>
  </sheetData>
  <phoneticPr fontId="1" type="noConversion"/>
  <conditionalFormatting sqref="G2:G17">
    <cfRule type="expression" dxfId="21" priority="3">
      <formula>$B1="Wydatki"</formula>
    </cfRule>
    <cfRule type="expression" dxfId="20" priority="4">
      <formula>$B1="Wpływy"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9876-4057-438F-93AB-3F1473A71A50}">
  <dimension ref="A1:H17"/>
  <sheetViews>
    <sheetView zoomScale="145" zoomScaleNormal="145" workbookViewId="0">
      <selection activeCell="C23" sqref="C23"/>
    </sheetView>
  </sheetViews>
  <sheetFormatPr defaultRowHeight="15" x14ac:dyDescent="0.25"/>
  <cols>
    <col min="1" max="1" width="12.42578125" customWidth="1"/>
    <col min="2" max="2" width="18" customWidth="1"/>
    <col min="3" max="3" width="22.85546875" customWidth="1"/>
    <col min="4" max="4" width="14.140625" customWidth="1"/>
    <col min="5" max="5" width="19" customWidth="1"/>
    <col min="7" max="7" width="20.140625" customWidth="1"/>
    <col min="8" max="8" width="17.140625" customWidth="1"/>
    <col min="9" max="10" width="9.140625" customWidth="1"/>
  </cols>
  <sheetData>
    <row r="1" spans="1:8" x14ac:dyDescent="0.25">
      <c r="A1" t="s">
        <v>20</v>
      </c>
      <c r="B1" t="s">
        <v>27</v>
      </c>
      <c r="C1" t="s">
        <v>34</v>
      </c>
      <c r="D1" t="s">
        <v>35</v>
      </c>
      <c r="E1" t="s">
        <v>36</v>
      </c>
      <c r="G1" t="s">
        <v>42</v>
      </c>
      <c r="H1" t="s">
        <v>37</v>
      </c>
    </row>
    <row r="2" spans="1:8" x14ac:dyDescent="0.25">
      <c r="A2" t="s">
        <v>21</v>
      </c>
      <c r="B2" t="s">
        <v>19</v>
      </c>
      <c r="C2" s="2" cm="1">
        <f t="array" aca="1" ref="C2" ca="1">INDIRECT(TEXT(DATE(2025,$B$11-1,1),"mmmm")&amp;"!E"&amp;ROW())</f>
        <v>3739.5</v>
      </c>
      <c r="D2" s="2">
        <f>SUMIFS(operacje[Kwota],operacje[Bank],marzec_saldo[[#This Row],[Bank]],operacje[Produkt],marzec_saldo[[#This Row],[Produkt]],operacje[Miesiąc],$B$11)</f>
        <v>821.59999999999991</v>
      </c>
      <c r="E2" s="2">
        <f ca="1">marzec_saldo[[#This Row],[Saldo początkowe]]+marzec_saldo[[#This Row],[Operacje]]</f>
        <v>4561.1000000000004</v>
      </c>
      <c r="G2" t="s">
        <v>2</v>
      </c>
      <c r="H2" s="3">
        <f>SUMIFS(operacje[Kwota],operacje[Kategoria],$G2,operacje[Miesiąc],$B$11)</f>
        <v>-734.99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200</v>
      </c>
      <c r="D3" s="2">
        <f>SUMIFS(operacje[Kwota],operacje[Bank],marzec_saldo[[#This Row],[Bank]],operacje[Produkt],marzec_saldo[[#This Row],[Produkt]],operacje[Miesiąc],$B$11)</f>
        <v>-104.5</v>
      </c>
      <c r="E3" s="2">
        <f ca="1">marzec_saldo[[#This Row],[Saldo początkowe]]+marzec_saldo[[#This Row],[Operacje]]</f>
        <v>95.5</v>
      </c>
      <c r="G3" t="s">
        <v>3</v>
      </c>
      <c r="H3" s="3">
        <f>SUMIFS(operacje[Kwota],operacje[Kategoria],$G3,operacje[Miesiąc],$B$11)</f>
        <v>-82.5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1200</v>
      </c>
      <c r="D4" s="2">
        <f>SUMIFS(operacje[Kwota],operacje[Bank],marzec_saldo[[#This Row],[Bank]],operacje[Produkt],marzec_saldo[[#This Row],[Produkt]],operacje[Miesiąc],$B$11)</f>
        <v>0</v>
      </c>
      <c r="E4" s="2">
        <f ca="1">marzec_saldo[[#This Row],[Saldo początkowe]]+marzec_saldo[[#This Row],[Operacje]]</f>
        <v>1200</v>
      </c>
      <c r="G4" t="s">
        <v>45</v>
      </c>
      <c r="H4" s="3">
        <f>SUMIFS(operacje[Kwota],operacje[Kategoria],$G4,operacje[Miesiąc],$B$11)</f>
        <v>-23</v>
      </c>
    </row>
    <row r="5" spans="1:8" x14ac:dyDescent="0.25">
      <c r="A5" t="s">
        <v>22</v>
      </c>
      <c r="B5" t="s">
        <v>19</v>
      </c>
      <c r="C5" s="2" cm="1">
        <f t="array" aca="1" ref="C5" ca="1">INDIRECT(TEXT(DATE(2025,$B$11-1,1),"mmmm")&amp;"!E"&amp;ROW())</f>
        <v>100</v>
      </c>
      <c r="D5" s="2">
        <f>SUMIFS(operacje[Kwota],operacje[Bank],marzec_saldo[[#This Row],[Bank]],operacje[Produkt],marzec_saldo[[#This Row],[Produkt]],operacje[Miesiąc],$B$11)</f>
        <v>67.5</v>
      </c>
      <c r="E5" s="2">
        <f ca="1">marzec_saldo[[#This Row],[Saldo początkowe]]+marzec_saldo[[#This Row],[Operacje]]</f>
        <v>167.5</v>
      </c>
      <c r="G5" t="s">
        <v>4</v>
      </c>
      <c r="H5" s="3">
        <f>SUMIFS(operacje[Kwota],operacje[Kategoria],$G5,operacje[Miesiąc],$B$11)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295.5</v>
      </c>
      <c r="D6" s="2">
        <f>SUMIFS(operacje[Kwota],operacje[Bank],marzec_saldo[[#This Row],[Bank]],operacje[Produkt],marzec_saldo[[#This Row],[Produkt]],operacje[Miesiąc],$B$11)</f>
        <v>5</v>
      </c>
      <c r="E6" s="2">
        <f ca="1">marzec_saldo[[#This Row],[Saldo początkowe]]+marzec_saldo[[#This Row],[Operacje]]</f>
        <v>300.5</v>
      </c>
      <c r="G6" t="s">
        <v>5</v>
      </c>
      <c r="H6" s="3">
        <f>SUMIFS(operacje[Kwota],operacje[Kategoria],$G6,operacje[Miesiąc],$B$11)</f>
        <v>-79.5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659.5</v>
      </c>
      <c r="D7" s="2">
        <f>SUMIFS(operacje[Kwota],operacje[Bank],marzec_saldo[[#This Row],[Bank]],operacje[Produkt],marzec_saldo[[#This Row],[Produkt]],operacje[Miesiąc],$B$11)</f>
        <v>-9.5</v>
      </c>
      <c r="E7" s="2">
        <f ca="1">marzec_saldo[[#This Row],[Saldo początkowe]]+marzec_saldo[[#This Row],[Operacje]]</f>
        <v>650</v>
      </c>
      <c r="G7" t="s">
        <v>7</v>
      </c>
      <c r="H7" s="3">
        <f>SUMIFS(operacje[Kwota],operacje[Kategoria],$G7,operacje[Miesiąc],$B$11)</f>
        <v>-200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100</v>
      </c>
      <c r="D8" s="2">
        <f>SUMIFS(operacje[Kwota],operacje[Bank],marzec_saldo[[#This Row],[Bank]],operacje[Produkt],marzec_saldo[[#This Row],[Produkt]],operacje[Miesiąc],$B$11)</f>
        <v>-24.49</v>
      </c>
      <c r="E8" s="2">
        <f ca="1">marzec_saldo[[#This Row],[Saldo początkowe]]+marzec_saldo[[#This Row],[Operacje]]</f>
        <v>75.510000000000005</v>
      </c>
      <c r="G8" t="s">
        <v>8</v>
      </c>
      <c r="H8" s="3">
        <f>SUMIFS(operacje[Kwota],operacje[Kategoria],$G8,operacje[Miesiąc],$B$11)</f>
        <v>-9.5</v>
      </c>
    </row>
    <row r="9" spans="1:8" x14ac:dyDescent="0.25">
      <c r="A9" t="s">
        <v>37</v>
      </c>
      <c r="C9" s="2">
        <f ca="1">SUM(C2:C8)</f>
        <v>6294.5</v>
      </c>
      <c r="D9" s="2">
        <f>SUM(D2:D8)</f>
        <v>755.6099999999999</v>
      </c>
      <c r="E9" s="2">
        <f ca="1">SUM(E2:E8)</f>
        <v>7050.1100000000006</v>
      </c>
      <c r="G9" t="s">
        <v>46</v>
      </c>
      <c r="H9" s="3">
        <f>SUMIFS(operacje[Kwota],operacje[Kategoria],$G9,operacje[Miesiąc],$B$11)</f>
        <v>-469.9</v>
      </c>
    </row>
    <row r="10" spans="1:8" x14ac:dyDescent="0.25">
      <c r="G10" t="s">
        <v>9</v>
      </c>
      <c r="H10" s="3">
        <f>SUMIFS(operacje[Kwota],operacje[Kategoria],$G10,operacje[Miesiąc],$B$11)</f>
        <v>-300</v>
      </c>
    </row>
    <row r="11" spans="1:8" x14ac:dyDescent="0.25">
      <c r="A11" t="s">
        <v>38</v>
      </c>
      <c r="B11">
        <v>3</v>
      </c>
      <c r="C11" t="str">
        <f>TEXT(DATE(2025,B11,1),"mmmm")</f>
        <v>marzec</v>
      </c>
      <c r="G11" t="s">
        <v>11</v>
      </c>
      <c r="H11" s="3">
        <f>SUMIFS(operacje[Kwota],operacje[Kategoria],$G11,operacje[Miesiąc],$B$11)</f>
        <v>4500</v>
      </c>
    </row>
    <row r="12" spans="1:8" x14ac:dyDescent="0.25">
      <c r="G12" t="s">
        <v>12</v>
      </c>
      <c r="H12" s="3">
        <f>SUMIFS(operacje[Kwota],operacje[Kategoria],$G12,operacje[Miesiąc],$B$11)</f>
        <v>0</v>
      </c>
    </row>
    <row r="13" spans="1:8" x14ac:dyDescent="0.25">
      <c r="A13" t="s">
        <v>39</v>
      </c>
      <c r="B13" s="2">
        <f>SUMIFS(operacje[Kwota],operacje[Typ],$A13,operacje[Miesiąc],$B$11)</f>
        <v>4655</v>
      </c>
      <c r="G13" t="s">
        <v>13</v>
      </c>
      <c r="H13" s="3">
        <f>SUMIFS(operacje[Kwota],operacje[Kategoria],$G13,operacje[Miesiąc],$B$11)</f>
        <v>0</v>
      </c>
    </row>
    <row r="14" spans="1:8" x14ac:dyDescent="0.25">
      <c r="A14" t="s">
        <v>40</v>
      </c>
      <c r="B14" s="2">
        <f>SUMIFS(operacje[Kwota],operacje[Typ],$A14,operacje[Miesiąc],$B$11)</f>
        <v>-3899.39</v>
      </c>
      <c r="G14" t="s">
        <v>14</v>
      </c>
      <c r="H14" s="3">
        <f>SUMIFS(operacje[Kwota],operacje[Kategoria],$G14,operacje[Miesiąc],$B$11)</f>
        <v>0</v>
      </c>
    </row>
    <row r="15" spans="1:8" x14ac:dyDescent="0.25">
      <c r="A15" t="s">
        <v>41</v>
      </c>
      <c r="B15" s="2">
        <f>SUM(B13,B14)</f>
        <v>755.61000000000013</v>
      </c>
      <c r="G15" t="s">
        <v>15</v>
      </c>
      <c r="H15" s="3">
        <f>SUMIFS(operacje[Kwota],operacje[Kategoria],$G15,operacje[Miesiąc],$B$11)</f>
        <v>150</v>
      </c>
    </row>
    <row r="16" spans="1:8" x14ac:dyDescent="0.25">
      <c r="G16" t="s">
        <v>16</v>
      </c>
      <c r="H16" s="3">
        <f>SUMIFS(operacje[Kwota],operacje[Kategoria],$G16,operacje[Miesiąc],$B$11)</f>
        <v>0</v>
      </c>
    </row>
    <row r="17" spans="7:8" x14ac:dyDescent="0.25">
      <c r="G17" t="s">
        <v>17</v>
      </c>
      <c r="H17" s="3">
        <f>SUMIFS(operacje[Kwota],operacje[Kategoria],$G17,operacje[Miesiąc],$B$11)</f>
        <v>0</v>
      </c>
    </row>
  </sheetData>
  <conditionalFormatting sqref="G2:G17">
    <cfRule type="expression" dxfId="19" priority="1">
      <formula>$B1="Wydatki"</formula>
    </cfRule>
    <cfRule type="expression" dxfId="18" priority="2">
      <formula>$B1="Wpływy"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AE65-56DF-4EC9-AED2-D0B8EEDD772F}">
  <dimension ref="A1:H17"/>
  <sheetViews>
    <sheetView zoomScale="145" zoomScaleNormal="145" workbookViewId="0">
      <selection activeCell="C24" sqref="C24"/>
    </sheetView>
  </sheetViews>
  <sheetFormatPr defaultRowHeight="15" x14ac:dyDescent="0.25"/>
  <cols>
    <col min="1" max="1" width="12.42578125" customWidth="1"/>
    <col min="2" max="2" width="18" customWidth="1"/>
    <col min="3" max="3" width="22.85546875" customWidth="1"/>
    <col min="4" max="4" width="14.140625" customWidth="1"/>
    <col min="5" max="5" width="19" customWidth="1"/>
    <col min="7" max="7" width="20.140625" customWidth="1"/>
    <col min="8" max="8" width="13.85546875" customWidth="1"/>
    <col min="9" max="10" width="9.140625" customWidth="1"/>
  </cols>
  <sheetData>
    <row r="1" spans="1:8" x14ac:dyDescent="0.25">
      <c r="A1" t="s">
        <v>20</v>
      </c>
      <c r="B1" t="s">
        <v>27</v>
      </c>
      <c r="C1" t="s">
        <v>34</v>
      </c>
      <c r="D1" t="s">
        <v>35</v>
      </c>
      <c r="E1" t="s">
        <v>36</v>
      </c>
      <c r="G1" t="s">
        <v>42</v>
      </c>
      <c r="H1" t="s">
        <v>37</v>
      </c>
    </row>
    <row r="2" spans="1:8" x14ac:dyDescent="0.25">
      <c r="A2" t="s">
        <v>21</v>
      </c>
      <c r="B2" t="s">
        <v>19</v>
      </c>
      <c r="C2" s="2" cm="1">
        <f t="array" aca="1" ref="C2" ca="1">INDIRECT(TEXT(DATE(2025,$B$11-1,1),"mmmm")&amp;"!E"&amp;ROW())</f>
        <v>4561.1000000000004</v>
      </c>
      <c r="D2" s="2">
        <f>SUMIFS(operacje[Kwota],operacje[Bank],kwiecień_saldo[[#This Row],[Bank]],operacje[Produkt],kwiecień_saldo[[#This Row],[Produkt]],operacje[Miesiąc],$B$11)</f>
        <v>562.72999999999968</v>
      </c>
      <c r="E2" s="2">
        <f ca="1">kwiecień_saldo[[#This Row],[Saldo początkowe]]+kwiecień_saldo[[#This Row],[Operacje]]</f>
        <v>5123.83</v>
      </c>
      <c r="G2" t="s">
        <v>2</v>
      </c>
      <c r="H2" s="3">
        <f>SUMIFS(operacje[Kwota],operacje[Kategoria],$G2,operacje[Miesiąc],$B$11)</f>
        <v>-372.26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95.5</v>
      </c>
      <c r="D3" s="2">
        <f>SUMIFS(operacje[Kwota],operacje[Bank],kwiecień_saldo[[#This Row],[Bank]],operacje[Produkt],kwiecień_saldo[[#This Row],[Produkt]],operacje[Miesiąc],$B$11)</f>
        <v>13.110000000000007</v>
      </c>
      <c r="E3" s="2">
        <f ca="1">kwiecień_saldo[[#This Row],[Saldo początkowe]]+kwiecień_saldo[[#This Row],[Operacje]]</f>
        <v>108.61000000000001</v>
      </c>
      <c r="G3" t="s">
        <v>3</v>
      </c>
      <c r="H3" s="3">
        <f>SUMIFS(operacje[Kwota],operacje[Kategoria],$G3,operacje[Miesiąc],$B$11)</f>
        <v>-82.5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1200</v>
      </c>
      <c r="D4" s="2">
        <f>SUMIFS(operacje[Kwota],operacje[Bank],kwiecień_saldo[[#This Row],[Bank]],operacje[Produkt],kwiecień_saldo[[#This Row],[Produkt]],operacje[Miesiąc],$B$11)</f>
        <v>0</v>
      </c>
      <c r="E4" s="2">
        <f ca="1">kwiecień_saldo[[#This Row],[Saldo początkowe]]+kwiecień_saldo[[#This Row],[Operacje]]</f>
        <v>1200</v>
      </c>
      <c r="G4" t="s">
        <v>45</v>
      </c>
      <c r="H4" s="3">
        <f>SUMIFS(operacje[Kwota],operacje[Kategoria],$G4,operacje[Miesiąc],$B$11)</f>
        <v>-49</v>
      </c>
    </row>
    <row r="5" spans="1:8" x14ac:dyDescent="0.25">
      <c r="A5" t="s">
        <v>22</v>
      </c>
      <c r="B5" t="s">
        <v>19</v>
      </c>
      <c r="C5" s="2" cm="1">
        <f t="array" aca="1" ref="C5" ca="1">INDIRECT(TEXT(DATE(2025,$B$11-1,1),"mmmm")&amp;"!E"&amp;ROW())</f>
        <v>167.5</v>
      </c>
      <c r="D5" s="2">
        <f>SUMIFS(operacje[Kwota],operacje[Bank],kwiecień_saldo[[#This Row],[Bank]],operacje[Produkt],kwiecień_saldo[[#This Row],[Produkt]],operacje[Miesiąc],$B$11)</f>
        <v>101</v>
      </c>
      <c r="E5" s="2">
        <f ca="1">kwiecień_saldo[[#This Row],[Saldo początkowe]]+kwiecień_saldo[[#This Row],[Operacje]]</f>
        <v>268.5</v>
      </c>
      <c r="G5" t="s">
        <v>4</v>
      </c>
      <c r="H5" s="3">
        <f>SUMIFS(operacje[Kwota],operacje[Kategoria],$G5,operacje[Miesiąc],$B$11)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300.5</v>
      </c>
      <c r="D6" s="2">
        <f>SUMIFS(operacje[Kwota],operacje[Bank],kwiecień_saldo[[#This Row],[Bank]],operacje[Produkt],kwiecień_saldo[[#This Row],[Produkt]],operacje[Miesiąc],$B$11)</f>
        <v>50</v>
      </c>
      <c r="E6" s="2">
        <f ca="1">kwiecień_saldo[[#This Row],[Saldo początkowe]]+kwiecień_saldo[[#This Row],[Operacje]]</f>
        <v>350.5</v>
      </c>
      <c r="G6" t="s">
        <v>5</v>
      </c>
      <c r="H6" s="3">
        <f>SUMIFS(operacje[Kwota],operacje[Kategoria],$G6,operacje[Miesiąc],$B$11)</f>
        <v>-139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650</v>
      </c>
      <c r="D7" s="2">
        <f>SUMIFS(operacje[Kwota],operacje[Bank],kwiecień_saldo[[#This Row],[Bank]],operacje[Produkt],kwiecień_saldo[[#This Row],[Produkt]],operacje[Miesiąc],$B$11)</f>
        <v>0</v>
      </c>
      <c r="E7" s="2">
        <f ca="1">kwiecień_saldo[[#This Row],[Saldo początkowe]]+kwiecień_saldo[[#This Row],[Operacje]]</f>
        <v>650</v>
      </c>
      <c r="G7" t="s">
        <v>7</v>
      </c>
      <c r="H7" s="3">
        <f>SUMIFS(operacje[Kwota],operacje[Kategoria],$G7,operacje[Miesiąc],$B$11)</f>
        <v>-1057.9000000000001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75.510000000000005</v>
      </c>
      <c r="D8" s="2">
        <f>SUMIFS(operacje[Kwota],operacje[Bank],kwiecień_saldo[[#This Row],[Bank]],operacje[Produkt],kwiecień_saldo[[#This Row],[Produkt]],operacje[Miesiąc],$B$11)</f>
        <v>0</v>
      </c>
      <c r="E8" s="2">
        <f ca="1">kwiecień_saldo[[#This Row],[Saldo początkowe]]+kwiecień_saldo[[#This Row],[Operacje]]</f>
        <v>75.510000000000005</v>
      </c>
      <c r="G8" t="s">
        <v>8</v>
      </c>
      <c r="H8" s="3">
        <f>SUMIFS(operacje[Kwota],operacje[Kategoria],$G8,operacje[Miesiąc],$B$11)</f>
        <v>-23.5</v>
      </c>
    </row>
    <row r="9" spans="1:8" x14ac:dyDescent="0.25">
      <c r="A9" t="s">
        <v>37</v>
      </c>
      <c r="C9" s="2">
        <f ca="1">SUM(C2:C8)</f>
        <v>7050.1100000000006</v>
      </c>
      <c r="D9" s="2">
        <f>SUM(D2:D8)</f>
        <v>726.83999999999969</v>
      </c>
      <c r="E9" s="2">
        <f ca="1">SUM(E2:E8)</f>
        <v>7776.95</v>
      </c>
      <c r="G9" t="s">
        <v>46</v>
      </c>
      <c r="H9" s="3">
        <f>SUMIFS(operacje[Kwota],operacje[Kategoria],$G9,operacje[Miesiąc],$B$11)</f>
        <v>-149</v>
      </c>
    </row>
    <row r="10" spans="1:8" x14ac:dyDescent="0.25">
      <c r="G10" t="s">
        <v>9</v>
      </c>
      <c r="H10" s="3">
        <f>SUMIFS(operacje[Kwota],operacje[Kategoria],$G10,operacje[Miesiąc],$B$11)</f>
        <v>-100</v>
      </c>
    </row>
    <row r="11" spans="1:8" x14ac:dyDescent="0.25">
      <c r="A11" t="s">
        <v>38</v>
      </c>
      <c r="B11">
        <v>4</v>
      </c>
      <c r="C11" t="str">
        <f>TEXT(DATE(2025,B11,1),"mmmm")</f>
        <v>kwiecień</v>
      </c>
      <c r="G11" t="s">
        <v>11</v>
      </c>
      <c r="H11" s="3">
        <f>SUMIFS(operacje[Kwota],operacje[Kategoria],$G11,operacje[Miesiąc],$B$11)</f>
        <v>4500</v>
      </c>
    </row>
    <row r="12" spans="1:8" x14ac:dyDescent="0.25">
      <c r="G12" t="s">
        <v>12</v>
      </c>
      <c r="H12" s="3">
        <f>SUMIFS(operacje[Kwota],operacje[Kategoria],$G12,operacje[Miesiąc],$B$11)</f>
        <v>0</v>
      </c>
    </row>
    <row r="13" spans="1:8" x14ac:dyDescent="0.25">
      <c r="A13" t="s">
        <v>39</v>
      </c>
      <c r="B13" s="2">
        <f>SUMIFS(operacje[Kwota],operacje[Typ],$A13,operacje[Miesiąc],$B$11)</f>
        <v>4700</v>
      </c>
      <c r="G13" t="s">
        <v>13</v>
      </c>
      <c r="H13" s="3">
        <f>SUMIFS(operacje[Kwota],operacje[Kategoria],$G13,operacje[Miesiąc],$B$11)</f>
        <v>0</v>
      </c>
    </row>
    <row r="14" spans="1:8" x14ac:dyDescent="0.25">
      <c r="A14" t="s">
        <v>40</v>
      </c>
      <c r="B14" s="2">
        <f>SUMIFS(operacje[Kwota],operacje[Typ],$A14,operacje[Miesiąc],$B$11)</f>
        <v>-3973.16</v>
      </c>
      <c r="G14" t="s">
        <v>14</v>
      </c>
      <c r="H14" s="3">
        <f>SUMIFS(operacje[Kwota],operacje[Kategoria],$G14,operacje[Miesiąc],$B$11)</f>
        <v>0</v>
      </c>
    </row>
    <row r="15" spans="1:8" x14ac:dyDescent="0.25">
      <c r="A15" t="s">
        <v>41</v>
      </c>
      <c r="B15" s="2">
        <f>SUM(B13,B14)</f>
        <v>726.84000000000015</v>
      </c>
      <c r="G15" t="s">
        <v>15</v>
      </c>
      <c r="H15" s="3">
        <f>SUMIFS(operacje[Kwota],operacje[Kategoria],$G15,operacje[Miesiąc],$B$11)</f>
        <v>150</v>
      </c>
    </row>
    <row r="16" spans="1:8" x14ac:dyDescent="0.25">
      <c r="G16" t="s">
        <v>16</v>
      </c>
      <c r="H16" s="3">
        <f>SUMIFS(operacje[Kwota],operacje[Kategoria],$G16,operacje[Miesiąc],$B$11)</f>
        <v>0</v>
      </c>
    </row>
    <row r="17" spans="7:8" x14ac:dyDescent="0.25">
      <c r="G17" t="s">
        <v>17</v>
      </c>
      <c r="H17" s="3">
        <f>SUMIFS(operacje[Kwota],operacje[Kategoria],$G17,operacje[Miesiąc],$B$11)</f>
        <v>0</v>
      </c>
    </row>
  </sheetData>
  <conditionalFormatting sqref="G2:G17">
    <cfRule type="expression" dxfId="17" priority="1">
      <formula>$B1="Wydatki"</formula>
    </cfRule>
    <cfRule type="expression" dxfId="16" priority="2">
      <formula>$B1="Wpływy"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A0E4-4584-40ED-81CC-13497079615B}">
  <dimension ref="A1:H17"/>
  <sheetViews>
    <sheetView zoomScale="145" zoomScaleNormal="145" workbookViewId="0">
      <selection activeCell="H17" sqref="H17"/>
    </sheetView>
  </sheetViews>
  <sheetFormatPr defaultRowHeight="15" x14ac:dyDescent="0.25"/>
  <cols>
    <col min="1" max="1" width="12.42578125" customWidth="1"/>
    <col min="2" max="2" width="18" customWidth="1"/>
    <col min="3" max="3" width="22.85546875" customWidth="1"/>
    <col min="4" max="4" width="14.140625" customWidth="1"/>
    <col min="5" max="5" width="19" customWidth="1"/>
    <col min="7" max="7" width="20.140625" customWidth="1"/>
    <col min="8" max="8" width="15.7109375" customWidth="1"/>
    <col min="9" max="10" width="9.140625" customWidth="1"/>
  </cols>
  <sheetData>
    <row r="1" spans="1:8" x14ac:dyDescent="0.25">
      <c r="A1" t="s">
        <v>20</v>
      </c>
      <c r="B1" t="s">
        <v>27</v>
      </c>
      <c r="C1" t="s">
        <v>34</v>
      </c>
      <c r="D1" t="s">
        <v>35</v>
      </c>
      <c r="E1" t="s">
        <v>36</v>
      </c>
      <c r="G1" t="s">
        <v>42</v>
      </c>
      <c r="H1" t="s">
        <v>37</v>
      </c>
    </row>
    <row r="2" spans="1:8" x14ac:dyDescent="0.25">
      <c r="A2" t="s">
        <v>21</v>
      </c>
      <c r="B2" t="s">
        <v>19</v>
      </c>
      <c r="C2" s="2" cm="1">
        <f t="array" aca="1" ref="C2" ca="1">INDIRECT(TEXT(DATE(2025,$B$11-1,1),"mmmm")&amp;"!E"&amp;ROW())</f>
        <v>5123.83</v>
      </c>
      <c r="D2" s="2">
        <f>SUMIFS(operacje[Kwota],operacje[Bank],maj_saldo[[#This Row],[Bank]],operacje[Produkt],maj_saldo[[#This Row],[Produkt]],operacje[Miesiąc],$B$11)</f>
        <v>2328.61</v>
      </c>
      <c r="E2" s="2">
        <f ca="1">maj_saldo[[#This Row],[Saldo początkowe]]+maj_saldo[[#This Row],[Operacje]]</f>
        <v>7452.4400000000005</v>
      </c>
      <c r="G2" t="s">
        <v>2</v>
      </c>
      <c r="H2" s="3">
        <f>SUMIFS(operacje[Kwota],operacje[Kategoria],$G2,operacje[Miesiąc],$B$11)</f>
        <v>-1000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108.61000000000001</v>
      </c>
      <c r="D3" s="2">
        <f>SUMIFS(operacje[Kwota],operacje[Bank],maj_saldo[[#This Row],[Bank]],operacje[Produkt],maj_saldo[[#This Row],[Produkt]],operacje[Miesiąc],$B$11)</f>
        <v>-908.61</v>
      </c>
      <c r="E3" s="2">
        <f ca="1">maj_saldo[[#This Row],[Saldo początkowe]]+maj_saldo[[#This Row],[Operacje]]</f>
        <v>-800</v>
      </c>
      <c r="G3" t="s">
        <v>3</v>
      </c>
      <c r="H3" s="3">
        <f>SUMIFS(operacje[Kwota],operacje[Kategoria],$G3,operacje[Miesiąc],$B$11)</f>
        <v>-80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1200</v>
      </c>
      <c r="D4" s="2">
        <f>SUMIFS(operacje[Kwota],operacje[Bank],maj_saldo[[#This Row],[Bank]],operacje[Produkt],maj_saldo[[#This Row],[Produkt]],operacje[Miesiąc],$B$11)</f>
        <v>0</v>
      </c>
      <c r="E4" s="2">
        <f ca="1">maj_saldo[[#This Row],[Saldo początkowe]]+maj_saldo[[#This Row],[Operacje]]</f>
        <v>1200</v>
      </c>
      <c r="G4" t="s">
        <v>45</v>
      </c>
      <c r="H4" s="3">
        <f>SUMIFS(operacje[Kwota],operacje[Kategoria],$G4,operacje[Miesiąc],$B$11)</f>
        <v>-50</v>
      </c>
    </row>
    <row r="5" spans="1:8" x14ac:dyDescent="0.25">
      <c r="A5" t="s">
        <v>22</v>
      </c>
      <c r="B5" t="s">
        <v>19</v>
      </c>
      <c r="C5" s="2" cm="1">
        <f t="array" aca="1" ref="C5" ca="1">INDIRECT(TEXT(DATE(2025,$B$11-1,1),"mmmm")&amp;"!E"&amp;ROW())</f>
        <v>268.5</v>
      </c>
      <c r="D5" s="2">
        <f>SUMIFS(operacje[Kwota],operacje[Bank],maj_saldo[[#This Row],[Bank]],operacje[Produkt],maj_saldo[[#This Row],[Produkt]],operacje[Miesiąc],$B$11)</f>
        <v>-50</v>
      </c>
      <c r="E5" s="2">
        <f ca="1">maj_saldo[[#This Row],[Saldo początkowe]]+maj_saldo[[#This Row],[Operacje]]</f>
        <v>218.5</v>
      </c>
      <c r="G5" t="s">
        <v>4</v>
      </c>
      <c r="H5" s="3">
        <f>SUMIFS(operacje[Kwota],operacje[Kategoria],$G5,operacje[Miesiąc],$B$11)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350.5</v>
      </c>
      <c r="D6" s="2">
        <f>SUMIFS(operacje[Kwota],operacje[Bank],maj_saldo[[#This Row],[Bank]],operacje[Produkt],maj_saldo[[#This Row],[Produkt]],operacje[Miesiąc],$B$11)</f>
        <v>0</v>
      </c>
      <c r="E6" s="2">
        <f ca="1">maj_saldo[[#This Row],[Saldo początkowe]]+maj_saldo[[#This Row],[Operacje]]</f>
        <v>350.5</v>
      </c>
      <c r="G6" t="s">
        <v>5</v>
      </c>
      <c r="H6" s="3">
        <f>SUMIFS(operacje[Kwota],operacje[Kategoria],$G6,operacje[Miesiąc],$B$11)</f>
        <v>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650</v>
      </c>
      <c r="D7" s="2">
        <f>SUMIFS(operacje[Kwota],operacje[Bank],maj_saldo[[#This Row],[Bank]],operacje[Produkt],maj_saldo[[#This Row],[Produkt]],operacje[Miesiąc],$B$11)</f>
        <v>-80</v>
      </c>
      <c r="E7" s="2">
        <f ca="1">maj_saldo[[#This Row],[Saldo początkowe]]+maj_saldo[[#This Row],[Operacje]]</f>
        <v>570</v>
      </c>
      <c r="G7" t="s">
        <v>7</v>
      </c>
      <c r="H7" s="3">
        <f>SUMIFS(operacje[Kwota],operacje[Kategoria],$G7,operacje[Miesiąc],$B$11)</f>
        <v>-80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75.510000000000005</v>
      </c>
      <c r="D8" s="2">
        <f>SUMIFS(operacje[Kwota],operacje[Bank],maj_saldo[[#This Row],[Bank]],operacje[Produkt],maj_saldo[[#This Row],[Produkt]],operacje[Miesiąc],$B$11)</f>
        <v>0</v>
      </c>
      <c r="E8" s="2">
        <f ca="1">maj_saldo[[#This Row],[Saldo początkowe]]+maj_saldo[[#This Row],[Operacje]]</f>
        <v>75.510000000000005</v>
      </c>
      <c r="G8" t="s">
        <v>8</v>
      </c>
      <c r="H8" s="3">
        <f>SUMIFS(operacje[Kwota],operacje[Kategoria],$G8,operacje[Miesiąc],$B$11)</f>
        <v>0</v>
      </c>
    </row>
    <row r="9" spans="1:8" x14ac:dyDescent="0.25">
      <c r="A9" t="s">
        <v>37</v>
      </c>
      <c r="C9" s="2">
        <f ca="1">SUM(C2:C8)</f>
        <v>7776.95</v>
      </c>
      <c r="D9" s="2">
        <f>SUM(D2:D8)</f>
        <v>1290</v>
      </c>
      <c r="E9" s="2">
        <f ca="1">SUM(E2:E8)</f>
        <v>9066.9500000000007</v>
      </c>
      <c r="G9" t="s">
        <v>46</v>
      </c>
      <c r="H9" s="3">
        <f>SUMIFS(operacje[Kwota],operacje[Kategoria],$G9,operacje[Miesiąc],$B$11)</f>
        <v>0</v>
      </c>
    </row>
    <row r="10" spans="1:8" x14ac:dyDescent="0.25">
      <c r="G10" t="s">
        <v>9</v>
      </c>
      <c r="H10" s="3">
        <f>SUMIFS(operacje[Kwota],operacje[Kategoria],$G10,operacje[Miesiąc],$B$11)</f>
        <v>0</v>
      </c>
    </row>
    <row r="11" spans="1:8" x14ac:dyDescent="0.25">
      <c r="A11" t="s">
        <v>38</v>
      </c>
      <c r="B11">
        <v>5</v>
      </c>
      <c r="C11" t="str">
        <f>TEXT(DATE(2025,B11,1),"mmmm")</f>
        <v>maj</v>
      </c>
      <c r="G11" t="s">
        <v>11</v>
      </c>
      <c r="H11" s="3">
        <f>SUMIFS(operacje[Kwota],operacje[Kategoria],$G11,operacje[Miesiąc],$B$11)</f>
        <v>4500</v>
      </c>
    </row>
    <row r="12" spans="1:8" x14ac:dyDescent="0.25">
      <c r="G12" t="s">
        <v>12</v>
      </c>
      <c r="H12" s="3">
        <f>SUMIFS(operacje[Kwota],operacje[Kategoria],$G12,operacje[Miesiąc],$B$11)</f>
        <v>0</v>
      </c>
    </row>
    <row r="13" spans="1:8" x14ac:dyDescent="0.25">
      <c r="A13" t="s">
        <v>39</v>
      </c>
      <c r="B13" s="2">
        <f>SUMIFS(operacje[Kwota],operacje[Typ],$A13,operacje[Miesiąc],$B$11)</f>
        <v>4500</v>
      </c>
      <c r="G13" t="s">
        <v>13</v>
      </c>
      <c r="H13" s="3">
        <f>SUMIFS(operacje[Kwota],operacje[Kategoria],$G13,operacje[Miesiąc],$B$11)</f>
        <v>0</v>
      </c>
    </row>
    <row r="14" spans="1:8" x14ac:dyDescent="0.25">
      <c r="A14" t="s">
        <v>40</v>
      </c>
      <c r="B14" s="2">
        <f>SUMIFS(operacje[Kwota],operacje[Typ],$A14,operacje[Miesiąc],$B$11)</f>
        <v>-3210</v>
      </c>
      <c r="G14" t="s">
        <v>14</v>
      </c>
      <c r="H14" s="3">
        <f>SUMIFS(operacje[Kwota],operacje[Kategoria],$G14,operacje[Miesiąc],$B$11)</f>
        <v>0</v>
      </c>
    </row>
    <row r="15" spans="1:8" x14ac:dyDescent="0.25">
      <c r="A15" t="s">
        <v>41</v>
      </c>
      <c r="B15" s="2">
        <f>SUM(B13,B14)</f>
        <v>1290</v>
      </c>
      <c r="G15" t="s">
        <v>15</v>
      </c>
      <c r="H15" s="3">
        <f>SUMIFS(operacje[Kwota],operacje[Kategoria],$G15,operacje[Miesiąc],$B$11)</f>
        <v>0</v>
      </c>
    </row>
    <row r="16" spans="1:8" x14ac:dyDescent="0.25">
      <c r="G16" t="s">
        <v>16</v>
      </c>
      <c r="H16" s="3">
        <f>SUMIFS(operacje[Kwota],operacje[Kategoria],$G16,operacje[Miesiąc],$B$11)</f>
        <v>0</v>
      </c>
    </row>
    <row r="17" spans="7:8" x14ac:dyDescent="0.25">
      <c r="G17" t="s">
        <v>17</v>
      </c>
      <c r="H17" s="3">
        <f>SUMIFS(operacje[Kwota],operacje[Kategoria],$G17,operacje[Miesiąc],$B$11)</f>
        <v>0</v>
      </c>
    </row>
  </sheetData>
  <conditionalFormatting sqref="G2:G17">
    <cfRule type="expression" dxfId="15" priority="1">
      <formula>$B1="Wydatki"</formula>
    </cfRule>
    <cfRule type="expression" dxfId="14" priority="2">
      <formula>$B1="Wpływy"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8105-AED9-4755-BF69-63049A52BD89}">
  <dimension ref="A1:H17"/>
  <sheetViews>
    <sheetView zoomScale="145" zoomScaleNormal="145" workbookViewId="0">
      <selection activeCell="H17" sqref="H17"/>
    </sheetView>
  </sheetViews>
  <sheetFormatPr defaultRowHeight="15" x14ac:dyDescent="0.25"/>
  <cols>
    <col min="1" max="1" width="12.42578125" customWidth="1"/>
    <col min="2" max="2" width="18" customWidth="1"/>
    <col min="3" max="3" width="22.85546875" customWidth="1"/>
    <col min="4" max="4" width="14.140625" customWidth="1"/>
    <col min="5" max="5" width="19" customWidth="1"/>
    <col min="7" max="7" width="20.140625" customWidth="1"/>
    <col min="8" max="8" width="14.140625" customWidth="1"/>
    <col min="9" max="10" width="9.140625" customWidth="1"/>
  </cols>
  <sheetData>
    <row r="1" spans="1:8" x14ac:dyDescent="0.25">
      <c r="A1" t="s">
        <v>20</v>
      </c>
      <c r="B1" t="s">
        <v>27</v>
      </c>
      <c r="C1" t="s">
        <v>34</v>
      </c>
      <c r="D1" t="s">
        <v>35</v>
      </c>
      <c r="E1" t="s">
        <v>36</v>
      </c>
      <c r="G1" t="s">
        <v>42</v>
      </c>
      <c r="H1" t="s">
        <v>37</v>
      </c>
    </row>
    <row r="2" spans="1:8" x14ac:dyDescent="0.25">
      <c r="A2" t="s">
        <v>21</v>
      </c>
      <c r="B2" t="s">
        <v>19</v>
      </c>
      <c r="C2" s="2" cm="1">
        <f t="array" aca="1" ref="C2" ca="1">INDIRECT(TEXT(DATE(2025,$B$11-1,1),"mmmm")&amp;"!E"&amp;ROW())</f>
        <v>8872.44</v>
      </c>
      <c r="D2" s="2">
        <f>SUMIFS(operacje[Kwota],operacje[Bank],lipiec_saldo[[#This Row],[Bank]],operacje[Produkt],lipiec_saldo[[#This Row],[Produkt]],operacje[Miesiąc],$B$11)</f>
        <v>1010</v>
      </c>
      <c r="E2" s="2">
        <f ca="1">lipiec_saldo[[#This Row],[Saldo początkowe]]+lipiec_saldo[[#This Row],[Operacje]]</f>
        <v>9882.44</v>
      </c>
      <c r="G2" t="s">
        <v>2</v>
      </c>
      <c r="H2" s="3">
        <f>SUMIFS(operacje[Kwota],operacje[Kategoria],$G2,operacje[Miesiąc],$B$11)</f>
        <v>-165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-1100</v>
      </c>
      <c r="D3" s="2">
        <f>SUMIFS(operacje[Kwota],operacje[Bank],lipiec_saldo[[#This Row],[Bank]],operacje[Produkt],lipiec_saldo[[#This Row],[Produkt]],operacje[Miesiąc],$B$11)</f>
        <v>1165</v>
      </c>
      <c r="E3" s="2">
        <f ca="1">lipiec_saldo[[#This Row],[Saldo początkowe]]+lipiec_saldo[[#This Row],[Operacje]]</f>
        <v>65</v>
      </c>
      <c r="G3" t="s">
        <v>3</v>
      </c>
      <c r="H3" s="3">
        <f>SUMIFS(operacje[Kwota],operacje[Kategoria],$G3,operacje[Miesiąc],$B$11)</f>
        <v>-90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1200</v>
      </c>
      <c r="D4" s="2">
        <f>SUMIFS(operacje[Kwota],operacje[Bank],lipiec_saldo[[#This Row],[Bank]],operacje[Produkt],lipiec_saldo[[#This Row],[Produkt]],operacje[Miesiąc],$B$11)</f>
        <v>-180</v>
      </c>
      <c r="E4" s="2">
        <f ca="1">lipiec_saldo[[#This Row],[Saldo początkowe]]+lipiec_saldo[[#This Row],[Operacje]]</f>
        <v>1020</v>
      </c>
      <c r="G4" t="s">
        <v>45</v>
      </c>
      <c r="H4" s="3">
        <f>SUMIFS(operacje[Kwota],operacje[Kategoria],$G4,operacje[Miesiąc],$B$11)</f>
        <v>0</v>
      </c>
    </row>
    <row r="5" spans="1:8" x14ac:dyDescent="0.25">
      <c r="A5" t="s">
        <v>22</v>
      </c>
      <c r="B5" t="s">
        <v>19</v>
      </c>
      <c r="C5" s="2" cm="1">
        <f t="array" aca="1" ref="C5" ca="1">INDIRECT(TEXT(DATE(2025,$B$11-1,1),"mmmm")&amp;"!E"&amp;ROW())</f>
        <v>468.5</v>
      </c>
      <c r="D5" s="2">
        <f>SUMIFS(operacje[Kwota],operacje[Bank],lipiec_saldo[[#This Row],[Bank]],operacje[Produkt],lipiec_saldo[[#This Row],[Produkt]],operacje[Miesiąc],$B$11)</f>
        <v>-100</v>
      </c>
      <c r="E5" s="2">
        <f ca="1">lipiec_saldo[[#This Row],[Saldo początkowe]]+lipiec_saldo[[#This Row],[Operacje]]</f>
        <v>368.5</v>
      </c>
      <c r="G5" t="s">
        <v>4</v>
      </c>
      <c r="H5" s="3">
        <f>SUMIFS(operacje[Kwota],operacje[Kategoria],$G5,operacje[Miesiąc],$B$11)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350.5</v>
      </c>
      <c r="D6" s="2">
        <f>SUMIFS(operacje[Kwota],operacje[Bank],lipiec_saldo[[#This Row],[Bank]],operacje[Produkt],lipiec_saldo[[#This Row],[Produkt]],operacje[Miesiąc],$B$11)</f>
        <v>1050</v>
      </c>
      <c r="E6" s="2">
        <f ca="1">lipiec_saldo[[#This Row],[Saldo początkowe]]+lipiec_saldo[[#This Row],[Operacje]]</f>
        <v>1400.5</v>
      </c>
      <c r="G6" t="s">
        <v>5</v>
      </c>
      <c r="H6" s="3">
        <f>SUMIFS(operacje[Kwota],operacje[Kategoria],$G6,operacje[Miesiąc],$B$11)</f>
        <v>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370</v>
      </c>
      <c r="D7" s="2">
        <f>SUMIFS(operacje[Kwota],operacje[Bank],lipiec_saldo[[#This Row],[Bank]],operacje[Produkt],lipiec_saldo[[#This Row],[Produkt]],operacje[Miesiąc],$B$11)</f>
        <v>0</v>
      </c>
      <c r="E7" s="2">
        <f ca="1">lipiec_saldo[[#This Row],[Saldo początkowe]]+lipiec_saldo[[#This Row],[Operacje]]</f>
        <v>370</v>
      </c>
      <c r="G7" t="s">
        <v>7</v>
      </c>
      <c r="H7" s="3">
        <f>SUMIFS(operacje[Kwota],operacje[Kategoria],$G7,operacje[Miesiąc],$B$11)</f>
        <v>-700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75.510000000000005</v>
      </c>
      <c r="D8" s="2">
        <f>SUMIFS(operacje[Kwota],operacje[Bank],lipiec_saldo[[#This Row],[Bank]],operacje[Produkt],lipiec_saldo[[#This Row],[Produkt]],operacje[Miesiąc],$B$11)</f>
        <v>-30</v>
      </c>
      <c r="E8" s="2">
        <f ca="1">lipiec_saldo[[#This Row],[Saldo początkowe]]+lipiec_saldo[[#This Row],[Operacje]]</f>
        <v>45.510000000000005</v>
      </c>
      <c r="G8" t="s">
        <v>8</v>
      </c>
      <c r="H8" s="3">
        <f>SUMIFS(operacje[Kwota],operacje[Kategoria],$G8,operacje[Miesiąc],$B$11)</f>
        <v>-300</v>
      </c>
    </row>
    <row r="9" spans="1:8" x14ac:dyDescent="0.25">
      <c r="A9" t="s">
        <v>37</v>
      </c>
      <c r="C9" s="2">
        <f ca="1">SUM(C2:C8)</f>
        <v>10236.950000000001</v>
      </c>
      <c r="D9" s="2">
        <f>SUM(D2:D8)</f>
        <v>2915</v>
      </c>
      <c r="E9" s="2">
        <f ca="1">SUM(E2:E8)</f>
        <v>13151.95</v>
      </c>
      <c r="G9" t="s">
        <v>46</v>
      </c>
      <c r="H9" s="3">
        <f>SUMIFS(operacje[Kwota],operacje[Kategoria],$G9,operacje[Miesiąc],$B$11)</f>
        <v>250</v>
      </c>
    </row>
    <row r="10" spans="1:8" x14ac:dyDescent="0.25">
      <c r="G10" t="s">
        <v>9</v>
      </c>
      <c r="H10" s="3">
        <f>SUMIFS(operacje[Kwota],operacje[Kategoria],$G10,operacje[Miesiąc],$B$11)</f>
        <v>0</v>
      </c>
    </row>
    <row r="11" spans="1:8" x14ac:dyDescent="0.25">
      <c r="A11" t="s">
        <v>38</v>
      </c>
      <c r="B11">
        <v>7</v>
      </c>
      <c r="C11" t="str">
        <f>TEXT(DATE(2025,B11,1),"mmmm")</f>
        <v>lipiec</v>
      </c>
      <c r="G11" t="s">
        <v>11</v>
      </c>
      <c r="H11" s="3">
        <f>SUMIFS(operacje[Kwota],operacje[Kategoria],$G11,operacje[Miesiąc],$B$11)</f>
        <v>4500</v>
      </c>
    </row>
    <row r="12" spans="1:8" x14ac:dyDescent="0.25">
      <c r="G12" t="s">
        <v>12</v>
      </c>
      <c r="H12" s="3">
        <f>SUMIFS(operacje[Kwota],operacje[Kategoria],$G12,operacje[Miesiąc],$B$11)</f>
        <v>0</v>
      </c>
    </row>
    <row r="13" spans="1:8" x14ac:dyDescent="0.25">
      <c r="A13" t="s">
        <v>39</v>
      </c>
      <c r="B13" s="2">
        <f>SUMIFS(operacje[Kwota],operacje[Typ],$A13,operacje[Miesiąc],$B$11)</f>
        <v>5920</v>
      </c>
      <c r="G13" t="s">
        <v>13</v>
      </c>
      <c r="H13" s="3">
        <f>SUMIFS(operacje[Kwota],operacje[Kategoria],$G13,operacje[Miesiąc],$B$11)</f>
        <v>0</v>
      </c>
    </row>
    <row r="14" spans="1:8" x14ac:dyDescent="0.25">
      <c r="A14" t="s">
        <v>40</v>
      </c>
      <c r="B14" s="2">
        <f>SUMIFS(operacje[Kwota],operacje[Typ],$A14,operacje[Miesiąc],$B$11)</f>
        <v>-3005</v>
      </c>
      <c r="G14" t="s">
        <v>14</v>
      </c>
      <c r="H14" s="3">
        <f>SUMIFS(operacje[Kwota],operacje[Kategoria],$G14,operacje[Miesiąc],$B$11)</f>
        <v>0</v>
      </c>
    </row>
    <row r="15" spans="1:8" x14ac:dyDescent="0.25">
      <c r="A15" t="s">
        <v>41</v>
      </c>
      <c r="B15" s="2">
        <f>SUM(B13,B14)</f>
        <v>2915</v>
      </c>
      <c r="G15" t="s">
        <v>15</v>
      </c>
      <c r="H15" s="3">
        <f>SUMIFS(operacje[Kwota],operacje[Kategoria],$G15,operacje[Miesiąc],$B$11)</f>
        <v>120</v>
      </c>
    </row>
    <row r="16" spans="1:8" x14ac:dyDescent="0.25">
      <c r="G16" t="s">
        <v>16</v>
      </c>
      <c r="H16" s="3">
        <f>SUMIFS(operacje[Kwota],operacje[Kategoria],$G16,operacje[Miesiąc],$B$11)</f>
        <v>500</v>
      </c>
    </row>
    <row r="17" spans="7:8" x14ac:dyDescent="0.25">
      <c r="G17" t="s">
        <v>17</v>
      </c>
      <c r="H17" s="3">
        <f>SUMIFS(operacje[Kwota],operacje[Kategoria],$G17,operacje[Miesiąc],$B$11)</f>
        <v>0</v>
      </c>
    </row>
  </sheetData>
  <conditionalFormatting sqref="G2:G17">
    <cfRule type="expression" dxfId="13" priority="1">
      <formula>$B1="Wydatki"</formula>
    </cfRule>
    <cfRule type="expression" dxfId="12" priority="2">
      <formula>$B1="Wpływy"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4EDD-D1CB-4444-9199-FB83A0135BCF}">
  <dimension ref="A1:H17"/>
  <sheetViews>
    <sheetView zoomScale="145" zoomScaleNormal="145" workbookViewId="0">
      <selection activeCell="H17" sqref="H17"/>
    </sheetView>
  </sheetViews>
  <sheetFormatPr defaultRowHeight="15" x14ac:dyDescent="0.25"/>
  <cols>
    <col min="1" max="1" width="12.42578125" customWidth="1"/>
    <col min="2" max="2" width="18" customWidth="1"/>
    <col min="3" max="3" width="22.85546875" customWidth="1"/>
    <col min="4" max="4" width="14.140625" customWidth="1"/>
    <col min="5" max="5" width="19" customWidth="1"/>
    <col min="7" max="7" width="20.140625" customWidth="1"/>
    <col min="8" max="8" width="17.140625" customWidth="1"/>
    <col min="9" max="10" width="9.140625" customWidth="1"/>
  </cols>
  <sheetData>
    <row r="1" spans="1:8" x14ac:dyDescent="0.25">
      <c r="A1" t="s">
        <v>20</v>
      </c>
      <c r="B1" t="s">
        <v>27</v>
      </c>
      <c r="C1" t="s">
        <v>34</v>
      </c>
      <c r="D1" t="s">
        <v>35</v>
      </c>
      <c r="E1" t="s">
        <v>36</v>
      </c>
      <c r="G1" t="s">
        <v>42</v>
      </c>
      <c r="H1" t="s">
        <v>37</v>
      </c>
    </row>
    <row r="2" spans="1:8" x14ac:dyDescent="0.25">
      <c r="A2" t="s">
        <v>21</v>
      </c>
      <c r="B2" t="s">
        <v>19</v>
      </c>
      <c r="C2" s="2" cm="1">
        <f t="array" aca="1" ref="C2" ca="1">INDIRECT(TEXT(DATE(2025,$B$11-1,1),"mmmm")&amp;"!E"&amp;ROW())</f>
        <v>7452.4400000000005</v>
      </c>
      <c r="D2" s="2">
        <f>SUMIFS(operacje[Kwota],operacje[Bank],czerwiec_saldo[[#This Row],[Bank]],operacje[Produkt],czerwiec_saldo[[#This Row],[Produkt]],operacje[Miesiąc],$B$11)</f>
        <v>1420</v>
      </c>
      <c r="E2" s="2">
        <f ca="1">czerwiec_saldo[[#This Row],[Saldo początkowe]]+czerwiec_saldo[[#This Row],[Operacje]]</f>
        <v>8872.44</v>
      </c>
      <c r="G2" t="s">
        <v>2</v>
      </c>
      <c r="H2" s="3">
        <f>SUMIFS(operacje[Kwota],operacje[Kategoria],$G2,operacje[Miesiąc],$B$11)</f>
        <v>-1000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-800</v>
      </c>
      <c r="D3" s="2">
        <f>SUMIFS(operacje[Kwota],operacje[Bank],czerwiec_saldo[[#This Row],[Bank]],operacje[Produkt],czerwiec_saldo[[#This Row],[Produkt]],operacje[Miesiąc],$B$11)</f>
        <v>-300</v>
      </c>
      <c r="E3" s="2">
        <f ca="1">czerwiec_saldo[[#This Row],[Saldo początkowe]]+czerwiec_saldo[[#This Row],[Operacje]]</f>
        <v>-1100</v>
      </c>
      <c r="G3" t="s">
        <v>3</v>
      </c>
      <c r="H3" s="3">
        <f>SUMIFS(operacje[Kwota],operacje[Kategoria],$G3,operacje[Miesiąc],$B$11)</f>
        <v>-80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1200</v>
      </c>
      <c r="D4" s="2">
        <f>SUMIFS(operacje[Kwota],operacje[Bank],czerwiec_saldo[[#This Row],[Bank]],operacje[Produkt],czerwiec_saldo[[#This Row],[Produkt]],operacje[Miesiąc],$B$11)</f>
        <v>0</v>
      </c>
      <c r="E4" s="2">
        <f ca="1">czerwiec_saldo[[#This Row],[Saldo początkowe]]+czerwiec_saldo[[#This Row],[Operacje]]</f>
        <v>1200</v>
      </c>
      <c r="G4" t="s">
        <v>45</v>
      </c>
      <c r="H4" s="3">
        <f>SUMIFS(operacje[Kwota],operacje[Kategoria],$G4,operacje[Miesiąc],$B$11)</f>
        <v>-50</v>
      </c>
    </row>
    <row r="5" spans="1:8" x14ac:dyDescent="0.25">
      <c r="A5" t="s">
        <v>22</v>
      </c>
      <c r="B5" t="s">
        <v>19</v>
      </c>
      <c r="C5" s="2" cm="1">
        <f t="array" aca="1" ref="C5" ca="1">INDIRECT(TEXT(DATE(2025,$B$11-1,1),"mmmm")&amp;"!E"&amp;ROW())</f>
        <v>218.5</v>
      </c>
      <c r="D5" s="2">
        <f>SUMIFS(operacje[Kwota],operacje[Bank],czerwiec_saldo[[#This Row],[Bank]],operacje[Produkt],czerwiec_saldo[[#This Row],[Produkt]],operacje[Miesiąc],$B$11)</f>
        <v>250</v>
      </c>
      <c r="E5" s="2">
        <f ca="1">czerwiec_saldo[[#This Row],[Saldo początkowe]]+czerwiec_saldo[[#This Row],[Operacje]]</f>
        <v>468.5</v>
      </c>
      <c r="G5" t="s">
        <v>4</v>
      </c>
      <c r="H5" s="3">
        <f>SUMIFS(operacje[Kwota],operacje[Kategoria],$G5,operacje[Miesiąc],$B$11)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350.5</v>
      </c>
      <c r="D6" s="2">
        <f>SUMIFS(operacje[Kwota],operacje[Bank],czerwiec_saldo[[#This Row],[Bank]],operacje[Produkt],czerwiec_saldo[[#This Row],[Produkt]],operacje[Miesiąc],$B$11)</f>
        <v>0</v>
      </c>
      <c r="E6" s="2">
        <f ca="1">czerwiec_saldo[[#This Row],[Saldo początkowe]]+czerwiec_saldo[[#This Row],[Operacje]]</f>
        <v>350.5</v>
      </c>
      <c r="G6" t="s">
        <v>5</v>
      </c>
      <c r="H6" s="3">
        <f>SUMIFS(operacje[Kwota],operacje[Kategoria],$G6,operacje[Miesiąc],$B$11)</f>
        <v>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570</v>
      </c>
      <c r="D7" s="2">
        <f>SUMIFS(operacje[Kwota],operacje[Bank],czerwiec_saldo[[#This Row],[Bank]],operacje[Produkt],czerwiec_saldo[[#This Row],[Produkt]],operacje[Miesiąc],$B$11)</f>
        <v>-200</v>
      </c>
      <c r="E7" s="2">
        <f ca="1">czerwiec_saldo[[#This Row],[Saldo początkowe]]+czerwiec_saldo[[#This Row],[Operacje]]</f>
        <v>370</v>
      </c>
      <c r="G7" t="s">
        <v>7</v>
      </c>
      <c r="H7" s="3">
        <f>SUMIFS(operacje[Kwota],operacje[Kategoria],$G7,operacje[Miesiąc],$B$11)</f>
        <v>-200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75.510000000000005</v>
      </c>
      <c r="D8" s="2">
        <f>SUMIFS(operacje[Kwota],operacje[Bank],czerwiec_saldo[[#This Row],[Bank]],operacje[Produkt],czerwiec_saldo[[#This Row],[Produkt]],operacje[Miesiąc],$B$11)</f>
        <v>0</v>
      </c>
      <c r="E8" s="2">
        <f ca="1">czerwiec_saldo[[#This Row],[Saldo początkowe]]+czerwiec_saldo[[#This Row],[Operacje]]</f>
        <v>75.510000000000005</v>
      </c>
      <c r="G8" t="s">
        <v>8</v>
      </c>
      <c r="H8" s="3">
        <f>SUMIFS(operacje[Kwota],operacje[Kategoria],$G8,operacje[Miesiąc],$B$11)</f>
        <v>-100</v>
      </c>
    </row>
    <row r="9" spans="1:8" x14ac:dyDescent="0.25">
      <c r="A9" t="s">
        <v>37</v>
      </c>
      <c r="C9" s="2">
        <f ca="1">SUM(C2:C8)</f>
        <v>9066.9500000000007</v>
      </c>
      <c r="D9" s="2">
        <f>SUM(D2:D8)</f>
        <v>1170</v>
      </c>
      <c r="E9" s="2">
        <f ca="1">SUM(E2:E8)</f>
        <v>10236.950000000001</v>
      </c>
      <c r="G9" t="s">
        <v>46</v>
      </c>
      <c r="H9" s="3">
        <f>SUMIFS(operacje[Kwota],operacje[Kategoria],$G9,operacje[Miesiąc],$B$11)</f>
        <v>-300</v>
      </c>
    </row>
    <row r="10" spans="1:8" x14ac:dyDescent="0.25">
      <c r="G10" t="s">
        <v>9</v>
      </c>
      <c r="H10" s="3">
        <f>SUMIFS(operacje[Kwota],operacje[Kategoria],$G10,operacje[Miesiąc],$B$11)</f>
        <v>0</v>
      </c>
    </row>
    <row r="11" spans="1:8" x14ac:dyDescent="0.25">
      <c r="A11" t="s">
        <v>38</v>
      </c>
      <c r="B11">
        <v>6</v>
      </c>
      <c r="C11" t="str">
        <f>TEXT(DATE(2025,B11,1),"mmmm")</f>
        <v>czerwiec</v>
      </c>
      <c r="G11" t="s">
        <v>11</v>
      </c>
      <c r="H11" s="3">
        <f>SUMIFS(operacje[Kwota],operacje[Kategoria],$G11,operacje[Miesiąc],$B$11)</f>
        <v>4500</v>
      </c>
    </row>
    <row r="12" spans="1:8" x14ac:dyDescent="0.25">
      <c r="G12" t="s">
        <v>12</v>
      </c>
      <c r="H12" s="3">
        <f>SUMIFS(operacje[Kwota],operacje[Kategoria],$G12,operacje[Miesiąc],$B$11)</f>
        <v>400</v>
      </c>
    </row>
    <row r="13" spans="1:8" x14ac:dyDescent="0.25">
      <c r="A13" t="s">
        <v>39</v>
      </c>
      <c r="B13" s="2">
        <f>SUMIFS(operacje[Kwota],operacje[Typ],$A13,operacje[Miesiąc],$B$11)</f>
        <v>4900</v>
      </c>
      <c r="G13" t="s">
        <v>13</v>
      </c>
      <c r="H13" s="3">
        <f>SUMIFS(operacje[Kwota],operacje[Kategoria],$G13,operacje[Miesiąc],$B$11)</f>
        <v>0</v>
      </c>
    </row>
    <row r="14" spans="1:8" x14ac:dyDescent="0.25">
      <c r="A14" t="s">
        <v>40</v>
      </c>
      <c r="B14" s="2">
        <f>SUMIFS(operacje[Kwota],operacje[Typ],$A14,operacje[Miesiąc],$B$11)</f>
        <v>-3730</v>
      </c>
      <c r="G14" t="s">
        <v>14</v>
      </c>
      <c r="H14" s="3">
        <f>SUMIFS(operacje[Kwota],operacje[Kategoria],$G14,operacje[Miesiąc],$B$11)</f>
        <v>0</v>
      </c>
    </row>
    <row r="15" spans="1:8" x14ac:dyDescent="0.25">
      <c r="A15" t="s">
        <v>41</v>
      </c>
      <c r="B15" s="2">
        <f>SUM(B13,B14)</f>
        <v>1170</v>
      </c>
      <c r="G15" t="s">
        <v>15</v>
      </c>
      <c r="H15" s="3">
        <f>SUMIFS(operacje[Kwota],operacje[Kategoria],$G15,operacje[Miesiąc],$B$11)</f>
        <v>0</v>
      </c>
    </row>
    <row r="16" spans="1:8" x14ac:dyDescent="0.25">
      <c r="G16" t="s">
        <v>16</v>
      </c>
      <c r="H16" s="3">
        <f>SUMIFS(operacje[Kwota],operacje[Kategoria],$G16,operacje[Miesiąc],$B$11)</f>
        <v>0</v>
      </c>
    </row>
    <row r="17" spans="7:8" x14ac:dyDescent="0.25">
      <c r="G17" t="s">
        <v>17</v>
      </c>
      <c r="H17" s="3">
        <f>SUMIFS(operacje[Kwota],operacje[Kategoria],$G17,operacje[Miesiąc],$B$11)</f>
        <v>0</v>
      </c>
    </row>
  </sheetData>
  <conditionalFormatting sqref="G2:G17">
    <cfRule type="expression" dxfId="11" priority="1">
      <formula>$B1="Wydatki"</formula>
    </cfRule>
    <cfRule type="expression" dxfId="10" priority="2">
      <formula>$B1="Wpływy"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683C-F9A7-4AEA-B58B-B6C5B8F3A572}">
  <dimension ref="A1:H17"/>
  <sheetViews>
    <sheetView zoomScale="145" zoomScaleNormal="145" workbookViewId="0">
      <selection activeCell="H17" sqref="H17"/>
    </sheetView>
  </sheetViews>
  <sheetFormatPr defaultRowHeight="15" x14ac:dyDescent="0.25"/>
  <cols>
    <col min="1" max="1" width="12.42578125" customWidth="1"/>
    <col min="2" max="2" width="18" customWidth="1"/>
    <col min="3" max="3" width="22.85546875" customWidth="1"/>
    <col min="4" max="4" width="14.140625" customWidth="1"/>
    <col min="5" max="5" width="19" customWidth="1"/>
    <col min="7" max="7" width="20.140625" customWidth="1"/>
    <col min="8" max="8" width="15.7109375" customWidth="1"/>
    <col min="9" max="10" width="9.140625" customWidth="1"/>
  </cols>
  <sheetData>
    <row r="1" spans="1:8" x14ac:dyDescent="0.25">
      <c r="A1" t="s">
        <v>20</v>
      </c>
      <c r="B1" t="s">
        <v>27</v>
      </c>
      <c r="C1" t="s">
        <v>34</v>
      </c>
      <c r="D1" t="s">
        <v>35</v>
      </c>
      <c r="E1" t="s">
        <v>36</v>
      </c>
      <c r="G1" t="s">
        <v>42</v>
      </c>
      <c r="H1" t="s">
        <v>37</v>
      </c>
    </row>
    <row r="2" spans="1:8" x14ac:dyDescent="0.25">
      <c r="A2" t="s">
        <v>21</v>
      </c>
      <c r="B2" t="s">
        <v>19</v>
      </c>
      <c r="C2" s="2" cm="1">
        <f t="array" aca="1" ref="C2" ca="1">INDIRECT(TEXT(DATE(2025,$B$11-1,1),"mmmm")&amp;"!E"&amp;ROW())</f>
        <v>9882.44</v>
      </c>
      <c r="D2" s="2">
        <f>SUMIFS(operacje[Kwota],operacje[Bank],sierpień_saldo[[#This Row],[Bank]],operacje[Produkt],sierpień_saldo[[#This Row],[Produkt]],operacje[Miesiąc],$B$11)</f>
        <v>1475</v>
      </c>
      <c r="E2" s="2">
        <f ca="1">sierpień_saldo[[#This Row],[Saldo początkowe]]+sierpień_saldo[[#This Row],[Operacje]]</f>
        <v>11357.44</v>
      </c>
      <c r="G2" t="s">
        <v>2</v>
      </c>
      <c r="H2" s="3">
        <f>SUMIFS(operacje[Kwota],operacje[Kategoria],$G2,operacje[Miesiąc],$B$11)</f>
        <v>-749.5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65</v>
      </c>
      <c r="D3" s="2">
        <f>SUMIFS(operacje[Kwota],operacje[Bank],sierpień_saldo[[#This Row],[Bank]],operacje[Produkt],sierpień_saldo[[#This Row],[Produkt]],operacje[Miesiąc],$B$11)</f>
        <v>33</v>
      </c>
      <c r="E3" s="2">
        <f ca="1">sierpień_saldo[[#This Row],[Saldo początkowe]]+sierpień_saldo[[#This Row],[Operacje]]</f>
        <v>98</v>
      </c>
      <c r="G3" t="s">
        <v>3</v>
      </c>
      <c r="H3" s="3">
        <f>SUMIFS(operacje[Kwota],operacje[Kategoria],$G3,operacje[Miesiąc],$B$11)</f>
        <v>-290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1020</v>
      </c>
      <c r="D4" s="2">
        <f>SUMIFS(operacje[Kwota],operacje[Bank],sierpień_saldo[[#This Row],[Bank]],operacje[Produkt],sierpień_saldo[[#This Row],[Produkt]],operacje[Miesiąc],$B$11)</f>
        <v>-1020</v>
      </c>
      <c r="E4" s="2">
        <f ca="1">sierpień_saldo[[#This Row],[Saldo początkowe]]+sierpień_saldo[[#This Row],[Operacje]]</f>
        <v>0</v>
      </c>
      <c r="G4" t="s">
        <v>45</v>
      </c>
      <c r="H4" s="3">
        <f>SUMIFS(operacje[Kwota],operacje[Kategoria],$G4,operacje[Miesiąc],$B$11)</f>
        <v>0</v>
      </c>
    </row>
    <row r="5" spans="1:8" x14ac:dyDescent="0.25">
      <c r="A5" t="s">
        <v>22</v>
      </c>
      <c r="B5" t="s">
        <v>19</v>
      </c>
      <c r="C5" s="2" cm="1">
        <f t="array" aca="1" ref="C5" ca="1">INDIRECT(TEXT(DATE(2025,$B$11-1,1),"mmmm")&amp;"!E"&amp;ROW())</f>
        <v>368.5</v>
      </c>
      <c r="D5" s="2">
        <f>SUMIFS(operacje[Kwota],operacje[Bank],sierpień_saldo[[#This Row],[Bank]],operacje[Produkt],sierpień_saldo[[#This Row],[Produkt]],operacje[Miesiąc],$B$11)</f>
        <v>200</v>
      </c>
      <c r="E5" s="2">
        <f ca="1">sierpień_saldo[[#This Row],[Saldo początkowe]]+sierpień_saldo[[#This Row],[Operacje]]</f>
        <v>568.5</v>
      </c>
      <c r="G5" t="s">
        <v>4</v>
      </c>
      <c r="H5" s="3">
        <f>SUMIFS(operacje[Kwota],operacje[Kategoria],$G5,operacje[Miesiąc],$B$11)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1400.5</v>
      </c>
      <c r="D6" s="2">
        <f>SUMIFS(operacje[Kwota],operacje[Bank],sierpień_saldo[[#This Row],[Bank]],operacje[Produkt],sierpień_saldo[[#This Row],[Produkt]],operacje[Miesiąc],$B$11)</f>
        <v>-300</v>
      </c>
      <c r="E6" s="2">
        <f ca="1">sierpień_saldo[[#This Row],[Saldo początkowe]]+sierpień_saldo[[#This Row],[Operacje]]</f>
        <v>1100.5</v>
      </c>
      <c r="G6" t="s">
        <v>5</v>
      </c>
      <c r="H6" s="3">
        <f>SUMIFS(operacje[Kwota],operacje[Kategoria],$G6,operacje[Miesiąc],$B$11)</f>
        <v>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370</v>
      </c>
      <c r="D7" s="2">
        <f>SUMIFS(operacje[Kwota],operacje[Bank],sierpień_saldo[[#This Row],[Bank]],operacje[Produkt],sierpień_saldo[[#This Row],[Produkt]],operacje[Miesiąc],$B$11)</f>
        <v>2.5</v>
      </c>
      <c r="E7" s="2">
        <f ca="1">sierpień_saldo[[#This Row],[Saldo początkowe]]+sierpień_saldo[[#This Row],[Operacje]]</f>
        <v>372.5</v>
      </c>
      <c r="G7" t="s">
        <v>7</v>
      </c>
      <c r="H7" s="3">
        <f>SUMIFS(operacje[Kwota],operacje[Kategoria],$G7,operacje[Miesiąc],$B$11)</f>
        <v>-250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45.510000000000005</v>
      </c>
      <c r="D8" s="2">
        <f>SUMIFS(operacje[Kwota],operacje[Bank],sierpień_saldo[[#This Row],[Bank]],operacje[Produkt],sierpień_saldo[[#This Row],[Produkt]],operacje[Miesiąc],$B$11)</f>
        <v>0</v>
      </c>
      <c r="E8" s="2">
        <f ca="1">sierpień_saldo[[#This Row],[Saldo początkowe]]+sierpień_saldo[[#This Row],[Operacje]]</f>
        <v>45.510000000000005</v>
      </c>
      <c r="G8" t="s">
        <v>8</v>
      </c>
      <c r="H8" s="3">
        <f>SUMIFS(operacje[Kwota],operacje[Kategoria],$G8,operacje[Miesiąc],$B$11)</f>
        <v>-400</v>
      </c>
    </row>
    <row r="9" spans="1:8" x14ac:dyDescent="0.25">
      <c r="A9" t="s">
        <v>37</v>
      </c>
      <c r="C9" s="2">
        <f ca="1">SUM(C2:C8)</f>
        <v>13151.95</v>
      </c>
      <c r="D9" s="2">
        <f>SUM(D2:D8)</f>
        <v>390.5</v>
      </c>
      <c r="E9" s="2">
        <f ca="1">SUM(E2:E8)</f>
        <v>13542.45</v>
      </c>
      <c r="G9" t="s">
        <v>46</v>
      </c>
      <c r="H9" s="3">
        <f>SUMIFS(operacje[Kwota],operacje[Kategoria],$G9,operacje[Miesiąc],$B$11)</f>
        <v>-300</v>
      </c>
    </row>
    <row r="10" spans="1:8" x14ac:dyDescent="0.25">
      <c r="G10" t="s">
        <v>9</v>
      </c>
      <c r="H10" s="3">
        <f>SUMIFS(operacje[Kwota],operacje[Kategoria],$G10,operacje[Miesiąc],$B$11)</f>
        <v>0</v>
      </c>
    </row>
    <row r="11" spans="1:8" x14ac:dyDescent="0.25">
      <c r="A11" t="s">
        <v>38</v>
      </c>
      <c r="B11">
        <v>8</v>
      </c>
      <c r="C11" t="str">
        <f>TEXT(DATE(2025,B11,1),"mmmm")</f>
        <v>sierpień</v>
      </c>
      <c r="G11" t="s">
        <v>11</v>
      </c>
      <c r="H11" s="3">
        <f>SUMIFS(operacje[Kwota],operacje[Kategoria],$G11,operacje[Miesiąc],$B$11)</f>
        <v>4500</v>
      </c>
    </row>
    <row r="12" spans="1:8" x14ac:dyDescent="0.25">
      <c r="G12" t="s">
        <v>12</v>
      </c>
      <c r="H12" s="3">
        <f>SUMIFS(operacje[Kwota],operacje[Kategoria],$G12,operacje[Miesiąc],$B$11)</f>
        <v>0</v>
      </c>
    </row>
    <row r="13" spans="1:8" x14ac:dyDescent="0.25">
      <c r="A13" t="s">
        <v>39</v>
      </c>
      <c r="B13" s="2">
        <f>SUMIFS(operacje[Kwota],operacje[Typ],$A13,operacje[Miesiąc],$B$11)</f>
        <v>5400</v>
      </c>
      <c r="G13" t="s">
        <v>13</v>
      </c>
      <c r="H13" s="3">
        <f>SUMIFS(operacje[Kwota],operacje[Kategoria],$G13,operacje[Miesiąc],$B$11)</f>
        <v>0</v>
      </c>
    </row>
    <row r="14" spans="1:8" x14ac:dyDescent="0.25">
      <c r="A14" t="s">
        <v>40</v>
      </c>
      <c r="B14" s="2">
        <f>SUMIFS(operacje[Kwota],operacje[Typ],$A14,operacje[Miesiąc],$B$11)</f>
        <v>-3989.5</v>
      </c>
      <c r="G14" t="s">
        <v>14</v>
      </c>
      <c r="H14" s="3">
        <f>SUMIFS(operacje[Kwota],operacje[Kategoria],$G14,operacje[Miesiąc],$B$11)</f>
        <v>0</v>
      </c>
    </row>
    <row r="15" spans="1:8" x14ac:dyDescent="0.25">
      <c r="A15" t="s">
        <v>41</v>
      </c>
      <c r="B15" s="2">
        <f>SUM(B13,B14)</f>
        <v>1410.5</v>
      </c>
      <c r="G15" t="s">
        <v>15</v>
      </c>
      <c r="H15" s="3">
        <f>SUMIFS(operacje[Kwota],operacje[Kategoria],$G15,operacje[Miesiąc],$B$11)</f>
        <v>0</v>
      </c>
    </row>
    <row r="16" spans="1:8" x14ac:dyDescent="0.25">
      <c r="G16" t="s">
        <v>16</v>
      </c>
      <c r="H16" s="3">
        <f>SUMIFS(operacje[Kwota],operacje[Kategoria],$G16,operacje[Miesiąc],$B$11)</f>
        <v>500</v>
      </c>
    </row>
    <row r="17" spans="7:8" x14ac:dyDescent="0.25">
      <c r="G17" t="s">
        <v>17</v>
      </c>
      <c r="H17" s="3">
        <f>SUMIFS(operacje[Kwota],operacje[Kategoria],$G17,operacje[Miesiąc],$B$11)</f>
        <v>0</v>
      </c>
    </row>
  </sheetData>
  <conditionalFormatting sqref="G2:G17">
    <cfRule type="expression" dxfId="9" priority="1">
      <formula>$B1="Wydatki"</formula>
    </cfRule>
    <cfRule type="expression" dxfId="8" priority="2">
      <formula>$B1="Wpływy"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D06A-2547-44A3-BD97-322137B01D01}">
  <dimension ref="A1:H17"/>
  <sheetViews>
    <sheetView zoomScale="145" zoomScaleNormal="145" workbookViewId="0">
      <selection activeCell="H17" sqref="H17"/>
    </sheetView>
  </sheetViews>
  <sheetFormatPr defaultRowHeight="15" x14ac:dyDescent="0.25"/>
  <cols>
    <col min="1" max="1" width="12.42578125" customWidth="1"/>
    <col min="2" max="2" width="18" customWidth="1"/>
    <col min="3" max="3" width="22.85546875" customWidth="1"/>
    <col min="4" max="4" width="14.140625" customWidth="1"/>
    <col min="5" max="5" width="19" customWidth="1"/>
    <col min="7" max="7" width="20.140625" customWidth="1"/>
    <col min="8" max="8" width="15.140625" customWidth="1"/>
    <col min="9" max="10" width="9.140625" customWidth="1"/>
  </cols>
  <sheetData>
    <row r="1" spans="1:8" x14ac:dyDescent="0.25">
      <c r="A1" t="s">
        <v>20</v>
      </c>
      <c r="B1" t="s">
        <v>27</v>
      </c>
      <c r="C1" t="s">
        <v>34</v>
      </c>
      <c r="D1" t="s">
        <v>35</v>
      </c>
      <c r="E1" t="s">
        <v>36</v>
      </c>
      <c r="G1" t="s">
        <v>42</v>
      </c>
      <c r="H1" t="s">
        <v>37</v>
      </c>
    </row>
    <row r="2" spans="1:8" x14ac:dyDescent="0.25">
      <c r="A2" t="s">
        <v>21</v>
      </c>
      <c r="B2" t="s">
        <v>19</v>
      </c>
      <c r="C2" s="2" cm="1">
        <f t="array" aca="1" ref="C2" ca="1">INDIRECT(TEXT(DATE(2025,$B$11-1,1),"mmmm")&amp;"!E"&amp;ROW())</f>
        <v>11357.44</v>
      </c>
      <c r="D2" s="2">
        <f>SUMIFS(operacje[Kwota],operacje[Bank],wrzesień_saldo[[#This Row],[Bank]],operacje[Produkt],wrzesień_saldo[[#This Row],[Produkt]],operacje[Miesiąc],$B$11)</f>
        <v>1689.5</v>
      </c>
      <c r="E2" s="2">
        <f ca="1">wrzesień_saldo[[#This Row],[Saldo początkowe]]+wrzesień_saldo[[#This Row],[Operacje]]</f>
        <v>13046.94</v>
      </c>
      <c r="G2" t="s">
        <v>2</v>
      </c>
      <c r="H2" s="3">
        <f>SUMIFS(operacje[Kwota],operacje[Kategoria],$G2,operacje[Miesiąc],$B$11)</f>
        <v>-538.5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98</v>
      </c>
      <c r="D3" s="2">
        <f>SUMIFS(operacje[Kwota],operacje[Bank],wrzesień_saldo[[#This Row],[Bank]],operacje[Produkt],wrzesień_saldo[[#This Row],[Produkt]],operacje[Miesiąc],$B$11)</f>
        <v>82</v>
      </c>
      <c r="E3" s="2">
        <f ca="1">wrzesień_saldo[[#This Row],[Saldo początkowe]]+wrzesień_saldo[[#This Row],[Operacje]]</f>
        <v>180</v>
      </c>
      <c r="G3" t="s">
        <v>3</v>
      </c>
      <c r="H3" s="3">
        <f>SUMIFS(operacje[Kwota],operacje[Kategoria],$G3,operacje[Miesiąc],$B$11)</f>
        <v>-150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0</v>
      </c>
      <c r="D4" s="2">
        <f>SUMIFS(operacje[Kwota],operacje[Bank],wrzesień_saldo[[#This Row],[Bank]],operacje[Produkt],wrzesień_saldo[[#This Row],[Produkt]],operacje[Miesiąc],$B$11)</f>
        <v>0</v>
      </c>
      <c r="E4" s="2">
        <f ca="1">wrzesień_saldo[[#This Row],[Saldo początkowe]]+wrzesień_saldo[[#This Row],[Operacje]]</f>
        <v>0</v>
      </c>
      <c r="G4" t="s">
        <v>45</v>
      </c>
      <c r="H4" s="3">
        <f>SUMIFS(operacje[Kwota],operacje[Kategoria],$G4,operacje[Miesiąc],$B$11)</f>
        <v>-40</v>
      </c>
    </row>
    <row r="5" spans="1:8" x14ac:dyDescent="0.25">
      <c r="A5" t="s">
        <v>22</v>
      </c>
      <c r="B5" t="s">
        <v>19</v>
      </c>
      <c r="C5" s="2" cm="1">
        <f t="array" aca="1" ref="C5" ca="1">INDIRECT(TEXT(DATE(2025,$B$11-1,1),"mmmm")&amp;"!E"&amp;ROW())</f>
        <v>568.5</v>
      </c>
      <c r="D5" s="2">
        <f>SUMIFS(operacje[Kwota],operacje[Bank],wrzesień_saldo[[#This Row],[Bank]],operacje[Produkt],wrzesień_saldo[[#This Row],[Produkt]],operacje[Miesiąc],$B$11)</f>
        <v>-20</v>
      </c>
      <c r="E5" s="2">
        <f ca="1">wrzesień_saldo[[#This Row],[Saldo początkowe]]+wrzesień_saldo[[#This Row],[Operacje]]</f>
        <v>548.5</v>
      </c>
      <c r="G5" t="s">
        <v>4</v>
      </c>
      <c r="H5" s="3">
        <f>SUMIFS(operacje[Kwota],operacje[Kategoria],$G5,operacje[Miesiąc],$B$11)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1100.5</v>
      </c>
      <c r="D6" s="2">
        <f>SUMIFS(operacje[Kwota],operacje[Bank],wrzesień_saldo[[#This Row],[Bank]],operacje[Produkt],wrzesień_saldo[[#This Row],[Produkt]],operacje[Miesiąc],$B$11)</f>
        <v>0</v>
      </c>
      <c r="E6" s="2">
        <f ca="1">wrzesień_saldo[[#This Row],[Saldo początkowe]]+wrzesień_saldo[[#This Row],[Operacje]]</f>
        <v>1100.5</v>
      </c>
      <c r="G6" t="s">
        <v>5</v>
      </c>
      <c r="H6" s="3">
        <f>SUMIFS(operacje[Kwota],operacje[Kategoria],$G6,operacje[Miesiąc],$B$11)</f>
        <v>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372.5</v>
      </c>
      <c r="D7" s="2">
        <f>SUMIFS(operacje[Kwota],operacje[Bank],wrzesień_saldo[[#This Row],[Bank]],operacje[Produkt],wrzesień_saldo[[#This Row],[Produkt]],operacje[Miesiąc],$B$11)</f>
        <v>0</v>
      </c>
      <c r="E7" s="2">
        <f ca="1">wrzesień_saldo[[#This Row],[Saldo początkowe]]+wrzesień_saldo[[#This Row],[Operacje]]</f>
        <v>372.5</v>
      </c>
      <c r="G7" t="s">
        <v>7</v>
      </c>
      <c r="H7" s="3">
        <f>SUMIFS(operacje[Kwota],operacje[Kategoria],$G7,operacje[Miesiąc],$B$11)</f>
        <v>-20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45.510000000000005</v>
      </c>
      <c r="D8" s="2">
        <f>SUMIFS(operacje[Kwota],operacje[Bank],wrzesień_saldo[[#This Row],[Bank]],operacje[Produkt],wrzesień_saldo[[#This Row],[Produkt]],operacje[Miesiąc],$B$11)</f>
        <v>0</v>
      </c>
      <c r="E8" s="2">
        <f ca="1">wrzesień_saldo[[#This Row],[Saldo początkowe]]+wrzesień_saldo[[#This Row],[Operacje]]</f>
        <v>45.510000000000005</v>
      </c>
      <c r="G8" t="s">
        <v>8</v>
      </c>
      <c r="H8" s="3">
        <f>SUMIFS(operacje[Kwota],operacje[Kategoria],$G8,operacje[Miesiąc],$B$11)</f>
        <v>0</v>
      </c>
    </row>
    <row r="9" spans="1:8" x14ac:dyDescent="0.25">
      <c r="A9" t="s">
        <v>37</v>
      </c>
      <c r="C9" s="2">
        <f ca="1">SUM(C2:C8)</f>
        <v>13542.45</v>
      </c>
      <c r="D9" s="2">
        <f>SUM(D2:D8)</f>
        <v>1751.5</v>
      </c>
      <c r="E9" s="2">
        <f ca="1">SUM(E2:E8)</f>
        <v>15293.95</v>
      </c>
      <c r="G9" t="s">
        <v>46</v>
      </c>
      <c r="H9" s="3">
        <f>SUMIFS(operacje[Kwota],operacje[Kategoria],$G9,operacje[Miesiąc],$B$11)</f>
        <v>0</v>
      </c>
    </row>
    <row r="10" spans="1:8" x14ac:dyDescent="0.25">
      <c r="G10" t="s">
        <v>9</v>
      </c>
      <c r="H10" s="3">
        <f>SUMIFS(operacje[Kwota],operacje[Kategoria],$G10,operacje[Miesiąc],$B$11)</f>
        <v>0</v>
      </c>
    </row>
    <row r="11" spans="1:8" x14ac:dyDescent="0.25">
      <c r="A11" t="s">
        <v>38</v>
      </c>
      <c r="B11">
        <v>9</v>
      </c>
      <c r="C11" t="str">
        <f>TEXT(DATE(2025,B11,1),"mmmm")</f>
        <v>wrzesień</v>
      </c>
      <c r="G11" t="s">
        <v>11</v>
      </c>
      <c r="H11" s="3">
        <f>SUMIFS(operacje[Kwota],operacje[Kategoria],$G11,operacje[Miesiąc],$B$11)</f>
        <v>4500</v>
      </c>
    </row>
    <row r="12" spans="1:8" x14ac:dyDescent="0.25">
      <c r="G12" t="s">
        <v>12</v>
      </c>
      <c r="H12" s="3">
        <f>SUMIFS(operacje[Kwota],operacje[Kategoria],$G12,operacje[Miesiąc],$B$11)</f>
        <v>0</v>
      </c>
    </row>
    <row r="13" spans="1:8" x14ac:dyDescent="0.25">
      <c r="A13" t="s">
        <v>39</v>
      </c>
      <c r="B13" s="2">
        <f>SUMIFS(operacje[Kwota],operacje[Typ],$A13,operacje[Miesiąc],$B$11)</f>
        <v>4500</v>
      </c>
      <c r="G13" t="s">
        <v>13</v>
      </c>
      <c r="H13" s="3">
        <f>SUMIFS(operacje[Kwota],operacje[Kategoria],$G13,operacje[Miesiąc],$B$11)</f>
        <v>0</v>
      </c>
    </row>
    <row r="14" spans="1:8" x14ac:dyDescent="0.25">
      <c r="A14" t="s">
        <v>40</v>
      </c>
      <c r="B14" s="2">
        <f>SUMIFS(operacje[Kwota],operacje[Typ],$A14,operacje[Miesiąc],$B$11)</f>
        <v>-2748.5</v>
      </c>
      <c r="G14" t="s">
        <v>14</v>
      </c>
      <c r="H14" s="3">
        <f>SUMIFS(operacje[Kwota],operacje[Kategoria],$G14,operacje[Miesiąc],$B$11)</f>
        <v>0</v>
      </c>
    </row>
    <row r="15" spans="1:8" x14ac:dyDescent="0.25">
      <c r="A15" t="s">
        <v>41</v>
      </c>
      <c r="B15" s="2">
        <f>SUM(B13,B14)</f>
        <v>1751.5</v>
      </c>
      <c r="G15" t="s">
        <v>15</v>
      </c>
      <c r="H15" s="3">
        <f>SUMIFS(operacje[Kwota],operacje[Kategoria],$G15,operacje[Miesiąc],$B$11)</f>
        <v>0</v>
      </c>
    </row>
    <row r="16" spans="1:8" x14ac:dyDescent="0.25">
      <c r="G16" t="s">
        <v>16</v>
      </c>
      <c r="H16" s="3">
        <f>SUMIFS(operacje[Kwota],operacje[Kategoria],$G16,operacje[Miesiąc],$B$11)</f>
        <v>0</v>
      </c>
    </row>
    <row r="17" spans="7:8" x14ac:dyDescent="0.25">
      <c r="G17" t="s">
        <v>17</v>
      </c>
      <c r="H17" s="3">
        <f>SUMIFS(operacje[Kwota],operacje[Kategoria],$G17,operacje[Miesiąc],$B$11)</f>
        <v>0</v>
      </c>
    </row>
  </sheetData>
  <conditionalFormatting sqref="G2:G17">
    <cfRule type="expression" dxfId="7" priority="1">
      <formula>$B1="Wydatki"</formula>
    </cfRule>
    <cfRule type="expression" dxfId="6" priority="2">
      <formula>$B1="Wpływy"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A20D-9885-4321-9AC8-BE2B7EEC2A06}">
  <dimension ref="A1:H17"/>
  <sheetViews>
    <sheetView zoomScale="145" zoomScaleNormal="145" workbookViewId="0">
      <selection activeCell="H17" sqref="H17"/>
    </sheetView>
  </sheetViews>
  <sheetFormatPr defaultRowHeight="15" x14ac:dyDescent="0.25"/>
  <cols>
    <col min="1" max="1" width="12.42578125" customWidth="1"/>
    <col min="2" max="2" width="18" customWidth="1"/>
    <col min="3" max="3" width="22.85546875" customWidth="1"/>
    <col min="4" max="4" width="14.140625" customWidth="1"/>
    <col min="5" max="5" width="19" customWidth="1"/>
    <col min="7" max="7" width="20.140625" customWidth="1"/>
    <col min="8" max="8" width="16.7109375" customWidth="1"/>
    <col min="9" max="10" width="9.140625" customWidth="1"/>
  </cols>
  <sheetData>
    <row r="1" spans="1:8" x14ac:dyDescent="0.25">
      <c r="A1" t="s">
        <v>20</v>
      </c>
      <c r="B1" t="s">
        <v>27</v>
      </c>
      <c r="C1" t="s">
        <v>34</v>
      </c>
      <c r="D1" t="s">
        <v>35</v>
      </c>
      <c r="E1" t="s">
        <v>36</v>
      </c>
      <c r="G1" t="s">
        <v>42</v>
      </c>
      <c r="H1" t="s">
        <v>37</v>
      </c>
    </row>
    <row r="2" spans="1:8" x14ac:dyDescent="0.25">
      <c r="A2" t="s">
        <v>21</v>
      </c>
      <c r="B2" t="s">
        <v>19</v>
      </c>
      <c r="C2" s="2" cm="1">
        <f t="array" aca="1" ref="C2" ca="1">INDIRECT(TEXT(DATE(2025,$B$11-1,1),"mmmm")&amp;"!E"&amp;ROW())</f>
        <v>13046.94</v>
      </c>
      <c r="D2" s="2">
        <f>SUMIFS(operacje[Kwota],operacje[Bank],październik_saldo[[#This Row],[Bank]],operacje[Produkt],październik_saldo[[#This Row],[Produkt]],operacje[Miesiąc],$B$11)</f>
        <v>1690</v>
      </c>
      <c r="E2" s="2">
        <f ca="1">październik_saldo[[#This Row],[Saldo początkowe]]+październik_saldo[[#This Row],[Operacje]]</f>
        <v>14736.94</v>
      </c>
      <c r="G2" t="s">
        <v>2</v>
      </c>
      <c r="H2" s="3">
        <f>SUMIFS(operacje[Kwota],operacje[Kategoria],$G2,operacje[Miesiąc],$B$11)</f>
        <v>-600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180</v>
      </c>
      <c r="D3" s="2">
        <f>SUMIFS(operacje[Kwota],operacje[Bank],październik_saldo[[#This Row],[Bank]],operacje[Produkt],październik_saldo[[#This Row],[Produkt]],operacje[Miesiąc],$B$11)</f>
        <v>-20</v>
      </c>
      <c r="E3" s="2">
        <f ca="1">październik_saldo[[#This Row],[Saldo początkowe]]+październik_saldo[[#This Row],[Operacje]]</f>
        <v>160</v>
      </c>
      <c r="G3" t="s">
        <v>3</v>
      </c>
      <c r="H3" s="3">
        <f>SUMIFS(operacje[Kwota],operacje[Kategoria],$G3,operacje[Miesiąc],$B$11)</f>
        <v>-150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0</v>
      </c>
      <c r="D4" s="2">
        <f>SUMIFS(operacje[Kwota],operacje[Bank],październik_saldo[[#This Row],[Bank]],operacje[Produkt],październik_saldo[[#This Row],[Produkt]],operacje[Miesiąc],$B$11)</f>
        <v>0</v>
      </c>
      <c r="E4" s="2">
        <f ca="1">październik_saldo[[#This Row],[Saldo początkowe]]+październik_saldo[[#This Row],[Operacje]]</f>
        <v>0</v>
      </c>
      <c r="G4" t="s">
        <v>45</v>
      </c>
      <c r="H4" s="3">
        <f>SUMIFS(operacje[Kwota],operacje[Kategoria],$G4,operacje[Miesiąc],$B$11)</f>
        <v>-40</v>
      </c>
    </row>
    <row r="5" spans="1:8" x14ac:dyDescent="0.25">
      <c r="A5" t="s">
        <v>22</v>
      </c>
      <c r="B5" t="s">
        <v>19</v>
      </c>
      <c r="C5" s="2" cm="1">
        <f t="array" aca="1" ref="C5" ca="1">INDIRECT(TEXT(DATE(2025,$B$11-1,1),"mmmm")&amp;"!E"&amp;ROW())</f>
        <v>548.5</v>
      </c>
      <c r="D5" s="2">
        <f>SUMIFS(operacje[Kwota],operacje[Bank],październik_saldo[[#This Row],[Bank]],operacje[Produkt],październik_saldo[[#This Row],[Produkt]],operacje[Miesiąc],$B$11)</f>
        <v>0</v>
      </c>
      <c r="E5" s="2">
        <f ca="1">październik_saldo[[#This Row],[Saldo początkowe]]+październik_saldo[[#This Row],[Operacje]]</f>
        <v>548.5</v>
      </c>
      <c r="G5" t="s">
        <v>4</v>
      </c>
      <c r="H5" s="3">
        <f>SUMIFS(operacje[Kwota],operacje[Kategoria],$G5,operacje[Miesiąc],$B$11)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1100.5</v>
      </c>
      <c r="D6" s="2">
        <f>SUMIFS(operacje[Kwota],operacje[Bank],październik_saldo[[#This Row],[Bank]],operacje[Produkt],październik_saldo[[#This Row],[Produkt]],operacje[Miesiąc],$B$11)</f>
        <v>0</v>
      </c>
      <c r="E6" s="2">
        <f ca="1">październik_saldo[[#This Row],[Saldo początkowe]]+październik_saldo[[#This Row],[Operacje]]</f>
        <v>1100.5</v>
      </c>
      <c r="G6" t="s">
        <v>5</v>
      </c>
      <c r="H6" s="3">
        <f>SUMIFS(operacje[Kwota],operacje[Kategoria],$G6,operacje[Miesiąc],$B$11)</f>
        <v>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372.5</v>
      </c>
      <c r="D7" s="2">
        <f>SUMIFS(operacje[Kwota],operacje[Bank],październik_saldo[[#This Row],[Bank]],operacje[Produkt],październik_saldo[[#This Row],[Produkt]],operacje[Miesiąc],$B$11)</f>
        <v>0</v>
      </c>
      <c r="E7" s="2">
        <f ca="1">październik_saldo[[#This Row],[Saldo początkowe]]+październik_saldo[[#This Row],[Operacje]]</f>
        <v>372.5</v>
      </c>
      <c r="G7" t="s">
        <v>7</v>
      </c>
      <c r="H7" s="3">
        <f>SUMIFS(operacje[Kwota],operacje[Kategoria],$G7,operacje[Miesiąc],$B$11)</f>
        <v>-40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45.510000000000005</v>
      </c>
      <c r="D8" s="2">
        <f>SUMIFS(operacje[Kwota],operacje[Bank],październik_saldo[[#This Row],[Bank]],operacje[Produkt],październik_saldo[[#This Row],[Produkt]],operacje[Miesiąc],$B$11)</f>
        <v>0</v>
      </c>
      <c r="E8" s="2">
        <f ca="1">październik_saldo[[#This Row],[Saldo początkowe]]+październik_saldo[[#This Row],[Operacje]]</f>
        <v>45.510000000000005</v>
      </c>
      <c r="G8" t="s">
        <v>8</v>
      </c>
      <c r="H8" s="3">
        <f>SUMIFS(operacje[Kwota],operacje[Kategoria],$G8,operacje[Miesiąc],$B$11)</f>
        <v>0</v>
      </c>
    </row>
    <row r="9" spans="1:8" x14ac:dyDescent="0.25">
      <c r="A9" t="s">
        <v>37</v>
      </c>
      <c r="C9" s="2">
        <f ca="1">SUM(C2:C8)</f>
        <v>15293.95</v>
      </c>
      <c r="D9" s="2">
        <f>SUM(D2:D8)</f>
        <v>1670</v>
      </c>
      <c r="E9" s="2">
        <f ca="1">SUM(E2:E8)</f>
        <v>16963.95</v>
      </c>
      <c r="G9" t="s">
        <v>46</v>
      </c>
      <c r="H9" s="3">
        <f>SUMIFS(operacje[Kwota],operacje[Kategoria],$G9,operacje[Miesiąc],$B$11)</f>
        <v>0</v>
      </c>
    </row>
    <row r="10" spans="1:8" x14ac:dyDescent="0.25">
      <c r="G10" t="s">
        <v>9</v>
      </c>
      <c r="H10" s="3">
        <f>SUMIFS(operacje[Kwota],operacje[Kategoria],$G10,operacje[Miesiąc],$B$11)</f>
        <v>0</v>
      </c>
    </row>
    <row r="11" spans="1:8" x14ac:dyDescent="0.25">
      <c r="A11" t="s">
        <v>38</v>
      </c>
      <c r="B11">
        <v>10</v>
      </c>
      <c r="C11" t="str">
        <f>TEXT(DATE(2025,B11,1),"mmmm")</f>
        <v>październik</v>
      </c>
      <c r="G11" t="s">
        <v>11</v>
      </c>
      <c r="H11" s="3">
        <f>SUMIFS(operacje[Kwota],operacje[Kategoria],$G11,operacje[Miesiąc],$B$11)</f>
        <v>4500</v>
      </c>
    </row>
    <row r="12" spans="1:8" x14ac:dyDescent="0.25">
      <c r="G12" t="s">
        <v>12</v>
      </c>
      <c r="H12" s="3">
        <f>SUMIFS(operacje[Kwota],operacje[Kategoria],$G12,operacje[Miesiąc],$B$11)</f>
        <v>0</v>
      </c>
    </row>
    <row r="13" spans="1:8" x14ac:dyDescent="0.25">
      <c r="A13" t="s">
        <v>39</v>
      </c>
      <c r="B13" s="2">
        <f>SUMIFS(operacje[Kwota],operacje[Typ],$A13,operacje[Miesiąc],$B$11)</f>
        <v>4500</v>
      </c>
      <c r="G13" t="s">
        <v>13</v>
      </c>
      <c r="H13" s="3">
        <f>SUMIFS(operacje[Kwota],operacje[Kategoria],$G13,operacje[Miesiąc],$B$11)</f>
        <v>0</v>
      </c>
    </row>
    <row r="14" spans="1:8" x14ac:dyDescent="0.25">
      <c r="A14" t="s">
        <v>40</v>
      </c>
      <c r="B14" s="2">
        <f>SUMIFS(operacje[Kwota],operacje[Typ],$A14,operacje[Miesiąc],$B$11)</f>
        <v>-2830</v>
      </c>
      <c r="G14" t="s">
        <v>14</v>
      </c>
      <c r="H14" s="3">
        <f>SUMIFS(operacje[Kwota],operacje[Kategoria],$G14,operacje[Miesiąc],$B$11)</f>
        <v>0</v>
      </c>
    </row>
    <row r="15" spans="1:8" x14ac:dyDescent="0.25">
      <c r="A15" t="s">
        <v>41</v>
      </c>
      <c r="B15" s="2">
        <f>SUM(B13,B14)</f>
        <v>1670</v>
      </c>
      <c r="G15" t="s">
        <v>15</v>
      </c>
      <c r="H15" s="3">
        <f>SUMIFS(operacje[Kwota],operacje[Kategoria],$G15,operacje[Miesiąc],$B$11)</f>
        <v>0</v>
      </c>
    </row>
    <row r="16" spans="1:8" x14ac:dyDescent="0.25">
      <c r="G16" t="s">
        <v>16</v>
      </c>
      <c r="H16" s="3">
        <f>SUMIFS(operacje[Kwota],operacje[Kategoria],$G16,operacje[Miesiąc],$B$11)</f>
        <v>0</v>
      </c>
    </row>
    <row r="17" spans="7:8" x14ac:dyDescent="0.25">
      <c r="G17" t="s">
        <v>17</v>
      </c>
      <c r="H17" s="3">
        <f>SUMIFS(operacje[Kwota],operacje[Kategoria],$G17,operacje[Miesiąc],$B$11)</f>
        <v>0</v>
      </c>
    </row>
  </sheetData>
  <conditionalFormatting sqref="G2:G17">
    <cfRule type="expression" dxfId="5" priority="1">
      <formula>$B1="Wydatki"</formula>
    </cfRule>
    <cfRule type="expression" dxfId="4" priority="2">
      <formula>$B1="Wpływy"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2EF7-7A6C-467A-9CEE-FBBFB72DA4EE}">
  <dimension ref="A1:H17"/>
  <sheetViews>
    <sheetView zoomScale="145" zoomScaleNormal="145" workbookViewId="0">
      <selection activeCell="H17" sqref="H17"/>
    </sheetView>
  </sheetViews>
  <sheetFormatPr defaultRowHeight="15" x14ac:dyDescent="0.25"/>
  <cols>
    <col min="1" max="1" width="12.42578125" customWidth="1"/>
    <col min="2" max="2" width="18" customWidth="1"/>
    <col min="3" max="3" width="22.85546875" customWidth="1"/>
    <col min="4" max="4" width="14.140625" customWidth="1"/>
    <col min="5" max="5" width="19" customWidth="1"/>
    <col min="7" max="7" width="20.140625" customWidth="1"/>
    <col min="8" max="8" width="13.7109375" customWidth="1"/>
    <col min="9" max="10" width="9.140625" customWidth="1"/>
  </cols>
  <sheetData>
    <row r="1" spans="1:8" x14ac:dyDescent="0.25">
      <c r="A1" t="s">
        <v>20</v>
      </c>
      <c r="B1" t="s">
        <v>27</v>
      </c>
      <c r="C1" t="s">
        <v>34</v>
      </c>
      <c r="D1" t="s">
        <v>35</v>
      </c>
      <c r="E1" t="s">
        <v>36</v>
      </c>
      <c r="G1" t="s">
        <v>42</v>
      </c>
      <c r="H1" t="s">
        <v>37</v>
      </c>
    </row>
    <row r="2" spans="1:8" x14ac:dyDescent="0.25">
      <c r="A2" t="s">
        <v>21</v>
      </c>
      <c r="B2" t="s">
        <v>19</v>
      </c>
      <c r="C2" s="2" cm="1">
        <f t="array" aca="1" ref="C2" ca="1">INDIRECT(TEXT(DATE(2025,$B$11-1,1),"mmmm")&amp;"!E"&amp;ROW())</f>
        <v>14736.94</v>
      </c>
      <c r="D2" s="2">
        <f>SUMIFS(operacje[Kwota],operacje[Bank],listopad_saldo[[#This Row],[Bank]],operacje[Produkt],listopad_saldo[[#This Row],[Produkt]],operacje[Miesiąc],$B$11)</f>
        <v>960</v>
      </c>
      <c r="E2" s="2">
        <f ca="1">listopad_saldo[[#This Row],[Saldo początkowe]]+listopad_saldo[[#This Row],[Operacje]]</f>
        <v>15696.94</v>
      </c>
      <c r="G2" t="s">
        <v>2</v>
      </c>
      <c r="H2" s="3">
        <f>SUMIFS(operacje[Kwota],operacje[Kategoria],$G2,operacje[Miesiąc],$B$11)</f>
        <v>-506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160</v>
      </c>
      <c r="D3" s="2">
        <f>SUMIFS(operacje[Kwota],operacje[Bank],listopad_saldo[[#This Row],[Bank]],operacje[Produkt],listopad_saldo[[#This Row],[Produkt]],operacje[Miesiąc],$B$11)</f>
        <v>40</v>
      </c>
      <c r="E3" s="2">
        <f ca="1">listopad_saldo[[#This Row],[Saldo początkowe]]+listopad_saldo[[#This Row],[Operacje]]</f>
        <v>200</v>
      </c>
      <c r="G3" t="s">
        <v>3</v>
      </c>
      <c r="H3" s="3">
        <f>SUMIFS(operacje[Kwota],operacje[Kategoria],$G3,operacje[Miesiąc],$B$11)</f>
        <v>-208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0</v>
      </c>
      <c r="D4" s="2">
        <f>SUMIFS(operacje[Kwota],operacje[Bank],listopad_saldo[[#This Row],[Bank]],operacje[Produkt],listopad_saldo[[#This Row],[Produkt]],operacje[Miesiąc],$B$11)</f>
        <v>0</v>
      </c>
      <c r="E4" s="2">
        <f ca="1">listopad_saldo[[#This Row],[Saldo początkowe]]+listopad_saldo[[#This Row],[Operacje]]</f>
        <v>0</v>
      </c>
      <c r="G4" t="s">
        <v>45</v>
      </c>
      <c r="H4" s="3">
        <f>SUMIFS(operacje[Kwota],operacje[Kategoria],$G4,operacje[Miesiąc],$B$11)</f>
        <v>-47</v>
      </c>
    </row>
    <row r="5" spans="1:8" x14ac:dyDescent="0.25">
      <c r="A5" t="s">
        <v>22</v>
      </c>
      <c r="B5" t="s">
        <v>19</v>
      </c>
      <c r="C5" s="2" cm="1">
        <f t="array" aca="1" ref="C5" ca="1">INDIRECT(TEXT(DATE(2025,$B$11-1,1),"mmmm")&amp;"!E"&amp;ROW())</f>
        <v>548.5</v>
      </c>
      <c r="D5" s="2">
        <f>SUMIFS(operacje[Kwota],operacje[Bank],listopad_saldo[[#This Row],[Bank]],operacje[Produkt],listopad_saldo[[#This Row],[Produkt]],operacje[Miesiąc],$B$11)</f>
        <v>0</v>
      </c>
      <c r="E5" s="2">
        <f ca="1">listopad_saldo[[#This Row],[Saldo początkowe]]+listopad_saldo[[#This Row],[Operacje]]</f>
        <v>548.5</v>
      </c>
      <c r="G5" t="s">
        <v>4</v>
      </c>
      <c r="H5" s="3">
        <f>SUMIFS(operacje[Kwota],operacje[Kategoria],$G5,operacje[Miesiąc],$B$11)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1100.5</v>
      </c>
      <c r="D6" s="2">
        <f>SUMIFS(operacje[Kwota],operacje[Bank],listopad_saldo[[#This Row],[Bank]],operacje[Produkt],listopad_saldo[[#This Row],[Produkt]],operacje[Miesiąc],$B$11)</f>
        <v>0</v>
      </c>
      <c r="E6" s="2">
        <f ca="1">listopad_saldo[[#This Row],[Saldo początkowe]]+listopad_saldo[[#This Row],[Operacje]]</f>
        <v>1100.5</v>
      </c>
      <c r="G6" t="s">
        <v>5</v>
      </c>
      <c r="H6" s="3">
        <f>SUMIFS(operacje[Kwota],operacje[Kategoria],$G6,operacje[Miesiąc],$B$11)</f>
        <v>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372.5</v>
      </c>
      <c r="D7" s="2">
        <f>SUMIFS(operacje[Kwota],operacje[Bank],listopad_saldo[[#This Row],[Bank]],operacje[Produkt],listopad_saldo[[#This Row],[Produkt]],operacje[Miesiąc],$B$11)</f>
        <v>400</v>
      </c>
      <c r="E7" s="2">
        <f ca="1">listopad_saldo[[#This Row],[Saldo początkowe]]+listopad_saldo[[#This Row],[Operacje]]</f>
        <v>772.5</v>
      </c>
      <c r="G7" t="s">
        <v>7</v>
      </c>
      <c r="H7" s="3">
        <f>SUMIFS(operacje[Kwota],operacje[Kategoria],$G7,operacje[Miesiąc],$B$11)</f>
        <v>-214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45.510000000000005</v>
      </c>
      <c r="D8" s="2">
        <f>SUMIFS(operacje[Kwota],operacje[Bank],listopad_saldo[[#This Row],[Bank]],operacje[Produkt],listopad_saldo[[#This Row],[Produkt]],operacje[Miesiąc],$B$11)</f>
        <v>0</v>
      </c>
      <c r="E8" s="2">
        <f ca="1">listopad_saldo[[#This Row],[Saldo początkowe]]+listopad_saldo[[#This Row],[Operacje]]</f>
        <v>45.510000000000005</v>
      </c>
      <c r="G8" t="s">
        <v>8</v>
      </c>
      <c r="H8" s="3">
        <f>SUMIFS(operacje[Kwota],operacje[Kategoria],$G8,operacje[Miesiąc],$B$11)</f>
        <v>-133</v>
      </c>
    </row>
    <row r="9" spans="1:8" x14ac:dyDescent="0.25">
      <c r="A9" t="s">
        <v>37</v>
      </c>
      <c r="C9" s="2">
        <f ca="1">SUM(C2:C8)</f>
        <v>16963.95</v>
      </c>
      <c r="D9" s="2">
        <f>SUM(D2:D8)</f>
        <v>1400</v>
      </c>
      <c r="E9" s="2">
        <f ca="1">SUM(E2:E8)</f>
        <v>18363.95</v>
      </c>
      <c r="G9" t="s">
        <v>46</v>
      </c>
      <c r="H9" s="3">
        <f>SUMIFS(operacje[Kwota],operacje[Kategoria],$G9,operacje[Miesiąc],$B$11)</f>
        <v>-158</v>
      </c>
    </row>
    <row r="10" spans="1:8" x14ac:dyDescent="0.25">
      <c r="G10" t="s">
        <v>9</v>
      </c>
      <c r="H10" s="3">
        <f>SUMIFS(operacje[Kwota],operacje[Kategoria],$G10,operacje[Miesiąc],$B$11)</f>
        <v>-234</v>
      </c>
    </row>
    <row r="11" spans="1:8" x14ac:dyDescent="0.25">
      <c r="A11" t="s">
        <v>38</v>
      </c>
      <c r="B11">
        <v>11</v>
      </c>
      <c r="C11" t="str">
        <f>TEXT(DATE(2025,B11,1),"mmmm")</f>
        <v>listopad</v>
      </c>
      <c r="G11" t="s">
        <v>11</v>
      </c>
      <c r="H11" s="3">
        <f>SUMIFS(operacje[Kwota],operacje[Kategoria],$G11,operacje[Miesiąc],$B$11)</f>
        <v>4500</v>
      </c>
    </row>
    <row r="12" spans="1:8" x14ac:dyDescent="0.25">
      <c r="G12" t="s">
        <v>12</v>
      </c>
      <c r="H12" s="3">
        <f>SUMIFS(operacje[Kwota],operacje[Kategoria],$G12,operacje[Miesiąc],$B$11)</f>
        <v>0</v>
      </c>
    </row>
    <row r="13" spans="1:8" x14ac:dyDescent="0.25">
      <c r="A13" t="s">
        <v>39</v>
      </c>
      <c r="B13" s="2">
        <f>SUMIFS(operacje[Kwota],operacje[Typ],$A13,operacje[Miesiąc],$B$11)</f>
        <v>4900</v>
      </c>
      <c r="G13" t="s">
        <v>13</v>
      </c>
      <c r="H13" s="3">
        <f>SUMIFS(operacje[Kwota],operacje[Kategoria],$G13,operacje[Miesiąc],$B$11)</f>
        <v>0</v>
      </c>
    </row>
    <row r="14" spans="1:8" x14ac:dyDescent="0.25">
      <c r="A14" t="s">
        <v>40</v>
      </c>
      <c r="B14" s="2">
        <f>SUMIFS(operacje[Kwota],operacje[Typ],$A14,operacje[Miesiąc],$B$11)</f>
        <v>-3500</v>
      </c>
      <c r="G14" t="s">
        <v>14</v>
      </c>
      <c r="H14" s="3">
        <f>SUMIFS(operacje[Kwota],operacje[Kategoria],$G14,operacje[Miesiąc],$B$11)</f>
        <v>0</v>
      </c>
    </row>
    <row r="15" spans="1:8" x14ac:dyDescent="0.25">
      <c r="A15" t="s">
        <v>41</v>
      </c>
      <c r="B15" s="2">
        <f>SUM(B13,B14)</f>
        <v>1400</v>
      </c>
      <c r="G15" t="s">
        <v>15</v>
      </c>
      <c r="H15" s="3">
        <f>SUMIFS(operacje[Kwota],operacje[Kategoria],$G15,operacje[Miesiąc],$B$11)</f>
        <v>0</v>
      </c>
    </row>
    <row r="16" spans="1:8" x14ac:dyDescent="0.25">
      <c r="G16" t="s">
        <v>16</v>
      </c>
      <c r="H16" s="3">
        <f>SUMIFS(operacje[Kwota],operacje[Kategoria],$G16,operacje[Miesiąc],$B$11)</f>
        <v>0</v>
      </c>
    </row>
    <row r="17" spans="7:8" x14ac:dyDescent="0.25">
      <c r="G17" t="s">
        <v>17</v>
      </c>
      <c r="H17" s="3">
        <f>SUMIFS(operacje[Kwota],operacje[Kategoria],$G17,operacje[Miesiąc],$B$11)</f>
        <v>0</v>
      </c>
    </row>
  </sheetData>
  <conditionalFormatting sqref="G2:G17">
    <cfRule type="expression" dxfId="3" priority="1">
      <formula>$B1="Wydatki"</formula>
    </cfRule>
    <cfRule type="expression" dxfId="2" priority="2">
      <formula>$B1="Wpływy"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97F5-3A89-4AFD-B594-9ADB2940BD5B}">
  <dimension ref="A1:H17"/>
  <sheetViews>
    <sheetView zoomScale="145" zoomScaleNormal="145" workbookViewId="0">
      <selection activeCell="B8" sqref="A1:B8"/>
    </sheetView>
  </sheetViews>
  <sheetFormatPr defaultRowHeight="15" x14ac:dyDescent="0.25"/>
  <cols>
    <col min="1" max="1" width="12.42578125" customWidth="1"/>
    <col min="2" max="2" width="18" customWidth="1"/>
    <col min="3" max="3" width="22.85546875" customWidth="1"/>
    <col min="4" max="4" width="14.140625" customWidth="1"/>
    <col min="5" max="5" width="19" customWidth="1"/>
    <col min="7" max="7" width="20.140625" customWidth="1"/>
    <col min="8" max="8" width="17.85546875" customWidth="1"/>
    <col min="9" max="10" width="9.140625" customWidth="1"/>
  </cols>
  <sheetData>
    <row r="1" spans="1:8" x14ac:dyDescent="0.25">
      <c r="A1" t="s">
        <v>20</v>
      </c>
      <c r="B1" t="s">
        <v>27</v>
      </c>
      <c r="C1" t="s">
        <v>34</v>
      </c>
      <c r="D1" t="s">
        <v>35</v>
      </c>
      <c r="E1" t="s">
        <v>36</v>
      </c>
      <c r="G1" t="s">
        <v>42</v>
      </c>
      <c r="H1" t="s">
        <v>37</v>
      </c>
    </row>
    <row r="2" spans="1:8" x14ac:dyDescent="0.25">
      <c r="A2" t="s">
        <v>21</v>
      </c>
      <c r="B2" t="s">
        <v>19</v>
      </c>
      <c r="C2" s="2" cm="1">
        <f t="array" aca="1" ref="C2" ca="1">INDIRECT(TEXT(DATE(2025,$B$11-1,1),"mmmm")&amp;"!E"&amp;ROW())</f>
        <v>15696.94</v>
      </c>
      <c r="D2" s="2">
        <f>SUMIFS(operacje[Kwota],operacje[Bank],grudzień_saldo[[#This Row],[Bank]],operacje[Produkt],grudzień_saldo[[#This Row],[Produkt]],operacje[Miesiąc],$B$11)</f>
        <v>1320</v>
      </c>
      <c r="E2" s="2">
        <f ca="1">grudzień_saldo[[#This Row],[Saldo początkowe]]+grudzień_saldo[[#This Row],[Operacje]]</f>
        <v>17016.940000000002</v>
      </c>
      <c r="G2" t="s">
        <v>2</v>
      </c>
      <c r="H2" s="3">
        <f>SUMIFS(operacje[Kwota],operacje[Kategoria],$G2,operacje[Miesiąc],$B$11)</f>
        <v>-700</v>
      </c>
    </row>
    <row r="3" spans="1:8" x14ac:dyDescent="0.25">
      <c r="A3" t="s">
        <v>21</v>
      </c>
      <c r="B3" t="s">
        <v>23</v>
      </c>
      <c r="C3" s="2" cm="1">
        <f t="array" aca="1" ref="C3" ca="1">INDIRECT(TEXT(DATE(2025,$B$11-1,1),"mmmm")&amp;"!E"&amp;ROW())</f>
        <v>200</v>
      </c>
      <c r="D3" s="2">
        <f>SUMIFS(operacje[Kwota],operacje[Bank],grudzień_saldo[[#This Row],[Bank]],operacje[Produkt],grudzień_saldo[[#This Row],[Produkt]],operacje[Miesiąc],$B$11)</f>
        <v>0</v>
      </c>
      <c r="E3" s="2">
        <f ca="1">grudzień_saldo[[#This Row],[Saldo początkowe]]+grudzień_saldo[[#This Row],[Operacje]]</f>
        <v>200</v>
      </c>
      <c r="G3" t="s">
        <v>3</v>
      </c>
      <c r="H3" s="3">
        <f>SUMIFS(operacje[Kwota],operacje[Kategoria],$G3,operacje[Miesiąc],$B$11)</f>
        <v>0</v>
      </c>
    </row>
    <row r="4" spans="1:8" x14ac:dyDescent="0.25">
      <c r="A4" t="s">
        <v>21</v>
      </c>
      <c r="B4" t="s">
        <v>24</v>
      </c>
      <c r="C4" s="2" cm="1">
        <f t="array" aca="1" ref="C4" ca="1">INDIRECT(TEXT(DATE(2025,$B$11-1,1),"mmmm")&amp;"!E"&amp;ROW())</f>
        <v>0</v>
      </c>
      <c r="D4" s="2">
        <f>SUMIFS(operacje[Kwota],operacje[Bank],grudzień_saldo[[#This Row],[Bank]],operacje[Produkt],grudzień_saldo[[#This Row],[Produkt]],operacje[Miesiąc],$B$11)</f>
        <v>0</v>
      </c>
      <c r="E4" s="2">
        <f ca="1">grudzień_saldo[[#This Row],[Saldo początkowe]]+grudzień_saldo[[#This Row],[Operacje]]</f>
        <v>0</v>
      </c>
      <c r="G4" t="s">
        <v>45</v>
      </c>
      <c r="H4" s="3">
        <f>SUMIFS(operacje[Kwota],operacje[Kategoria],$G4,operacje[Miesiąc],$B$11)</f>
        <v>0</v>
      </c>
    </row>
    <row r="5" spans="1:8" x14ac:dyDescent="0.25">
      <c r="A5" t="s">
        <v>22</v>
      </c>
      <c r="B5" t="s">
        <v>19</v>
      </c>
      <c r="C5" s="2" cm="1">
        <f t="array" aca="1" ref="C5" ca="1">INDIRECT(TEXT(DATE(2025,$B$11-1,1),"mmmm")&amp;"!E"&amp;ROW())</f>
        <v>548.5</v>
      </c>
      <c r="D5" s="2">
        <f>SUMIFS(operacje[Kwota],operacje[Bank],grudzień_saldo[[#This Row],[Bank]],operacje[Produkt],grudzień_saldo[[#This Row],[Produkt]],operacje[Miesiąc],$B$11)</f>
        <v>0</v>
      </c>
      <c r="E5" s="2">
        <f ca="1">grudzień_saldo[[#This Row],[Saldo początkowe]]+grudzień_saldo[[#This Row],[Operacje]]</f>
        <v>548.5</v>
      </c>
      <c r="G5" t="s">
        <v>4</v>
      </c>
      <c r="H5" s="3">
        <f>SUMIFS(operacje[Kwota],operacje[Kategoria],$G5,operacje[Miesiąc],$B$11)</f>
        <v>-2000</v>
      </c>
    </row>
    <row r="6" spans="1:8" x14ac:dyDescent="0.25">
      <c r="A6" t="s">
        <v>22</v>
      </c>
      <c r="B6" t="s">
        <v>25</v>
      </c>
      <c r="C6" s="2" cm="1">
        <f t="array" aca="1" ref="C6" ca="1">INDIRECT(TEXT(DATE(2025,$B$11-1,1),"mmmm")&amp;"!E"&amp;ROW())</f>
        <v>1100.5</v>
      </c>
      <c r="D6" s="2">
        <f>SUMIFS(operacje[Kwota],operacje[Bank],grudzień_saldo[[#This Row],[Bank]],operacje[Produkt],grudzień_saldo[[#This Row],[Produkt]],operacje[Miesiąc],$B$11)</f>
        <v>0</v>
      </c>
      <c r="E6" s="2">
        <f ca="1">grudzień_saldo[[#This Row],[Saldo początkowe]]+grudzień_saldo[[#This Row],[Operacje]]</f>
        <v>1100.5</v>
      </c>
      <c r="G6" t="s">
        <v>5</v>
      </c>
      <c r="H6" s="3">
        <f>SUMIFS(operacje[Kwota],operacje[Kategoria],$G6,operacje[Miesiąc],$B$11)</f>
        <v>-100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772.5</v>
      </c>
      <c r="D7" s="2">
        <f>SUMIFS(operacje[Kwota],operacje[Bank],grudzień_saldo[[#This Row],[Bank]],operacje[Produkt],grudzień_saldo[[#This Row],[Produkt]],operacje[Miesiąc],$B$11)</f>
        <v>1100</v>
      </c>
      <c r="E7" s="2">
        <f ca="1">grudzień_saldo[[#This Row],[Saldo początkowe]]+grudzień_saldo[[#This Row],[Operacje]]</f>
        <v>1872.5</v>
      </c>
      <c r="G7" t="s">
        <v>7</v>
      </c>
      <c r="H7" s="3">
        <f>SUMIFS(operacje[Kwota],operacje[Kategoria],$G7,operacje[Miesiąc],$B$11)</f>
        <v>-450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45.510000000000005</v>
      </c>
      <c r="D8" s="2">
        <f>SUMIFS(operacje[Kwota],operacje[Bank],grudzień_saldo[[#This Row],[Bank]],operacje[Produkt],grudzień_saldo[[#This Row],[Produkt]],operacje[Miesiąc],$B$11)</f>
        <v>0</v>
      </c>
      <c r="E8" s="2">
        <f ca="1">grudzień_saldo[[#This Row],[Saldo początkowe]]+grudzień_saldo[[#This Row],[Operacje]]</f>
        <v>45.510000000000005</v>
      </c>
      <c r="G8" t="s">
        <v>8</v>
      </c>
      <c r="H8" s="3">
        <f>SUMIFS(operacje[Kwota],operacje[Kategoria],$G8,operacje[Miesiąc],$B$11)</f>
        <v>-10</v>
      </c>
    </row>
    <row r="9" spans="1:8" x14ac:dyDescent="0.25">
      <c r="A9" t="s">
        <v>37</v>
      </c>
      <c r="C9" s="2">
        <f ca="1">SUM(C2:C8)</f>
        <v>18363.95</v>
      </c>
      <c r="D9" s="2">
        <f>SUM(D2:D8)</f>
        <v>2420</v>
      </c>
      <c r="E9" s="2">
        <f ca="1">SUM(E2:E8)</f>
        <v>20783.95</v>
      </c>
      <c r="G9" t="s">
        <v>46</v>
      </c>
      <c r="H9" s="3">
        <f>SUMIFS(operacje[Kwota],operacje[Kategoria],$G9,operacje[Miesiąc],$B$11)</f>
        <v>-120</v>
      </c>
    </row>
    <row r="10" spans="1:8" x14ac:dyDescent="0.25">
      <c r="G10" t="s">
        <v>9</v>
      </c>
      <c r="H10" s="3">
        <f>SUMIFS(operacje[Kwota],operacje[Kategoria],$G10,operacje[Miesiąc],$B$11)</f>
        <v>-700</v>
      </c>
    </row>
    <row r="11" spans="1:8" x14ac:dyDescent="0.25">
      <c r="A11" t="s">
        <v>38</v>
      </c>
      <c r="B11">
        <v>12</v>
      </c>
      <c r="C11" t="str">
        <f>TEXT(DATE(2025,B11,1),"mmmm")</f>
        <v>grudzień</v>
      </c>
      <c r="G11" t="s">
        <v>11</v>
      </c>
      <c r="H11" s="3">
        <f>SUMIFS(operacje[Kwota],operacje[Kategoria],$G11,operacje[Miesiąc],$B$11)</f>
        <v>4500</v>
      </c>
    </row>
    <row r="12" spans="1:8" x14ac:dyDescent="0.25">
      <c r="G12" t="s">
        <v>12</v>
      </c>
      <c r="H12" s="3">
        <f>SUMIFS(operacje[Kwota],operacje[Kategoria],$G12,operacje[Miesiąc],$B$11)</f>
        <v>0</v>
      </c>
    </row>
    <row r="13" spans="1:8" x14ac:dyDescent="0.25">
      <c r="A13" t="s">
        <v>39</v>
      </c>
      <c r="B13" s="2">
        <f>SUMIFS(operacje[Kwota],operacje[Typ],$A13,operacje[Miesiąc],$B$11)</f>
        <v>6500</v>
      </c>
      <c r="G13" t="s">
        <v>13</v>
      </c>
      <c r="H13" s="3">
        <f>SUMIFS(operacje[Kwota],operacje[Kategoria],$G13,operacje[Miesiąc],$B$11)</f>
        <v>0</v>
      </c>
    </row>
    <row r="14" spans="1:8" x14ac:dyDescent="0.25">
      <c r="A14" t="s">
        <v>40</v>
      </c>
      <c r="B14" s="2">
        <f>SUMIFS(operacje[Kwota],operacje[Typ],$A14,operacje[Miesiąc],$B$11)</f>
        <v>-4080</v>
      </c>
      <c r="G14" t="s">
        <v>14</v>
      </c>
      <c r="H14" s="3">
        <f>SUMIFS(operacje[Kwota],operacje[Kategoria],$G14,operacje[Miesiąc],$B$11)</f>
        <v>0</v>
      </c>
    </row>
    <row r="15" spans="1:8" x14ac:dyDescent="0.25">
      <c r="A15" t="s">
        <v>41</v>
      </c>
      <c r="B15" s="2">
        <f>SUM(B13,B14)</f>
        <v>2420</v>
      </c>
      <c r="G15" t="s">
        <v>15</v>
      </c>
      <c r="H15" s="3">
        <f>SUMIFS(operacje[Kwota],operacje[Kategoria],$G15,operacje[Miesiąc],$B$11)</f>
        <v>0</v>
      </c>
    </row>
    <row r="16" spans="1:8" x14ac:dyDescent="0.25">
      <c r="G16" t="s">
        <v>16</v>
      </c>
      <c r="H16" s="3">
        <f>SUMIFS(operacje[Kwota],operacje[Kategoria],$G16,operacje[Miesiąc],$B$11)</f>
        <v>0</v>
      </c>
    </row>
    <row r="17" spans="7:8" x14ac:dyDescent="0.25">
      <c r="G17" t="s">
        <v>17</v>
      </c>
      <c r="H17" s="3">
        <f>SUMIFS(operacje[Kwota],operacje[Kategoria],$G17,operacje[Miesiąc],$B$11)</f>
        <v>0</v>
      </c>
    </row>
  </sheetData>
  <conditionalFormatting sqref="G2:G17">
    <cfRule type="expression" dxfId="1" priority="1">
      <formula>$B1="Wydatki"</formula>
    </cfRule>
    <cfRule type="expression" dxfId="0" priority="2">
      <formula>$B1="Wpływy"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D961-B9B6-4BAD-A3AF-8514D572ABAB}">
  <dimension ref="A1:N8"/>
  <sheetViews>
    <sheetView zoomScale="150" zoomScaleNormal="150" workbookViewId="0">
      <selection activeCell="C8" sqref="C8"/>
    </sheetView>
  </sheetViews>
  <sheetFormatPr defaultRowHeight="15" x14ac:dyDescent="0.25"/>
  <cols>
    <col min="1" max="2" width="14.28515625" customWidth="1"/>
    <col min="3" max="3" width="15.7109375" customWidth="1"/>
    <col min="4" max="4" width="14.140625" customWidth="1"/>
    <col min="5" max="5" width="15" customWidth="1"/>
    <col min="6" max="6" width="14.5703125" customWidth="1"/>
    <col min="7" max="7" width="13.140625" customWidth="1"/>
    <col min="8" max="8" width="12.5703125" customWidth="1"/>
    <col min="9" max="9" width="15" customWidth="1"/>
    <col min="10" max="10" width="14" customWidth="1"/>
    <col min="11" max="11" width="14.7109375" customWidth="1"/>
    <col min="12" max="12" width="18.42578125" customWidth="1"/>
    <col min="13" max="13" width="15" customWidth="1"/>
    <col min="14" max="14" width="14.5703125" customWidth="1"/>
  </cols>
  <sheetData>
    <row r="1" spans="1:14" x14ac:dyDescent="0.25">
      <c r="A1" t="s">
        <v>20</v>
      </c>
      <c r="B1" t="s">
        <v>27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5">
      <c r="A2" t="s">
        <v>21</v>
      </c>
      <c r="B2" t="s">
        <v>19</v>
      </c>
      <c r="C2" s="3" cm="1">
        <f t="array" aca="1" ref="C2" ca="1">INDIRECT(Salda[[#Headers],[styczeń]]&amp;"_saldo[@[Saldo końcowe]]")</f>
        <v>1700</v>
      </c>
      <c r="D2" s="3" cm="1">
        <f t="array" aca="1" ref="D2" ca="1">INDIRECT(Salda[[#Headers],[luty]]&amp;"_saldo[@[Saldo końcowe]]")</f>
        <v>3739.5</v>
      </c>
      <c r="E2" s="3" cm="1">
        <f t="array" aca="1" ref="E2" ca="1">INDIRECT(Salda[[#Headers],[marzec]]&amp;"_saldo[@[Saldo końcowe]]")</f>
        <v>4561.1000000000004</v>
      </c>
      <c r="F2" s="3" cm="1">
        <f t="array" aca="1" ref="F2" ca="1">INDIRECT(Salda[[#Headers],[kwiecień]]&amp;"_saldo[@[Saldo końcowe]]")</f>
        <v>5123.83</v>
      </c>
      <c r="G2" s="3" cm="1">
        <f t="array" aca="1" ref="G2" ca="1">INDIRECT(Salda[[#Headers],[maj]]&amp;"_saldo[@[Saldo końcowe]]")</f>
        <v>7452.4400000000005</v>
      </c>
      <c r="H2" s="3" cm="1">
        <f t="array" aca="1" ref="H2" ca="1">INDIRECT(Salda[[#Headers],[czerwiec]]&amp;"_saldo[@[Saldo końcowe]]")</f>
        <v>8872.44</v>
      </c>
      <c r="I2" s="3" cm="1">
        <f t="array" aca="1" ref="I2" ca="1">INDIRECT(Salda[[#Headers],[lipiec]]&amp;"_saldo[@[Saldo końcowe]]")</f>
        <v>9882.44</v>
      </c>
      <c r="J2" s="3" cm="1">
        <f t="array" aca="1" ref="J2" ca="1">INDIRECT(Salda[[#Headers],[sierpień]]&amp;"_saldo[@[Saldo końcowe]]")</f>
        <v>11357.44</v>
      </c>
      <c r="K2" s="3" cm="1">
        <f t="array" aca="1" ref="K2" ca="1">INDIRECT(Salda[[#Headers],[sierpień]]&amp;"_saldo[@[Saldo końcowe]]")</f>
        <v>11357.44</v>
      </c>
      <c r="L2" s="3" cm="1">
        <f t="array" aca="1" ref="L2" ca="1">INDIRECT(Salda[[#Headers],[sierpień]]&amp;"_saldo[@[Saldo końcowe]]")</f>
        <v>11357.44</v>
      </c>
      <c r="M2" s="3" cm="1">
        <f t="array" aca="1" ref="M2" ca="1">INDIRECT(Salda[[#Headers],[listopad]]&amp;"_saldo[@[Saldo końcowe]]")</f>
        <v>15696.94</v>
      </c>
      <c r="N2" s="3" cm="1">
        <f t="array" aca="1" ref="N2" ca="1">INDIRECT(Salda[[#Headers],[grudzień]]&amp;"_saldo[@[Saldo końcowe]]")</f>
        <v>17016.940000000002</v>
      </c>
    </row>
    <row r="3" spans="1:14" x14ac:dyDescent="0.25">
      <c r="A3" t="s">
        <v>21</v>
      </c>
      <c r="B3" t="s">
        <v>23</v>
      </c>
      <c r="C3" s="3" cm="1">
        <f t="array" aca="1" ref="C3" ca="1">INDIRECT(Salda[[#Headers],[styczeń]]&amp;"_saldo[@[Saldo końcowe]]")</f>
        <v>25</v>
      </c>
      <c r="D3" s="3" cm="1">
        <f t="array" aca="1" ref="D3" ca="1">INDIRECT(Salda[[#Headers],[luty]]&amp;"_saldo[@[Saldo końcowe]]")</f>
        <v>200</v>
      </c>
      <c r="E3" s="3" cm="1">
        <f t="array" aca="1" ref="E3" ca="1">INDIRECT(Salda[[#Headers],[marzec]]&amp;"_saldo[@[Saldo końcowe]]")</f>
        <v>95.5</v>
      </c>
      <c r="F3" s="3" cm="1">
        <f t="array" aca="1" ref="F3" ca="1">INDIRECT(Salda[[#Headers],[kwiecień]]&amp;"_saldo[@[Saldo końcowe]]")</f>
        <v>108.61000000000001</v>
      </c>
      <c r="G3" s="3" cm="1">
        <f t="array" aca="1" ref="G3" ca="1">INDIRECT(Salda[[#Headers],[maj]]&amp;"_saldo[@[Saldo końcowe]]")</f>
        <v>-800</v>
      </c>
      <c r="H3" s="3" cm="1">
        <f t="array" aca="1" ref="H3" ca="1">INDIRECT(Salda[[#Headers],[czerwiec]]&amp;"_saldo[@[Saldo końcowe]]")</f>
        <v>-1100</v>
      </c>
      <c r="I3" s="3" cm="1">
        <f t="array" aca="1" ref="I3" ca="1">INDIRECT(Salda[[#Headers],[lipiec]]&amp;"_saldo[@[Saldo końcowe]]")</f>
        <v>65</v>
      </c>
      <c r="J3" s="3" cm="1">
        <f t="array" aca="1" ref="J3" ca="1">INDIRECT(Salda[[#Headers],[sierpień]]&amp;"_saldo[@[Saldo końcowe]]")</f>
        <v>98</v>
      </c>
      <c r="K3" s="3" cm="1">
        <f t="array" aca="1" ref="K3" ca="1">INDIRECT(Salda[[#Headers],[wrzesień]]&amp;"_saldo[@[Saldo końcowe]]")</f>
        <v>180</v>
      </c>
      <c r="L3" s="3" cm="1">
        <f t="array" aca="1" ref="L3" ca="1">INDIRECT(Salda[[#Headers],[październik]]&amp;"_saldo[@[Saldo końcowe]]")</f>
        <v>160</v>
      </c>
      <c r="M3" s="3" cm="1">
        <f t="array" aca="1" ref="M3" ca="1">INDIRECT(Salda[[#Headers],[listopad]]&amp;"_saldo[@[Saldo końcowe]]")</f>
        <v>200</v>
      </c>
      <c r="N3" s="3" cm="1">
        <f t="array" aca="1" ref="N3" ca="1">INDIRECT(Salda[[#Headers],[grudzień]]&amp;"_saldo[@[Saldo końcowe]]")</f>
        <v>200</v>
      </c>
    </row>
    <row r="4" spans="1:14" x14ac:dyDescent="0.25">
      <c r="A4" t="s">
        <v>21</v>
      </c>
      <c r="B4" t="s">
        <v>24</v>
      </c>
      <c r="C4" s="3" cm="1">
        <f t="array" aca="1" ref="C4" ca="1">INDIRECT(Salda[[#Headers],[styczeń]]&amp;"_saldo[@[Saldo końcowe]]")</f>
        <v>1600</v>
      </c>
      <c r="D4" s="3" cm="1">
        <f t="array" aca="1" ref="D4" ca="1">INDIRECT(Salda[[#Headers],[luty]]&amp;"_saldo[@[Saldo końcowe]]")</f>
        <v>1200</v>
      </c>
      <c r="E4" s="3" cm="1">
        <f t="array" aca="1" ref="E4" ca="1">INDIRECT(Salda[[#Headers],[marzec]]&amp;"_saldo[@[Saldo końcowe]]")</f>
        <v>1200</v>
      </c>
      <c r="F4" s="3" cm="1">
        <f t="array" aca="1" ref="F4" ca="1">INDIRECT(Salda[[#Headers],[kwiecień]]&amp;"_saldo[@[Saldo końcowe]]")</f>
        <v>1200</v>
      </c>
      <c r="G4" s="3" cm="1">
        <f t="array" aca="1" ref="G4" ca="1">INDIRECT(Salda[[#Headers],[maj]]&amp;"_saldo[@[Saldo końcowe]]")</f>
        <v>1200</v>
      </c>
      <c r="H4" s="3" cm="1">
        <f t="array" aca="1" ref="H4" ca="1">INDIRECT(Salda[[#Headers],[czerwiec]]&amp;"_saldo[@[Saldo końcowe]]")</f>
        <v>1200</v>
      </c>
      <c r="I4" s="3" cm="1">
        <f t="array" aca="1" ref="I4" ca="1">INDIRECT(Salda[[#Headers],[lipiec]]&amp;"_saldo[@[Saldo końcowe]]")</f>
        <v>1020</v>
      </c>
      <c r="J4" s="3" cm="1">
        <f t="array" aca="1" ref="J4" ca="1">INDIRECT(Salda[[#Headers],[sierpień]]&amp;"_saldo[@[Saldo końcowe]]")</f>
        <v>0</v>
      </c>
      <c r="K4" s="3" cm="1">
        <f t="array" aca="1" ref="K4" ca="1">INDIRECT(Salda[[#Headers],[wrzesień]]&amp;"_saldo[@[Saldo końcowe]]")</f>
        <v>0</v>
      </c>
      <c r="L4" s="3" cm="1">
        <f t="array" aca="1" ref="L4" ca="1">INDIRECT(Salda[[#Headers],[październik]]&amp;"_saldo[@[Saldo końcowe]]")</f>
        <v>0</v>
      </c>
      <c r="M4" s="3" cm="1">
        <f t="array" aca="1" ref="M4" ca="1">INDIRECT(Salda[[#Headers],[listopad]]&amp;"_saldo[@[Saldo końcowe]]")</f>
        <v>0</v>
      </c>
      <c r="N4" s="3" cm="1">
        <f t="array" aca="1" ref="N4" ca="1">INDIRECT(Salda[[#Headers],[grudzień]]&amp;"_saldo[@[Saldo końcowe]]")</f>
        <v>0</v>
      </c>
    </row>
    <row r="5" spans="1:14" x14ac:dyDescent="0.25">
      <c r="A5" t="s">
        <v>22</v>
      </c>
      <c r="B5" t="s">
        <v>19</v>
      </c>
      <c r="C5" s="3" cm="1">
        <f t="array" aca="1" ref="C5" ca="1">INDIRECT(Salda[[#Headers],[styczeń]]&amp;"_saldo[@[Saldo końcowe]]")</f>
        <v>65</v>
      </c>
      <c r="D5" s="3" cm="1">
        <f t="array" aca="1" ref="D5" ca="1">INDIRECT(Salda[[#Headers],[luty]]&amp;"_saldo[@[Saldo końcowe]]")</f>
        <v>100</v>
      </c>
      <c r="E5" s="3" cm="1">
        <f t="array" aca="1" ref="E5" ca="1">INDIRECT(Salda[[#Headers],[marzec]]&amp;"_saldo[@[Saldo końcowe]]")</f>
        <v>167.5</v>
      </c>
      <c r="F5" s="3" cm="1">
        <f t="array" aca="1" ref="F5" ca="1">INDIRECT(Salda[[#Headers],[kwiecień]]&amp;"_saldo[@[Saldo końcowe]]")</f>
        <v>268.5</v>
      </c>
      <c r="G5" s="3" cm="1">
        <f t="array" aca="1" ref="G5" ca="1">INDIRECT(Salda[[#Headers],[maj]]&amp;"_saldo[@[Saldo końcowe]]")</f>
        <v>218.5</v>
      </c>
      <c r="H5" s="3" cm="1">
        <f t="array" aca="1" ref="H5" ca="1">INDIRECT(Salda[[#Headers],[czerwiec]]&amp;"_saldo[@[Saldo końcowe]]")</f>
        <v>468.5</v>
      </c>
      <c r="I5" s="3" cm="1">
        <f t="array" aca="1" ref="I5" ca="1">INDIRECT(Salda[[#Headers],[lipiec]]&amp;"_saldo[@[Saldo końcowe]]")</f>
        <v>368.5</v>
      </c>
      <c r="J5" s="3" cm="1">
        <f t="array" aca="1" ref="J5" ca="1">INDIRECT(Salda[[#Headers],[sierpień]]&amp;"_saldo[@[Saldo końcowe]]")</f>
        <v>568.5</v>
      </c>
      <c r="K5" s="3" cm="1">
        <f t="array" aca="1" ref="K5" ca="1">INDIRECT(Salda[[#Headers],[wrzesień]]&amp;"_saldo[@[Saldo końcowe]]")</f>
        <v>548.5</v>
      </c>
      <c r="L5" s="3" cm="1">
        <f t="array" aca="1" ref="L5" ca="1">INDIRECT(Salda[[#Headers],[październik]]&amp;"_saldo[@[Saldo końcowe]]")</f>
        <v>548.5</v>
      </c>
      <c r="M5" s="3" cm="1">
        <f t="array" aca="1" ref="M5" ca="1">INDIRECT(Salda[[#Headers],[listopad]]&amp;"_saldo[@[Saldo końcowe]]")</f>
        <v>548.5</v>
      </c>
      <c r="N5" s="3" cm="1">
        <f t="array" aca="1" ref="N5" ca="1">INDIRECT(Salda[[#Headers],[grudzień]]&amp;"_saldo[@[Saldo końcowe]]")</f>
        <v>548.5</v>
      </c>
    </row>
    <row r="6" spans="1:14" x14ac:dyDescent="0.25">
      <c r="A6" t="s">
        <v>22</v>
      </c>
      <c r="B6" t="s">
        <v>25</v>
      </c>
      <c r="C6" s="3" cm="1">
        <f t="array" aca="1" ref="C6" ca="1">INDIRECT(Salda[[#Headers],[styczeń]]&amp;"_saldo[@[Saldo końcowe]]")</f>
        <v>280.5</v>
      </c>
      <c r="D6" s="3" cm="1">
        <f t="array" aca="1" ref="D6" ca="1">INDIRECT(Salda[[#Headers],[luty]]&amp;"_saldo[@[Saldo końcowe]]")</f>
        <v>295.5</v>
      </c>
      <c r="E6" s="3" cm="1">
        <f t="array" aca="1" ref="E6" ca="1">INDIRECT(Salda[[#Headers],[marzec]]&amp;"_saldo[@[Saldo końcowe]]")</f>
        <v>300.5</v>
      </c>
      <c r="F6" s="3" cm="1">
        <f t="array" aca="1" ref="F6" ca="1">INDIRECT(Salda[[#Headers],[kwiecień]]&amp;"_saldo[@[Saldo końcowe]]")</f>
        <v>350.5</v>
      </c>
      <c r="G6" s="3" cm="1">
        <f t="array" aca="1" ref="G6" ca="1">INDIRECT(Salda[[#Headers],[maj]]&amp;"_saldo[@[Saldo końcowe]]")</f>
        <v>350.5</v>
      </c>
      <c r="H6" s="3" cm="1">
        <f t="array" aca="1" ref="H6" ca="1">INDIRECT(Salda[[#Headers],[czerwiec]]&amp;"_saldo[@[Saldo końcowe]]")</f>
        <v>350.5</v>
      </c>
      <c r="I6" s="3" cm="1">
        <f t="array" aca="1" ref="I6" ca="1">INDIRECT(Salda[[#Headers],[lipiec]]&amp;"_saldo[@[Saldo końcowe]]")</f>
        <v>1400.5</v>
      </c>
      <c r="J6" s="3" cm="1">
        <f t="array" aca="1" ref="J6" ca="1">INDIRECT(Salda[[#Headers],[sierpień]]&amp;"_saldo[@[Saldo końcowe]]")</f>
        <v>1100.5</v>
      </c>
      <c r="K6" s="3" cm="1">
        <f t="array" aca="1" ref="K6" ca="1">INDIRECT(Salda[[#Headers],[wrzesień]]&amp;"_saldo[@[Saldo końcowe]]")</f>
        <v>1100.5</v>
      </c>
      <c r="L6" s="3" cm="1">
        <f t="array" aca="1" ref="L6" ca="1">INDIRECT(Salda[[#Headers],[październik]]&amp;"_saldo[@[Saldo końcowe]]")</f>
        <v>1100.5</v>
      </c>
      <c r="M6" s="3" cm="1">
        <f t="array" aca="1" ref="M6" ca="1">INDIRECT(Salda[[#Headers],[listopad]]&amp;"_saldo[@[Saldo końcowe]]")</f>
        <v>1100.5</v>
      </c>
      <c r="N6" s="3" cm="1">
        <f t="array" aca="1" ref="N6" ca="1">INDIRECT(Salda[[#Headers],[grudzień]]&amp;"_saldo[@[Saldo końcowe]]")</f>
        <v>1100.5</v>
      </c>
    </row>
    <row r="7" spans="1:14" x14ac:dyDescent="0.25">
      <c r="A7" t="s">
        <v>31</v>
      </c>
      <c r="B7" t="s">
        <v>32</v>
      </c>
      <c r="C7" s="3" cm="1">
        <f t="array" aca="1" ref="C7" ca="1">INDIRECT(Salda[[#Headers],[styczeń]]&amp;"_saldo[@[Saldo końcowe]]")</f>
        <v>159.5</v>
      </c>
      <c r="D7" s="3" cm="1">
        <f t="array" aca="1" ref="D7" ca="1">INDIRECT(Salda[[#Headers],[luty]]&amp;"_saldo[@[Saldo końcowe]]")</f>
        <v>659.5</v>
      </c>
      <c r="E7" s="3" cm="1">
        <f t="array" aca="1" ref="E7" ca="1">INDIRECT(Salda[[#Headers],[marzec]]&amp;"_saldo[@[Saldo końcowe]]")</f>
        <v>650</v>
      </c>
      <c r="F7" s="3" cm="1">
        <f t="array" aca="1" ref="F7" ca="1">INDIRECT(Salda[[#Headers],[kwiecień]]&amp;"_saldo[@[Saldo końcowe]]")</f>
        <v>650</v>
      </c>
      <c r="G7" s="3" cm="1">
        <f t="array" aca="1" ref="G7" ca="1">INDIRECT(Salda[[#Headers],[maj]]&amp;"_saldo[@[Saldo końcowe]]")</f>
        <v>570</v>
      </c>
      <c r="H7" s="3" cm="1">
        <f t="array" aca="1" ref="H7" ca="1">INDIRECT(Salda[[#Headers],[czerwiec]]&amp;"_saldo[@[Saldo końcowe]]")</f>
        <v>370</v>
      </c>
      <c r="I7" s="3" cm="1">
        <f t="array" aca="1" ref="I7" ca="1">INDIRECT(Salda[[#Headers],[lipiec]]&amp;"_saldo[@[Saldo końcowe]]")</f>
        <v>370</v>
      </c>
      <c r="J7" s="3" cm="1">
        <f t="array" aca="1" ref="J7" ca="1">INDIRECT(Salda[[#Headers],[sierpień]]&amp;"_saldo[@[Saldo końcowe]]")</f>
        <v>372.5</v>
      </c>
      <c r="K7" s="3" cm="1">
        <f t="array" aca="1" ref="K7" ca="1">INDIRECT(Salda[[#Headers],[wrzesień]]&amp;"_saldo[@[Saldo końcowe]]")</f>
        <v>372.5</v>
      </c>
      <c r="L7" s="3" cm="1">
        <f t="array" aca="1" ref="L7" ca="1">INDIRECT(Salda[[#Headers],[październik]]&amp;"_saldo[@[Saldo końcowe]]")</f>
        <v>372.5</v>
      </c>
      <c r="M7" s="3" cm="1">
        <f t="array" aca="1" ref="M7" ca="1">INDIRECT(Salda[[#Headers],[listopad]]&amp;"_saldo[@[Saldo końcowe]]")</f>
        <v>772.5</v>
      </c>
      <c r="N7" s="3" cm="1">
        <f t="array" aca="1" ref="N7" ca="1">INDIRECT(Salda[[#Headers],[grudzień]]&amp;"_saldo[@[Saldo końcowe]]")</f>
        <v>1872.5</v>
      </c>
    </row>
    <row r="8" spans="1:14" x14ac:dyDescent="0.25">
      <c r="A8" t="s">
        <v>31</v>
      </c>
      <c r="B8" t="s">
        <v>33</v>
      </c>
      <c r="C8" s="3" cm="1">
        <f t="array" aca="1" ref="C8" ca="1">INDIRECT(Salda[[#Headers],[styczeń]]&amp;"_saldo[@[Saldo końcowe]]")</f>
        <v>0</v>
      </c>
      <c r="D8" s="3" cm="1">
        <f t="array" aca="1" ref="D8" ca="1">INDIRECT(Salda[[#Headers],[luty]]&amp;"_saldo[@[Saldo końcowe]]")</f>
        <v>100</v>
      </c>
      <c r="E8" s="3" cm="1">
        <f t="array" aca="1" ref="E8" ca="1">INDIRECT(Salda[[#Headers],[marzec]]&amp;"_saldo[@[Saldo końcowe]]")</f>
        <v>75.510000000000005</v>
      </c>
      <c r="F8" s="3" cm="1">
        <f t="array" aca="1" ref="F8" ca="1">INDIRECT(Salda[[#Headers],[kwiecień]]&amp;"_saldo[@[Saldo końcowe]]")</f>
        <v>75.510000000000005</v>
      </c>
      <c r="G8" s="3" cm="1">
        <f t="array" aca="1" ref="G8" ca="1">INDIRECT(Salda[[#Headers],[maj]]&amp;"_saldo[@[Saldo końcowe]]")</f>
        <v>75.510000000000005</v>
      </c>
      <c r="H8" s="3" cm="1">
        <f t="array" aca="1" ref="H8" ca="1">INDIRECT(Salda[[#Headers],[czerwiec]]&amp;"_saldo[@[Saldo końcowe]]")</f>
        <v>75.510000000000005</v>
      </c>
      <c r="I8" s="3" cm="1">
        <f t="array" aca="1" ref="I8" ca="1">INDIRECT(Salda[[#Headers],[lipiec]]&amp;"_saldo[@[Saldo końcowe]]")</f>
        <v>45.510000000000005</v>
      </c>
      <c r="J8" s="3" cm="1">
        <f t="array" aca="1" ref="J8" ca="1">INDIRECT(Salda[[#Headers],[sierpień]]&amp;"_saldo[@[Saldo końcowe]]")</f>
        <v>45.510000000000005</v>
      </c>
      <c r="K8" s="3" cm="1">
        <f t="array" aca="1" ref="K8" ca="1">INDIRECT(Salda[[#Headers],[wrzesień]]&amp;"_saldo[@[Saldo końcowe]]")</f>
        <v>45.510000000000005</v>
      </c>
      <c r="L8" s="3" cm="1">
        <f t="array" aca="1" ref="L8" ca="1">INDIRECT(Salda[[#Headers],[październik]]&amp;"_saldo[@[Saldo końcowe]]")</f>
        <v>45.510000000000005</v>
      </c>
      <c r="M8" s="3" cm="1">
        <f t="array" aca="1" ref="M8" ca="1">INDIRECT(Salda[[#Headers],[listopad]]&amp;"_saldo[@[Saldo końcowe]]")</f>
        <v>45.510000000000005</v>
      </c>
      <c r="N8" s="3" cm="1">
        <f t="array" aca="1" ref="N8" ca="1">INDIRECT(Salda[[#Headers],[grudzień]]&amp;"_saldo[@[Saldo końcowe]]")</f>
        <v>45.510000000000005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6512-F9BA-417C-ADF3-75A6EE5F6C3C}">
  <dimension ref="A1:N8"/>
  <sheetViews>
    <sheetView workbookViewId="0">
      <selection activeCell="H9" sqref="H9"/>
    </sheetView>
  </sheetViews>
  <sheetFormatPr defaultRowHeight="15" x14ac:dyDescent="0.25"/>
  <cols>
    <col min="3" max="3" width="18" customWidth="1"/>
    <col min="4" max="4" width="18.140625" customWidth="1"/>
    <col min="5" max="5" width="13.140625" customWidth="1"/>
    <col min="6" max="6" width="12" customWidth="1"/>
    <col min="7" max="7" width="17.5703125" customWidth="1"/>
    <col min="8" max="8" width="19.5703125" customWidth="1"/>
    <col min="9" max="9" width="12.5703125" customWidth="1"/>
    <col min="10" max="10" width="17.7109375" customWidth="1"/>
    <col min="11" max="11" width="16.85546875" customWidth="1"/>
    <col min="12" max="13" width="13.140625" customWidth="1"/>
    <col min="14" max="14" width="13.42578125" customWidth="1"/>
  </cols>
  <sheetData>
    <row r="1" spans="1:14" x14ac:dyDescent="0.25">
      <c r="A1" t="s">
        <v>20</v>
      </c>
      <c r="B1" t="s">
        <v>27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5">
      <c r="A2" t="s">
        <v>21</v>
      </c>
      <c r="B2" t="s">
        <v>19</v>
      </c>
      <c r="C2" s="3" cm="1">
        <f t="array" aca="1" ref="C2" ca="1">INDIRECT(Obroty[[#Headers],[styczeń]]&amp;"_saldo[@[Operacje]]")</f>
        <v>1100</v>
      </c>
      <c r="D2" s="3" cm="1">
        <f t="array" aca="1" ref="D2" ca="1">INDIRECT(Obroty[[#Headers],[luty]]&amp;"_saldo[@[Operacje]]")</f>
        <v>2039.5</v>
      </c>
      <c r="E2" s="3" cm="1">
        <f t="array" aca="1" ref="E2" ca="1">INDIRECT(Obroty[[#Headers],[marzec]]&amp;"_saldo[@[Saldo końcowe]]")</f>
        <v>4561.1000000000004</v>
      </c>
      <c r="F2" s="3" cm="1">
        <f t="array" aca="1" ref="F2" ca="1">INDIRECT(Obroty[[#Headers],[kwiecień]]&amp;"_saldo[@[Saldo końcowe]]")</f>
        <v>5123.83</v>
      </c>
      <c r="G2" s="3" cm="1">
        <f t="array" aca="1" ref="G2" ca="1">INDIRECT(Obroty[[#Headers],[maj]]&amp;"_saldo[@[Saldo końcowe]]")</f>
        <v>7452.4400000000005</v>
      </c>
      <c r="H2" s="3" cm="1">
        <f t="array" aca="1" ref="H2" ca="1">INDIRECT(Obroty[[#Headers],[czerwiec]]&amp;"_saldo[@[Saldo końcowe]]")</f>
        <v>8872.44</v>
      </c>
      <c r="I2" s="3" cm="1">
        <f t="array" aca="1" ref="I2" ca="1">INDIRECT(Obroty[[#Headers],[lipiec]]&amp;"_saldo[@[Saldo końcowe]]")</f>
        <v>9882.44</v>
      </c>
      <c r="J2" s="3" cm="1">
        <f t="array" aca="1" ref="J2" ca="1">INDIRECT(Obroty[[#Headers],[sierpień]]&amp;"_saldo[@[Saldo końcowe]]")</f>
        <v>11357.44</v>
      </c>
      <c r="K2" s="3" cm="1">
        <f t="array" aca="1" ref="K2" ca="1">INDIRECT(Obroty[[#Headers],[sierpień]]&amp;"_saldo[@[Saldo końcowe]]")</f>
        <v>11357.44</v>
      </c>
      <c r="L2" s="3" cm="1">
        <f t="array" aca="1" ref="L2" ca="1">INDIRECT(Obroty[[#Headers],[sierpień]]&amp;"_saldo[@[Saldo końcowe]]")</f>
        <v>11357.44</v>
      </c>
      <c r="M2" s="3" cm="1">
        <f t="array" aca="1" ref="M2" ca="1">INDIRECT(Obroty[[#Headers],[listopad]]&amp;"_saldo[@[Saldo końcowe]]")</f>
        <v>15696.94</v>
      </c>
      <c r="N2" s="3" cm="1">
        <f t="array" aca="1" ref="N2" ca="1">INDIRECT(Obroty[[#Headers],[grudzień]]&amp;"_saldo[@[Saldo końcowe]]")</f>
        <v>17016.940000000002</v>
      </c>
    </row>
    <row r="3" spans="1:14" x14ac:dyDescent="0.25">
      <c r="A3" t="s">
        <v>21</v>
      </c>
      <c r="B3" t="s">
        <v>23</v>
      </c>
      <c r="C3" s="3" cm="1">
        <f t="array" aca="1" ref="C3" ca="1">INDIRECT(Obroty[[#Headers],[styczeń]]&amp;"_saldo[@[Operacje]]")</f>
        <v>-175</v>
      </c>
      <c r="D3" s="3" cm="1">
        <f t="array" aca="1" ref="D3" ca="1">INDIRECT(Obroty[[#Headers],[luty]]&amp;"_saldo[@[Saldo końcowe]]")</f>
        <v>200</v>
      </c>
      <c r="E3" s="3" cm="1">
        <f t="array" aca="1" ref="E3" ca="1">INDIRECT(Obroty[[#Headers],[marzec]]&amp;"_saldo[@[Saldo końcowe]]")</f>
        <v>95.5</v>
      </c>
      <c r="F3" s="3" cm="1">
        <f t="array" aca="1" ref="F3" ca="1">INDIRECT(Obroty[[#Headers],[kwiecień]]&amp;"_saldo[@[Saldo końcowe]]")</f>
        <v>108.61000000000001</v>
      </c>
      <c r="G3" s="3" cm="1">
        <f t="array" aca="1" ref="G3" ca="1">INDIRECT(Obroty[[#Headers],[maj]]&amp;"_saldo[@[Saldo końcowe]]")</f>
        <v>-800</v>
      </c>
      <c r="H3" s="3" cm="1">
        <f t="array" aca="1" ref="H3" ca="1">INDIRECT(Obroty[[#Headers],[czerwiec]]&amp;"_saldo[@[Saldo końcowe]]")</f>
        <v>-1100</v>
      </c>
      <c r="I3" s="3" cm="1">
        <f t="array" aca="1" ref="I3" ca="1">INDIRECT(Obroty[[#Headers],[lipiec]]&amp;"_saldo[@[Saldo końcowe]]")</f>
        <v>65</v>
      </c>
      <c r="J3" s="3" cm="1">
        <f t="array" aca="1" ref="J3" ca="1">INDIRECT(Obroty[[#Headers],[sierpień]]&amp;"_saldo[@[Saldo końcowe]]")</f>
        <v>98</v>
      </c>
      <c r="K3" s="3" cm="1">
        <f t="array" aca="1" ref="K3" ca="1">INDIRECT(Obroty[[#Headers],[wrzesień]]&amp;"_saldo[@[Saldo końcowe]]")</f>
        <v>180</v>
      </c>
      <c r="L3" s="3" cm="1">
        <f t="array" aca="1" ref="L3" ca="1">INDIRECT(Obroty[[#Headers],[październik]]&amp;"_saldo[@[Saldo końcowe]]")</f>
        <v>160</v>
      </c>
      <c r="M3" s="3" cm="1">
        <f t="array" aca="1" ref="M3" ca="1">INDIRECT(Obroty[[#Headers],[listopad]]&amp;"_saldo[@[Saldo końcowe]]")</f>
        <v>200</v>
      </c>
      <c r="N3" s="3" cm="1">
        <f t="array" aca="1" ref="N3" ca="1">INDIRECT(Obroty[[#Headers],[grudzień]]&amp;"_saldo[@[Saldo końcowe]]")</f>
        <v>200</v>
      </c>
    </row>
    <row r="4" spans="1:14" x14ac:dyDescent="0.25">
      <c r="A4" t="s">
        <v>21</v>
      </c>
      <c r="B4" t="s">
        <v>24</v>
      </c>
      <c r="C4" s="3" cm="1">
        <f t="array" aca="1" ref="C4" ca="1">INDIRECT(Obroty[[#Headers],[styczeń]]&amp;"_saldo[@[Operacje]]")</f>
        <v>-400</v>
      </c>
      <c r="D4" s="3" cm="1">
        <f t="array" aca="1" ref="D4" ca="1">INDIRECT(Obroty[[#Headers],[luty]]&amp;"_saldo[@[Saldo końcowe]]")</f>
        <v>1200</v>
      </c>
      <c r="E4" s="3" cm="1">
        <f t="array" aca="1" ref="E4" ca="1">INDIRECT(Obroty[[#Headers],[marzec]]&amp;"_saldo[@[Saldo końcowe]]")</f>
        <v>1200</v>
      </c>
      <c r="F4" s="3" cm="1">
        <f t="array" aca="1" ref="F4" ca="1">INDIRECT(Obroty[[#Headers],[kwiecień]]&amp;"_saldo[@[Saldo końcowe]]")</f>
        <v>1200</v>
      </c>
      <c r="G4" s="3" cm="1">
        <f t="array" aca="1" ref="G4" ca="1">INDIRECT(Obroty[[#Headers],[maj]]&amp;"_saldo[@[Saldo końcowe]]")</f>
        <v>1200</v>
      </c>
      <c r="H4" s="3" cm="1">
        <f t="array" aca="1" ref="H4" ca="1">INDIRECT(Obroty[[#Headers],[czerwiec]]&amp;"_saldo[@[Saldo końcowe]]")</f>
        <v>1200</v>
      </c>
      <c r="I4" s="3" cm="1">
        <f t="array" aca="1" ref="I4" ca="1">INDIRECT(Obroty[[#Headers],[lipiec]]&amp;"_saldo[@[Saldo końcowe]]")</f>
        <v>1020</v>
      </c>
      <c r="J4" s="3" cm="1">
        <f t="array" aca="1" ref="J4" ca="1">INDIRECT(Obroty[[#Headers],[sierpień]]&amp;"_saldo[@[Saldo końcowe]]")</f>
        <v>0</v>
      </c>
      <c r="K4" s="3" cm="1">
        <f t="array" aca="1" ref="K4" ca="1">INDIRECT(Obroty[[#Headers],[wrzesień]]&amp;"_saldo[@[Saldo końcowe]]")</f>
        <v>0</v>
      </c>
      <c r="L4" s="3" cm="1">
        <f t="array" aca="1" ref="L4" ca="1">INDIRECT(Obroty[[#Headers],[październik]]&amp;"_saldo[@[Saldo końcowe]]")</f>
        <v>0</v>
      </c>
      <c r="M4" s="3" cm="1">
        <f t="array" aca="1" ref="M4" ca="1">INDIRECT(Obroty[[#Headers],[listopad]]&amp;"_saldo[@[Saldo końcowe]]")</f>
        <v>0</v>
      </c>
      <c r="N4" s="3" cm="1">
        <f t="array" aca="1" ref="N4" ca="1">INDIRECT(Obroty[[#Headers],[grudzień]]&amp;"_saldo[@[Saldo końcowe]]")</f>
        <v>0</v>
      </c>
    </row>
    <row r="5" spans="1:14" x14ac:dyDescent="0.25">
      <c r="A5" t="s">
        <v>22</v>
      </c>
      <c r="B5" t="s">
        <v>19</v>
      </c>
      <c r="C5" s="3" cm="1">
        <f t="array" aca="1" ref="C5" ca="1">INDIRECT(Obroty[[#Headers],[styczeń]]&amp;"_saldo[@[Operacje]]")</f>
        <v>-35</v>
      </c>
      <c r="D5" s="3" cm="1">
        <f t="array" aca="1" ref="D5" ca="1">INDIRECT(Obroty[[#Headers],[luty]]&amp;"_saldo[@[Saldo końcowe]]")</f>
        <v>100</v>
      </c>
      <c r="E5" s="3" cm="1">
        <f t="array" aca="1" ref="E5" ca="1">INDIRECT(Obroty[[#Headers],[marzec]]&amp;"_saldo[@[Saldo końcowe]]")</f>
        <v>167.5</v>
      </c>
      <c r="F5" s="3" cm="1">
        <f t="array" aca="1" ref="F5" ca="1">INDIRECT(Obroty[[#Headers],[kwiecień]]&amp;"_saldo[@[Saldo końcowe]]")</f>
        <v>268.5</v>
      </c>
      <c r="G5" s="3" cm="1">
        <f t="array" aca="1" ref="G5" ca="1">INDIRECT(Obroty[[#Headers],[maj]]&amp;"_saldo[@[Saldo końcowe]]")</f>
        <v>218.5</v>
      </c>
      <c r="H5" s="3" cm="1">
        <f t="array" aca="1" ref="H5" ca="1">INDIRECT(Obroty[[#Headers],[czerwiec]]&amp;"_saldo[@[Saldo końcowe]]")</f>
        <v>468.5</v>
      </c>
      <c r="I5" s="3" cm="1">
        <f t="array" aca="1" ref="I5" ca="1">INDIRECT(Obroty[[#Headers],[lipiec]]&amp;"_saldo[@[Saldo końcowe]]")</f>
        <v>368.5</v>
      </c>
      <c r="J5" s="3" cm="1">
        <f t="array" aca="1" ref="J5" ca="1">INDIRECT(Obroty[[#Headers],[sierpień]]&amp;"_saldo[@[Saldo końcowe]]")</f>
        <v>568.5</v>
      </c>
      <c r="K5" s="3" cm="1">
        <f t="array" aca="1" ref="K5" ca="1">INDIRECT(Obroty[[#Headers],[wrzesień]]&amp;"_saldo[@[Saldo końcowe]]")</f>
        <v>548.5</v>
      </c>
      <c r="L5" s="3" cm="1">
        <f t="array" aca="1" ref="L5" ca="1">INDIRECT(Obroty[[#Headers],[październik]]&amp;"_saldo[@[Saldo końcowe]]")</f>
        <v>548.5</v>
      </c>
      <c r="M5" s="3" cm="1">
        <f t="array" aca="1" ref="M5" ca="1">INDIRECT(Obroty[[#Headers],[listopad]]&amp;"_saldo[@[Saldo końcowe]]")</f>
        <v>548.5</v>
      </c>
      <c r="N5" s="3" cm="1">
        <f t="array" aca="1" ref="N5" ca="1">INDIRECT(Obroty[[#Headers],[grudzień]]&amp;"_saldo[@[Saldo końcowe]]")</f>
        <v>548.5</v>
      </c>
    </row>
    <row r="6" spans="1:14" x14ac:dyDescent="0.25">
      <c r="A6" t="s">
        <v>22</v>
      </c>
      <c r="B6" t="s">
        <v>25</v>
      </c>
      <c r="C6" s="3" cm="1">
        <f t="array" aca="1" ref="C6" ca="1">INDIRECT(Obroty[[#Headers],[styczeń]]&amp;"_saldo[@[Operacje]]")</f>
        <v>255.5</v>
      </c>
      <c r="D6" s="3" cm="1">
        <f t="array" aca="1" ref="D6" ca="1">INDIRECT(Obroty[[#Headers],[luty]]&amp;"_saldo[@[Saldo końcowe]]")</f>
        <v>295.5</v>
      </c>
      <c r="E6" s="3" cm="1">
        <f t="array" aca="1" ref="E6" ca="1">INDIRECT(Obroty[[#Headers],[marzec]]&amp;"_saldo[@[Saldo końcowe]]")</f>
        <v>300.5</v>
      </c>
      <c r="F6" s="3" cm="1">
        <f t="array" aca="1" ref="F6" ca="1">INDIRECT(Obroty[[#Headers],[kwiecień]]&amp;"_saldo[@[Saldo końcowe]]")</f>
        <v>350.5</v>
      </c>
      <c r="G6" s="3" cm="1">
        <f t="array" aca="1" ref="G6" ca="1">INDIRECT(Obroty[[#Headers],[maj]]&amp;"_saldo[@[Saldo końcowe]]")</f>
        <v>350.5</v>
      </c>
      <c r="H6" s="3" cm="1">
        <f t="array" aca="1" ref="H6" ca="1">INDIRECT(Obroty[[#Headers],[czerwiec]]&amp;"_saldo[@[Saldo końcowe]]")</f>
        <v>350.5</v>
      </c>
      <c r="I6" s="3" cm="1">
        <f t="array" aca="1" ref="I6" ca="1">INDIRECT(Obroty[[#Headers],[lipiec]]&amp;"_saldo[@[Saldo końcowe]]")</f>
        <v>1400.5</v>
      </c>
      <c r="J6" s="3" cm="1">
        <f t="array" aca="1" ref="J6" ca="1">INDIRECT(Obroty[[#Headers],[sierpień]]&amp;"_saldo[@[Saldo końcowe]]")</f>
        <v>1100.5</v>
      </c>
      <c r="K6" s="3" cm="1">
        <f t="array" aca="1" ref="K6" ca="1">INDIRECT(Obroty[[#Headers],[wrzesień]]&amp;"_saldo[@[Saldo końcowe]]")</f>
        <v>1100.5</v>
      </c>
      <c r="L6" s="3" cm="1">
        <f t="array" aca="1" ref="L6" ca="1">INDIRECT(Obroty[[#Headers],[październik]]&amp;"_saldo[@[Saldo końcowe]]")</f>
        <v>1100.5</v>
      </c>
      <c r="M6" s="3" cm="1">
        <f t="array" aca="1" ref="M6" ca="1">INDIRECT(Obroty[[#Headers],[listopad]]&amp;"_saldo[@[Saldo końcowe]]")</f>
        <v>1100.5</v>
      </c>
      <c r="N6" s="3" cm="1">
        <f t="array" aca="1" ref="N6" ca="1">INDIRECT(Obroty[[#Headers],[grudzień]]&amp;"_saldo[@[Saldo końcowe]]")</f>
        <v>1100.5</v>
      </c>
    </row>
    <row r="7" spans="1:14" x14ac:dyDescent="0.25">
      <c r="A7" t="s">
        <v>31</v>
      </c>
      <c r="B7" t="s">
        <v>32</v>
      </c>
      <c r="C7" s="3" cm="1">
        <f t="array" aca="1" ref="C7" ca="1">INDIRECT(Obroty[[#Headers],[styczeń]]&amp;"_saldo[@[Operacje]]")</f>
        <v>150</v>
      </c>
      <c r="D7" s="3" cm="1">
        <f t="array" aca="1" ref="D7" ca="1">INDIRECT(Obroty[[#Headers],[luty]]&amp;"_saldo[@[Saldo końcowe]]")</f>
        <v>659.5</v>
      </c>
      <c r="E7" s="3" cm="1">
        <f t="array" aca="1" ref="E7" ca="1">INDIRECT(Obroty[[#Headers],[marzec]]&amp;"_saldo[@[Saldo końcowe]]")</f>
        <v>650</v>
      </c>
      <c r="F7" s="3" cm="1">
        <f t="array" aca="1" ref="F7" ca="1">INDIRECT(Obroty[[#Headers],[kwiecień]]&amp;"_saldo[@[Saldo końcowe]]")</f>
        <v>650</v>
      </c>
      <c r="G7" s="3" cm="1">
        <f t="array" aca="1" ref="G7" ca="1">INDIRECT(Obroty[[#Headers],[maj]]&amp;"_saldo[@[Saldo końcowe]]")</f>
        <v>570</v>
      </c>
      <c r="H7" s="3" cm="1">
        <f t="array" aca="1" ref="H7" ca="1">INDIRECT(Obroty[[#Headers],[czerwiec]]&amp;"_saldo[@[Saldo końcowe]]")</f>
        <v>370</v>
      </c>
      <c r="I7" s="3" cm="1">
        <f t="array" aca="1" ref="I7" ca="1">INDIRECT(Obroty[[#Headers],[lipiec]]&amp;"_saldo[@[Saldo końcowe]]")</f>
        <v>370</v>
      </c>
      <c r="J7" s="3" cm="1">
        <f t="array" aca="1" ref="J7" ca="1">INDIRECT(Obroty[[#Headers],[sierpień]]&amp;"_saldo[@[Saldo końcowe]]")</f>
        <v>372.5</v>
      </c>
      <c r="K7" s="3" cm="1">
        <f t="array" aca="1" ref="K7" ca="1">INDIRECT(Obroty[[#Headers],[wrzesień]]&amp;"_saldo[@[Saldo końcowe]]")</f>
        <v>372.5</v>
      </c>
      <c r="L7" s="3" cm="1">
        <f t="array" aca="1" ref="L7" ca="1">INDIRECT(Obroty[[#Headers],[październik]]&amp;"_saldo[@[Saldo końcowe]]")</f>
        <v>372.5</v>
      </c>
      <c r="M7" s="3" cm="1">
        <f t="array" aca="1" ref="M7" ca="1">INDIRECT(Obroty[[#Headers],[listopad]]&amp;"_saldo[@[Saldo końcowe]]")</f>
        <v>772.5</v>
      </c>
      <c r="N7" s="3" cm="1">
        <f t="array" aca="1" ref="N7" ca="1">INDIRECT(Obroty[[#Headers],[grudzień]]&amp;"_saldo[@[Saldo końcowe]]")</f>
        <v>1872.5</v>
      </c>
    </row>
    <row r="8" spans="1:14" x14ac:dyDescent="0.25">
      <c r="A8" t="s">
        <v>31</v>
      </c>
      <c r="B8" t="s">
        <v>33</v>
      </c>
      <c r="C8" s="3" cm="1">
        <f t="array" aca="1" ref="C8" ca="1">INDIRECT(Obroty[[#Headers],[styczeń]]&amp;"_saldo[@[Operacje]]")</f>
        <v>-50</v>
      </c>
      <c r="D8" s="3" cm="1">
        <f t="array" aca="1" ref="D8" ca="1">INDIRECT(Obroty[[#Headers],[luty]]&amp;"_saldo[@[Saldo końcowe]]")</f>
        <v>100</v>
      </c>
      <c r="E8" s="3" cm="1">
        <f t="array" aca="1" ref="E8" ca="1">INDIRECT(Obroty[[#Headers],[marzec]]&amp;"_saldo[@[Saldo końcowe]]")</f>
        <v>75.510000000000005</v>
      </c>
      <c r="F8" s="3" cm="1">
        <f t="array" aca="1" ref="F8" ca="1">INDIRECT(Obroty[[#Headers],[kwiecień]]&amp;"_saldo[@[Saldo końcowe]]")</f>
        <v>75.510000000000005</v>
      </c>
      <c r="G8" s="3" cm="1">
        <f t="array" aca="1" ref="G8" ca="1">INDIRECT(Obroty[[#Headers],[maj]]&amp;"_saldo[@[Saldo końcowe]]")</f>
        <v>75.510000000000005</v>
      </c>
      <c r="H8" s="3" cm="1">
        <f t="array" aca="1" ref="H8" ca="1">INDIRECT(Obroty[[#Headers],[czerwiec]]&amp;"_saldo[@[Saldo końcowe]]")</f>
        <v>75.510000000000005</v>
      </c>
      <c r="I8" s="3" cm="1">
        <f t="array" aca="1" ref="I8" ca="1">INDIRECT(Obroty[[#Headers],[lipiec]]&amp;"_saldo[@[Saldo końcowe]]")</f>
        <v>45.510000000000005</v>
      </c>
      <c r="J8" s="3" cm="1">
        <f t="array" aca="1" ref="J8" ca="1">INDIRECT(Obroty[[#Headers],[sierpień]]&amp;"_saldo[@[Saldo końcowe]]")</f>
        <v>45.510000000000005</v>
      </c>
      <c r="K8" s="3" cm="1">
        <f t="array" aca="1" ref="K8" ca="1">INDIRECT(Obroty[[#Headers],[wrzesień]]&amp;"_saldo[@[Saldo końcowe]]")</f>
        <v>45.510000000000005</v>
      </c>
      <c r="L8" s="3" cm="1">
        <f t="array" aca="1" ref="L8" ca="1">INDIRECT(Obroty[[#Headers],[październik]]&amp;"_saldo[@[Saldo końcowe]]")</f>
        <v>45.510000000000005</v>
      </c>
      <c r="M8" s="3" cm="1">
        <f t="array" aca="1" ref="M8" ca="1">INDIRECT(Obroty[[#Headers],[listopad]]&amp;"_saldo[@[Saldo końcowe]]")</f>
        <v>45.510000000000005</v>
      </c>
      <c r="N8" s="3" cm="1">
        <f t="array" aca="1" ref="N8" ca="1">INDIRECT(Obroty[[#Headers],[grudzień]]&amp;"_saldo[@[Saldo końcowe]]")</f>
        <v>45.510000000000005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52C6DA9-0490-4694-9965-55AE6A118F0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A2:N8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Kategorie</vt:lpstr>
      <vt:lpstr>operacje</vt:lpstr>
      <vt:lpstr>styczeń</vt:lpstr>
      <vt:lpstr>luty</vt:lpstr>
      <vt:lpstr>marzec</vt:lpstr>
      <vt:lpstr>kwiecień</vt:lpstr>
      <vt:lpstr>maj</vt:lpstr>
      <vt:lpstr>lipiec</vt:lpstr>
      <vt:lpstr>czerwiec</vt:lpstr>
      <vt:lpstr>sierpień</vt:lpstr>
      <vt:lpstr>wrzesień</vt:lpstr>
      <vt:lpstr>październik</vt:lpstr>
      <vt:lpstr>listopad</vt:lpstr>
      <vt:lpstr>grudzień</vt:lpstr>
      <vt:lpstr>Salda</vt:lpstr>
      <vt:lpstr>Obroty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s-A121-15</cp:lastModifiedBy>
  <dcterms:created xsi:type="dcterms:W3CDTF">2024-11-20T13:58:37Z</dcterms:created>
  <dcterms:modified xsi:type="dcterms:W3CDTF">2024-12-18T15:33:21Z</dcterms:modified>
</cp:coreProperties>
</file>