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levi/Dropbox/"/>
    </mc:Choice>
  </mc:AlternateContent>
  <xr:revisionPtr revIDLastSave="0" documentId="13_ncr:1_{B82A5186-8858-9947-BBBF-CCE33AFDFE20}" xr6:coauthVersionLast="46" xr6:coauthVersionMax="46" xr10:uidLastSave="{00000000-0000-0000-0000-000000000000}"/>
  <bookViews>
    <workbookView xWindow="0" yWindow="460" windowWidth="27200" windowHeight="15960" xr2:uid="{62B73582-CAB8-3042-98FC-2110B0B009AC}"/>
  </bookViews>
  <sheets>
    <sheet name="Emissions Sebastian 2020" sheetId="1" r:id="rId1"/>
    <sheet name="Hintergrund" sheetId="2" r:id="rId2"/>
  </sheets>
  <definedNames>
    <definedName name="___thinkcellOV4AAAAAAAAAAAAAAAAKLXXGT2XVPKCBU3SUDGARAXYS4" localSheetId="0" hidden="1">'Emissions Sebastian 2020'!$AB$330:$AG$334</definedName>
    <definedName name="___thinkcellP54AAAAAAAAAAAAAAAADY5ZUDPBBFU2DUQPBE22TOX6VO" localSheetId="0" hidden="1">'Emissions Sebastian 2020'!$T$344:$W$349</definedName>
    <definedName name="___thinkcellP54AAAAAAAAAAAAAAAAEDGRNUAUW46CKRNVFPYEIJNKGY" localSheetId="0" hidden="1">'Emissions Sebastian 2020'!$T$360:$W$368</definedName>
    <definedName name="___thinkcellP54AAAAAAAAAAAAAAAAHU3CDPLHKFK2JV443RJCQIRQQU" localSheetId="0" hidden="1">'Emissions Sebastian 2020'!$T$351:$W$358</definedName>
    <definedName name="___thinkcellP54AAAAAAAAAAAAAAAAKI4XDOTDNKA2DUWD2L7GCLY7I2" localSheetId="0" hidden="1">'Emissions Sebastian 2020'!$T$331:$W$337</definedName>
    <definedName name="___thinkcellP54AAAAAAAAAAAAAAAAPYEBHEI2DIT2OXGZV2OKBT4LOO" localSheetId="0" hidden="1">'Emissions Sebastian 2020'!$T$339:$W$342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92" i="1" l="1"/>
  <c r="Y293" i="1" s="1"/>
  <c r="U293" i="1"/>
  <c r="H117" i="1"/>
  <c r="Y114" i="1"/>
  <c r="Y73" i="1"/>
  <c r="U289" i="1" s="1"/>
  <c r="V353" i="1"/>
  <c r="U347" i="1"/>
  <c r="W346" i="1"/>
  <c r="W363" i="1"/>
  <c r="W364" i="1"/>
  <c r="W365" i="1"/>
  <c r="W366" i="1"/>
  <c r="W367" i="1"/>
  <c r="W368" i="1"/>
  <c r="W362" i="1"/>
  <c r="V363" i="1"/>
  <c r="V364" i="1"/>
  <c r="V365" i="1"/>
  <c r="V366" i="1"/>
  <c r="V367" i="1"/>
  <c r="V368" i="1"/>
  <c r="V362" i="1"/>
  <c r="U363" i="1"/>
  <c r="U364" i="1"/>
  <c r="U365" i="1"/>
  <c r="U366" i="1"/>
  <c r="U367" i="1"/>
  <c r="U368" i="1"/>
  <c r="U362" i="1"/>
  <c r="U353" i="1"/>
  <c r="W349" i="1"/>
  <c r="W348" i="1"/>
  <c r="W347" i="1"/>
  <c r="V347" i="1"/>
  <c r="V348" i="1"/>
  <c r="V349" i="1"/>
  <c r="V346" i="1"/>
  <c r="U348" i="1"/>
  <c r="U349" i="1"/>
  <c r="U346" i="1"/>
  <c r="W342" i="1"/>
  <c r="V342" i="1"/>
  <c r="U342" i="1"/>
  <c r="W341" i="1"/>
  <c r="V341" i="1"/>
  <c r="U341" i="1"/>
  <c r="X300" i="1"/>
  <c r="Y301" i="1" s="1"/>
  <c r="X296" i="1"/>
  <c r="T296" i="1"/>
  <c r="X95" i="1"/>
  <c r="X83" i="1"/>
  <c r="G62" i="2"/>
  <c r="X91" i="1" s="1"/>
  <c r="X79" i="1"/>
  <c r="T292" i="1"/>
  <c r="X175" i="1"/>
  <c r="I128" i="2"/>
  <c r="J127" i="2" s="1"/>
  <c r="F127" i="2" s="1"/>
  <c r="X169" i="1"/>
  <c r="X168" i="1"/>
  <c r="X13" i="1"/>
  <c r="Y271" i="1" s="1"/>
  <c r="X162" i="1"/>
  <c r="U334" i="1" s="1"/>
  <c r="X163" i="1"/>
  <c r="AE164" i="1" s="1"/>
  <c r="X164" i="1"/>
  <c r="AF164" i="1" s="1"/>
  <c r="X165" i="1"/>
  <c r="AG164" i="1" s="1"/>
  <c r="X161" i="1"/>
  <c r="AC164" i="1" s="1"/>
  <c r="F116" i="2"/>
  <c r="W161" i="1"/>
  <c r="AC163" i="1" s="1"/>
  <c r="Y148" i="1"/>
  <c r="W372" i="1" s="1"/>
  <c r="H46" i="2"/>
  <c r="Y122" i="1"/>
  <c r="Y123" i="1" s="1"/>
  <c r="D85" i="2"/>
  <c r="K99" i="2"/>
  <c r="L95" i="2" s="1"/>
  <c r="D102" i="2" s="1"/>
  <c r="E102" i="2" s="1"/>
  <c r="F142" i="2" s="1"/>
  <c r="X189" i="1" s="1"/>
  <c r="D59" i="2"/>
  <c r="D58" i="2"/>
  <c r="D57" i="2"/>
  <c r="D56" i="2"/>
  <c r="D55" i="2"/>
  <c r="D61" i="2" s="1"/>
  <c r="D54" i="2"/>
  <c r="D53" i="2"/>
  <c r="D51" i="2"/>
  <c r="D50" i="2"/>
  <c r="F50" i="2" s="1"/>
  <c r="X109" i="1"/>
  <c r="Y110" i="1" s="1"/>
  <c r="X105" i="1"/>
  <c r="X101" i="1"/>
  <c r="Y102" i="1" s="1"/>
  <c r="E51" i="2"/>
  <c r="E52" i="2" s="1"/>
  <c r="E53" i="2" s="1"/>
  <c r="E54" i="2" s="1"/>
  <c r="F54" i="2" s="1"/>
  <c r="J52" i="2"/>
  <c r="J60" i="2" s="1"/>
  <c r="K52" i="2"/>
  <c r="K60" i="2" s="1"/>
  <c r="L52" i="2"/>
  <c r="L60" i="2" s="1"/>
  <c r="M52" i="2"/>
  <c r="M60" i="2" s="1"/>
  <c r="N52" i="2"/>
  <c r="N60" i="2" s="1"/>
  <c r="O52" i="2"/>
  <c r="P52" i="2"/>
  <c r="P60" i="2" s="1"/>
  <c r="O60" i="2"/>
  <c r="G61" i="2"/>
  <c r="K69" i="2"/>
  <c r="M69" i="2"/>
  <c r="N69" i="2"/>
  <c r="O69" i="2"/>
  <c r="P69" i="2"/>
  <c r="F71" i="2"/>
  <c r="F72" i="2"/>
  <c r="G25" i="2"/>
  <c r="G27" i="2"/>
  <c r="G28" i="2"/>
  <c r="G31" i="2"/>
  <c r="G32" i="2"/>
  <c r="G36" i="2"/>
  <c r="G37" i="2" s="1"/>
  <c r="X61" i="1"/>
  <c r="X63" i="1" s="1"/>
  <c r="W175" i="1" s="1"/>
  <c r="AD164" i="1" l="1"/>
  <c r="V333" i="1"/>
  <c r="W333" i="1" s="1"/>
  <c r="U333" i="1" s="1"/>
  <c r="U335" i="1"/>
  <c r="Y297" i="1"/>
  <c r="U336" i="1"/>
  <c r="L97" i="2"/>
  <c r="D104" i="2" s="1"/>
  <c r="E104" i="2" s="1"/>
  <c r="F144" i="2" s="1"/>
  <c r="X191" i="1" s="1"/>
  <c r="F136" i="2"/>
  <c r="X183" i="1" s="1"/>
  <c r="U358" i="1" s="1"/>
  <c r="Y292" i="1"/>
  <c r="Y294" i="1" s="1"/>
  <c r="D52" i="2"/>
  <c r="T300" i="1"/>
  <c r="W354" i="1" s="1"/>
  <c r="U337" i="1"/>
  <c r="U284" i="1"/>
  <c r="X284" i="1" s="1"/>
  <c r="J124" i="2"/>
  <c r="F124" i="2" s="1"/>
  <c r="X172" i="1" s="1"/>
  <c r="J126" i="2"/>
  <c r="F126" i="2" s="1"/>
  <c r="X174" i="1" s="1"/>
  <c r="J125" i="2"/>
  <c r="F125" i="2" s="1"/>
  <c r="X173" i="1" s="1"/>
  <c r="J128" i="2"/>
  <c r="W129" i="1"/>
  <c r="L94" i="2"/>
  <c r="D101" i="2" s="1"/>
  <c r="E101" i="2" s="1"/>
  <c r="F141" i="2" s="1"/>
  <c r="X188" i="1" s="1"/>
  <c r="L93" i="2"/>
  <c r="D100" i="2" s="1"/>
  <c r="E100" i="2" s="1"/>
  <c r="F140" i="2" s="1"/>
  <c r="X187" i="1" s="1"/>
  <c r="L98" i="2"/>
  <c r="D105" i="2" s="1"/>
  <c r="E105" i="2" s="1"/>
  <c r="F145" i="2" s="1"/>
  <c r="X192" i="1" s="1"/>
  <c r="L96" i="2"/>
  <c r="D103" i="2" s="1"/>
  <c r="E103" i="2" s="1"/>
  <c r="F143" i="2" s="1"/>
  <c r="X190" i="1" s="1"/>
  <c r="L92" i="2"/>
  <c r="D99" i="2" s="1"/>
  <c r="E99" i="2" s="1"/>
  <c r="F139" i="2" s="1"/>
  <c r="X186" i="1" s="1"/>
  <c r="G33" i="2"/>
  <c r="I62" i="2"/>
  <c r="F53" i="2"/>
  <c r="H53" i="2" s="1"/>
  <c r="F52" i="2"/>
  <c r="H52" i="2" s="1"/>
  <c r="F51" i="2"/>
  <c r="Y106" i="1"/>
  <c r="F69" i="2"/>
  <c r="X75" i="1"/>
  <c r="G29" i="2"/>
  <c r="Y101" i="1"/>
  <c r="H54" i="2"/>
  <c r="F133" i="2" s="1"/>
  <c r="X180" i="1" s="1"/>
  <c r="U355" i="1" s="1"/>
  <c r="E55" i="2"/>
  <c r="F55" i="2" s="1"/>
  <c r="X58" i="1"/>
  <c r="X54" i="1"/>
  <c r="X53" i="1"/>
  <c r="X47" i="1"/>
  <c r="X48" i="1"/>
  <c r="X38" i="1"/>
  <c r="X37" i="1"/>
  <c r="X9" i="1"/>
  <c r="W169" i="1" s="1"/>
  <c r="H25" i="1"/>
  <c r="H31" i="1"/>
  <c r="H34" i="1"/>
  <c r="H21" i="1"/>
  <c r="H23" i="1"/>
  <c r="G5" i="2"/>
  <c r="M14" i="1"/>
  <c r="H12" i="1" s="1"/>
  <c r="G7" i="2" s="1"/>
  <c r="G8" i="2" s="1"/>
  <c r="G11" i="2"/>
  <c r="W355" i="1" l="1"/>
  <c r="U296" i="1"/>
  <c r="W127" i="1"/>
  <c r="Y75" i="1"/>
  <c r="W128" i="1"/>
  <c r="X128" i="1" s="1"/>
  <c r="Y128" i="1" s="1"/>
  <c r="W188" i="1" s="1"/>
  <c r="W131" i="1"/>
  <c r="X131" i="1" s="1"/>
  <c r="Y131" i="1" s="1"/>
  <c r="W191" i="1" s="1"/>
  <c r="D60" i="2"/>
  <c r="D62" i="2"/>
  <c r="W178" i="1"/>
  <c r="Y76" i="1"/>
  <c r="U319" i="1"/>
  <c r="V319" i="1" s="1"/>
  <c r="X129" i="1"/>
  <c r="Y129" i="1" s="1"/>
  <c r="W189" i="1" s="1"/>
  <c r="U320" i="1"/>
  <c r="V320" i="1" s="1"/>
  <c r="V272" i="1"/>
  <c r="V273" i="1" s="1"/>
  <c r="X127" i="1"/>
  <c r="Y127" i="1" s="1"/>
  <c r="W187" i="1" s="1"/>
  <c r="U318" i="1"/>
  <c r="V318" i="1" s="1"/>
  <c r="W174" i="1"/>
  <c r="U285" i="1"/>
  <c r="X285" i="1" s="1"/>
  <c r="U322" i="1"/>
  <c r="V322" i="1" s="1"/>
  <c r="X28" i="1"/>
  <c r="X30" i="1" s="1"/>
  <c r="U281" i="1" s="1"/>
  <c r="X281" i="1" s="1"/>
  <c r="W132" i="1"/>
  <c r="W126" i="1"/>
  <c r="E106" i="2"/>
  <c r="D106" i="2"/>
  <c r="W130" i="1"/>
  <c r="Y91" i="1"/>
  <c r="X87" i="1"/>
  <c r="E56" i="2"/>
  <c r="F56" i="2" s="1"/>
  <c r="H55" i="2"/>
  <c r="X39" i="1"/>
  <c r="U279" i="1" s="1"/>
  <c r="X279" i="1" s="1"/>
  <c r="X55" i="1"/>
  <c r="G19" i="2"/>
  <c r="G21" i="2" s="1"/>
  <c r="G41" i="2" s="1"/>
  <c r="X10" i="1"/>
  <c r="X14" i="1" s="1"/>
  <c r="V274" i="1" s="1"/>
  <c r="V275" i="1" s="1"/>
  <c r="X20" i="1"/>
  <c r="X21" i="1" s="1"/>
  <c r="X23" i="1" s="1"/>
  <c r="X49" i="1"/>
  <c r="U282" i="1" s="1"/>
  <c r="G12" i="2"/>
  <c r="X130" i="1" l="1"/>
  <c r="Y130" i="1" s="1"/>
  <c r="W190" i="1" s="1"/>
  <c r="U321" i="1"/>
  <c r="V321" i="1" s="1"/>
  <c r="X283" i="1"/>
  <c r="X282" i="1"/>
  <c r="Y83" i="1"/>
  <c r="X132" i="1"/>
  <c r="Y132" i="1" s="1"/>
  <c r="W192" i="1" s="1"/>
  <c r="U323" i="1"/>
  <c r="V323" i="1" s="1"/>
  <c r="W173" i="1"/>
  <c r="U280" i="1"/>
  <c r="X280" i="1" s="1"/>
  <c r="Y87" i="1"/>
  <c r="W180" i="1"/>
  <c r="V355" i="1" s="1"/>
  <c r="X126" i="1"/>
  <c r="Y126" i="1" s="1"/>
  <c r="W186" i="1" s="1"/>
  <c r="U317" i="1"/>
  <c r="V317" i="1" s="1"/>
  <c r="W172" i="1"/>
  <c r="W168" i="1"/>
  <c r="X15" i="1"/>
  <c r="Y80" i="1"/>
  <c r="Y95" i="1"/>
  <c r="E57" i="2"/>
  <c r="F57" i="2" s="1"/>
  <c r="H56" i="2"/>
  <c r="X66" i="1"/>
  <c r="G14" i="2"/>
  <c r="G15" i="2" s="1"/>
  <c r="Y326" i="1" l="1"/>
  <c r="W337" i="1" s="1"/>
  <c r="W179" i="1"/>
  <c r="V354" i="1" s="1"/>
  <c r="Y135" i="1"/>
  <c r="H68" i="1"/>
  <c r="W163" i="1" s="1"/>
  <c r="U286" i="1"/>
  <c r="H15" i="1"/>
  <c r="W162" i="1" s="1"/>
  <c r="V271" i="1"/>
  <c r="V276" i="1" s="1"/>
  <c r="X286" i="1"/>
  <c r="E58" i="2"/>
  <c r="F58" i="2" s="1"/>
  <c r="H57" i="2"/>
  <c r="Y105" i="1" l="1"/>
  <c r="W356" i="1"/>
  <c r="Y296" i="1"/>
  <c r="Y298" i="1" s="1"/>
  <c r="AD163" i="1"/>
  <c r="V334" i="1"/>
  <c r="AE163" i="1"/>
  <c r="V335" i="1"/>
  <c r="W335" i="1"/>
  <c r="W334" i="1"/>
  <c r="P284" i="1"/>
  <c r="P285" i="1" s="1"/>
  <c r="P275" i="1"/>
  <c r="P276" i="1"/>
  <c r="H145" i="1"/>
  <c r="W165" i="1" s="1"/>
  <c r="Y325" i="1"/>
  <c r="P326" i="1" s="1"/>
  <c r="P327" i="1" s="1"/>
  <c r="H58" i="2"/>
  <c r="E59" i="2"/>
  <c r="F59" i="2" s="1"/>
  <c r="Y109" i="1" l="1"/>
  <c r="W357" i="1"/>
  <c r="Y300" i="1"/>
  <c r="Y302" i="1" s="1"/>
  <c r="Y304" i="1" s="1"/>
  <c r="F134" i="2"/>
  <c r="X181" i="1" s="1"/>
  <c r="U356" i="1" s="1"/>
  <c r="W181" i="1"/>
  <c r="V356" i="1" s="1"/>
  <c r="AG163" i="1"/>
  <c r="V337" i="1"/>
  <c r="E60" i="2"/>
  <c r="F60" i="2" s="1"/>
  <c r="H59" i="2"/>
  <c r="F135" i="2" l="1"/>
  <c r="X182" i="1" s="1"/>
  <c r="U357" i="1" s="1"/>
  <c r="W182" i="1"/>
  <c r="V357" i="1" s="1"/>
  <c r="Y79" i="1"/>
  <c r="F68" i="2"/>
  <c r="E61" i="2"/>
  <c r="E62" i="2" s="1"/>
  <c r="F62" i="2" s="1"/>
  <c r="H60" i="2"/>
  <c r="H64" i="2" s="1"/>
  <c r="W358" i="1" l="1"/>
  <c r="U301" i="1"/>
  <c r="Y96" i="1"/>
  <c r="Y97" i="1" s="1"/>
  <c r="Y92" i="1"/>
  <c r="Y93" i="1" s="1"/>
  <c r="Y84" i="1"/>
  <c r="Y85" i="1" s="1"/>
  <c r="W183" i="1"/>
  <c r="V358" i="1" s="1"/>
  <c r="U297" i="1"/>
  <c r="U298" i="1" s="1"/>
  <c r="Y88" i="1"/>
  <c r="U300" i="1"/>
  <c r="F61" i="2"/>
  <c r="U292" i="1" l="1"/>
  <c r="W353" i="1"/>
  <c r="U302" i="1"/>
  <c r="H61" i="2"/>
  <c r="U294" i="1"/>
  <c r="Y113" i="1"/>
  <c r="Y77" i="1"/>
  <c r="Y99" i="1" s="1"/>
  <c r="U304" i="1" l="1"/>
  <c r="Y306" i="1" s="1"/>
  <c r="F132" i="2"/>
  <c r="X179" i="1" s="1"/>
  <c r="U354" i="1" s="1"/>
  <c r="F131" i="2"/>
  <c r="X178" i="1" s="1"/>
  <c r="W164" i="1"/>
  <c r="P308" i="1" l="1"/>
  <c r="P309" i="1" s="1"/>
  <c r="Y307" i="1"/>
  <c r="W336" i="1" s="1"/>
  <c r="V372" i="1" s="1"/>
  <c r="H148" i="1"/>
  <c r="AF163" i="1" l="1"/>
  <c r="V336" i="1"/>
  <c r="H149" i="1"/>
  <c r="U372" i="1"/>
</calcChain>
</file>

<file path=xl/sharedStrings.xml><?xml version="1.0" encoding="utf-8"?>
<sst xmlns="http://schemas.openxmlformats.org/spreadsheetml/2006/main" count="757" uniqueCount="399">
  <si>
    <t>Power</t>
  </si>
  <si>
    <t>Heating</t>
  </si>
  <si>
    <t>Total</t>
  </si>
  <si>
    <t>Gesamtverbrauch in kWh</t>
  </si>
  <si>
    <t>Share</t>
  </si>
  <si>
    <t>Mein Verbrauch in MWh</t>
  </si>
  <si>
    <t>durchschnittlicher Single-Haushalt:</t>
  </si>
  <si>
    <t>1000-2000kwH</t>
  </si>
  <si>
    <t>Interesting links:</t>
  </si>
  <si>
    <t>https://www.heizspiegel.de/heizkosten-pruefen/heizkosten-pro-m2-vergleich/</t>
  </si>
  <si>
    <t>CO2 in kg</t>
  </si>
  <si>
    <t>CO2 in t</t>
  </si>
  <si>
    <t xml:space="preserve">kg CO2 pro kWh FW in Berlin </t>
  </si>
  <si>
    <t>Emission in kg</t>
  </si>
  <si>
    <t>kg CO2 pro PJ FW in Berlin (2017)</t>
  </si>
  <si>
    <t>Data on CO2 pro TJ</t>
  </si>
  <si>
    <t>https://www.statistik-berlin-brandenburg.de/publikationen/stat_berichte/2019/SB_E04-04-00_2017j01_BE.pdf</t>
  </si>
  <si>
    <t>Strom</t>
  </si>
  <si>
    <t>Verbrauch in kwH</t>
  </si>
  <si>
    <t>ÖVPN</t>
  </si>
  <si>
    <t>km pro Jahr</t>
  </si>
  <si>
    <t>kg CO2 pro Jahr</t>
  </si>
  <si>
    <t>kg CO2 pro km (2018)</t>
  </si>
  <si>
    <t>Quelle Emissionen Verkehrmittel im Personenverkehr UBA 01/2020</t>
  </si>
  <si>
    <t>Bahn</t>
  </si>
  <si>
    <t>Auto</t>
  </si>
  <si>
    <t>Flug</t>
  </si>
  <si>
    <t>Uber / Taxi</t>
  </si>
  <si>
    <t>Gesamt Mobilität</t>
  </si>
  <si>
    <t>https://www.umweltbundesamt.de/bild/vergleich-der-durchschnittlichen-emissionen-0</t>
  </si>
  <si>
    <t>Gesamt km</t>
  </si>
  <si>
    <t>Uber Green</t>
  </si>
  <si>
    <t>https://www.carbonbrief.org/factcheck-how-electric-vehicles-help-to-tackle-climate-change</t>
  </si>
  <si>
    <t>Emissions in car are lifecycle emissions with German energy mix</t>
  </si>
  <si>
    <t>km Gesamt</t>
  </si>
  <si>
    <t>km Jahr gesamt</t>
  </si>
  <si>
    <t xml:space="preserve">km Jahr gesamt </t>
  </si>
  <si>
    <t>Passanger kg</t>
  </si>
  <si>
    <t>https://ourworldindata.org/environmental-impacts-of-food</t>
  </si>
  <si>
    <t>https://ourworldindata.org/environmental-impacts-of-food#the-carbon-footprint-of-eu-diets-where-do-emissions-come-from</t>
  </si>
  <si>
    <t>Average CO2e emissions from food DE:</t>
  </si>
  <si>
    <t>Type</t>
  </si>
  <si>
    <t>Lamb &amp; Mutton</t>
  </si>
  <si>
    <t>High-emission food type</t>
  </si>
  <si>
    <t>Cheese</t>
  </si>
  <si>
    <t>Fish</t>
  </si>
  <si>
    <t>Milk</t>
  </si>
  <si>
    <t>Butter</t>
  </si>
  <si>
    <t>Substitue Products</t>
  </si>
  <si>
    <t>Plant-based meat</t>
  </si>
  <si>
    <t>Beyond meat</t>
  </si>
  <si>
    <t>soy milk</t>
  </si>
  <si>
    <t>Detailed emission</t>
  </si>
  <si>
    <t>Land-Use-Change</t>
  </si>
  <si>
    <t>Farm</t>
  </si>
  <si>
    <t>Animal Feed</t>
  </si>
  <si>
    <t>Processing</t>
  </si>
  <si>
    <t>Transport</t>
  </si>
  <si>
    <t>Retail</t>
  </si>
  <si>
    <t>Packaging</t>
  </si>
  <si>
    <t>Average CO2e emissions from consumption in DE:</t>
  </si>
  <si>
    <t>Tofu</t>
  </si>
  <si>
    <t>Beef (beef heard)</t>
  </si>
  <si>
    <t>Beef (diary heard)</t>
  </si>
  <si>
    <t>Beef (German herd mix)</t>
  </si>
  <si>
    <t>Pig</t>
  </si>
  <si>
    <t>Poultry</t>
  </si>
  <si>
    <t>Sources:</t>
  </si>
  <si>
    <t>https://www.sciencedirect.com/science/article/pii/S2211912418300361</t>
  </si>
  <si>
    <t>kg CO2e</t>
  </si>
  <si>
    <t>Average meat</t>
  </si>
  <si>
    <t>Average plant-based products</t>
  </si>
  <si>
    <t>plant-based spread</t>
  </si>
  <si>
    <t>https://doi.org/10.1007/s11367-019-01703-w</t>
  </si>
  <si>
    <t>Butter vs. Plant based spread</t>
  </si>
  <si>
    <t>Emissions from variety of sources</t>
  </si>
  <si>
    <t>Beyond Burger</t>
  </si>
  <si>
    <t>http://css.umich.edu/sites/default/files/publication/CSS18-10.pdf</t>
  </si>
  <si>
    <t>Other plant-based meat</t>
  </si>
  <si>
    <t xml:space="preserve">Federation of American Societies for Experimental Biology </t>
  </si>
  <si>
    <t>https://www.sciencedaily.com/releases/2016/04/160404170427.htm</t>
  </si>
  <si>
    <t>Heller &amp; Keoleian 2018</t>
  </si>
  <si>
    <t>Avg. pC consumption 2019 in DE in kg</t>
  </si>
  <si>
    <t>Fleischverzehr DE</t>
  </si>
  <si>
    <t>https://www.ble.de/SharedDocs/Downloads/DE/BZL/Daten-Berichte/Fleisch/2020BerichtFleisch.pdf?__blob=publicationFile&amp;v=2</t>
  </si>
  <si>
    <t>of this "Wurstprodukte"</t>
  </si>
  <si>
    <t>Wurstverzehr</t>
  </si>
  <si>
    <t>Ranft 2007</t>
  </si>
  <si>
    <t>https://mediatum.ub.tum.de/doc/620246/document.pdf</t>
  </si>
  <si>
    <t>Käsekonsum</t>
  </si>
  <si>
    <t>https://de.statista.com/statistik/daten/studie/12620/umfrage/pro-kopf-verbrauch-von-kaese-seit-1999/</t>
  </si>
  <si>
    <t>Milch-, Käse,-Butter,- verbrauch</t>
  </si>
  <si>
    <t>https://milchindustrie.de/wp-content/uploads/2020/04/ProkopfDeutschland_Mopro_2013-2019x_Homepage.pdf</t>
  </si>
  <si>
    <t>Fischverzehr</t>
  </si>
  <si>
    <t>https://de.statista.com/statistik/daten/studie/1905/umfrage/entwicklung-des-pro-kopf-verbrauchs-an-fisch-in-deutschland/</t>
  </si>
  <si>
    <t>meat and diary</t>
  </si>
  <si>
    <t>CO2e kg p kg (worldwide)</t>
  </si>
  <si>
    <t>Emissions in DE</t>
  </si>
  <si>
    <t>Clothing</t>
  </si>
  <si>
    <t>durchschnittliche Konsumgüteremissionen in Deutschland:</t>
  </si>
  <si>
    <t>Produktkategorien:</t>
  </si>
  <si>
    <t>Categories</t>
  </si>
  <si>
    <t>% of household consumption emissions</t>
  </si>
  <si>
    <t>Statistisches Bundesamt: 16% der Gesamtemissionen (9.1% Services + 16,9% Produkte)</t>
  </si>
  <si>
    <t>Produkte:</t>
  </si>
  <si>
    <t>1.36 Mio t. CO2e pC pa</t>
  </si>
  <si>
    <t xml:space="preserve">Services: </t>
  </si>
  <si>
    <t>0.73 Mio t CO2e pC pa</t>
  </si>
  <si>
    <t>(2011)</t>
  </si>
  <si>
    <t>https://www.statistischebibliothek.de/mir/servlets/MCRFileNodeServlet/DEMonografie_derivate_00001376/10122015_UBA_Broschuere_Umwelt_Haushalte_korr2.pdf;jsessionid=B3B052E694998AA488D0F57895DD9A61</t>
  </si>
  <si>
    <t>Catering / hotels:</t>
  </si>
  <si>
    <t>Cars/Repairs</t>
  </si>
  <si>
    <t>Recreation</t>
  </si>
  <si>
    <t>Furniture / Applicans</t>
  </si>
  <si>
    <t>Personal care:</t>
  </si>
  <si>
    <t>Other</t>
  </si>
  <si>
    <t>Mean tons</t>
  </si>
  <si>
    <t>http://ftp.iza.org/dp7204.pdf</t>
  </si>
  <si>
    <t>Catering / hotels</t>
  </si>
  <si>
    <t>Personal care</t>
  </si>
  <si>
    <t>in Mio emissions</t>
  </si>
  <si>
    <t>not used, but interesting: https://iopscience.iop.org/article/10.1088/1748-9326/aa6da9#erlaa6da9s5</t>
  </si>
  <si>
    <t>von IZA: Zusammensetzung Emissionen Konsumgüter</t>
  </si>
  <si>
    <t>Öffentliche Emissionen</t>
  </si>
  <si>
    <t>Wärme &amp; Strom</t>
  </si>
  <si>
    <t>Strom-Verbrauch kWh</t>
  </si>
  <si>
    <t>Öko-Strom</t>
  </si>
  <si>
    <t>Ja</t>
  </si>
  <si>
    <t>Wärmeverbrauch in MW</t>
  </si>
  <si>
    <t>Eigenverbrauch in MWh</t>
  </si>
  <si>
    <t>Gesamtverbrauch Haus in MWh</t>
  </si>
  <si>
    <t>Gesamtverbrauch in HKV</t>
  </si>
  <si>
    <t>Deutscher Durchnittswert</t>
  </si>
  <si>
    <t>1 Person</t>
  </si>
  <si>
    <t>Umrechungshelfer Wärme</t>
  </si>
  <si>
    <t>Bundesland</t>
  </si>
  <si>
    <t>Berlin</t>
  </si>
  <si>
    <t>Auch bei ÖkoStrom wird ein Anteil für die Bereitstellung der Netze in Rechnung gestellt.</t>
  </si>
  <si>
    <t>Eigenverbrauch in HKV</t>
  </si>
  <si>
    <t>Mobilität</t>
  </si>
  <si>
    <t>ÖPNV</t>
  </si>
  <si>
    <t>Häufigkeit pro Woche:</t>
  </si>
  <si>
    <t>(Name)</t>
  </si>
  <si>
    <t>Bahn Fernverkehr</t>
  </si>
  <si>
    <t>Berlin - Mühlhausen (Hin- und Zurück)</t>
  </si>
  <si>
    <t>Berlin - Fehmarn (Hin- und Zurück)</t>
  </si>
  <si>
    <t>Häufigkeit pro Monat:</t>
  </si>
  <si>
    <t>Urlaub: Berlin - Marseile</t>
  </si>
  <si>
    <t>PKW</t>
  </si>
  <si>
    <t>Pauschalstrecke Stadt</t>
  </si>
  <si>
    <t>Länge Strecke 1 (km)</t>
  </si>
  <si>
    <t>Länge Strecke 2 (km)</t>
  </si>
  <si>
    <t>Länge Strecke 3 (km)</t>
  </si>
  <si>
    <t>Länge Strecke 4 (km)</t>
  </si>
  <si>
    <t>Pauschale Stadtstrecke (S Sonnenalle bis U Rosenthaler)</t>
  </si>
  <si>
    <t>(Beschreibung)</t>
  </si>
  <si>
    <t>Pauschal Land (Berlin - Templin, Hin- und Zurück)</t>
  </si>
  <si>
    <t>Pauschal Berlin See</t>
  </si>
  <si>
    <t xml:space="preserve"> - Häufigkeit pro Jahr </t>
  </si>
  <si>
    <t xml:space="preserve"> - Personen pro Auto</t>
  </si>
  <si>
    <t>Taxi / Uber</t>
  </si>
  <si>
    <t xml:space="preserve"> - Häufigkeit pro Monat </t>
  </si>
  <si>
    <t>Emissionen Reise 1 (kg CO2)</t>
  </si>
  <si>
    <t>BIA-NCE-CDG-TXL</t>
  </si>
  <si>
    <t>Emissionen Reise 2 (kg CO2)</t>
  </si>
  <si>
    <t>Emissionen Reise 3 (kg CO2)</t>
  </si>
  <si>
    <t>Emissionen Reise 4 (kg CO2)</t>
  </si>
  <si>
    <t>Hier berechnen:</t>
  </si>
  <si>
    <t>https://www.icao.int/environmental-protection/Carbonoffset/Pages/default.aspx</t>
  </si>
  <si>
    <t>Schiff</t>
  </si>
  <si>
    <t>Reise 1 (km)</t>
  </si>
  <si>
    <t>Reise 2 (km)</t>
  </si>
  <si>
    <t>Ernährung</t>
  </si>
  <si>
    <t>Ernährungstyp</t>
  </si>
  <si>
    <t>Vegegtarisch</t>
  </si>
  <si>
    <t>Nein</t>
  </si>
  <si>
    <t>Vegan</t>
  </si>
  <si>
    <t>Gesamtverbrauch in kWh:</t>
  </si>
  <si>
    <t>CO2 aus Strom (in kg):</t>
  </si>
  <si>
    <t>Emissionen gesamt in kg:</t>
  </si>
  <si>
    <t>Für die Berechnung der indirekten Emissionen von ÖkoStrom habe ich die Verhältnisse (Verbrauch zu Emissionen) des UBA Emissionsrechners übernommen</t>
  </si>
  <si>
    <t>Hintergrund-Berechnungen Strom und Wärme</t>
  </si>
  <si>
    <t>Für Details der Kalkulationen, Annahmen und Quellen siehe Tab "Hintergrund"</t>
  </si>
  <si>
    <t>Power und Heating</t>
  </si>
  <si>
    <t>Hintergrund-Berechnungen Mobilität</t>
  </si>
  <si>
    <t>ÖBNV</t>
  </si>
  <si>
    <t>Gesamtstrecke pro Jahr</t>
  </si>
  <si>
    <t>Gesamtstrecke pro Jahr (km)</t>
  </si>
  <si>
    <t>Gesamtstrecke pro Monat (km)</t>
  </si>
  <si>
    <t>Taxi/Uber</t>
  </si>
  <si>
    <t>Gesamtemissionen</t>
  </si>
  <si>
    <t>https://eliasvetter.ch/schiff-oder-flugzeug/</t>
  </si>
  <si>
    <t>Schifffahrt / Fähre</t>
  </si>
  <si>
    <t>Ausserdem sehr gut: Mobitool Excel Liste (im Ordner)</t>
  </si>
  <si>
    <t>Schiffahrt</t>
  </si>
  <si>
    <t>kg CO2 pro km</t>
  </si>
  <si>
    <t>Marseille-Bastia</t>
  </si>
  <si>
    <t>Hier sind life-cycle emissionen angenommen</t>
  </si>
  <si>
    <t>Anteil Wurstwaren ersetzt:</t>
  </si>
  <si>
    <t>durch</t>
  </si>
  <si>
    <t xml:space="preserve"> - Käse</t>
  </si>
  <si>
    <t xml:space="preserve"> - Pflanzliche Aufstriche</t>
  </si>
  <si>
    <t xml:space="preserve"> - Geflügel</t>
  </si>
  <si>
    <t xml:space="preserve"> - Schwein</t>
  </si>
  <si>
    <t xml:space="preserve"> - Pflanzlicher Fleischersatz</t>
  </si>
  <si>
    <t xml:space="preserve"> - Gemüse</t>
  </si>
  <si>
    <t>Anteil sonstige:Rind ersetzt:</t>
  </si>
  <si>
    <t>Anteil sonstige:Lamm ersetzt:</t>
  </si>
  <si>
    <t>Anteil sonstige:Schwein ersetzt:</t>
  </si>
  <si>
    <t>Anteil sonstige:Geflügel ersetzt:</t>
  </si>
  <si>
    <t>Anteil Käse ersetzt</t>
  </si>
  <si>
    <t xml:space="preserve"> - pflanzliche Aufstriche</t>
  </si>
  <si>
    <t xml:space="preserve"> - Beyond Burger</t>
  </si>
  <si>
    <t>Intervention Fleisch</t>
  </si>
  <si>
    <t>Interventionen werden im vergleich zur deutschen Durchschnittsbevölkerung gerechnet</t>
  </si>
  <si>
    <t>Intervention Milchprodukte</t>
  </si>
  <si>
    <t>Anteil Milch ersetzt</t>
  </si>
  <si>
    <t xml:space="preserve"> - Sojamilch</t>
  </si>
  <si>
    <t>Anteil Butter ersetzt</t>
  </si>
  <si>
    <t xml:space="preserve"> - pflanzliche Butter</t>
  </si>
  <si>
    <t xml:space="preserve"> - Tofu</t>
  </si>
  <si>
    <t>Gesamtemissionen Öffentlich (t)</t>
  </si>
  <si>
    <t xml:space="preserve">Gesamtemissionen Strom &amp; Wärme (t) </t>
  </si>
  <si>
    <t xml:space="preserve">Gesamtemissionen Mobilität (t) </t>
  </si>
  <si>
    <t xml:space="preserve">Gesamtemissionen Ernährung (t) </t>
  </si>
  <si>
    <t xml:space="preserve"> - ODER - </t>
  </si>
  <si>
    <r>
      <rPr>
        <b/>
        <i/>
        <sz val="12"/>
        <color theme="1"/>
        <rFont val="Calibri"/>
        <family val="2"/>
        <scheme val="minor"/>
      </rPr>
      <t>ODER</t>
    </r>
    <r>
      <rPr>
        <i/>
        <sz val="12"/>
        <color theme="1"/>
        <rFont val="Calibri"/>
        <family val="2"/>
        <scheme val="minor"/>
      </rPr>
      <t>: Interventionen für bestimmte Fleischarten:</t>
    </r>
  </si>
  <si>
    <t>Konsum</t>
  </si>
  <si>
    <t xml:space="preserve"> - PKW und Reperatur</t>
  </si>
  <si>
    <t xml:space="preserve"> - Restaurants / Hotels / Catering</t>
  </si>
  <si>
    <t xml:space="preserve"> - Kleidung</t>
  </si>
  <si>
    <t xml:space="preserve"> - Möbel / Werkzeuge</t>
  </si>
  <si>
    <t xml:space="preserve"> - Kosmetik</t>
  </si>
  <si>
    <t xml:space="preserve"> - Sonstiges</t>
  </si>
  <si>
    <t>Anteil second-hand gekaufter Produkte</t>
  </si>
  <si>
    <t xml:space="preserve">  - Sonstige Services im Freizeitbereich</t>
  </si>
  <si>
    <t>Einkommen im vergleich zum dt. Durchschnitt</t>
  </si>
  <si>
    <t>(1 = Durschnitt, 0.8 = ein fünftel weniger, 1.1 = zehn Prozent mehr, ...)</t>
  </si>
  <si>
    <t xml:space="preserve"> Konsumreduktion im Vergleich zu anderen in meiner Einkommensgruppe</t>
  </si>
  <si>
    <t xml:space="preserve"> Anteil second-hand gekaufter Produkte</t>
  </si>
  <si>
    <t>Anteil besonders langlebiger Produkte gekaufter von neuen Produkten</t>
  </si>
  <si>
    <t>Konsumreduktion in (1 - durchschnitt. Konsum)</t>
  </si>
  <si>
    <t>Gesamtemissionen Konsum (t)</t>
  </si>
  <si>
    <t>Gesamtemissionen 2019 (t)</t>
  </si>
  <si>
    <t>im Vergleich zum deutschen Durchschnitt:</t>
  </si>
  <si>
    <t>(not implemented yet)</t>
  </si>
  <si>
    <t>Average emissions in DE</t>
  </si>
  <si>
    <t>Hintergrund-Berechnungen Ernährung</t>
  </si>
  <si>
    <t xml:space="preserve"> Netto Reduktion</t>
  </si>
  <si>
    <t xml:space="preserve"> - Ersatzprodukte</t>
  </si>
  <si>
    <t>Reduktion Andere Fleischwaren Meat</t>
  </si>
  <si>
    <t xml:space="preserve">Anteil sonstige Fleischwaren ersetzt </t>
  </si>
  <si>
    <t>Reduktion Rind</t>
  </si>
  <si>
    <t>Reduktion Lamm</t>
  </si>
  <si>
    <t>Reduktion Schwein</t>
  </si>
  <si>
    <t>Reduktion Geflügel</t>
  </si>
  <si>
    <t>Reduktion Käse</t>
  </si>
  <si>
    <t>Reduktion Milch</t>
  </si>
  <si>
    <t>Reduktion Butter</t>
  </si>
  <si>
    <t>Gesamtreduktion Milchprodukte</t>
  </si>
  <si>
    <t>Gesamtreduktion kg</t>
  </si>
  <si>
    <t>Reduktion Wurst</t>
  </si>
  <si>
    <t>durch (in % von ersetztem Anteil)</t>
  </si>
  <si>
    <t>kg CO2</t>
  </si>
  <si>
    <t>Emissions from Meat &amp; Diary</t>
  </si>
  <si>
    <t>Annahme dass Meat &amp; Diary ca. 83% der deutschen Lebensmittelemissionen ausmachenn</t>
  </si>
  <si>
    <t xml:space="preserve"> Netto Veränderung</t>
  </si>
  <si>
    <t>Gesamtreduktion Fleisch- und Wurstwaren</t>
  </si>
  <si>
    <t>kg Lebensmittel</t>
  </si>
  <si>
    <t>Hintergrund-Berechnungen Konsum</t>
  </si>
  <si>
    <t>Discount-factor DE *</t>
  </si>
  <si>
    <t>* discount-factor applied so that emissions calculated from international emissions factors fit the upper-boundary results of food-based emissions in DE (Sandström 2018)</t>
  </si>
  <si>
    <t>Durchschnittsemissionen</t>
  </si>
  <si>
    <t>Einkommensgewichtete Emissionen</t>
  </si>
  <si>
    <t>Food</t>
  </si>
  <si>
    <t>Sonstiger Konsum</t>
  </si>
  <si>
    <t>Konsumgewichtete</t>
  </si>
  <si>
    <t>Second-hand-gewichtet</t>
  </si>
  <si>
    <t>Langlebigkeit</t>
  </si>
  <si>
    <t>Summe</t>
  </si>
  <si>
    <t>Sum</t>
  </si>
  <si>
    <t>Vergleich DE</t>
  </si>
  <si>
    <t>UBA:</t>
  </si>
  <si>
    <t>UBA Estimate Konsumemissionen: https://uba.co2-rechner.de/de_DE/footprint#panel-calc</t>
  </si>
  <si>
    <t>Deutsche Durchschnittsemissionen</t>
  </si>
  <si>
    <t>Deutscher Durchschnitt:</t>
  </si>
  <si>
    <t>ANALYSE</t>
  </si>
  <si>
    <t>Meine Emissionen</t>
  </si>
  <si>
    <t>Sektoren</t>
  </si>
  <si>
    <t>Wohnen und Strom</t>
  </si>
  <si>
    <t>Wohnen Strom</t>
  </si>
  <si>
    <t>Heizen</t>
  </si>
  <si>
    <t>Detail Wohnen Strom</t>
  </si>
  <si>
    <t xml:space="preserve">Heizen </t>
  </si>
  <si>
    <t>Quadratmeter pro Person</t>
  </si>
  <si>
    <t>CO2 aus Sanierungskosten / Flächenverbrauch</t>
  </si>
  <si>
    <t>Verhältnis von Emissionen pro qm für  Flächenverbrauch von UBA Rechner übernommen</t>
  </si>
  <si>
    <t>Details Mobilität</t>
  </si>
  <si>
    <t>MIV</t>
  </si>
  <si>
    <t>ÖPNV + Bahn</t>
  </si>
  <si>
    <t>Sonstige</t>
  </si>
  <si>
    <t>DLR Estimate</t>
  </si>
  <si>
    <t>Quelle:</t>
  </si>
  <si>
    <t>https://elib.dlr.de/131320/1/SteckEisenmannKroegerWinkler_CO2EmissionenVerkehr_IntVerkehrswesen_2019.pdf</t>
  </si>
  <si>
    <t>Bahn+ÖPNV</t>
  </si>
  <si>
    <t>Wurst</t>
  </si>
  <si>
    <t>Andere Fleischwaren</t>
  </si>
  <si>
    <t>Käse</t>
  </si>
  <si>
    <t>Sonstige Lebensmittel</t>
  </si>
  <si>
    <t>Hotel / Restaurants</t>
  </si>
  <si>
    <t>Auto und Reperatur</t>
  </si>
  <si>
    <t>Sonstige Freizeitdienstleistungen</t>
  </si>
  <si>
    <t>Kleidung</t>
  </si>
  <si>
    <t>Möbel &amp; Werkzeug</t>
  </si>
  <si>
    <t>Kosmetik</t>
  </si>
  <si>
    <t>Sonstige Produkte und Dienstleistungen</t>
  </si>
  <si>
    <t>Milch</t>
  </si>
  <si>
    <t>Emissionen aus Wärme (kg)</t>
  </si>
  <si>
    <t>Bundes-Durchschnitt</t>
  </si>
  <si>
    <t>INTERVENTION UPCOMING YEAR</t>
  </si>
  <si>
    <t>Electricity:</t>
  </si>
  <si>
    <t>Expected emission reduction in %</t>
  </si>
  <si>
    <t>Expected emission reduction in kg</t>
  </si>
  <si>
    <t>Reduction of consumption</t>
  </si>
  <si>
    <t>Heating &amp; power</t>
  </si>
  <si>
    <t>Mobility</t>
  </si>
  <si>
    <t>Modal change</t>
  </si>
  <si>
    <t>ICE to EV:</t>
  </si>
  <si>
    <t>Taxi to Uber Green</t>
  </si>
  <si>
    <t>Public transport to foot/bike</t>
  </si>
  <si>
    <t>ICE to feet/bike</t>
  </si>
  <si>
    <t>Aviation to train</t>
  </si>
  <si>
    <t>ICE:</t>
  </si>
  <si>
    <t>Taxi</t>
  </si>
  <si>
    <t>PKW (ICE)</t>
  </si>
  <si>
    <t>Train</t>
  </si>
  <si>
    <t>Ships</t>
  </si>
  <si>
    <t>Aviation</t>
  </si>
  <si>
    <t>Nutrition</t>
  </si>
  <si>
    <t>Meat</t>
  </si>
  <si>
    <t>Ersetzt durch</t>
  </si>
  <si>
    <t>Sonstige Fleischwaren: Rind</t>
  </si>
  <si>
    <t>Alle sonstigen Fleischwaren</t>
  </si>
  <si>
    <t>Diary</t>
  </si>
  <si>
    <t>Anteil Käse</t>
  </si>
  <si>
    <t>ersetzt durch (%)</t>
  </si>
  <si>
    <t>- Vegetarische Wursersatzprodukte</t>
  </si>
  <si>
    <t>Konkrete Strategien:</t>
  </si>
  <si>
    <t xml:space="preserve"> - Begründungspflicht Neukauf von Produkten über 50Eur</t>
  </si>
  <si>
    <t xml:space="preserve"> - Verpackungsarme Kosmetike ins. Festseife</t>
  </si>
  <si>
    <t xml:space="preserve"> - Second-hand first Ansatz für Möbel und Klamotten</t>
  </si>
  <si>
    <t xml:space="preserve"> - Nachhaltigkeits-Check für Reisen ab 300 Euro</t>
  </si>
  <si>
    <t xml:space="preserve"> - Langlebigkeits-Check für Kleidung und Möbel</t>
  </si>
  <si>
    <t>CO2 (Power) Last Year</t>
  </si>
  <si>
    <t>CO2 (Power) Forthcoming Year</t>
  </si>
  <si>
    <t>CO2 (Heating) Last Year</t>
  </si>
  <si>
    <t>CO2 (Heating) Forthcoming Year</t>
  </si>
  <si>
    <t>Emission savings</t>
  </si>
  <si>
    <t>Total Emissions Last Year (in kg)</t>
  </si>
  <si>
    <t>Emissionen aus Fläche</t>
  </si>
  <si>
    <t>Prev. Year</t>
  </si>
  <si>
    <t>Forthcoming</t>
  </si>
  <si>
    <t>Ferry</t>
  </si>
  <si>
    <t>not yet implemented</t>
  </si>
  <si>
    <t>Kosum</t>
  </si>
  <si>
    <t>Second-hand Gesamt</t>
  </si>
  <si>
    <t>New projected</t>
  </si>
  <si>
    <t>Gesamtemissionen last year in t</t>
  </si>
  <si>
    <t>Anteil Wurstwaren ersetzt</t>
  </si>
  <si>
    <t>Durchschnittsverbrauch in kg CO2</t>
  </si>
  <si>
    <t>kg Food</t>
  </si>
  <si>
    <t>"Sonstige Fleischarten"</t>
  </si>
  <si>
    <t>kg CO2e per kg food (DE)</t>
  </si>
  <si>
    <t>Last year</t>
  </si>
  <si>
    <t>New year</t>
  </si>
  <si>
    <t>Housing</t>
  </si>
  <si>
    <t>Consumption</t>
  </si>
  <si>
    <t>Public emissions</t>
  </si>
  <si>
    <t>Sectors</t>
  </si>
  <si>
    <t>Konsumreduktion im Vergleich zu Vorjahr</t>
  </si>
  <si>
    <t>DE Avg. 2019</t>
  </si>
  <si>
    <t>Gesamt</t>
  </si>
  <si>
    <t>von UBA Rechner übernommen</t>
  </si>
  <si>
    <t xml:space="preserve">currently works only for 1 Person residing in Berlin </t>
  </si>
  <si>
    <t>Electricity and heating</t>
  </si>
  <si>
    <t>Other consumption</t>
  </si>
  <si>
    <t>Electricity</t>
  </si>
  <si>
    <t>Car</t>
  </si>
  <si>
    <t>Train+Public Transport</t>
  </si>
  <si>
    <t>Sausage</t>
  </si>
  <si>
    <t>Other meat</t>
  </si>
  <si>
    <t>All other food</t>
  </si>
  <si>
    <t>Hotels + Restaurants</t>
  </si>
  <si>
    <t>Other recreational services</t>
  </si>
  <si>
    <t>Furniture + Tools</t>
  </si>
  <si>
    <t>Cosmetics</t>
  </si>
  <si>
    <t>Other products and services</t>
  </si>
  <si>
    <t>Germany Avg.</t>
  </si>
  <si>
    <t>Car + Repair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</si>
</sst>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1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49998474074526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/>
      <bottom/>
      <diagonal/>
    </border>
    <border>
      <left/>
      <right/>
      <top style="thin">
        <color theme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227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3" fillId="0" borderId="0" xfId="1"/>
    <xf numFmtId="0" fontId="2" fillId="0" borderId="0" xfId="0" applyFont="1"/>
    <xf numFmtId="0" fontId="4" fillId="0" borderId="0" xfId="0" applyFont="1"/>
    <xf numFmtId="1" fontId="0" fillId="0" borderId="0" xfId="0" applyNumberFormat="1"/>
    <xf numFmtId="0" fontId="0" fillId="0" borderId="0" xfId="0" quotePrefix="1"/>
    <xf numFmtId="164" fontId="0" fillId="0" borderId="0" xfId="0" applyNumberFormat="1" applyAlignment="1">
      <alignment horizontal="left" indent="1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2" fillId="3" borderId="0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2" fillId="4" borderId="0" xfId="0" applyFont="1" applyFill="1" applyBorder="1"/>
    <xf numFmtId="0" fontId="0" fillId="4" borderId="0" xfId="0" applyFill="1" applyBorder="1"/>
    <xf numFmtId="0" fontId="0" fillId="4" borderId="5" xfId="0" applyFill="1" applyBorder="1"/>
    <xf numFmtId="0" fontId="4" fillId="4" borderId="0" xfId="0" applyFont="1" applyFill="1" applyBorder="1"/>
    <xf numFmtId="0" fontId="0" fillId="4" borderId="0" xfId="0" applyFont="1" applyFill="1" applyBorder="1"/>
    <xf numFmtId="0" fontId="0" fillId="5" borderId="9" xfId="0" applyFill="1" applyBorder="1"/>
    <xf numFmtId="0" fontId="0" fillId="5" borderId="10" xfId="0" applyFill="1" applyBorder="1"/>
    <xf numFmtId="0" fontId="2" fillId="5" borderId="10" xfId="0" applyFont="1" applyFill="1" applyBorder="1"/>
    <xf numFmtId="0" fontId="0" fillId="5" borderId="11" xfId="0" applyFill="1" applyBorder="1"/>
    <xf numFmtId="2" fontId="0" fillId="4" borderId="0" xfId="0" applyNumberFormat="1" applyFill="1" applyBorder="1"/>
    <xf numFmtId="2" fontId="0" fillId="4" borderId="0" xfId="0" applyNumberFormat="1" applyFont="1" applyFill="1" applyBorder="1"/>
    <xf numFmtId="0" fontId="0" fillId="0" borderId="0" xfId="0" applyFont="1"/>
    <xf numFmtId="0" fontId="0" fillId="6" borderId="7" xfId="0" applyFill="1" applyBorder="1"/>
    <xf numFmtId="0" fontId="0" fillId="6" borderId="6" xfId="0" applyFill="1" applyBorder="1"/>
    <xf numFmtId="0" fontId="2" fillId="6" borderId="6" xfId="0" applyFont="1" applyFill="1" applyBorder="1"/>
    <xf numFmtId="0" fontId="0" fillId="6" borderId="0" xfId="0" applyFill="1" applyBorder="1"/>
    <xf numFmtId="0" fontId="0" fillId="6" borderId="8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6" xfId="0" applyFill="1" applyBorder="1"/>
    <xf numFmtId="0" fontId="2" fillId="8" borderId="0" xfId="0" applyFont="1" applyFill="1" applyBorder="1"/>
    <xf numFmtId="0" fontId="0" fillId="8" borderId="0" xfId="0" applyFill="1" applyBorder="1"/>
    <xf numFmtId="0" fontId="0" fillId="8" borderId="17" xfId="0" applyFill="1" applyBorder="1"/>
    <xf numFmtId="0" fontId="7" fillId="8" borderId="0" xfId="0" applyFont="1" applyFill="1" applyBorder="1"/>
    <xf numFmtId="0" fontId="0" fillId="8" borderId="0" xfId="0" quotePrefix="1" applyFill="1" applyBorder="1"/>
    <xf numFmtId="0" fontId="4" fillId="8" borderId="0" xfId="0" applyFont="1" applyFill="1" applyBorder="1"/>
    <xf numFmtId="0" fontId="2" fillId="9" borderId="21" xfId="0" applyFont="1" applyFill="1" applyBorder="1"/>
    <xf numFmtId="0" fontId="2" fillId="9" borderId="22" xfId="0" applyFont="1" applyFill="1" applyBorder="1"/>
    <xf numFmtId="0" fontId="2" fillId="9" borderId="23" xfId="0" applyFont="1" applyFill="1" applyBorder="1"/>
    <xf numFmtId="0" fontId="1" fillId="7" borderId="0" xfId="0" applyFont="1" applyFill="1" applyBorder="1"/>
    <xf numFmtId="0" fontId="0" fillId="3" borderId="0" xfId="0" applyFill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2" fontId="2" fillId="6" borderId="6" xfId="0" applyNumberFormat="1" applyFont="1" applyFill="1" applyBorder="1"/>
    <xf numFmtId="0" fontId="8" fillId="3" borderId="0" xfId="0" applyFont="1" applyFill="1" applyBorder="1"/>
    <xf numFmtId="0" fontId="9" fillId="3" borderId="0" xfId="0" applyFont="1" applyFill="1" applyBorder="1"/>
    <xf numFmtId="0" fontId="9" fillId="3" borderId="0" xfId="0" applyFont="1" applyFill="1"/>
    <xf numFmtId="0" fontId="9" fillId="3" borderId="13" xfId="0" applyFont="1" applyFill="1" applyBorder="1"/>
    <xf numFmtId="0" fontId="9" fillId="3" borderId="14" xfId="0" applyFont="1" applyFill="1" applyBorder="1"/>
    <xf numFmtId="0" fontId="9" fillId="3" borderId="15" xfId="0" applyFont="1" applyFill="1" applyBorder="1"/>
    <xf numFmtId="0" fontId="9" fillId="3" borderId="16" xfId="0" applyFont="1" applyFill="1" applyBorder="1"/>
    <xf numFmtId="0" fontId="9" fillId="3" borderId="17" xfId="0" applyFont="1" applyFill="1" applyBorder="1"/>
    <xf numFmtId="0" fontId="9" fillId="3" borderId="18" xfId="0" applyFont="1" applyFill="1" applyBorder="1"/>
    <xf numFmtId="0" fontId="9" fillId="3" borderId="19" xfId="0" applyFont="1" applyFill="1" applyBorder="1"/>
    <xf numFmtId="0" fontId="9" fillId="3" borderId="20" xfId="0" applyFont="1" applyFill="1" applyBorder="1"/>
    <xf numFmtId="166" fontId="2" fillId="9" borderId="22" xfId="0" applyNumberFormat="1" applyFont="1" applyFill="1" applyBorder="1"/>
    <xf numFmtId="2" fontId="9" fillId="3" borderId="0" xfId="0" applyNumberFormat="1" applyFont="1" applyFill="1" applyBorder="1"/>
    <xf numFmtId="0" fontId="0" fillId="10" borderId="13" xfId="0" applyFill="1" applyBorder="1"/>
    <xf numFmtId="0" fontId="0" fillId="10" borderId="14" xfId="0" applyFill="1" applyBorder="1"/>
    <xf numFmtId="0" fontId="0" fillId="10" borderId="15" xfId="0" applyFill="1" applyBorder="1"/>
    <xf numFmtId="0" fontId="0" fillId="10" borderId="16" xfId="0" applyFill="1" applyBorder="1"/>
    <xf numFmtId="0" fontId="2" fillId="10" borderId="0" xfId="0" applyFont="1" applyFill="1" applyBorder="1"/>
    <xf numFmtId="0" fontId="0" fillId="10" borderId="0" xfId="0" applyFill="1" applyBorder="1"/>
    <xf numFmtId="0" fontId="0" fillId="10" borderId="17" xfId="0" applyFill="1" applyBorder="1"/>
    <xf numFmtId="0" fontId="4" fillId="10" borderId="0" xfId="0" applyFont="1" applyFill="1" applyBorder="1"/>
    <xf numFmtId="0" fontId="0" fillId="10" borderId="0" xfId="0" quotePrefix="1" applyFill="1" applyBorder="1"/>
    <xf numFmtId="0" fontId="0" fillId="10" borderId="24" xfId="0" applyFill="1" applyBorder="1"/>
    <xf numFmtId="0" fontId="0" fillId="10" borderId="24" xfId="0" quotePrefix="1" applyFill="1" applyBorder="1"/>
    <xf numFmtId="0" fontId="0" fillId="11" borderId="21" xfId="0" applyFill="1" applyBorder="1"/>
    <xf numFmtId="0" fontId="0" fillId="11" borderId="22" xfId="0" applyFill="1" applyBorder="1"/>
    <xf numFmtId="0" fontId="0" fillId="11" borderId="23" xfId="0" applyFill="1" applyBorder="1"/>
    <xf numFmtId="0" fontId="2" fillId="11" borderId="22" xfId="0" applyFont="1" applyFill="1" applyBorder="1"/>
    <xf numFmtId="0" fontId="10" fillId="10" borderId="0" xfId="0" quotePrefix="1" applyFont="1" applyFill="1" applyBorder="1"/>
    <xf numFmtId="0" fontId="0" fillId="10" borderId="0" xfId="0" applyFill="1"/>
    <xf numFmtId="0" fontId="0" fillId="10" borderId="0" xfId="0" applyFill="1" applyBorder="1" applyAlignment="1">
      <alignment horizontal="right"/>
    </xf>
    <xf numFmtId="0" fontId="0" fillId="4" borderId="0" xfId="0" applyFont="1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12" borderId="13" xfId="0" applyFill="1" applyBorder="1"/>
    <xf numFmtId="0" fontId="0" fillId="12" borderId="14" xfId="0" applyFill="1" applyBorder="1"/>
    <xf numFmtId="0" fontId="0" fillId="12" borderId="15" xfId="0" applyFill="1" applyBorder="1"/>
    <xf numFmtId="0" fontId="0" fillId="12" borderId="16" xfId="0" applyFill="1" applyBorder="1"/>
    <xf numFmtId="0" fontId="2" fillId="12" borderId="0" xfId="0" applyFont="1" applyFill="1" applyBorder="1"/>
    <xf numFmtId="0" fontId="0" fillId="12" borderId="0" xfId="0" applyFill="1" applyBorder="1"/>
    <xf numFmtId="0" fontId="0" fillId="12" borderId="17" xfId="0" applyFill="1" applyBorder="1"/>
    <xf numFmtId="0" fontId="0" fillId="12" borderId="0" xfId="0" quotePrefix="1" applyFill="1" applyBorder="1"/>
    <xf numFmtId="9" fontId="0" fillId="12" borderId="0" xfId="0" applyNumberFormat="1" applyFill="1" applyBorder="1"/>
    <xf numFmtId="0" fontId="0" fillId="13" borderId="21" xfId="0" applyFill="1" applyBorder="1"/>
    <xf numFmtId="0" fontId="0" fillId="13" borderId="22" xfId="0" applyFill="1" applyBorder="1"/>
    <xf numFmtId="0" fontId="2" fillId="13" borderId="22" xfId="0" applyFont="1" applyFill="1" applyBorder="1"/>
    <xf numFmtId="0" fontId="0" fillId="13" borderId="23" xfId="0" applyFill="1" applyBorder="1"/>
    <xf numFmtId="9" fontId="0" fillId="10" borderId="0" xfId="0" applyNumberFormat="1" applyFill="1" applyBorder="1"/>
    <xf numFmtId="9" fontId="0" fillId="10" borderId="0" xfId="2" applyFont="1" applyFill="1" applyBorder="1"/>
    <xf numFmtId="9" fontId="0" fillId="10" borderId="0" xfId="2" applyFont="1" applyFill="1"/>
    <xf numFmtId="0" fontId="0" fillId="10" borderId="12" xfId="0" quotePrefix="1" applyFill="1" applyBorder="1"/>
    <xf numFmtId="0" fontId="0" fillId="10" borderId="12" xfId="0" applyFill="1" applyBorder="1"/>
    <xf numFmtId="9" fontId="0" fillId="10" borderId="12" xfId="0" applyNumberFormat="1" applyFill="1" applyBorder="1"/>
    <xf numFmtId="165" fontId="2" fillId="11" borderId="22" xfId="0" applyNumberFormat="1" applyFont="1" applyFill="1" applyBorder="1" applyAlignment="1">
      <alignment horizontal="right"/>
    </xf>
    <xf numFmtId="0" fontId="9" fillId="3" borderId="0" xfId="0" applyFont="1" applyFill="1" applyAlignment="1">
      <alignment horizontal="right"/>
    </xf>
    <xf numFmtId="0" fontId="9" fillId="3" borderId="0" xfId="0" applyFont="1" applyFill="1" applyBorder="1" applyAlignment="1">
      <alignment horizontal="right"/>
    </xf>
    <xf numFmtId="164" fontId="9" fillId="3" borderId="0" xfId="0" applyNumberFormat="1" applyFont="1" applyFill="1"/>
    <xf numFmtId="164" fontId="9" fillId="3" borderId="0" xfId="0" applyNumberFormat="1" applyFont="1" applyFill="1" applyBorder="1"/>
    <xf numFmtId="0" fontId="9" fillId="3" borderId="0" xfId="0" quotePrefix="1" applyFont="1" applyFill="1" applyBorder="1"/>
    <xf numFmtId="0" fontId="7" fillId="3" borderId="0" xfId="0" quotePrefix="1" applyFont="1" applyFill="1" applyBorder="1"/>
    <xf numFmtId="0" fontId="7" fillId="3" borderId="0" xfId="0" applyFont="1" applyFill="1" applyBorder="1"/>
    <xf numFmtId="0" fontId="0" fillId="0" borderId="25" xfId="0" applyBorder="1"/>
    <xf numFmtId="164" fontId="0" fillId="0" borderId="25" xfId="0" applyNumberFormat="1" applyBorder="1"/>
    <xf numFmtId="2" fontId="0" fillId="0" borderId="25" xfId="0" applyNumberFormat="1" applyBorder="1"/>
    <xf numFmtId="166" fontId="2" fillId="13" borderId="22" xfId="0" applyNumberFormat="1" applyFont="1" applyFill="1" applyBorder="1"/>
    <xf numFmtId="166" fontId="9" fillId="3" borderId="0" xfId="0" applyNumberFormat="1" applyFont="1" applyFill="1" applyBorder="1"/>
    <xf numFmtId="1" fontId="0" fillId="4" borderId="12" xfId="0" applyNumberFormat="1" applyFill="1" applyBorder="1"/>
    <xf numFmtId="0" fontId="11" fillId="2" borderId="13" xfId="0" applyFont="1" applyFill="1" applyBorder="1"/>
    <xf numFmtId="0" fontId="11" fillId="2" borderId="14" xfId="0" applyFont="1" applyFill="1" applyBorder="1"/>
    <xf numFmtId="0" fontId="11" fillId="2" borderId="15" xfId="0" applyFont="1" applyFill="1" applyBorder="1"/>
    <xf numFmtId="0" fontId="11" fillId="2" borderId="16" xfId="0" applyFont="1" applyFill="1" applyBorder="1"/>
    <xf numFmtId="0" fontId="11" fillId="2" borderId="0" xfId="0" applyFont="1" applyFill="1" applyBorder="1"/>
    <xf numFmtId="0" fontId="12" fillId="2" borderId="0" xfId="0" applyFont="1" applyFill="1" applyBorder="1"/>
    <xf numFmtId="2" fontId="12" fillId="2" borderId="0" xfId="0" applyNumberFormat="1" applyFont="1" applyFill="1" applyBorder="1"/>
    <xf numFmtId="0" fontId="11" fillId="2" borderId="17" xfId="0" applyFont="1" applyFill="1" applyBorder="1"/>
    <xf numFmtId="0" fontId="12" fillId="2" borderId="0" xfId="0" applyFont="1" applyFill="1"/>
    <xf numFmtId="9" fontId="12" fillId="2" borderId="0" xfId="2" applyFont="1" applyFill="1" applyBorder="1"/>
    <xf numFmtId="0" fontId="11" fillId="2" borderId="18" xfId="0" applyFont="1" applyFill="1" applyBorder="1"/>
    <xf numFmtId="0" fontId="11" fillId="2" borderId="19" xfId="0" applyFont="1" applyFill="1" applyBorder="1"/>
    <xf numFmtId="0" fontId="11" fillId="2" borderId="20" xfId="0" applyFont="1" applyFill="1" applyBorder="1"/>
    <xf numFmtId="0" fontId="6" fillId="14" borderId="13" xfId="0" applyFont="1" applyFill="1" applyBorder="1"/>
    <xf numFmtId="0" fontId="6" fillId="14" borderId="14" xfId="0" applyFont="1" applyFill="1" applyBorder="1"/>
    <xf numFmtId="0" fontId="6" fillId="14" borderId="15" xfId="0" applyFont="1" applyFill="1" applyBorder="1"/>
    <xf numFmtId="0" fontId="6" fillId="14" borderId="16" xfId="0" applyFont="1" applyFill="1" applyBorder="1"/>
    <xf numFmtId="0" fontId="6" fillId="14" borderId="0" xfId="0" applyFont="1" applyFill="1" applyBorder="1"/>
    <xf numFmtId="0" fontId="13" fillId="14" borderId="0" xfId="0" applyFont="1" applyFill="1" applyBorder="1"/>
    <xf numFmtId="0" fontId="6" fillId="14" borderId="17" xfId="0" applyFont="1" applyFill="1" applyBorder="1"/>
    <xf numFmtId="0" fontId="6" fillId="14" borderId="18" xfId="0" applyFont="1" applyFill="1" applyBorder="1"/>
    <xf numFmtId="0" fontId="6" fillId="14" borderId="19" xfId="0" applyFont="1" applyFill="1" applyBorder="1"/>
    <xf numFmtId="0" fontId="6" fillId="14" borderId="20" xfId="0" applyFont="1" applyFill="1" applyBorder="1"/>
    <xf numFmtId="165" fontId="0" fillId="0" borderId="0" xfId="0" applyNumberFormat="1"/>
    <xf numFmtId="2" fontId="9" fillId="3" borderId="0" xfId="0" applyNumberFormat="1" applyFont="1" applyFill="1"/>
    <xf numFmtId="1" fontId="9" fillId="3" borderId="0" xfId="0" applyNumberFormat="1" applyFont="1" applyFill="1" applyBorder="1"/>
    <xf numFmtId="0" fontId="8" fillId="3" borderId="0" xfId="0" applyFont="1" applyFill="1" applyBorder="1" applyAlignment="1">
      <alignment horizontal="right"/>
    </xf>
    <xf numFmtId="0" fontId="6" fillId="15" borderId="13" xfId="0" applyFont="1" applyFill="1" applyBorder="1"/>
    <xf numFmtId="0" fontId="6" fillId="15" borderId="14" xfId="0" applyFont="1" applyFill="1" applyBorder="1"/>
    <xf numFmtId="0" fontId="6" fillId="15" borderId="15" xfId="0" applyFont="1" applyFill="1" applyBorder="1"/>
    <xf numFmtId="0" fontId="6" fillId="15" borderId="16" xfId="0" applyFont="1" applyFill="1" applyBorder="1"/>
    <xf numFmtId="0" fontId="6" fillId="15" borderId="0" xfId="0" applyFont="1" applyFill="1" applyBorder="1"/>
    <xf numFmtId="0" fontId="6" fillId="15" borderId="17" xfId="0" applyFont="1" applyFill="1" applyBorder="1"/>
    <xf numFmtId="0" fontId="13" fillId="15" borderId="0" xfId="0" applyFont="1" applyFill="1" applyBorder="1"/>
    <xf numFmtId="0" fontId="6" fillId="15" borderId="18" xfId="0" applyFont="1" applyFill="1" applyBorder="1"/>
    <xf numFmtId="0" fontId="6" fillId="15" borderId="19" xfId="0" applyFont="1" applyFill="1" applyBorder="1"/>
    <xf numFmtId="0" fontId="6" fillId="15" borderId="20" xfId="0" applyFont="1" applyFill="1" applyBorder="1"/>
    <xf numFmtId="0" fontId="0" fillId="4" borderId="26" xfId="0" applyFill="1" applyBorder="1"/>
    <xf numFmtId="0" fontId="0" fillId="4" borderId="27" xfId="0" applyFill="1" applyBorder="1"/>
    <xf numFmtId="0" fontId="0" fillId="4" borderId="28" xfId="0" applyFill="1" applyBorder="1"/>
    <xf numFmtId="9" fontId="0" fillId="4" borderId="0" xfId="0" applyNumberFormat="1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5" xfId="0" applyFill="1" applyBorder="1"/>
    <xf numFmtId="9" fontId="0" fillId="8" borderId="0" xfId="0" applyNumberFormat="1" applyFill="1" applyBorder="1"/>
    <xf numFmtId="0" fontId="0" fillId="8" borderId="26" xfId="0" applyFill="1" applyBorder="1"/>
    <xf numFmtId="0" fontId="0" fillId="8" borderId="27" xfId="0" applyFill="1" applyBorder="1"/>
    <xf numFmtId="0" fontId="0" fillId="8" borderId="28" xfId="0" applyFill="1" applyBorder="1"/>
    <xf numFmtId="9" fontId="0" fillId="8" borderId="27" xfId="0" applyNumberFormat="1" applyFill="1" applyBorder="1"/>
    <xf numFmtId="0" fontId="0" fillId="10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5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8" xfId="0" applyFill="1" applyBorder="1"/>
    <xf numFmtId="0" fontId="0" fillId="12" borderId="1" xfId="0" applyFill="1" applyBorder="1"/>
    <xf numFmtId="0" fontId="0" fillId="12" borderId="2" xfId="0" applyFill="1" applyBorder="1"/>
    <xf numFmtId="0" fontId="0" fillId="12" borderId="3" xfId="0" applyFill="1" applyBorder="1"/>
    <xf numFmtId="0" fontId="0" fillId="12" borderId="4" xfId="0" applyFill="1" applyBorder="1"/>
    <xf numFmtId="0" fontId="0" fillId="12" borderId="5" xfId="0" applyFill="1" applyBorder="1"/>
    <xf numFmtId="0" fontId="0" fillId="12" borderId="26" xfId="0" applyFill="1" applyBorder="1"/>
    <xf numFmtId="0" fontId="0" fillId="12" borderId="27" xfId="0" applyFill="1" applyBorder="1"/>
    <xf numFmtId="0" fontId="0" fillId="12" borderId="28" xfId="0" applyFill="1" applyBorder="1"/>
    <xf numFmtId="0" fontId="0" fillId="8" borderId="0" xfId="0" applyFont="1" applyFill="1" applyBorder="1"/>
    <xf numFmtId="9" fontId="0" fillId="4" borderId="0" xfId="2" applyFont="1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164" fontId="0" fillId="8" borderId="0" xfId="0" applyNumberFormat="1" applyFill="1" applyBorder="1"/>
    <xf numFmtId="164" fontId="0" fillId="12" borderId="0" xfId="0" applyNumberFormat="1" applyFill="1" applyBorder="1"/>
    <xf numFmtId="9" fontId="0" fillId="12" borderId="0" xfId="2" applyFont="1" applyFill="1" applyBorder="1"/>
    <xf numFmtId="0" fontId="9" fillId="3" borderId="4" xfId="0" applyFont="1" applyFill="1" applyBorder="1"/>
    <xf numFmtId="0" fontId="9" fillId="3" borderId="4" xfId="0" quotePrefix="1" applyFont="1" applyFill="1" applyBorder="1"/>
    <xf numFmtId="0" fontId="7" fillId="3" borderId="4" xfId="0" quotePrefix="1" applyFont="1" applyFill="1" applyBorder="1"/>
    <xf numFmtId="0" fontId="7" fillId="3" borderId="4" xfId="0" applyFont="1" applyFill="1" applyBorder="1"/>
    <xf numFmtId="0" fontId="9" fillId="3" borderId="5" xfId="0" applyFont="1" applyFill="1" applyBorder="1"/>
    <xf numFmtId="0" fontId="8" fillId="3" borderId="1" xfId="0" applyFont="1" applyFill="1" applyBorder="1"/>
    <xf numFmtId="0" fontId="9" fillId="3" borderId="2" xfId="0" applyFont="1" applyFill="1" applyBorder="1"/>
    <xf numFmtId="164" fontId="9" fillId="3" borderId="2" xfId="0" applyNumberFormat="1" applyFont="1" applyFill="1" applyBorder="1"/>
    <xf numFmtId="0" fontId="8" fillId="3" borderId="2" xfId="0" applyFont="1" applyFill="1" applyBorder="1"/>
    <xf numFmtId="0" fontId="9" fillId="3" borderId="3" xfId="0" applyFont="1" applyFill="1" applyBorder="1"/>
    <xf numFmtId="0" fontId="9" fillId="3" borderId="26" xfId="0" applyFont="1" applyFill="1" applyBorder="1"/>
    <xf numFmtId="0" fontId="9" fillId="3" borderId="27" xfId="0" applyFont="1" applyFill="1" applyBorder="1"/>
    <xf numFmtId="164" fontId="9" fillId="3" borderId="27" xfId="0" applyNumberFormat="1" applyFont="1" applyFill="1" applyBorder="1"/>
    <xf numFmtId="0" fontId="9" fillId="3" borderId="28" xfId="0" applyFont="1" applyFill="1" applyBorder="1"/>
    <xf numFmtId="0" fontId="9" fillId="3" borderId="1" xfId="0" applyFont="1" applyFill="1" applyBorder="1"/>
    <xf numFmtId="0" fontId="8" fillId="3" borderId="4" xfId="0" applyFont="1" applyFill="1" applyBorder="1"/>
    <xf numFmtId="164" fontId="0" fillId="10" borderId="0" xfId="0" applyNumberFormat="1" applyFill="1" applyBorder="1"/>
    <xf numFmtId="0" fontId="9" fillId="0" borderId="0" xfId="0" applyFont="1" applyFill="1" applyBorder="1"/>
    <xf numFmtId="0" fontId="0" fillId="0" borderId="0" xfId="0" applyFill="1" applyBorder="1"/>
    <xf numFmtId="2" fontId="8" fillId="3" borderId="0" xfId="0" applyNumberFormat="1" applyFont="1" applyFill="1" applyBorder="1"/>
    <xf numFmtId="0" fontId="8" fillId="3" borderId="3" xfId="0" applyFont="1" applyFill="1" applyBorder="1"/>
    <xf numFmtId="0" fontId="8" fillId="3" borderId="5" xfId="0" applyFont="1" applyFill="1" applyBorder="1"/>
    <xf numFmtId="0" fontId="4" fillId="3" borderId="0" xfId="0" applyFont="1" applyFill="1" applyBorder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colors>
    <mruColors>
      <color rgb="FFF1D9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Vergleich Emissionen per Sektor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'Emissions Sebastian 2020'!$AC$161:$AC$162</c:f>
              <c:strCache>
                <c:ptCount val="2"/>
                <c:pt idx="0">
                  <c:v>Öffentliche Emissionen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'Emissions Sebastian 2020'!$AB$163:$AB$164</c:f>
              <c:strCache>
                <c:ptCount val="2"/>
                <c:pt idx="0">
                  <c:v>Meine Emissionen</c:v>
                </c:pt>
                <c:pt idx="1">
                  <c:v>Bundes-Durchschnitt</c:v>
                </c:pt>
              </c:strCache>
            </c:strRef>
          </c:cat>
          <c:val>
            <c:numRef>
              <c:f>'Emissions Sebastian 2020'!$AC$163:$AC$164</c:f>
              <c:numCache>
                <c:formatCode>0.00</c:formatCode>
                <c:ptCount val="2"/>
                <c:pt idx="0">
                  <c:v>0.86</c:v>
                </c:pt>
                <c:pt idx="1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C-DD4A-8AAF-52B4DE484063}"/>
            </c:ext>
          </c:extLst>
        </c:ser>
        <c:ser>
          <c:idx val="1"/>
          <c:order val="1"/>
          <c:tx>
            <c:strRef>
              <c:f>'Emissions Sebastian 2020'!$AD$161:$AD$162</c:f>
              <c:strCache>
                <c:ptCount val="2"/>
                <c:pt idx="0">
                  <c:v>Wohnen und Strom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'Emissions Sebastian 2020'!$AB$163:$AB$164</c:f>
              <c:strCache>
                <c:ptCount val="2"/>
                <c:pt idx="0">
                  <c:v>Meine Emissionen</c:v>
                </c:pt>
                <c:pt idx="1">
                  <c:v>Bundes-Durchschnitt</c:v>
                </c:pt>
              </c:strCache>
            </c:strRef>
          </c:cat>
          <c:val>
            <c:numRef>
              <c:f>'Emissions Sebastian 2020'!$AD$163:$AD$164</c:f>
              <c:numCache>
                <c:formatCode>0.00</c:formatCode>
                <c:ptCount val="2"/>
                <c:pt idx="0">
                  <c:v>1.1123615353187635</c:v>
                </c:pt>
                <c:pt idx="1">
                  <c:v>2.74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8C-DD4A-8AAF-52B4DE484063}"/>
            </c:ext>
          </c:extLst>
        </c:ser>
        <c:ser>
          <c:idx val="2"/>
          <c:order val="2"/>
          <c:tx>
            <c:strRef>
              <c:f>'Emissions Sebastian 2020'!$AE$161:$AE$162</c:f>
              <c:strCache>
                <c:ptCount val="2"/>
                <c:pt idx="0">
                  <c:v>Mobilität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'Emissions Sebastian 2020'!$AB$163:$AB$164</c:f>
              <c:strCache>
                <c:ptCount val="2"/>
                <c:pt idx="0">
                  <c:v>Meine Emissionen</c:v>
                </c:pt>
                <c:pt idx="1">
                  <c:v>Bundes-Durchschnitt</c:v>
                </c:pt>
              </c:strCache>
            </c:strRef>
          </c:cat>
          <c:val>
            <c:numRef>
              <c:f>'Emissions Sebastian 2020'!$AE$163:$AE$164</c:f>
              <c:numCache>
                <c:formatCode>0.00</c:formatCode>
                <c:ptCount val="2"/>
                <c:pt idx="0">
                  <c:v>0.57824028571428576</c:v>
                </c:pt>
                <c:pt idx="1">
                  <c:v>2.09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8C-DD4A-8AAF-52B4DE484063}"/>
            </c:ext>
          </c:extLst>
        </c:ser>
        <c:ser>
          <c:idx val="3"/>
          <c:order val="3"/>
          <c:tx>
            <c:strRef>
              <c:f>'Emissions Sebastian 2020'!$AF$161:$AF$162</c:f>
              <c:strCache>
                <c:ptCount val="2"/>
                <c:pt idx="0">
                  <c:v>Ernährung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'Emissions Sebastian 2020'!$AB$163:$AB$164</c:f>
              <c:strCache>
                <c:ptCount val="2"/>
                <c:pt idx="0">
                  <c:v>Meine Emissionen</c:v>
                </c:pt>
                <c:pt idx="1">
                  <c:v>Bundes-Durchschnitt</c:v>
                </c:pt>
              </c:strCache>
            </c:strRef>
          </c:cat>
          <c:val>
            <c:numRef>
              <c:f>'Emissions Sebastian 2020'!$AF$163:$AF$164</c:f>
              <c:numCache>
                <c:formatCode>0.00</c:formatCode>
                <c:ptCount val="2"/>
                <c:pt idx="0">
                  <c:v>1.5261773391325002</c:v>
                </c:pt>
                <c:pt idx="1">
                  <c:v>1.69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8C-DD4A-8AAF-52B4DE484063}"/>
            </c:ext>
          </c:extLst>
        </c:ser>
        <c:ser>
          <c:idx val="4"/>
          <c:order val="4"/>
          <c:tx>
            <c:strRef>
              <c:f>'Emissions Sebastian 2020'!$AG$161:$AG$162</c:f>
              <c:strCache>
                <c:ptCount val="2"/>
                <c:pt idx="0">
                  <c:v>Sonstiger Konsum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'Emissions Sebastian 2020'!$AB$163:$AB$164</c:f>
              <c:strCache>
                <c:ptCount val="2"/>
                <c:pt idx="0">
                  <c:v>Meine Emissionen</c:v>
                </c:pt>
                <c:pt idx="1">
                  <c:v>Bundes-Durchschnitt</c:v>
                </c:pt>
              </c:strCache>
            </c:strRef>
          </c:cat>
          <c:val>
            <c:numRef>
              <c:f>'Emissions Sebastian 2020'!$AG$163:$AG$164</c:f>
              <c:numCache>
                <c:formatCode>0.00</c:formatCode>
                <c:ptCount val="2"/>
                <c:pt idx="0">
                  <c:v>3.7126408227848096</c:v>
                </c:pt>
                <c:pt idx="1">
                  <c:v>3.79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8C-DD4A-8AAF-52B4DE484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9843311"/>
        <c:axId val="477844959"/>
      </c:barChart>
      <c:catAx>
        <c:axId val="48984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77844959"/>
        <c:crosses val="autoZero"/>
        <c:auto val="1"/>
        <c:lblAlgn val="ctr"/>
        <c:lblOffset val="100"/>
        <c:noMultiLvlLbl val="0"/>
      </c:catAx>
      <c:valAx>
        <c:axId val="47784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8984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Detail Vergleich Wohnen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'Emissions Sebastian 2020'!$V$168</c:f>
              <c:strCache>
                <c:ptCount val="1"/>
                <c:pt idx="0">
                  <c:v>Heizen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'Emissions Sebastian 2020'!$W$167:$X$167</c:f>
              <c:strCache>
                <c:ptCount val="2"/>
                <c:pt idx="0">
                  <c:v>Meine Emissionen</c:v>
                </c:pt>
                <c:pt idx="1">
                  <c:v>Bundes-Durchschnitt</c:v>
                </c:pt>
              </c:strCache>
            </c:strRef>
          </c:cat>
          <c:val>
            <c:numRef>
              <c:f>'Emissions Sebastian 2020'!$W$168:$X$168</c:f>
              <c:numCache>
                <c:formatCode>General</c:formatCode>
                <c:ptCount val="2"/>
                <c:pt idx="0" formatCode="0.0">
                  <c:v>1.0123615353187636</c:v>
                </c:pt>
                <c:pt idx="1">
                  <c:v>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C-274A-B58A-BDD09AF3ECFC}"/>
            </c:ext>
          </c:extLst>
        </c:ser>
        <c:ser>
          <c:idx val="1"/>
          <c:order val="1"/>
          <c:tx>
            <c:strRef>
              <c:f>'Emissions Sebastian 2020'!$V$169</c:f>
              <c:strCache>
                <c:ptCount val="1"/>
                <c:pt idx="0">
                  <c:v>Strom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'Emissions Sebastian 2020'!$W$167:$X$167</c:f>
              <c:strCache>
                <c:ptCount val="2"/>
                <c:pt idx="0">
                  <c:v>Meine Emissionen</c:v>
                </c:pt>
                <c:pt idx="1">
                  <c:v>Bundes-Durchschnitt</c:v>
                </c:pt>
              </c:strCache>
            </c:strRef>
          </c:cat>
          <c:val>
            <c:numRef>
              <c:f>'Emissions Sebastian 2020'!$W$169:$X$169</c:f>
              <c:numCache>
                <c:formatCode>General</c:formatCode>
                <c:ptCount val="2"/>
                <c:pt idx="0">
                  <c:v>0.18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2C-274A-B58A-BDD09AF3E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7305263"/>
        <c:axId val="478120815"/>
      </c:barChart>
      <c:catAx>
        <c:axId val="47730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78120815"/>
        <c:crosses val="autoZero"/>
        <c:auto val="1"/>
        <c:lblAlgn val="ctr"/>
        <c:lblOffset val="100"/>
        <c:noMultiLvlLbl val="0"/>
      </c:catAx>
      <c:valAx>
        <c:axId val="47812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7730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Detail Vergleich Mobilität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'Emissions Sebastian 2020'!$V$172</c:f>
              <c:strCache>
                <c:ptCount val="1"/>
                <c:pt idx="0">
                  <c:v>MIV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'Emissions Sebastian 2020'!$W$171:$X$171</c:f>
              <c:strCache>
                <c:ptCount val="2"/>
                <c:pt idx="0">
                  <c:v>Meine Emissionen</c:v>
                </c:pt>
                <c:pt idx="1">
                  <c:v>Bundes-Durchschnitt</c:v>
                </c:pt>
              </c:strCache>
            </c:strRef>
          </c:cat>
          <c:val>
            <c:numRef>
              <c:f>'Emissions Sebastian 2020'!$W$172:$X$172</c:f>
              <c:numCache>
                <c:formatCode>0.00</c:formatCode>
                <c:ptCount val="2"/>
                <c:pt idx="0">
                  <c:v>7.0876285714285711E-2</c:v>
                </c:pt>
                <c:pt idx="1">
                  <c:v>1.3375999999999999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7-234A-BEBA-7DFA322323F1}"/>
            </c:ext>
          </c:extLst>
        </c:ser>
        <c:ser>
          <c:idx val="1"/>
          <c:order val="1"/>
          <c:tx>
            <c:strRef>
              <c:f>'Emissions Sebastian 2020'!$V$173</c:f>
              <c:strCache>
                <c:ptCount val="1"/>
                <c:pt idx="0">
                  <c:v>Bahn+ÖPNV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'Emissions Sebastian 2020'!$W$171:$X$171</c:f>
              <c:strCache>
                <c:ptCount val="2"/>
                <c:pt idx="0">
                  <c:v>Meine Emissionen</c:v>
                </c:pt>
                <c:pt idx="1">
                  <c:v>Bundes-Durchschnitt</c:v>
                </c:pt>
              </c:strCache>
            </c:strRef>
          </c:cat>
          <c:val>
            <c:numRef>
              <c:f>'Emissions Sebastian 2020'!$W$173:$X$173</c:f>
              <c:numCache>
                <c:formatCode>0.00</c:formatCode>
                <c:ptCount val="2"/>
                <c:pt idx="0">
                  <c:v>0.23158400000000001</c:v>
                </c:pt>
                <c:pt idx="1">
                  <c:v>0.12539999999999998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E7-234A-BEBA-7DFA322323F1}"/>
            </c:ext>
          </c:extLst>
        </c:ser>
        <c:ser>
          <c:idx val="2"/>
          <c:order val="2"/>
          <c:tx>
            <c:strRef>
              <c:f>'Emissions Sebastian 2020'!$V$174</c:f>
              <c:strCache>
                <c:ptCount val="1"/>
                <c:pt idx="0">
                  <c:v>Flug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'Emissions Sebastian 2020'!$W$171:$X$171</c:f>
              <c:strCache>
                <c:ptCount val="2"/>
                <c:pt idx="0">
                  <c:v>Meine Emissionen</c:v>
                </c:pt>
                <c:pt idx="1">
                  <c:v>Bundes-Durchschnitt</c:v>
                </c:pt>
              </c:strCache>
            </c:strRef>
          </c:cat>
          <c:val>
            <c:numRef>
              <c:f>'Emissions Sebastian 2020'!$W$174:$X$174</c:f>
              <c:numCache>
                <c:formatCode>0.00</c:formatCode>
                <c:ptCount val="2"/>
                <c:pt idx="0">
                  <c:v>0.2152</c:v>
                </c:pt>
                <c:pt idx="1">
                  <c:v>0.54339999999999999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E7-234A-BEBA-7DFA322323F1}"/>
            </c:ext>
          </c:extLst>
        </c:ser>
        <c:ser>
          <c:idx val="3"/>
          <c:order val="3"/>
          <c:tx>
            <c:strRef>
              <c:f>'Emissions Sebastian 2020'!$V$175</c:f>
              <c:strCache>
                <c:ptCount val="1"/>
                <c:pt idx="0">
                  <c:v>Sonstige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'Emissions Sebastian 2020'!$W$171:$X$171</c:f>
              <c:strCache>
                <c:ptCount val="2"/>
                <c:pt idx="0">
                  <c:v>Meine Emissionen</c:v>
                </c:pt>
                <c:pt idx="1">
                  <c:v>Bundes-Durchschnitt</c:v>
                </c:pt>
              </c:strCache>
            </c:strRef>
          </c:cat>
          <c:val>
            <c:numRef>
              <c:f>'Emissions Sebastian 2020'!$W$175:$X$175</c:f>
              <c:numCache>
                <c:formatCode>0.00</c:formatCode>
                <c:ptCount val="2"/>
                <c:pt idx="0">
                  <c:v>6.0579999999999995E-2</c:v>
                </c:pt>
                <c:pt idx="1">
                  <c:v>8.3599999999999994E-2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E7-234A-BEBA-7DFA32232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5613695"/>
        <c:axId val="503890751"/>
      </c:barChart>
      <c:catAx>
        <c:axId val="47561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3890751"/>
        <c:crosses val="autoZero"/>
        <c:auto val="1"/>
        <c:lblAlgn val="ctr"/>
        <c:lblOffset val="100"/>
        <c:noMultiLvlLbl val="0"/>
      </c:catAx>
      <c:valAx>
        <c:axId val="50389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7561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Detail Vergleich Ernährung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'Emissions Sebastian 2020'!$V$178</c:f>
              <c:strCache>
                <c:ptCount val="1"/>
                <c:pt idx="0">
                  <c:v>Wurst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'Emissions Sebastian 2020'!$W$177:$X$177</c:f>
              <c:strCache>
                <c:ptCount val="2"/>
                <c:pt idx="0">
                  <c:v>Meine Emissionen</c:v>
                </c:pt>
                <c:pt idx="1">
                  <c:v>Bundes-Durchschnitt</c:v>
                </c:pt>
              </c:strCache>
            </c:strRef>
          </c:cat>
          <c:val>
            <c:numRef>
              <c:f>'Emissions Sebastian 2020'!$W$178:$X$178</c:f>
              <c:numCache>
                <c:formatCode>0</c:formatCode>
                <c:ptCount val="2"/>
                <c:pt idx="0" formatCode="0.00">
                  <c:v>32.130000000000017</c:v>
                </c:pt>
                <c:pt idx="1">
                  <c:v>160.26979499999999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5-D840-8B40-7BB86917BF9D}"/>
            </c:ext>
          </c:extLst>
        </c:ser>
        <c:ser>
          <c:idx val="1"/>
          <c:order val="1"/>
          <c:tx>
            <c:strRef>
              <c:f>'Emissions Sebastian 2020'!$V$179</c:f>
              <c:strCache>
                <c:ptCount val="1"/>
                <c:pt idx="0">
                  <c:v>Andere Fleischwaren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'Emissions Sebastian 2020'!$W$177:$X$177</c:f>
              <c:strCache>
                <c:ptCount val="2"/>
                <c:pt idx="0">
                  <c:v>Meine Emissionen</c:v>
                </c:pt>
                <c:pt idx="1">
                  <c:v>Bundes-Durchschnitt</c:v>
                </c:pt>
              </c:strCache>
            </c:strRef>
          </c:cat>
          <c:val>
            <c:numRef>
              <c:f>'Emissions Sebastian 2020'!$W$179:$X$179</c:f>
              <c:numCache>
                <c:formatCode>0</c:formatCode>
                <c:ptCount val="2"/>
                <c:pt idx="0" formatCode="0.0">
                  <c:v>214.74468375000001</c:v>
                </c:pt>
                <c:pt idx="1">
                  <c:v>635.88525145833319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45-D840-8B40-7BB86917BF9D}"/>
            </c:ext>
          </c:extLst>
        </c:ser>
        <c:ser>
          <c:idx val="2"/>
          <c:order val="2"/>
          <c:tx>
            <c:strRef>
              <c:f>'Emissions Sebastian 2020'!$V$180</c:f>
              <c:strCache>
                <c:ptCount val="1"/>
                <c:pt idx="0">
                  <c:v>Käse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'Emissions Sebastian 2020'!$W$177:$X$177</c:f>
              <c:strCache>
                <c:ptCount val="2"/>
                <c:pt idx="0">
                  <c:v>Meine Emissionen</c:v>
                </c:pt>
                <c:pt idx="1">
                  <c:v>Bundes-Durchschnitt</c:v>
                </c:pt>
              </c:strCache>
            </c:strRef>
          </c:cat>
          <c:val>
            <c:numRef>
              <c:f>'Emissions Sebastian 2020'!$W$180:$X$180</c:f>
              <c:numCache>
                <c:formatCode>0</c:formatCode>
                <c:ptCount val="2"/>
                <c:pt idx="0">
                  <c:v>815.49544450000008</c:v>
                </c:pt>
                <c:pt idx="1">
                  <c:v>398.14548700000006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45-D840-8B40-7BB86917BF9D}"/>
            </c:ext>
          </c:extLst>
        </c:ser>
        <c:ser>
          <c:idx val="3"/>
          <c:order val="3"/>
          <c:tx>
            <c:strRef>
              <c:f>'Emissions Sebastian 2020'!$V$181</c:f>
              <c:strCache>
                <c:ptCount val="1"/>
                <c:pt idx="0">
                  <c:v>Milch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'Emissions Sebastian 2020'!$W$177:$X$177</c:f>
              <c:strCache>
                <c:ptCount val="2"/>
                <c:pt idx="0">
                  <c:v>Meine Emissionen</c:v>
                </c:pt>
                <c:pt idx="1">
                  <c:v>Bundes-Durchschnitt</c:v>
                </c:pt>
              </c:strCache>
            </c:strRef>
          </c:cat>
          <c:val>
            <c:numRef>
              <c:f>'Emissions Sebastian 2020'!$W$181:$X$181</c:f>
              <c:numCache>
                <c:formatCode>0</c:formatCode>
                <c:ptCount val="2"/>
                <c:pt idx="0">
                  <c:v>103.913488</c:v>
                </c:pt>
                <c:pt idx="1">
                  <c:v>103.913488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45-D840-8B40-7BB86917BF9D}"/>
            </c:ext>
          </c:extLst>
        </c:ser>
        <c:ser>
          <c:idx val="4"/>
          <c:order val="4"/>
          <c:tx>
            <c:strRef>
              <c:f>'Emissions Sebastian 2020'!$V$182</c:f>
              <c:strCache>
                <c:ptCount val="1"/>
                <c:pt idx="0">
                  <c:v>Butter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'Emissions Sebastian 2020'!$W$177:$X$177</c:f>
              <c:strCache>
                <c:ptCount val="2"/>
                <c:pt idx="0">
                  <c:v>Meine Emissionen</c:v>
                </c:pt>
                <c:pt idx="1">
                  <c:v>Bundes-Durchschnitt</c:v>
                </c:pt>
              </c:strCache>
            </c:strRef>
          </c:cat>
          <c:val>
            <c:numRef>
              <c:f>'Emissions Sebastian 2020'!$W$182:$X$182</c:f>
              <c:numCache>
                <c:formatCode>0</c:formatCode>
                <c:ptCount val="2"/>
                <c:pt idx="0">
                  <c:v>55.331238749999997</c:v>
                </c:pt>
                <c:pt idx="1">
                  <c:v>55.331238749999997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45-D840-8B40-7BB86917BF9D}"/>
            </c:ext>
          </c:extLst>
        </c:ser>
        <c:ser>
          <c:idx val="5"/>
          <c:order val="5"/>
          <c:tx>
            <c:strRef>
              <c:f>'Emissions Sebastian 2020'!$V$183</c:f>
              <c:strCache>
                <c:ptCount val="1"/>
                <c:pt idx="0">
                  <c:v>Sonstige Lebensmittel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'Emissions Sebastian 2020'!$W$177:$X$177</c:f>
              <c:strCache>
                <c:ptCount val="2"/>
                <c:pt idx="0">
                  <c:v>Meine Emissionen</c:v>
                </c:pt>
                <c:pt idx="1">
                  <c:v>Bundes-Durchschnitt</c:v>
                </c:pt>
              </c:strCache>
            </c:strRef>
          </c:cat>
          <c:val>
            <c:numRef>
              <c:f>'Emissions Sebastian 2020'!$W$183:$X$183</c:f>
              <c:numCache>
                <c:formatCode>0</c:formatCode>
                <c:ptCount val="2"/>
                <c:pt idx="0" formatCode="0.00">
                  <c:v>304.56248413249995</c:v>
                </c:pt>
                <c:pt idx="1">
                  <c:v>287.29999999999995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45-D840-8B40-7BB86917B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438639"/>
        <c:axId val="491585919"/>
      </c:barChart>
      <c:catAx>
        <c:axId val="50643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1585919"/>
        <c:crosses val="autoZero"/>
        <c:auto val="1"/>
        <c:lblAlgn val="ctr"/>
        <c:lblOffset val="100"/>
        <c:noMultiLvlLbl val="0"/>
      </c:catAx>
      <c:valAx>
        <c:axId val="49158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643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Detail Vergleich Weiterer Konsum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'Emissions Sebastian 2020'!$V$186</c:f>
              <c:strCache>
                <c:ptCount val="1"/>
                <c:pt idx="0">
                  <c:v>Hotel / Restaurants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'Emissions Sebastian 2020'!$W$185:$X$185</c:f>
              <c:strCache>
                <c:ptCount val="2"/>
                <c:pt idx="0">
                  <c:v>Meine Emissionen</c:v>
                </c:pt>
                <c:pt idx="1">
                  <c:v>Bundes-Durchschnitt</c:v>
                </c:pt>
              </c:strCache>
            </c:strRef>
          </c:cat>
          <c:val>
            <c:numRef>
              <c:f>'Emissions Sebastian 2020'!$W$186:$X$186</c:f>
              <c:numCache>
                <c:formatCode>0.00</c:formatCode>
                <c:ptCount val="2"/>
                <c:pt idx="0" formatCode="0.000">
                  <c:v>0.66564873417721526</c:v>
                </c:pt>
                <c:pt idx="1">
                  <c:v>0.66564873417721526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B-2E4A-BA87-AB8DD4A8FBB2}"/>
            </c:ext>
          </c:extLst>
        </c:ser>
        <c:ser>
          <c:idx val="1"/>
          <c:order val="1"/>
          <c:tx>
            <c:strRef>
              <c:f>'Emissions Sebastian 2020'!$V$187</c:f>
              <c:strCache>
                <c:ptCount val="1"/>
                <c:pt idx="0">
                  <c:v>Auto und Reperatur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'Emissions Sebastian 2020'!$W$185:$X$185</c:f>
              <c:strCache>
                <c:ptCount val="2"/>
                <c:pt idx="0">
                  <c:v>Meine Emissionen</c:v>
                </c:pt>
                <c:pt idx="1">
                  <c:v>Bundes-Durchschnitt</c:v>
                </c:pt>
              </c:strCache>
            </c:strRef>
          </c:cat>
          <c:val>
            <c:numRef>
              <c:f>'Emissions Sebastian 2020'!$W$187:$X$187</c:f>
              <c:numCache>
                <c:formatCode>0.00</c:formatCode>
                <c:ptCount val="2"/>
                <c:pt idx="0" formatCode="0.000">
                  <c:v>2.39873417721519E-2</c:v>
                </c:pt>
                <c:pt idx="1">
                  <c:v>0.23987341772151902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0B-2E4A-BA87-AB8DD4A8FBB2}"/>
            </c:ext>
          </c:extLst>
        </c:ser>
        <c:ser>
          <c:idx val="2"/>
          <c:order val="2"/>
          <c:tx>
            <c:strRef>
              <c:f>'Emissions Sebastian 2020'!$V$188</c:f>
              <c:strCache>
                <c:ptCount val="1"/>
                <c:pt idx="0">
                  <c:v>Sonstige Freizeitdienstleistungen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'Emissions Sebastian 2020'!$W$185:$X$185</c:f>
              <c:strCache>
                <c:ptCount val="2"/>
                <c:pt idx="0">
                  <c:v>Meine Emissionen</c:v>
                </c:pt>
                <c:pt idx="1">
                  <c:v>Bundes-Durchschnitt</c:v>
                </c:pt>
              </c:strCache>
            </c:strRef>
          </c:cat>
          <c:val>
            <c:numRef>
              <c:f>'Emissions Sebastian 2020'!$W$188:$X$188</c:f>
              <c:numCache>
                <c:formatCode>0.00</c:formatCode>
                <c:ptCount val="2"/>
                <c:pt idx="0" formatCode="0.000">
                  <c:v>0.60028322784810129</c:v>
                </c:pt>
                <c:pt idx="1">
                  <c:v>0.46175632911392406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0B-2E4A-BA87-AB8DD4A8FBB2}"/>
            </c:ext>
          </c:extLst>
        </c:ser>
        <c:ser>
          <c:idx val="3"/>
          <c:order val="3"/>
          <c:tx>
            <c:strRef>
              <c:f>'Emissions Sebastian 2020'!$V$189</c:f>
              <c:strCache>
                <c:ptCount val="1"/>
                <c:pt idx="0">
                  <c:v>Kleidung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'Emissions Sebastian 2020'!$W$185:$X$185</c:f>
              <c:strCache>
                <c:ptCount val="2"/>
                <c:pt idx="0">
                  <c:v>Meine Emissionen</c:v>
                </c:pt>
                <c:pt idx="1">
                  <c:v>Bundes-Durchschnitt</c:v>
                </c:pt>
              </c:strCache>
            </c:strRef>
          </c:cat>
          <c:val>
            <c:numRef>
              <c:f>'Emissions Sebastian 2020'!$W$189:$X$189</c:f>
              <c:numCache>
                <c:formatCode>0.00</c:formatCode>
                <c:ptCount val="2"/>
                <c:pt idx="0" formatCode="0.000">
                  <c:v>0.39579113924050635</c:v>
                </c:pt>
                <c:pt idx="1">
                  <c:v>0.39579113924050635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0B-2E4A-BA87-AB8DD4A8FBB2}"/>
            </c:ext>
          </c:extLst>
        </c:ser>
        <c:ser>
          <c:idx val="4"/>
          <c:order val="4"/>
          <c:tx>
            <c:strRef>
              <c:f>'Emissions Sebastian 2020'!$V$190</c:f>
              <c:strCache>
                <c:ptCount val="1"/>
                <c:pt idx="0">
                  <c:v>Möbel &amp; Werkzeug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'Emissions Sebastian 2020'!$W$185:$X$185</c:f>
              <c:strCache>
                <c:ptCount val="2"/>
                <c:pt idx="0">
                  <c:v>Meine Emissionen</c:v>
                </c:pt>
                <c:pt idx="1">
                  <c:v>Bundes-Durchschnitt</c:v>
                </c:pt>
              </c:strCache>
            </c:strRef>
          </c:cat>
          <c:val>
            <c:numRef>
              <c:f>'Emissions Sebastian 2020'!$W$190:$X$190</c:f>
              <c:numCache>
                <c:formatCode>0.00</c:formatCode>
                <c:ptCount val="2"/>
                <c:pt idx="0" formatCode="0.000">
                  <c:v>0.40178797468354421</c:v>
                </c:pt>
                <c:pt idx="1">
                  <c:v>0.40178797468354421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0B-2E4A-BA87-AB8DD4A8FBB2}"/>
            </c:ext>
          </c:extLst>
        </c:ser>
        <c:ser>
          <c:idx val="5"/>
          <c:order val="5"/>
          <c:tx>
            <c:strRef>
              <c:f>'Emissions Sebastian 2020'!$V$191</c:f>
              <c:strCache>
                <c:ptCount val="1"/>
                <c:pt idx="0">
                  <c:v>Kosmetik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'Emissions Sebastian 2020'!$W$185:$X$185</c:f>
              <c:strCache>
                <c:ptCount val="2"/>
                <c:pt idx="0">
                  <c:v>Meine Emissionen</c:v>
                </c:pt>
                <c:pt idx="1">
                  <c:v>Bundes-Durchschnitt</c:v>
                </c:pt>
              </c:strCache>
            </c:strRef>
          </c:cat>
          <c:val>
            <c:numRef>
              <c:f>'Emissions Sebastian 2020'!$W$191:$X$191</c:f>
              <c:numCache>
                <c:formatCode>0.00</c:formatCode>
                <c:ptCount val="2"/>
                <c:pt idx="0" formatCode="0.000">
                  <c:v>0.10194620253164557</c:v>
                </c:pt>
                <c:pt idx="1">
                  <c:v>0.10194620253164557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0B-2E4A-BA87-AB8DD4A8FBB2}"/>
            </c:ext>
          </c:extLst>
        </c:ser>
        <c:ser>
          <c:idx val="6"/>
          <c:order val="6"/>
          <c:tx>
            <c:strRef>
              <c:f>'Emissions Sebastian 2020'!$V$192</c:f>
              <c:strCache>
                <c:ptCount val="1"/>
                <c:pt idx="0">
                  <c:v>Sonstige Produkte und Dienstleistungen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'Emissions Sebastian 2020'!$W$185:$X$185</c:f>
              <c:strCache>
                <c:ptCount val="2"/>
                <c:pt idx="0">
                  <c:v>Meine Emissionen</c:v>
                </c:pt>
                <c:pt idx="1">
                  <c:v>Bundes-Durchschnitt</c:v>
                </c:pt>
              </c:strCache>
            </c:strRef>
          </c:cat>
          <c:val>
            <c:numRef>
              <c:f>'Emissions Sebastian 2020'!$W$192:$X$192</c:f>
              <c:numCache>
                <c:formatCode>0.00</c:formatCode>
                <c:ptCount val="2"/>
                <c:pt idx="0" formatCode="0.000">
                  <c:v>1.5231962025316454</c:v>
                </c:pt>
                <c:pt idx="1">
                  <c:v>1.5231962025316454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0B-2E4A-BA87-AB8DD4A8F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2181791"/>
        <c:axId val="488799215"/>
      </c:barChart>
      <c:catAx>
        <c:axId val="49218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88799215"/>
        <c:crosses val="autoZero"/>
        <c:auto val="1"/>
        <c:lblAlgn val="ctr"/>
        <c:lblOffset val="100"/>
        <c:noMultiLvlLbl val="0"/>
      </c:catAx>
      <c:valAx>
        <c:axId val="48879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218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977846543104718E-2"/>
          <c:y val="0.88413436958042324"/>
          <c:w val="0.60594628033294851"/>
          <c:h val="0.115865680951067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773381</xdr:colOff>
      <xdr:row>157</xdr:row>
      <xdr:rowOff>179628</xdr:rowOff>
    </xdr:from>
    <xdr:to>
      <xdr:col>14</xdr:col>
      <xdr:colOff>413254</xdr:colOff>
      <xdr:row>185</xdr:row>
      <xdr:rowOff>95755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944EF1-3090-DB4C-837E-964BD1515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16430</xdr:colOff>
      <xdr:row>187</xdr:row>
      <xdr:rowOff>102107</xdr:rowOff>
    </xdr:from>
    <xdr:to>
      <xdr:col>6</xdr:col>
      <xdr:colOff>419100</xdr:colOff>
      <xdr:row>216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DE69EF-80F8-EA4E-9AB2-C41A21F35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838029</xdr:colOff>
      <xdr:row>187</xdr:row>
      <xdr:rowOff>119838</xdr:rowOff>
    </xdr:from>
    <xdr:to>
      <xdr:col>13</xdr:col>
      <xdr:colOff>642674</xdr:colOff>
      <xdr:row>216</xdr:row>
      <xdr:rowOff>82286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8B29F7-AC00-7843-9209-21B8AEC1A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740335</xdr:colOff>
      <xdr:row>217</xdr:row>
      <xdr:rowOff>64981</xdr:rowOff>
    </xdr:from>
    <xdr:to>
      <xdr:col>6</xdr:col>
      <xdr:colOff>489639</xdr:colOff>
      <xdr:row>249</xdr:row>
      <xdr:rowOff>15300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0316A1-1FB2-A443-AD2D-C4260D235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666795</xdr:colOff>
      <xdr:row>217</xdr:row>
      <xdr:rowOff>68075</xdr:rowOff>
    </xdr:from>
    <xdr:to>
      <xdr:col>12</xdr:col>
      <xdr:colOff>673254</xdr:colOff>
      <xdr:row>260</xdr:row>
      <xdr:rowOff>45903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822BA52-18F0-F94A-9BD3-3DCA84D18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7/s11367-019-01703-w" TargetMode="External"/><Relationship Id="rId2" Type="http://schemas.openxmlformats.org/officeDocument/2006/relationships/hyperlink" Target="https://ourworldindata.org/environmental-impacts-of-food" TargetMode="External"/><Relationship Id="rId1" Type="http://schemas.openxmlformats.org/officeDocument/2006/relationships/hyperlink" Target="https://www.umweltbundesamt.de/bild/vergleich-der-durchschnittlichen-emissionen-0" TargetMode="External"/><Relationship Id="rId5" Type="http://schemas.openxmlformats.org/officeDocument/2006/relationships/hyperlink" Target="https://elib.dlr.de/131320/1/SteckEisenmannKroegerWinkler_CO2EmissionenVerkehr_IntVerkehrswesen_2019.pdf" TargetMode="External"/><Relationship Id="rId4" Type="http://schemas.openxmlformats.org/officeDocument/2006/relationships/hyperlink" Target="https://www.sciencedirect.com/science/article/pii/S22119124183003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AF050-BB0E-254F-9888-C62F2A47E03F}">
  <dimension ref="B1:AI400"/>
  <sheetViews>
    <sheetView tabSelected="1" topLeftCell="L328" zoomScale="75" zoomScaleNormal="75" workbookViewId="0">
      <selection activeCell="P348" sqref="P348"/>
    </sheetView>
  </sheetViews>
  <sheetFormatPr baseColWidth="10" defaultColWidth="11.1640625" defaultRowHeight="16" x14ac:dyDescent="0.2"/>
  <cols>
    <col min="2" max="2" width="6.5" customWidth="1"/>
    <col min="4" max="4" width="5.6640625" customWidth="1"/>
    <col min="5" max="5" width="15.1640625" customWidth="1"/>
    <col min="6" max="6" width="25.6640625" customWidth="1"/>
    <col min="7" max="7" width="10.83203125" customWidth="1"/>
    <col min="8" max="8" width="16.83203125" bestFit="1" customWidth="1"/>
    <col min="9" max="9" width="13.33203125" customWidth="1"/>
    <col min="11" max="11" width="15.33203125" customWidth="1"/>
    <col min="12" max="12" width="8.83203125" customWidth="1"/>
    <col min="16" max="16" width="14" customWidth="1"/>
    <col min="17" max="17" width="14.33203125" customWidth="1"/>
    <col min="19" max="19" width="14.83203125" customWidth="1"/>
    <col min="20" max="20" width="10.83203125" customWidth="1"/>
    <col min="23" max="23" width="19.33203125" customWidth="1"/>
    <col min="24" max="24" width="14.5" customWidth="1"/>
  </cols>
  <sheetData>
    <row r="1" spans="2:27" ht="17" thickBot="1" x14ac:dyDescent="0.25"/>
    <row r="2" spans="2:27" x14ac:dyDescent="0.2"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2"/>
      <c r="U2" s="65"/>
      <c r="V2" s="66"/>
      <c r="W2" s="66"/>
      <c r="X2" s="66"/>
      <c r="Y2" s="66"/>
      <c r="Z2" s="66"/>
      <c r="AA2" s="67"/>
    </row>
    <row r="3" spans="2:27" x14ac:dyDescent="0.2">
      <c r="B3" s="13"/>
      <c r="C3" s="14" t="s">
        <v>123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6"/>
      <c r="U3" s="68"/>
      <c r="V3" s="62" t="s">
        <v>182</v>
      </c>
      <c r="W3" s="63"/>
      <c r="X3" s="63"/>
      <c r="Y3" s="63"/>
      <c r="Z3" s="63"/>
      <c r="AA3" s="69"/>
    </row>
    <row r="4" spans="2:27" x14ac:dyDescent="0.2">
      <c r="B4" s="13"/>
      <c r="C4" s="15"/>
      <c r="D4" s="15"/>
      <c r="E4" s="15"/>
      <c r="F4" s="15" t="s">
        <v>132</v>
      </c>
      <c r="G4" s="15"/>
      <c r="H4" s="95" t="s">
        <v>133</v>
      </c>
      <c r="I4" s="15"/>
      <c r="J4" s="226" t="s">
        <v>383</v>
      </c>
      <c r="K4" s="15"/>
      <c r="L4" s="15"/>
      <c r="M4" s="15"/>
      <c r="N4" s="15"/>
      <c r="O4" s="15"/>
      <c r="P4" s="15"/>
      <c r="Q4" s="16"/>
      <c r="U4" s="68"/>
      <c r="V4" s="63"/>
      <c r="W4" s="63"/>
      <c r="X4" s="63"/>
      <c r="Y4" s="63"/>
      <c r="Z4" s="63"/>
      <c r="AA4" s="69"/>
    </row>
    <row r="5" spans="2:27" x14ac:dyDescent="0.2">
      <c r="B5" s="13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6"/>
      <c r="U5" s="68"/>
      <c r="V5" s="63"/>
      <c r="W5" s="63"/>
      <c r="X5" s="63"/>
      <c r="Y5" s="63"/>
      <c r="Z5" s="63"/>
      <c r="AA5" s="69"/>
    </row>
    <row r="6" spans="2:27" ht="17" thickBot="1" x14ac:dyDescent="0.25">
      <c r="B6" s="26"/>
      <c r="C6" s="27"/>
      <c r="D6" s="27"/>
      <c r="E6" s="27"/>
      <c r="F6" s="28" t="s">
        <v>221</v>
      </c>
      <c r="G6" s="28"/>
      <c r="H6" s="28">
        <v>0.86</v>
      </c>
      <c r="I6" s="27"/>
      <c r="J6" s="27"/>
      <c r="K6" s="27"/>
      <c r="L6" s="27"/>
      <c r="M6" s="27"/>
      <c r="N6" s="27"/>
      <c r="O6" s="27"/>
      <c r="P6" s="27"/>
      <c r="Q6" s="29"/>
      <c r="U6" s="70"/>
      <c r="V6" s="71"/>
      <c r="W6" s="71"/>
      <c r="X6" s="71"/>
      <c r="Y6" s="71"/>
      <c r="Z6" s="71"/>
      <c r="AA6" s="72"/>
    </row>
    <row r="7" spans="2:27" x14ac:dyDescent="0.2"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9"/>
      <c r="U7" s="53"/>
      <c r="V7" s="54"/>
      <c r="W7" s="54"/>
      <c r="X7" s="54"/>
      <c r="Y7" s="54"/>
      <c r="Z7" s="54"/>
      <c r="AA7" s="55"/>
    </row>
    <row r="8" spans="2:27" x14ac:dyDescent="0.2">
      <c r="B8" s="20"/>
      <c r="C8" s="21" t="s">
        <v>124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3"/>
      <c r="U8" s="56"/>
      <c r="V8" s="62" t="s">
        <v>181</v>
      </c>
      <c r="W8" s="63"/>
      <c r="X8" s="63"/>
      <c r="Y8" s="15"/>
      <c r="Z8" s="15"/>
      <c r="AA8" s="57"/>
    </row>
    <row r="9" spans="2:27" x14ac:dyDescent="0.2">
      <c r="B9" s="20"/>
      <c r="C9" s="22"/>
      <c r="D9" s="22"/>
      <c r="E9" s="22"/>
      <c r="F9" s="22" t="s">
        <v>125</v>
      </c>
      <c r="G9" s="22"/>
      <c r="H9" s="25">
        <v>3000</v>
      </c>
      <c r="I9" s="22"/>
      <c r="J9" s="22"/>
      <c r="K9" s="22"/>
      <c r="L9" s="22"/>
      <c r="M9" s="22"/>
      <c r="N9" s="22"/>
      <c r="O9" s="22"/>
      <c r="P9" s="22"/>
      <c r="Q9" s="23"/>
      <c r="U9" s="56"/>
      <c r="V9" s="63" t="s">
        <v>178</v>
      </c>
      <c r="W9" s="63"/>
      <c r="X9" s="63">
        <f>H9/30</f>
        <v>100</v>
      </c>
      <c r="Y9" s="15"/>
      <c r="Z9" s="15"/>
      <c r="AA9" s="57"/>
    </row>
    <row r="10" spans="2:27" x14ac:dyDescent="0.2">
      <c r="B10" s="20"/>
      <c r="C10" s="22"/>
      <c r="D10" s="22"/>
      <c r="E10" s="22"/>
      <c r="F10" s="22" t="s">
        <v>126</v>
      </c>
      <c r="G10" s="22"/>
      <c r="H10" s="93" t="s">
        <v>127</v>
      </c>
      <c r="I10" s="22"/>
      <c r="J10" s="24" t="s">
        <v>137</v>
      </c>
      <c r="K10" s="22"/>
      <c r="L10" s="22"/>
      <c r="M10" s="22"/>
      <c r="N10" s="22"/>
      <c r="O10" s="22"/>
      <c r="P10" s="22"/>
      <c r="Q10" s="23"/>
      <c r="U10" s="56"/>
      <c r="V10" s="64" t="s">
        <v>177</v>
      </c>
      <c r="W10" s="63"/>
      <c r="X10" s="63">
        <f>H12*1000</f>
        <v>3896.6301445539084</v>
      </c>
      <c r="Y10" s="15"/>
      <c r="Z10" s="15"/>
      <c r="AA10" s="57"/>
    </row>
    <row r="11" spans="2:27" x14ac:dyDescent="0.2">
      <c r="B11" s="20"/>
      <c r="C11" s="22"/>
      <c r="D11" s="22"/>
      <c r="E11" s="22"/>
      <c r="F11" s="22" t="s">
        <v>294</v>
      </c>
      <c r="G11" s="22"/>
      <c r="H11" s="25">
        <v>60</v>
      </c>
      <c r="I11" s="22"/>
      <c r="J11" s="22"/>
      <c r="K11" s="22"/>
      <c r="L11" s="22"/>
      <c r="M11" s="22"/>
      <c r="N11" s="22"/>
      <c r="O11" s="22"/>
      <c r="P11" s="22"/>
      <c r="Q11" s="23"/>
      <c r="U11" s="56"/>
      <c r="V11" s="63" t="s">
        <v>14</v>
      </c>
      <c r="W11" s="64"/>
      <c r="X11" s="63">
        <v>66465</v>
      </c>
      <c r="Y11" s="15"/>
      <c r="Z11" s="15"/>
      <c r="AA11" s="57"/>
    </row>
    <row r="12" spans="2:27" x14ac:dyDescent="0.2">
      <c r="B12" s="20"/>
      <c r="C12" s="22"/>
      <c r="D12" s="22"/>
      <c r="E12" s="22"/>
      <c r="F12" s="22" t="s">
        <v>128</v>
      </c>
      <c r="G12" s="22"/>
      <c r="H12" s="31">
        <f>M14</f>
        <v>3.8966301445539084</v>
      </c>
      <c r="I12" s="22"/>
      <c r="J12" s="21" t="s">
        <v>134</v>
      </c>
      <c r="K12" s="22"/>
      <c r="L12" s="22"/>
      <c r="M12" s="22"/>
      <c r="N12" s="22"/>
      <c r="O12" s="22"/>
      <c r="P12" s="22"/>
      <c r="Q12" s="23"/>
      <c r="U12" s="56"/>
      <c r="V12" s="63" t="s">
        <v>12</v>
      </c>
      <c r="W12" s="64"/>
      <c r="X12" s="63">
        <v>0.23927380858095312</v>
      </c>
      <c r="Y12" s="15"/>
      <c r="Z12" s="15"/>
      <c r="AA12" s="57"/>
    </row>
    <row r="13" spans="2:27" x14ac:dyDescent="0.2">
      <c r="B13" s="20"/>
      <c r="C13" s="22"/>
      <c r="D13" s="22"/>
      <c r="E13" s="22"/>
      <c r="F13" s="22" t="s">
        <v>135</v>
      </c>
      <c r="G13" s="22"/>
      <c r="H13" s="94" t="s">
        <v>136</v>
      </c>
      <c r="I13" s="22"/>
      <c r="J13" s="22" t="s">
        <v>130</v>
      </c>
      <c r="K13" s="22"/>
      <c r="L13" s="22"/>
      <c r="M13" s="22">
        <v>90</v>
      </c>
      <c r="N13" s="22" t="s">
        <v>131</v>
      </c>
      <c r="O13" s="22"/>
      <c r="P13" s="51">
        <v>65166</v>
      </c>
      <c r="Q13" s="23"/>
      <c r="U13" s="56"/>
      <c r="V13" s="63" t="s">
        <v>295</v>
      </c>
      <c r="W13" s="64"/>
      <c r="X13" s="153">
        <f>H11/0.75</f>
        <v>80</v>
      </c>
      <c r="Y13" s="15"/>
      <c r="Z13" s="15"/>
      <c r="AA13" s="57"/>
    </row>
    <row r="14" spans="2:27" x14ac:dyDescent="0.2">
      <c r="B14" s="20"/>
      <c r="C14" s="22"/>
      <c r="D14" s="22"/>
      <c r="E14" s="22"/>
      <c r="F14" s="22"/>
      <c r="G14" s="22"/>
      <c r="H14" s="22"/>
      <c r="I14" s="22"/>
      <c r="J14" s="22" t="s">
        <v>129</v>
      </c>
      <c r="K14" s="22"/>
      <c r="L14" s="22"/>
      <c r="M14" s="30">
        <f>M13*(P14/P13)</f>
        <v>3.8966301445539084</v>
      </c>
      <c r="N14" s="22" t="s">
        <v>138</v>
      </c>
      <c r="O14" s="22"/>
      <c r="P14" s="128">
        <v>2821.42</v>
      </c>
      <c r="Q14" s="23"/>
      <c r="U14" s="56"/>
      <c r="V14" s="63" t="s">
        <v>317</v>
      </c>
      <c r="W14" s="63"/>
      <c r="X14" s="63">
        <f>X12*X10</f>
        <v>932.36153531876357</v>
      </c>
      <c r="Y14" s="15"/>
      <c r="Z14" s="15"/>
      <c r="AA14" s="57"/>
    </row>
    <row r="15" spans="2:27" ht="17" thickBot="1" x14ac:dyDescent="0.25">
      <c r="B15" s="33"/>
      <c r="C15" s="34"/>
      <c r="D15" s="34"/>
      <c r="E15" s="34"/>
      <c r="F15" s="35" t="s">
        <v>222</v>
      </c>
      <c r="G15" s="35"/>
      <c r="H15" s="61">
        <f>X15/1000</f>
        <v>1.1123615353187635</v>
      </c>
      <c r="I15" s="34"/>
      <c r="J15" s="34"/>
      <c r="K15" s="34"/>
      <c r="L15" s="34"/>
      <c r="M15" s="34"/>
      <c r="N15" s="34"/>
      <c r="O15" s="34"/>
      <c r="P15" s="36"/>
      <c r="Q15" s="37"/>
      <c r="U15" s="58"/>
      <c r="V15" s="63" t="s">
        <v>179</v>
      </c>
      <c r="W15" s="63"/>
      <c r="X15" s="74">
        <f>X14+X9+X13</f>
        <v>1112.3615353187636</v>
      </c>
      <c r="Y15" s="59"/>
      <c r="Z15" s="59"/>
      <c r="AA15" s="60"/>
    </row>
    <row r="16" spans="2:27" x14ac:dyDescent="0.2">
      <c r="B16" s="38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40"/>
      <c r="U16" s="53"/>
      <c r="V16" s="54"/>
      <c r="W16" s="54"/>
      <c r="X16" s="54"/>
      <c r="Y16" s="54"/>
      <c r="Z16" s="54"/>
      <c r="AA16" s="55"/>
    </row>
    <row r="17" spans="2:27" x14ac:dyDescent="0.2">
      <c r="B17" s="41"/>
      <c r="C17" s="42" t="s">
        <v>139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4"/>
      <c r="U17" s="56"/>
      <c r="V17" s="62" t="s">
        <v>184</v>
      </c>
      <c r="W17" s="15"/>
      <c r="X17" s="15"/>
      <c r="Y17" s="15"/>
      <c r="Z17" s="15"/>
      <c r="AA17" s="57"/>
    </row>
    <row r="18" spans="2:27" x14ac:dyDescent="0.2">
      <c r="B18" s="41"/>
      <c r="C18" s="43"/>
      <c r="D18" s="43"/>
      <c r="E18" s="42" t="s">
        <v>140</v>
      </c>
      <c r="F18" s="43" t="s">
        <v>150</v>
      </c>
      <c r="G18" s="43"/>
      <c r="H18" s="43">
        <v>8</v>
      </c>
      <c r="I18" s="43"/>
      <c r="J18" s="45" t="s">
        <v>154</v>
      </c>
      <c r="K18" s="43"/>
      <c r="L18" s="43"/>
      <c r="M18" s="43"/>
      <c r="N18" s="43"/>
      <c r="O18" s="43"/>
      <c r="P18" s="43"/>
      <c r="Q18" s="44"/>
      <c r="U18" s="68"/>
      <c r="V18" s="63"/>
      <c r="W18" s="63"/>
      <c r="X18" s="63"/>
      <c r="Y18" s="63"/>
      <c r="Z18" s="15"/>
      <c r="AA18" s="57"/>
    </row>
    <row r="19" spans="2:27" x14ac:dyDescent="0.2">
      <c r="B19" s="41"/>
      <c r="C19" s="43"/>
      <c r="D19" s="43"/>
      <c r="E19" s="43"/>
      <c r="F19" s="46" t="s">
        <v>161</v>
      </c>
      <c r="G19" s="43"/>
      <c r="H19" s="43">
        <v>4</v>
      </c>
      <c r="I19" s="43"/>
      <c r="J19" s="43" t="s">
        <v>141</v>
      </c>
      <c r="K19" s="43"/>
      <c r="L19" s="43">
        <v>0</v>
      </c>
      <c r="M19" s="43"/>
      <c r="N19" s="43"/>
      <c r="O19" s="43"/>
      <c r="P19" s="43"/>
      <c r="Q19" s="44"/>
      <c r="U19" s="68"/>
      <c r="V19" s="62" t="s">
        <v>185</v>
      </c>
      <c r="W19" s="63"/>
      <c r="X19" s="63"/>
      <c r="Y19" s="63"/>
      <c r="Z19" s="15"/>
      <c r="AA19" s="57"/>
    </row>
    <row r="20" spans="2:27" x14ac:dyDescent="0.2">
      <c r="B20" s="41"/>
      <c r="C20" s="43"/>
      <c r="D20" s="43"/>
      <c r="E20" s="43"/>
      <c r="F20" s="43" t="s">
        <v>151</v>
      </c>
      <c r="G20" s="43"/>
      <c r="H20" s="43"/>
      <c r="I20" s="43"/>
      <c r="J20" s="45" t="s">
        <v>142</v>
      </c>
      <c r="K20" s="43"/>
      <c r="L20" s="43"/>
      <c r="M20" s="43"/>
      <c r="N20" s="43"/>
      <c r="O20" s="43"/>
      <c r="P20" s="43"/>
      <c r="Q20" s="44"/>
      <c r="U20" s="68"/>
      <c r="V20" s="63" t="s">
        <v>188</v>
      </c>
      <c r="W20" s="63"/>
      <c r="X20" s="63">
        <f>H18*H19+H20*H21+H22*H23+H24*H25</f>
        <v>32</v>
      </c>
      <c r="Y20" s="63"/>
      <c r="Z20" s="15"/>
      <c r="AA20" s="57"/>
    </row>
    <row r="21" spans="2:27" x14ac:dyDescent="0.2">
      <c r="B21" s="41"/>
      <c r="C21" s="43"/>
      <c r="D21" s="43"/>
      <c r="E21" s="43"/>
      <c r="F21" s="46" t="s">
        <v>161</v>
      </c>
      <c r="G21" s="43"/>
      <c r="H21" s="43">
        <f>4.3*L21</f>
        <v>0</v>
      </c>
      <c r="I21" s="43"/>
      <c r="J21" s="43" t="s">
        <v>141</v>
      </c>
      <c r="K21" s="43"/>
      <c r="L21" s="43">
        <v>0</v>
      </c>
      <c r="M21" s="43"/>
      <c r="N21" s="43"/>
      <c r="O21" s="43"/>
      <c r="P21" s="43"/>
      <c r="Q21" s="44"/>
      <c r="U21" s="68"/>
      <c r="V21" s="63" t="s">
        <v>187</v>
      </c>
      <c r="W21" s="63"/>
      <c r="X21" s="63">
        <f>X20*12</f>
        <v>384</v>
      </c>
      <c r="Y21" s="63"/>
      <c r="Z21" s="15"/>
      <c r="AA21" s="57"/>
    </row>
    <row r="22" spans="2:27" x14ac:dyDescent="0.2">
      <c r="B22" s="41"/>
      <c r="C22" s="43"/>
      <c r="D22" s="43"/>
      <c r="E22" s="43"/>
      <c r="F22" s="43" t="s">
        <v>152</v>
      </c>
      <c r="G22" s="43"/>
      <c r="H22" s="43"/>
      <c r="I22" s="43"/>
      <c r="J22" s="45" t="s">
        <v>142</v>
      </c>
      <c r="K22" s="43"/>
      <c r="L22" s="43"/>
      <c r="M22" s="43"/>
      <c r="N22" s="43"/>
      <c r="O22" s="43"/>
      <c r="P22" s="43"/>
      <c r="Q22" s="44"/>
      <c r="U22" s="68"/>
      <c r="V22" s="64" t="s">
        <v>22</v>
      </c>
      <c r="W22" s="63"/>
      <c r="X22" s="64">
        <v>5.8000000000000003E-2</v>
      </c>
      <c r="Y22" s="63"/>
      <c r="Z22" s="15"/>
      <c r="AA22" s="57"/>
    </row>
    <row r="23" spans="2:27" x14ac:dyDescent="0.2">
      <c r="B23" s="41"/>
      <c r="C23" s="43"/>
      <c r="D23" s="43"/>
      <c r="E23" s="43"/>
      <c r="F23" s="46" t="s">
        <v>161</v>
      </c>
      <c r="G23" s="43"/>
      <c r="H23" s="43">
        <f>4.3*L23</f>
        <v>0</v>
      </c>
      <c r="I23" s="43"/>
      <c r="J23" s="43" t="s">
        <v>141</v>
      </c>
      <c r="K23" s="43"/>
      <c r="L23" s="43">
        <v>0</v>
      </c>
      <c r="M23" s="43"/>
      <c r="N23" s="43"/>
      <c r="O23" s="43"/>
      <c r="P23" s="43"/>
      <c r="Q23" s="44"/>
      <c r="U23" s="68"/>
      <c r="V23" s="64" t="s">
        <v>21</v>
      </c>
      <c r="W23" s="63"/>
      <c r="X23" s="63">
        <f>X22*X21</f>
        <v>22.272000000000002</v>
      </c>
      <c r="Y23" s="63"/>
      <c r="Z23" s="15"/>
      <c r="AA23" s="57"/>
    </row>
    <row r="24" spans="2:27" x14ac:dyDescent="0.2">
      <c r="B24" s="41"/>
      <c r="C24" s="43"/>
      <c r="D24" s="43"/>
      <c r="E24" s="43"/>
      <c r="F24" s="43" t="s">
        <v>153</v>
      </c>
      <c r="G24" s="43"/>
      <c r="H24" s="43"/>
      <c r="I24" s="43"/>
      <c r="J24" s="45" t="s">
        <v>142</v>
      </c>
      <c r="K24" s="43"/>
      <c r="L24" s="43"/>
      <c r="M24" s="43"/>
      <c r="N24" s="43"/>
      <c r="O24" s="43"/>
      <c r="P24" s="43"/>
      <c r="Q24" s="44"/>
      <c r="U24" s="68"/>
      <c r="V24" s="63"/>
      <c r="W24" s="63"/>
      <c r="X24" s="63"/>
      <c r="Y24" s="63"/>
      <c r="Z24" s="15"/>
      <c r="AA24" s="57"/>
    </row>
    <row r="25" spans="2:27" x14ac:dyDescent="0.2">
      <c r="B25" s="41"/>
      <c r="C25" s="43"/>
      <c r="D25" s="43"/>
      <c r="E25" s="43"/>
      <c r="F25" s="46" t="s">
        <v>161</v>
      </c>
      <c r="G25" s="43"/>
      <c r="H25" s="43">
        <f>4.3*L25</f>
        <v>0</v>
      </c>
      <c r="I25" s="43"/>
      <c r="J25" s="43" t="s">
        <v>141</v>
      </c>
      <c r="K25" s="43"/>
      <c r="L25" s="43">
        <v>0</v>
      </c>
      <c r="M25" s="43"/>
      <c r="N25" s="43"/>
      <c r="O25" s="43"/>
      <c r="P25" s="43"/>
      <c r="Q25" s="44"/>
      <c r="U25" s="68"/>
      <c r="V25" s="63"/>
      <c r="W25" s="63"/>
      <c r="X25" s="63"/>
      <c r="Y25" s="63"/>
      <c r="Z25" s="15"/>
      <c r="AA25" s="57"/>
    </row>
    <row r="26" spans="2:27" x14ac:dyDescent="0.2">
      <c r="B26" s="41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4"/>
      <c r="U26" s="68"/>
      <c r="V26" s="63"/>
      <c r="W26" s="63"/>
      <c r="X26" s="63"/>
      <c r="Y26" s="63"/>
      <c r="Z26" s="15"/>
      <c r="AA26" s="57"/>
    </row>
    <row r="27" spans="2:27" x14ac:dyDescent="0.2">
      <c r="B27" s="41"/>
      <c r="C27" s="43"/>
      <c r="D27" s="43"/>
      <c r="E27" s="42" t="s">
        <v>143</v>
      </c>
      <c r="F27" s="43" t="s">
        <v>150</v>
      </c>
      <c r="G27" s="43"/>
      <c r="H27" s="43">
        <v>700</v>
      </c>
      <c r="I27" s="43"/>
      <c r="J27" s="45" t="s">
        <v>144</v>
      </c>
      <c r="K27" s="43"/>
      <c r="L27" s="43"/>
      <c r="M27" s="43"/>
      <c r="N27" s="43"/>
      <c r="O27" s="43"/>
      <c r="P27" s="43"/>
      <c r="Q27" s="44"/>
      <c r="U27" s="68"/>
      <c r="V27" s="62" t="s">
        <v>24</v>
      </c>
      <c r="W27" s="63"/>
      <c r="X27" s="63"/>
      <c r="Y27" s="63"/>
      <c r="Z27" s="15"/>
      <c r="AA27" s="57"/>
    </row>
    <row r="28" spans="2:27" x14ac:dyDescent="0.2">
      <c r="B28" s="41"/>
      <c r="C28" s="43"/>
      <c r="D28" s="43"/>
      <c r="E28" s="43"/>
      <c r="F28" s="46" t="s">
        <v>158</v>
      </c>
      <c r="G28" s="43"/>
      <c r="H28" s="43">
        <v>4</v>
      </c>
      <c r="I28" s="43"/>
      <c r="J28" s="43" t="s">
        <v>146</v>
      </c>
      <c r="K28" s="43"/>
      <c r="L28" s="43">
        <v>0</v>
      </c>
      <c r="M28" s="43"/>
      <c r="N28" s="43"/>
      <c r="O28" s="43"/>
      <c r="P28" s="43"/>
      <c r="Q28" s="44"/>
      <c r="U28" s="68"/>
      <c r="V28" s="63" t="s">
        <v>186</v>
      </c>
      <c r="W28" s="63"/>
      <c r="X28" s="63">
        <f>H27*H28+H29*H30+H31*H32+H33*H34</f>
        <v>6541</v>
      </c>
      <c r="Y28" s="63"/>
      <c r="Z28" s="15"/>
      <c r="AA28" s="57"/>
    </row>
    <row r="29" spans="2:27" x14ac:dyDescent="0.2">
      <c r="B29" s="41"/>
      <c r="C29" s="43"/>
      <c r="D29" s="43"/>
      <c r="E29" s="43"/>
      <c r="F29" s="43" t="s">
        <v>151</v>
      </c>
      <c r="G29" s="43"/>
      <c r="H29" s="43">
        <v>800</v>
      </c>
      <c r="I29" s="43"/>
      <c r="J29" s="45" t="s">
        <v>145</v>
      </c>
      <c r="K29" s="43"/>
      <c r="L29" s="43"/>
      <c r="M29" s="43"/>
      <c r="N29" s="43"/>
      <c r="O29" s="43"/>
      <c r="P29" s="43"/>
      <c r="Q29" s="44"/>
      <c r="U29" s="68"/>
      <c r="V29" s="64" t="s">
        <v>22</v>
      </c>
      <c r="W29" s="63"/>
      <c r="X29" s="64">
        <v>3.2000000000000001E-2</v>
      </c>
      <c r="Y29" s="63"/>
      <c r="Z29" s="15"/>
      <c r="AA29" s="57"/>
    </row>
    <row r="30" spans="2:27" x14ac:dyDescent="0.2">
      <c r="B30" s="41"/>
      <c r="C30" s="43"/>
      <c r="D30" s="43"/>
      <c r="E30" s="43"/>
      <c r="F30" s="46" t="s">
        <v>158</v>
      </c>
      <c r="G30" s="43"/>
      <c r="H30" s="43">
        <v>2</v>
      </c>
      <c r="I30" s="43"/>
      <c r="J30" s="43" t="s">
        <v>146</v>
      </c>
      <c r="K30" s="43"/>
      <c r="L30" s="43">
        <v>0</v>
      </c>
      <c r="M30" s="43"/>
      <c r="N30" s="43"/>
      <c r="O30" s="43"/>
      <c r="P30" s="43"/>
      <c r="Q30" s="44"/>
      <c r="U30" s="68"/>
      <c r="V30" s="64" t="s">
        <v>21</v>
      </c>
      <c r="W30" s="63"/>
      <c r="X30" s="63">
        <f>X29*X28</f>
        <v>209.31200000000001</v>
      </c>
      <c r="Y30" s="63"/>
      <c r="Z30" s="15"/>
      <c r="AA30" s="57"/>
    </row>
    <row r="31" spans="2:27" x14ac:dyDescent="0.2">
      <c r="B31" s="41"/>
      <c r="C31" s="43"/>
      <c r="D31" s="43"/>
      <c r="E31" s="43"/>
      <c r="F31" s="43" t="s">
        <v>152</v>
      </c>
      <c r="G31" s="43"/>
      <c r="H31" s="43">
        <f>1541+600</f>
        <v>2141</v>
      </c>
      <c r="I31" s="43"/>
      <c r="J31" s="45" t="s">
        <v>147</v>
      </c>
      <c r="K31" s="43"/>
      <c r="L31" s="43"/>
      <c r="M31" s="43"/>
      <c r="N31" s="43"/>
      <c r="O31" s="43"/>
      <c r="P31" s="43"/>
      <c r="Q31" s="44"/>
      <c r="U31" s="68"/>
      <c r="V31" s="63"/>
      <c r="W31" s="63"/>
      <c r="X31" s="63"/>
      <c r="Y31" s="63"/>
      <c r="Z31" s="15"/>
      <c r="AA31" s="57"/>
    </row>
    <row r="32" spans="2:27" x14ac:dyDescent="0.2">
      <c r="B32" s="41"/>
      <c r="C32" s="43"/>
      <c r="D32" s="43"/>
      <c r="E32" s="43"/>
      <c r="F32" s="46" t="s">
        <v>158</v>
      </c>
      <c r="G32" s="43"/>
      <c r="H32" s="43">
        <v>1</v>
      </c>
      <c r="I32" s="43"/>
      <c r="J32" s="43" t="s">
        <v>146</v>
      </c>
      <c r="K32" s="43"/>
      <c r="L32" s="43">
        <v>0</v>
      </c>
      <c r="M32" s="43"/>
      <c r="N32" s="43"/>
      <c r="O32" s="43"/>
      <c r="P32" s="43"/>
      <c r="Q32" s="44"/>
      <c r="U32" s="68"/>
      <c r="V32" s="63"/>
      <c r="W32" s="63"/>
      <c r="X32" s="63"/>
      <c r="Y32" s="63"/>
      <c r="Z32" s="15"/>
      <c r="AA32" s="57"/>
    </row>
    <row r="33" spans="2:27" x14ac:dyDescent="0.2">
      <c r="B33" s="41"/>
      <c r="C33" s="43"/>
      <c r="D33" s="43"/>
      <c r="E33" s="43"/>
      <c r="F33" s="43" t="s">
        <v>153</v>
      </c>
      <c r="G33" s="43"/>
      <c r="H33" s="43"/>
      <c r="I33" s="43"/>
      <c r="J33" s="45" t="s">
        <v>155</v>
      </c>
      <c r="K33" s="43"/>
      <c r="L33" s="43"/>
      <c r="M33" s="43"/>
      <c r="N33" s="43"/>
      <c r="O33" s="43"/>
      <c r="P33" s="43"/>
      <c r="Q33" s="44"/>
      <c r="U33" s="68"/>
      <c r="V33" s="63"/>
      <c r="W33" s="63"/>
      <c r="X33" s="63"/>
      <c r="Y33" s="63"/>
      <c r="Z33" s="15"/>
      <c r="AA33" s="57"/>
    </row>
    <row r="34" spans="2:27" x14ac:dyDescent="0.2">
      <c r="B34" s="41"/>
      <c r="C34" s="43"/>
      <c r="D34" s="43"/>
      <c r="E34" s="43"/>
      <c r="F34" s="46" t="s">
        <v>158</v>
      </c>
      <c r="G34" s="43"/>
      <c r="H34" s="43">
        <f>4.3*L34</f>
        <v>0</v>
      </c>
      <c r="I34" s="43"/>
      <c r="J34" s="43" t="s">
        <v>146</v>
      </c>
      <c r="K34" s="43"/>
      <c r="L34" s="43">
        <v>0</v>
      </c>
      <c r="M34" s="43"/>
      <c r="N34" s="43"/>
      <c r="O34" s="43"/>
      <c r="P34" s="43"/>
      <c r="Q34" s="44"/>
      <c r="U34" s="68"/>
      <c r="V34" s="63"/>
      <c r="W34" s="63"/>
      <c r="X34" s="63"/>
      <c r="Y34" s="63"/>
      <c r="Z34" s="15"/>
      <c r="AA34" s="57"/>
    </row>
    <row r="35" spans="2:27" x14ac:dyDescent="0.2">
      <c r="B35" s="41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4"/>
      <c r="U35" s="68"/>
      <c r="V35" s="63"/>
      <c r="W35" s="63"/>
      <c r="X35" s="63"/>
      <c r="Y35" s="63"/>
      <c r="Z35" s="15"/>
      <c r="AA35" s="57"/>
    </row>
    <row r="36" spans="2:27" x14ac:dyDescent="0.2">
      <c r="B36" s="41"/>
      <c r="C36" s="43"/>
      <c r="D36" s="43"/>
      <c r="E36" s="42" t="s">
        <v>334</v>
      </c>
      <c r="F36" s="43" t="s">
        <v>150</v>
      </c>
      <c r="G36" s="43"/>
      <c r="H36" s="43">
        <v>8</v>
      </c>
      <c r="I36" s="43"/>
      <c r="J36" s="45" t="s">
        <v>149</v>
      </c>
      <c r="K36" s="43"/>
      <c r="L36" s="43"/>
      <c r="M36" s="43"/>
      <c r="N36" s="43"/>
      <c r="O36" s="43"/>
      <c r="P36" s="43"/>
      <c r="Q36" s="44"/>
      <c r="U36" s="68"/>
      <c r="V36" s="62" t="s">
        <v>148</v>
      </c>
      <c r="W36" s="63"/>
      <c r="X36" s="63"/>
      <c r="Y36" s="63"/>
      <c r="Z36" s="15"/>
      <c r="AA36" s="57"/>
    </row>
    <row r="37" spans="2:27" x14ac:dyDescent="0.2">
      <c r="B37" s="41"/>
      <c r="C37" s="43"/>
      <c r="D37" s="43"/>
      <c r="E37" s="43"/>
      <c r="F37" s="46" t="s">
        <v>158</v>
      </c>
      <c r="G37" s="43"/>
      <c r="H37" s="43">
        <v>4</v>
      </c>
      <c r="I37" s="43"/>
      <c r="J37" s="43" t="s">
        <v>146</v>
      </c>
      <c r="K37" s="43"/>
      <c r="L37" s="43">
        <v>0</v>
      </c>
      <c r="M37" s="43"/>
      <c r="N37" s="43"/>
      <c r="O37" s="43"/>
      <c r="P37" s="43"/>
      <c r="Q37" s="44"/>
      <c r="U37" s="68"/>
      <c r="V37" s="63" t="s">
        <v>186</v>
      </c>
      <c r="W37" s="63"/>
      <c r="X37" s="63">
        <f>H36*H37/H38+H39*H40/H41+H42*H43/H44+H45*H46/H47</f>
        <v>237</v>
      </c>
      <c r="Y37" s="63"/>
      <c r="Z37" s="15"/>
      <c r="AA37" s="57"/>
    </row>
    <row r="38" spans="2:27" x14ac:dyDescent="0.2">
      <c r="B38" s="41"/>
      <c r="C38" s="43"/>
      <c r="D38" s="43"/>
      <c r="E38" s="43"/>
      <c r="F38" s="46" t="s">
        <v>159</v>
      </c>
      <c r="G38" s="43"/>
      <c r="H38" s="43">
        <v>2</v>
      </c>
      <c r="I38" s="43"/>
      <c r="J38" s="43"/>
      <c r="K38" s="43"/>
      <c r="L38" s="43"/>
      <c r="M38" s="43"/>
      <c r="N38" s="43"/>
      <c r="O38" s="43"/>
      <c r="P38" s="43"/>
      <c r="Q38" s="44"/>
      <c r="U38" s="68"/>
      <c r="V38" s="64" t="s">
        <v>22</v>
      </c>
      <c r="W38" s="63"/>
      <c r="X38" s="63">
        <f>0.165+0.047+0.046</f>
        <v>0.25800000000000001</v>
      </c>
      <c r="Y38" s="63"/>
      <c r="Z38" s="15"/>
      <c r="AA38" s="57"/>
    </row>
    <row r="39" spans="2:27" x14ac:dyDescent="0.2">
      <c r="B39" s="41"/>
      <c r="C39" s="43"/>
      <c r="D39" s="43"/>
      <c r="E39" s="43"/>
      <c r="F39" s="43" t="s">
        <v>151</v>
      </c>
      <c r="G39" s="43"/>
      <c r="H39" s="43">
        <v>200</v>
      </c>
      <c r="I39" s="43"/>
      <c r="J39" s="45" t="s">
        <v>156</v>
      </c>
      <c r="K39" s="43"/>
      <c r="L39" s="43"/>
      <c r="M39" s="43"/>
      <c r="N39" s="43"/>
      <c r="O39" s="43"/>
      <c r="P39" s="43"/>
      <c r="Q39" s="44"/>
      <c r="U39" s="68"/>
      <c r="V39" s="64" t="s">
        <v>21</v>
      </c>
      <c r="W39" s="63"/>
      <c r="X39" s="63">
        <f>X38*X37</f>
        <v>61.146000000000001</v>
      </c>
      <c r="Y39" s="63"/>
      <c r="Z39" s="15"/>
      <c r="AA39" s="57"/>
    </row>
    <row r="40" spans="2:27" x14ac:dyDescent="0.2">
      <c r="B40" s="41"/>
      <c r="C40" s="43"/>
      <c r="D40" s="43"/>
      <c r="E40" s="43"/>
      <c r="F40" s="46" t="s">
        <v>158</v>
      </c>
      <c r="G40" s="43"/>
      <c r="H40" s="43">
        <v>2</v>
      </c>
      <c r="I40" s="43"/>
      <c r="J40" s="43" t="s">
        <v>146</v>
      </c>
      <c r="K40" s="43"/>
      <c r="L40" s="43">
        <v>0</v>
      </c>
      <c r="M40" s="43"/>
      <c r="N40" s="43"/>
      <c r="O40" s="43"/>
      <c r="P40" s="43"/>
      <c r="Q40" s="44"/>
      <c r="U40" s="68"/>
      <c r="V40" s="63"/>
      <c r="W40" s="63"/>
      <c r="X40" s="63"/>
      <c r="Y40" s="63"/>
      <c r="Z40" s="15"/>
      <c r="AA40" s="57"/>
    </row>
    <row r="41" spans="2:27" x14ac:dyDescent="0.2">
      <c r="B41" s="41"/>
      <c r="C41" s="43"/>
      <c r="D41" s="43"/>
      <c r="E41" s="43"/>
      <c r="F41" s="46" t="s">
        <v>159</v>
      </c>
      <c r="G41" s="43"/>
      <c r="H41" s="43">
        <v>2</v>
      </c>
      <c r="I41" s="43"/>
      <c r="J41" s="43"/>
      <c r="K41" s="43"/>
      <c r="L41" s="43"/>
      <c r="M41" s="43"/>
      <c r="N41" s="43"/>
      <c r="O41" s="43"/>
      <c r="P41" s="43"/>
      <c r="Q41" s="44"/>
      <c r="U41" s="68"/>
      <c r="V41" s="63"/>
      <c r="W41" s="63"/>
      <c r="X41" s="63"/>
      <c r="Y41" s="63"/>
      <c r="Z41" s="15"/>
      <c r="AA41" s="57"/>
    </row>
    <row r="42" spans="2:27" x14ac:dyDescent="0.2">
      <c r="B42" s="41"/>
      <c r="C42" s="43"/>
      <c r="D42" s="43"/>
      <c r="E42" s="43"/>
      <c r="F42" s="43" t="s">
        <v>152</v>
      </c>
      <c r="G42" s="43"/>
      <c r="H42" s="43">
        <v>35</v>
      </c>
      <c r="I42" s="43"/>
      <c r="J42" s="45" t="s">
        <v>157</v>
      </c>
      <c r="K42" s="43"/>
      <c r="L42" s="43"/>
      <c r="M42" s="43"/>
      <c r="N42" s="43"/>
      <c r="O42" s="43"/>
      <c r="P42" s="43"/>
      <c r="Q42" s="44"/>
      <c r="U42" s="68"/>
      <c r="V42" s="63"/>
      <c r="W42" s="63"/>
      <c r="X42" s="63"/>
      <c r="Y42" s="63"/>
      <c r="Z42" s="15"/>
      <c r="AA42" s="57"/>
    </row>
    <row r="43" spans="2:27" x14ac:dyDescent="0.2">
      <c r="B43" s="41"/>
      <c r="C43" s="43"/>
      <c r="D43" s="43"/>
      <c r="E43" s="43"/>
      <c r="F43" s="46" t="s">
        <v>158</v>
      </c>
      <c r="G43" s="43"/>
      <c r="H43" s="43">
        <v>3</v>
      </c>
      <c r="I43" s="43"/>
      <c r="J43" s="43" t="s">
        <v>146</v>
      </c>
      <c r="K43" s="43"/>
      <c r="L43" s="43">
        <v>0</v>
      </c>
      <c r="M43" s="43"/>
      <c r="N43" s="43"/>
      <c r="O43" s="43"/>
      <c r="P43" s="43"/>
      <c r="Q43" s="44"/>
      <c r="U43" s="68"/>
      <c r="V43" s="63"/>
      <c r="W43" s="63"/>
      <c r="X43" s="63"/>
      <c r="Y43" s="63"/>
      <c r="Z43" s="15"/>
      <c r="AA43" s="57"/>
    </row>
    <row r="44" spans="2:27" x14ac:dyDescent="0.2">
      <c r="B44" s="41"/>
      <c r="C44" s="43"/>
      <c r="D44" s="43"/>
      <c r="E44" s="43"/>
      <c r="F44" s="46" t="s">
        <v>159</v>
      </c>
      <c r="G44" s="43"/>
      <c r="H44" s="43">
        <v>5</v>
      </c>
      <c r="I44" s="43"/>
      <c r="J44" s="43"/>
      <c r="K44" s="43"/>
      <c r="L44" s="43"/>
      <c r="M44" s="43"/>
      <c r="N44" s="43"/>
      <c r="O44" s="43"/>
      <c r="P44" s="43"/>
      <c r="Q44" s="44"/>
      <c r="U44" s="68"/>
      <c r="V44" s="63"/>
      <c r="W44" s="63"/>
      <c r="X44" s="63"/>
      <c r="Y44" s="63"/>
      <c r="Z44" s="15"/>
      <c r="AA44" s="57"/>
    </row>
    <row r="45" spans="2:27" x14ac:dyDescent="0.2">
      <c r="B45" s="41"/>
      <c r="C45" s="43"/>
      <c r="D45" s="43"/>
      <c r="E45" s="43"/>
      <c r="F45" s="43" t="s">
        <v>153</v>
      </c>
      <c r="G45" s="43"/>
      <c r="H45" s="43">
        <v>0</v>
      </c>
      <c r="I45" s="43"/>
      <c r="J45" s="45" t="s">
        <v>155</v>
      </c>
      <c r="K45" s="43"/>
      <c r="L45" s="43"/>
      <c r="M45" s="43"/>
      <c r="N45" s="43"/>
      <c r="O45" s="43"/>
      <c r="P45" s="43"/>
      <c r="Q45" s="44"/>
      <c r="U45" s="68"/>
      <c r="V45" s="63"/>
      <c r="W45" s="63"/>
      <c r="X45" s="63"/>
      <c r="Y45" s="63"/>
      <c r="Z45" s="15"/>
      <c r="AA45" s="57"/>
    </row>
    <row r="46" spans="2:27" x14ac:dyDescent="0.2">
      <c r="B46" s="41"/>
      <c r="C46" s="43"/>
      <c r="D46" s="43"/>
      <c r="E46" s="43"/>
      <c r="F46" s="46" t="s">
        <v>158</v>
      </c>
      <c r="G46" s="43"/>
      <c r="H46" s="43">
        <v>0</v>
      </c>
      <c r="I46" s="43"/>
      <c r="J46" s="43" t="s">
        <v>146</v>
      </c>
      <c r="K46" s="43"/>
      <c r="L46" s="43">
        <v>0</v>
      </c>
      <c r="M46" s="43"/>
      <c r="N46" s="43"/>
      <c r="O46" s="43"/>
      <c r="P46" s="43"/>
      <c r="Q46" s="44"/>
      <c r="U46" s="68"/>
      <c r="V46" s="62" t="s">
        <v>189</v>
      </c>
      <c r="W46" s="63"/>
      <c r="X46" s="63"/>
      <c r="Y46" s="63"/>
      <c r="Z46" s="15"/>
      <c r="AA46" s="57"/>
    </row>
    <row r="47" spans="2:27" x14ac:dyDescent="0.2">
      <c r="B47" s="41"/>
      <c r="C47" s="43"/>
      <c r="D47" s="43"/>
      <c r="E47" s="43"/>
      <c r="F47" s="46" t="s">
        <v>159</v>
      </c>
      <c r="G47" s="43"/>
      <c r="H47" s="43">
        <v>1</v>
      </c>
      <c r="I47" s="43"/>
      <c r="J47" s="43"/>
      <c r="K47" s="43"/>
      <c r="L47" s="43"/>
      <c r="M47" s="43"/>
      <c r="N47" s="43"/>
      <c r="O47" s="43"/>
      <c r="P47" s="43"/>
      <c r="Q47" s="44"/>
      <c r="U47" s="68"/>
      <c r="V47" s="63" t="s">
        <v>186</v>
      </c>
      <c r="W47" s="63"/>
      <c r="X47" s="63">
        <f>H49*H50/H51+H52*H53/H54</f>
        <v>37.714285714285715</v>
      </c>
      <c r="Y47" s="63"/>
      <c r="Z47" s="15"/>
      <c r="AA47" s="57"/>
    </row>
    <row r="48" spans="2:27" x14ac:dyDescent="0.2">
      <c r="B48" s="41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4"/>
      <c r="U48" s="68"/>
      <c r="V48" s="64" t="s">
        <v>22</v>
      </c>
      <c r="W48" s="63"/>
      <c r="X48" s="63">
        <f>0.165+0.047+0.046</f>
        <v>0.25800000000000001</v>
      </c>
      <c r="Y48" s="63"/>
      <c r="Z48" s="15"/>
      <c r="AA48" s="57"/>
    </row>
    <row r="49" spans="2:27" x14ac:dyDescent="0.2">
      <c r="B49" s="41"/>
      <c r="C49" s="43"/>
      <c r="D49" s="43"/>
      <c r="E49" s="42" t="s">
        <v>160</v>
      </c>
      <c r="F49" s="43" t="s">
        <v>150</v>
      </c>
      <c r="G49" s="43"/>
      <c r="H49" s="43">
        <v>6</v>
      </c>
      <c r="I49" s="43"/>
      <c r="J49" s="45" t="s">
        <v>149</v>
      </c>
      <c r="K49" s="43"/>
      <c r="L49" s="43"/>
      <c r="M49" s="43"/>
      <c r="N49" s="43"/>
      <c r="O49" s="43"/>
      <c r="P49" s="43"/>
      <c r="Q49" s="44"/>
      <c r="U49" s="68"/>
      <c r="V49" s="64" t="s">
        <v>21</v>
      </c>
      <c r="W49" s="63"/>
      <c r="X49" s="63">
        <f>X48*X47</f>
        <v>9.7302857142857153</v>
      </c>
      <c r="Y49" s="63"/>
      <c r="Z49" s="15"/>
      <c r="AA49" s="57"/>
    </row>
    <row r="50" spans="2:27" x14ac:dyDescent="0.2">
      <c r="B50" s="41"/>
      <c r="C50" s="43"/>
      <c r="D50" s="43"/>
      <c r="E50" s="43"/>
      <c r="F50" s="46" t="s">
        <v>158</v>
      </c>
      <c r="G50" s="43"/>
      <c r="H50" s="43">
        <v>11</v>
      </c>
      <c r="I50" s="43"/>
      <c r="J50" s="43" t="s">
        <v>146</v>
      </c>
      <c r="K50" s="43"/>
      <c r="L50" s="43">
        <v>0</v>
      </c>
      <c r="M50" s="43"/>
      <c r="N50" s="43"/>
      <c r="O50" s="43"/>
      <c r="P50" s="43"/>
      <c r="Q50" s="44"/>
      <c r="U50" s="68"/>
      <c r="V50" s="63"/>
      <c r="W50" s="63"/>
      <c r="X50" s="63"/>
      <c r="Y50" s="63"/>
      <c r="Z50" s="15"/>
      <c r="AA50" s="57"/>
    </row>
    <row r="51" spans="2:27" x14ac:dyDescent="0.2">
      <c r="B51" s="41"/>
      <c r="C51" s="43"/>
      <c r="D51" s="43"/>
      <c r="E51" s="43"/>
      <c r="F51" s="46" t="s">
        <v>159</v>
      </c>
      <c r="G51" s="43"/>
      <c r="H51" s="43">
        <v>1.75</v>
      </c>
      <c r="I51" s="43"/>
      <c r="J51" s="43"/>
      <c r="K51" s="43"/>
      <c r="L51" s="43"/>
      <c r="M51" s="43"/>
      <c r="N51" s="43"/>
      <c r="O51" s="43"/>
      <c r="P51" s="43"/>
      <c r="Q51" s="44"/>
      <c r="U51" s="68"/>
      <c r="V51" s="63"/>
      <c r="W51" s="63"/>
      <c r="X51" s="63"/>
      <c r="Y51" s="63"/>
      <c r="Z51" s="15"/>
      <c r="AA51" s="57"/>
    </row>
    <row r="52" spans="2:27" x14ac:dyDescent="0.2">
      <c r="B52" s="41"/>
      <c r="C52" s="43"/>
      <c r="D52" s="43"/>
      <c r="E52" s="43"/>
      <c r="F52" s="43" t="s">
        <v>151</v>
      </c>
      <c r="G52" s="43"/>
      <c r="H52" s="43">
        <v>0</v>
      </c>
      <c r="I52" s="43"/>
      <c r="J52" s="45" t="s">
        <v>155</v>
      </c>
      <c r="K52" s="43"/>
      <c r="L52" s="43"/>
      <c r="M52" s="43"/>
      <c r="N52" s="43"/>
      <c r="O52" s="43"/>
      <c r="P52" s="43"/>
      <c r="Q52" s="44"/>
      <c r="U52" s="68"/>
      <c r="V52" s="62" t="s">
        <v>31</v>
      </c>
      <c r="W52" s="63"/>
      <c r="X52" s="63"/>
      <c r="Y52" s="63"/>
      <c r="Z52" s="15"/>
      <c r="AA52" s="57"/>
    </row>
    <row r="53" spans="2:27" x14ac:dyDescent="0.2">
      <c r="B53" s="41"/>
      <c r="C53" s="43"/>
      <c r="D53" s="43"/>
      <c r="E53" s="43"/>
      <c r="F53" s="46" t="s">
        <v>158</v>
      </c>
      <c r="G53" s="43"/>
      <c r="H53" s="43">
        <v>0</v>
      </c>
      <c r="I53" s="43"/>
      <c r="J53" s="43" t="s">
        <v>146</v>
      </c>
      <c r="K53" s="43"/>
      <c r="L53" s="43">
        <v>0</v>
      </c>
      <c r="M53" s="43"/>
      <c r="N53" s="43"/>
      <c r="O53" s="43"/>
      <c r="P53" s="43"/>
      <c r="Q53" s="44"/>
      <c r="U53" s="68"/>
      <c r="V53" s="63" t="s">
        <v>186</v>
      </c>
      <c r="W53" s="63"/>
      <c r="X53" s="63">
        <f>H56*H57/H58</f>
        <v>0</v>
      </c>
      <c r="Y53" s="63"/>
      <c r="Z53" s="15"/>
      <c r="AA53" s="57"/>
    </row>
    <row r="54" spans="2:27" x14ac:dyDescent="0.2">
      <c r="B54" s="41"/>
      <c r="C54" s="43"/>
      <c r="D54" s="43"/>
      <c r="E54" s="43"/>
      <c r="F54" s="46" t="s">
        <v>159</v>
      </c>
      <c r="G54" s="43"/>
      <c r="H54" s="43">
        <v>1</v>
      </c>
      <c r="I54" s="43"/>
      <c r="J54" s="43"/>
      <c r="K54" s="43"/>
      <c r="L54" s="43"/>
      <c r="M54" s="43"/>
      <c r="N54" s="43"/>
      <c r="O54" s="43"/>
      <c r="P54" s="43"/>
      <c r="Q54" s="44"/>
      <c r="U54" s="68"/>
      <c r="V54" s="64" t="s">
        <v>22</v>
      </c>
      <c r="W54" s="63"/>
      <c r="X54" s="63">
        <f>0.038+0.065+0.027</f>
        <v>0.13</v>
      </c>
      <c r="Y54" s="63"/>
      <c r="Z54" s="15"/>
      <c r="AA54" s="57"/>
    </row>
    <row r="55" spans="2:27" x14ac:dyDescent="0.2">
      <c r="B55" s="41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4"/>
      <c r="U55" s="68"/>
      <c r="V55" s="64" t="s">
        <v>21</v>
      </c>
      <c r="W55" s="63"/>
      <c r="X55" s="63">
        <f>X54*X53</f>
        <v>0</v>
      </c>
      <c r="Y55" s="63"/>
      <c r="Z55" s="15"/>
      <c r="AA55" s="57"/>
    </row>
    <row r="56" spans="2:27" x14ac:dyDescent="0.2">
      <c r="B56" s="41"/>
      <c r="C56" s="43"/>
      <c r="D56" s="43"/>
      <c r="E56" s="42" t="s">
        <v>31</v>
      </c>
      <c r="F56" s="43" t="s">
        <v>150</v>
      </c>
      <c r="G56" s="43"/>
      <c r="H56" s="43">
        <v>6</v>
      </c>
      <c r="I56" s="43"/>
      <c r="J56" s="45" t="s">
        <v>149</v>
      </c>
      <c r="K56" s="43"/>
      <c r="L56" s="43"/>
      <c r="M56" s="43"/>
      <c r="N56" s="43"/>
      <c r="O56" s="43"/>
      <c r="P56" s="43"/>
      <c r="Q56" s="44"/>
      <c r="U56" s="68"/>
      <c r="V56" s="64"/>
      <c r="W56" s="64"/>
      <c r="X56" s="64"/>
      <c r="Y56" s="63"/>
      <c r="Z56" s="15"/>
      <c r="AA56" s="57"/>
    </row>
    <row r="57" spans="2:27" x14ac:dyDescent="0.2">
      <c r="B57" s="41"/>
      <c r="C57" s="43"/>
      <c r="D57" s="43"/>
      <c r="E57" s="43"/>
      <c r="F57" s="46" t="s">
        <v>158</v>
      </c>
      <c r="G57" s="43"/>
      <c r="H57" s="43">
        <v>0</v>
      </c>
      <c r="I57" s="43"/>
      <c r="J57" s="43" t="s">
        <v>146</v>
      </c>
      <c r="K57" s="43"/>
      <c r="L57" s="43">
        <v>0</v>
      </c>
      <c r="M57" s="43"/>
      <c r="N57" s="43"/>
      <c r="O57" s="43"/>
      <c r="P57" s="43"/>
      <c r="Q57" s="44"/>
      <c r="U57" s="68"/>
      <c r="V57" s="62" t="s">
        <v>26</v>
      </c>
      <c r="W57" s="63"/>
      <c r="X57" s="63"/>
      <c r="Y57" s="63"/>
      <c r="Z57" s="15"/>
      <c r="AA57" s="57"/>
    </row>
    <row r="58" spans="2:27" x14ac:dyDescent="0.2">
      <c r="B58" s="41"/>
      <c r="C58" s="43"/>
      <c r="D58" s="43"/>
      <c r="E58" s="43"/>
      <c r="F58" s="46" t="s">
        <v>159</v>
      </c>
      <c r="G58" s="43"/>
      <c r="H58" s="43">
        <v>1</v>
      </c>
      <c r="I58" s="43"/>
      <c r="J58" s="43"/>
      <c r="K58" s="43"/>
      <c r="L58" s="43"/>
      <c r="M58" s="43"/>
      <c r="N58" s="43"/>
      <c r="O58" s="43"/>
      <c r="P58" s="43"/>
      <c r="Q58" s="44"/>
      <c r="U58" s="68"/>
      <c r="V58" s="63" t="s">
        <v>190</v>
      </c>
      <c r="W58" s="63"/>
      <c r="X58" s="63">
        <f>H60+H61+H62+H63</f>
        <v>215.2</v>
      </c>
      <c r="Y58" s="63"/>
      <c r="Z58" s="15"/>
      <c r="AA58" s="57"/>
    </row>
    <row r="59" spans="2:27" x14ac:dyDescent="0.2">
      <c r="B59" s="41"/>
      <c r="C59" s="43"/>
      <c r="D59" s="43"/>
      <c r="E59" s="43"/>
      <c r="F59" s="43"/>
      <c r="G59" s="43"/>
      <c r="H59" s="43"/>
      <c r="I59" s="43"/>
      <c r="J59" s="45"/>
      <c r="K59" s="43"/>
      <c r="L59" s="43"/>
      <c r="M59" s="43"/>
      <c r="N59" s="43"/>
      <c r="O59" s="43"/>
      <c r="P59" s="43"/>
      <c r="Q59" s="44"/>
      <c r="U59" s="68"/>
      <c r="V59" s="63"/>
      <c r="W59" s="63"/>
      <c r="X59" s="63"/>
      <c r="Y59" s="63"/>
      <c r="Z59" s="15"/>
      <c r="AA59" s="57"/>
    </row>
    <row r="60" spans="2:27" x14ac:dyDescent="0.2">
      <c r="B60" s="41"/>
      <c r="C60" s="43"/>
      <c r="D60" s="43"/>
      <c r="E60" s="42" t="s">
        <v>26</v>
      </c>
      <c r="F60" s="46" t="s">
        <v>162</v>
      </c>
      <c r="G60" s="43"/>
      <c r="H60" s="43">
        <v>215.2</v>
      </c>
      <c r="I60" s="43"/>
      <c r="J60" s="45" t="s">
        <v>163</v>
      </c>
      <c r="K60" s="43"/>
      <c r="L60" s="47" t="s">
        <v>167</v>
      </c>
      <c r="M60" s="43"/>
      <c r="N60" s="43"/>
      <c r="O60" s="43"/>
      <c r="P60" s="43"/>
      <c r="Q60" s="44"/>
      <c r="U60" s="68"/>
      <c r="V60" s="62" t="s">
        <v>194</v>
      </c>
      <c r="W60" s="63"/>
      <c r="X60" s="63"/>
      <c r="Y60" s="63"/>
      <c r="Z60" s="15"/>
      <c r="AA60" s="57"/>
    </row>
    <row r="61" spans="2:27" x14ac:dyDescent="0.2">
      <c r="B61" s="41"/>
      <c r="C61" s="43"/>
      <c r="D61" s="43"/>
      <c r="E61" s="43"/>
      <c r="F61" s="46" t="s">
        <v>164</v>
      </c>
      <c r="G61" s="43"/>
      <c r="H61" s="43">
        <v>0</v>
      </c>
      <c r="I61" s="43"/>
      <c r="J61" s="45" t="s">
        <v>155</v>
      </c>
      <c r="K61" s="43"/>
      <c r="L61" s="47" t="s">
        <v>168</v>
      </c>
      <c r="M61" s="43"/>
      <c r="N61" s="43"/>
      <c r="O61" s="43"/>
      <c r="P61" s="43"/>
      <c r="Q61" s="44"/>
      <c r="U61" s="68"/>
      <c r="V61" s="63" t="s">
        <v>186</v>
      </c>
      <c r="W61" s="63"/>
      <c r="X61" s="63">
        <f>H65+H66</f>
        <v>400</v>
      </c>
      <c r="Y61" s="63"/>
      <c r="Z61" s="15"/>
      <c r="AA61" s="57"/>
    </row>
    <row r="62" spans="2:27" x14ac:dyDescent="0.2">
      <c r="B62" s="41"/>
      <c r="C62" s="43"/>
      <c r="D62" s="43"/>
      <c r="E62" s="43"/>
      <c r="F62" s="46" t="s">
        <v>165</v>
      </c>
      <c r="G62" s="43"/>
      <c r="H62" s="43">
        <v>0</v>
      </c>
      <c r="I62" s="43"/>
      <c r="J62" s="45" t="s">
        <v>155</v>
      </c>
      <c r="K62" s="43"/>
      <c r="L62" s="43"/>
      <c r="M62" s="43"/>
      <c r="N62" s="43"/>
      <c r="O62" s="43"/>
      <c r="P62" s="43"/>
      <c r="Q62" s="44"/>
      <c r="U62" s="68"/>
      <c r="V62" s="63" t="s">
        <v>195</v>
      </c>
      <c r="W62" s="63"/>
      <c r="X62" s="74">
        <v>0.15145</v>
      </c>
      <c r="Y62" s="63"/>
      <c r="Z62" s="15"/>
      <c r="AA62" s="57"/>
    </row>
    <row r="63" spans="2:27" x14ac:dyDescent="0.2">
      <c r="B63" s="41"/>
      <c r="C63" s="43"/>
      <c r="D63" s="43"/>
      <c r="E63" s="43"/>
      <c r="F63" s="46" t="s">
        <v>166</v>
      </c>
      <c r="G63" s="43"/>
      <c r="H63" s="43">
        <v>0</v>
      </c>
      <c r="I63" s="43"/>
      <c r="J63" s="45" t="s">
        <v>155</v>
      </c>
      <c r="K63" s="43"/>
      <c r="L63" s="43"/>
      <c r="M63" s="43"/>
      <c r="N63" s="43"/>
      <c r="O63" s="43"/>
      <c r="P63" s="43"/>
      <c r="Q63" s="44"/>
      <c r="U63" s="68"/>
      <c r="V63" s="64" t="s">
        <v>21</v>
      </c>
      <c r="W63" s="63"/>
      <c r="X63" s="63">
        <f>X62*X61</f>
        <v>60.58</v>
      </c>
      <c r="Y63" s="63"/>
      <c r="Z63" s="15"/>
      <c r="AA63" s="57"/>
    </row>
    <row r="64" spans="2:27" x14ac:dyDescent="0.2">
      <c r="B64" s="41"/>
      <c r="C64" s="43"/>
      <c r="D64" s="43"/>
      <c r="E64" s="43"/>
      <c r="F64" s="46"/>
      <c r="G64" s="43"/>
      <c r="H64" s="43"/>
      <c r="I64" s="43"/>
      <c r="J64" s="45"/>
      <c r="K64" s="43"/>
      <c r="L64" s="43"/>
      <c r="M64" s="43"/>
      <c r="N64" s="43"/>
      <c r="O64" s="43"/>
      <c r="P64" s="43"/>
      <c r="Q64" s="44"/>
      <c r="U64" s="68"/>
      <c r="V64" s="64"/>
      <c r="W64" s="64"/>
      <c r="X64" s="64"/>
      <c r="Y64" s="63"/>
      <c r="Z64" s="15"/>
      <c r="AA64" s="57"/>
    </row>
    <row r="65" spans="2:27" x14ac:dyDescent="0.2">
      <c r="B65" s="41"/>
      <c r="C65" s="43"/>
      <c r="D65" s="43"/>
      <c r="E65" s="42" t="s">
        <v>169</v>
      </c>
      <c r="F65" s="43" t="s">
        <v>170</v>
      </c>
      <c r="G65" s="43"/>
      <c r="H65" s="43">
        <v>400</v>
      </c>
      <c r="I65" s="43"/>
      <c r="J65" s="45" t="s">
        <v>196</v>
      </c>
      <c r="K65" s="43"/>
      <c r="L65" s="43"/>
      <c r="M65" s="43"/>
      <c r="N65" s="43"/>
      <c r="O65" s="43"/>
      <c r="P65" s="43"/>
      <c r="Q65" s="44"/>
      <c r="U65" s="68"/>
      <c r="V65" s="64"/>
      <c r="W65" s="64"/>
      <c r="X65" s="64"/>
      <c r="Y65" s="63"/>
      <c r="Z65" s="15"/>
      <c r="AA65" s="57"/>
    </row>
    <row r="66" spans="2:27" x14ac:dyDescent="0.2">
      <c r="B66" s="41"/>
      <c r="C66" s="43"/>
      <c r="D66" s="43"/>
      <c r="E66" s="43"/>
      <c r="F66" s="43" t="s">
        <v>171</v>
      </c>
      <c r="G66" s="43"/>
      <c r="H66" s="43">
        <v>0</v>
      </c>
      <c r="I66" s="43"/>
      <c r="J66" s="45" t="s">
        <v>155</v>
      </c>
      <c r="K66" s="43"/>
      <c r="L66" s="43"/>
      <c r="M66" s="43"/>
      <c r="N66" s="43"/>
      <c r="O66" s="43"/>
      <c r="P66" s="43"/>
      <c r="Q66" s="44"/>
      <c r="U66" s="68"/>
      <c r="V66" s="63" t="s">
        <v>179</v>
      </c>
      <c r="W66" s="64"/>
      <c r="X66" s="64">
        <f>X23+X30+X39+X49+X55+X63+X58</f>
        <v>578.24028571428573</v>
      </c>
      <c r="Y66" s="63"/>
      <c r="Z66" s="15"/>
      <c r="AA66" s="57"/>
    </row>
    <row r="67" spans="2:27" x14ac:dyDescent="0.2">
      <c r="B67" s="41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4"/>
      <c r="U67" s="68"/>
      <c r="V67" s="63"/>
      <c r="W67" s="63"/>
      <c r="X67" s="63"/>
      <c r="Y67" s="63"/>
      <c r="Z67" s="15"/>
      <c r="AA67" s="57"/>
    </row>
    <row r="68" spans="2:27" ht="17" thickBot="1" x14ac:dyDescent="0.25">
      <c r="B68" s="48"/>
      <c r="C68" s="49"/>
      <c r="D68" s="49"/>
      <c r="E68" s="49"/>
      <c r="F68" s="49" t="s">
        <v>223</v>
      </c>
      <c r="G68" s="49"/>
      <c r="H68" s="73">
        <f>X66/1000</f>
        <v>0.57824028571428576</v>
      </c>
      <c r="I68" s="49"/>
      <c r="J68" s="49"/>
      <c r="K68" s="49"/>
      <c r="L68" s="49"/>
      <c r="M68" s="49"/>
      <c r="N68" s="49"/>
      <c r="O68" s="49"/>
      <c r="P68" s="49"/>
      <c r="Q68" s="50"/>
      <c r="U68" s="58"/>
      <c r="V68" s="59"/>
      <c r="W68" s="59"/>
      <c r="X68" s="59"/>
      <c r="Y68" s="59"/>
      <c r="Z68" s="59"/>
      <c r="AA68" s="60"/>
    </row>
    <row r="69" spans="2:27" x14ac:dyDescent="0.2">
      <c r="B69" s="75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7"/>
      <c r="U69" s="53"/>
      <c r="V69" s="54"/>
      <c r="W69" s="54"/>
      <c r="X69" s="54"/>
      <c r="Y69" s="54"/>
      <c r="Z69" s="54"/>
      <c r="AA69" s="55"/>
    </row>
    <row r="70" spans="2:27" x14ac:dyDescent="0.2">
      <c r="B70" s="78"/>
      <c r="C70" s="79" t="s">
        <v>172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1"/>
      <c r="U70" s="56"/>
      <c r="V70" s="62" t="s">
        <v>247</v>
      </c>
      <c r="W70" s="15"/>
      <c r="X70" s="15"/>
      <c r="Y70" s="15"/>
      <c r="Z70" s="15"/>
      <c r="AA70" s="57"/>
    </row>
    <row r="71" spans="2:27" x14ac:dyDescent="0.2">
      <c r="B71" s="78"/>
      <c r="C71" s="80"/>
      <c r="D71" s="80"/>
      <c r="E71" s="79" t="s">
        <v>173</v>
      </c>
      <c r="F71" s="80" t="s">
        <v>174</v>
      </c>
      <c r="G71" s="80"/>
      <c r="H71" s="92" t="s">
        <v>175</v>
      </c>
      <c r="I71" s="80"/>
      <c r="J71" s="82" t="s">
        <v>245</v>
      </c>
      <c r="K71" s="80"/>
      <c r="L71" s="80"/>
      <c r="M71" s="80"/>
      <c r="N71" s="80"/>
      <c r="O71" s="80"/>
      <c r="P71" s="80"/>
      <c r="Q71" s="81"/>
      <c r="U71" s="56"/>
      <c r="V71" s="52"/>
      <c r="W71" s="52"/>
      <c r="X71" s="52"/>
      <c r="Y71" s="52"/>
      <c r="Z71" s="52"/>
      <c r="AA71" s="57"/>
    </row>
    <row r="72" spans="2:27" x14ac:dyDescent="0.2">
      <c r="B72" s="78"/>
      <c r="C72" s="80"/>
      <c r="D72" s="80"/>
      <c r="E72" s="80"/>
      <c r="F72" s="80" t="s">
        <v>176</v>
      </c>
      <c r="G72" s="80"/>
      <c r="H72" s="92" t="s">
        <v>175</v>
      </c>
      <c r="I72" s="80"/>
      <c r="J72" s="82" t="s">
        <v>245</v>
      </c>
      <c r="K72" s="80"/>
      <c r="L72" s="80"/>
      <c r="M72" s="80"/>
      <c r="N72" s="80"/>
      <c r="O72" s="80"/>
      <c r="P72" s="80"/>
      <c r="Q72" s="81"/>
      <c r="U72" s="56"/>
      <c r="V72" s="64"/>
      <c r="W72" s="64"/>
      <c r="X72" s="116" t="s">
        <v>268</v>
      </c>
      <c r="Y72" s="117" t="s">
        <v>263</v>
      </c>
      <c r="Z72" s="15"/>
      <c r="AA72" s="57"/>
    </row>
    <row r="73" spans="2:27" x14ac:dyDescent="0.2">
      <c r="B73" s="78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1"/>
      <c r="U73" s="56"/>
      <c r="V73" s="63"/>
      <c r="W73" s="63"/>
      <c r="X73" s="64"/>
      <c r="Y73" s="63">
        <f>Hintergrund!H44</f>
        <v>1690</v>
      </c>
      <c r="Z73" s="15"/>
      <c r="AA73" s="57"/>
    </row>
    <row r="74" spans="2:27" x14ac:dyDescent="0.2">
      <c r="B74" s="78"/>
      <c r="C74" s="80"/>
      <c r="D74" s="80"/>
      <c r="E74" s="80"/>
      <c r="F74" s="90" t="s">
        <v>225</v>
      </c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1"/>
      <c r="U74" s="56"/>
      <c r="V74" s="64"/>
      <c r="W74" s="63"/>
      <c r="X74" s="64"/>
      <c r="Y74" s="63"/>
      <c r="Z74" s="15"/>
      <c r="AA74" s="57"/>
    </row>
    <row r="75" spans="2:27" x14ac:dyDescent="0.2">
      <c r="B75" s="78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1"/>
      <c r="U75" s="56"/>
      <c r="V75" s="63" t="s">
        <v>261</v>
      </c>
      <c r="W75" s="63"/>
      <c r="X75" s="118">
        <f>H77*Hintergrund!G61</f>
        <v>25.287499999999998</v>
      </c>
      <c r="Y75" s="119">
        <f>X75*Hintergrund!F55</f>
        <v>157.49054999999998</v>
      </c>
      <c r="Z75" s="15"/>
      <c r="AA75" s="57"/>
    </row>
    <row r="76" spans="2:27" x14ac:dyDescent="0.2">
      <c r="B76" s="78"/>
      <c r="C76" s="80"/>
      <c r="D76" s="80"/>
      <c r="E76" s="79" t="s">
        <v>213</v>
      </c>
      <c r="F76" s="80"/>
      <c r="G76" s="80"/>
      <c r="H76" s="80"/>
      <c r="I76" s="80"/>
      <c r="J76" s="82" t="s">
        <v>214</v>
      </c>
      <c r="K76" s="80"/>
      <c r="L76" s="80"/>
      <c r="M76" s="80"/>
      <c r="N76" s="80"/>
      <c r="O76" s="80"/>
      <c r="P76" s="80"/>
      <c r="Q76" s="81"/>
      <c r="U76" s="56"/>
      <c r="V76" s="120" t="s">
        <v>249</v>
      </c>
      <c r="W76" s="63"/>
      <c r="X76" s="63"/>
      <c r="Y76" s="119">
        <f>(X75*H79*Hintergrund!F54)+('Emissions Sebastian 2020'!H80*'Emissions Sebastian 2020'!X75*Hintergrund!F70)</f>
        <v>424.8350575</v>
      </c>
      <c r="Z76" s="15"/>
      <c r="AA76" s="57"/>
    </row>
    <row r="77" spans="2:27" x14ac:dyDescent="0.2">
      <c r="B77" s="78"/>
      <c r="C77" s="80"/>
      <c r="D77" s="80"/>
      <c r="E77" s="80"/>
      <c r="F77" s="80" t="s">
        <v>198</v>
      </c>
      <c r="G77" s="80"/>
      <c r="H77" s="109">
        <v>0.85</v>
      </c>
      <c r="I77" s="80"/>
      <c r="J77" s="80"/>
      <c r="K77" s="80"/>
      <c r="L77" s="80"/>
      <c r="M77" s="80"/>
      <c r="N77" s="80"/>
      <c r="O77" s="80"/>
      <c r="P77" s="80"/>
      <c r="Q77" s="81"/>
      <c r="U77" s="56"/>
      <c r="V77" s="121" t="s">
        <v>266</v>
      </c>
      <c r="W77" s="63"/>
      <c r="X77" s="63"/>
      <c r="Y77" s="119">
        <f>Y76-Y75</f>
        <v>267.34450750000002</v>
      </c>
      <c r="Z77" s="15"/>
      <c r="AA77" s="57"/>
    </row>
    <row r="78" spans="2:27" x14ac:dyDescent="0.2">
      <c r="B78" s="78"/>
      <c r="C78" s="80"/>
      <c r="D78" s="80"/>
      <c r="E78" s="80"/>
      <c r="F78" s="80" t="s">
        <v>262</v>
      </c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1"/>
      <c r="U78" s="56"/>
      <c r="V78" s="64"/>
      <c r="W78" s="63"/>
      <c r="X78" s="63"/>
      <c r="Y78" s="63"/>
      <c r="Z78" s="15"/>
      <c r="AA78" s="57"/>
    </row>
    <row r="79" spans="2:27" x14ac:dyDescent="0.2">
      <c r="B79" s="78"/>
      <c r="C79" s="80"/>
      <c r="D79" s="80"/>
      <c r="E79" s="80"/>
      <c r="F79" s="83" t="s">
        <v>200</v>
      </c>
      <c r="G79" s="80"/>
      <c r="H79" s="109">
        <v>0.9</v>
      </c>
      <c r="I79" s="80"/>
      <c r="J79" s="80"/>
      <c r="K79" s="80"/>
      <c r="L79" s="80"/>
      <c r="M79" s="80"/>
      <c r="N79" s="80"/>
      <c r="O79" s="80"/>
      <c r="P79" s="80"/>
      <c r="Q79" s="81"/>
      <c r="U79" s="56"/>
      <c r="V79" s="63" t="s">
        <v>250</v>
      </c>
      <c r="W79" s="63"/>
      <c r="X79" s="63">
        <f>H82*(Hintergrund!G60-Hintergrund!G61)</f>
        <v>0</v>
      </c>
      <c r="Y79" s="63">
        <f>X79*Hintergrund!F60</f>
        <v>0</v>
      </c>
      <c r="Z79" s="15"/>
      <c r="AA79" s="57"/>
    </row>
    <row r="80" spans="2:27" x14ac:dyDescent="0.2">
      <c r="B80" s="78"/>
      <c r="C80" s="80"/>
      <c r="D80" s="80"/>
      <c r="E80" s="80"/>
      <c r="F80" s="112" t="s">
        <v>201</v>
      </c>
      <c r="G80" s="113"/>
      <c r="H80" s="114">
        <v>0.1</v>
      </c>
      <c r="I80" s="80"/>
      <c r="J80" s="80"/>
      <c r="K80" s="80"/>
      <c r="L80" s="80"/>
      <c r="M80" s="80"/>
      <c r="N80" s="80"/>
      <c r="O80" s="80"/>
      <c r="P80" s="80"/>
      <c r="Q80" s="81"/>
      <c r="U80" s="56"/>
      <c r="V80" s="120" t="s">
        <v>249</v>
      </c>
      <c r="W80" s="63"/>
      <c r="X80" s="63"/>
      <c r="Y80" s="63">
        <f>X79*(H84*Hintergrund!F56+'Emissions Sebastian 2020'!H85*Hintergrund!F69+'Emissions Sebastian 2020'!H86*Hintergrund!F70+'Emissions Sebastian 2020'!H87*Hintergrund!F72+'Emissions Sebastian 2020'!H88*Hintergrund!F54+'Emissions Sebastian 2020'!H89*Hintergrund!F73)</f>
        <v>0</v>
      </c>
      <c r="Z80" s="15"/>
      <c r="AA80" s="57"/>
    </row>
    <row r="81" spans="2:27" x14ac:dyDescent="0.2">
      <c r="B81" s="78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1"/>
      <c r="U81" s="56"/>
      <c r="V81" s="121" t="s">
        <v>266</v>
      </c>
      <c r="W81" s="63"/>
      <c r="X81" s="63"/>
      <c r="Y81" s="63"/>
      <c r="Z81" s="15"/>
      <c r="AA81" s="57"/>
    </row>
    <row r="82" spans="2:27" x14ac:dyDescent="0.2">
      <c r="B82" s="78"/>
      <c r="C82" s="80"/>
      <c r="D82" s="80"/>
      <c r="E82" s="80"/>
      <c r="F82" s="80" t="s">
        <v>251</v>
      </c>
      <c r="G82" s="80"/>
      <c r="H82" s="110">
        <v>0</v>
      </c>
      <c r="I82" s="80"/>
      <c r="J82" s="82" t="s">
        <v>226</v>
      </c>
      <c r="K82" s="80"/>
      <c r="L82" s="80"/>
      <c r="M82" s="80"/>
      <c r="N82" s="80"/>
      <c r="O82" s="80"/>
      <c r="P82" s="80"/>
      <c r="Q82" s="81"/>
      <c r="U82" s="56"/>
      <c r="V82" s="64"/>
      <c r="W82" s="63"/>
      <c r="X82" s="63"/>
      <c r="Y82" s="63"/>
      <c r="Z82" s="15"/>
      <c r="AA82" s="57"/>
    </row>
    <row r="83" spans="2:27" x14ac:dyDescent="0.2">
      <c r="B83" s="78"/>
      <c r="C83" s="80"/>
      <c r="D83" s="80"/>
      <c r="E83" s="80"/>
      <c r="F83" s="80" t="s">
        <v>262</v>
      </c>
      <c r="G83" s="80"/>
      <c r="H83" s="80"/>
      <c r="I83" s="80"/>
      <c r="J83" s="84" t="s">
        <v>206</v>
      </c>
      <c r="K83" s="80"/>
      <c r="L83" s="109">
        <v>0.15</v>
      </c>
      <c r="M83" s="80"/>
      <c r="N83" s="80"/>
      <c r="O83" s="80"/>
      <c r="P83" s="80"/>
      <c r="Q83" s="81"/>
      <c r="U83" s="56"/>
      <c r="V83" s="63" t="s">
        <v>252</v>
      </c>
      <c r="W83" s="63"/>
      <c r="X83" s="63">
        <f>L83*Hintergrund!G52</f>
        <v>1.5</v>
      </c>
      <c r="Y83" s="63">
        <f>X83*Hintergrund!F52</f>
        <v>52.354124999999996</v>
      </c>
      <c r="Z83" s="15"/>
      <c r="AA83" s="57"/>
    </row>
    <row r="84" spans="2:27" x14ac:dyDescent="0.2">
      <c r="B84" s="78"/>
      <c r="C84" s="80"/>
      <c r="D84" s="80"/>
      <c r="E84" s="80"/>
      <c r="F84" s="83" t="s">
        <v>202</v>
      </c>
      <c r="G84" s="80"/>
      <c r="H84" s="110">
        <v>0</v>
      </c>
      <c r="I84" s="80"/>
      <c r="J84" s="84" t="s">
        <v>199</v>
      </c>
      <c r="K84" s="80"/>
      <c r="L84" s="80"/>
      <c r="M84" s="80"/>
      <c r="N84" s="80"/>
      <c r="O84" s="80"/>
      <c r="P84" s="80"/>
      <c r="Q84" s="81"/>
      <c r="U84" s="56"/>
      <c r="V84" s="120" t="s">
        <v>249</v>
      </c>
      <c r="W84" s="63"/>
      <c r="X84" s="63"/>
      <c r="Y84" s="63">
        <f>X83*(L85*Hintergrund!$F$56+'Emissions Sebastian 2020'!L86*Hintergrund!$F$55+'Emissions Sebastian 2020'!L87*Hintergrund!$F$68+'Emissions Sebastian 2020'!L88*Hintergrund!$F$69+'Emissions Sebastian 2020'!L89*Hintergrund!$F$54+'Emissions Sebastian 2020'!L90*Hintergrund!$F$72+'Emissions Sebastian 2020'!L91*Hintergrund!$F$73)</f>
        <v>5.0388000000000002</v>
      </c>
      <c r="Z84" s="15"/>
      <c r="AA84" s="57"/>
    </row>
    <row r="85" spans="2:27" x14ac:dyDescent="0.2">
      <c r="B85" s="78"/>
      <c r="C85" s="80"/>
      <c r="D85" s="80"/>
      <c r="E85" s="80"/>
      <c r="F85" s="83" t="s">
        <v>212</v>
      </c>
      <c r="G85" s="80"/>
      <c r="H85" s="110">
        <v>0</v>
      </c>
      <c r="I85" s="80"/>
      <c r="J85" s="85" t="s">
        <v>202</v>
      </c>
      <c r="K85" s="80"/>
      <c r="L85" s="110">
        <v>0</v>
      </c>
      <c r="M85" s="80"/>
      <c r="N85" s="80"/>
      <c r="O85" s="80"/>
      <c r="P85" s="80"/>
      <c r="Q85" s="81"/>
      <c r="U85" s="56"/>
      <c r="V85" s="121" t="s">
        <v>266</v>
      </c>
      <c r="W85" s="63"/>
      <c r="X85" s="63"/>
      <c r="Y85" s="63">
        <f>Y84-Y83</f>
        <v>-47.315324999999994</v>
      </c>
      <c r="Z85" s="15"/>
      <c r="AA85" s="57"/>
    </row>
    <row r="86" spans="2:27" x14ac:dyDescent="0.2">
      <c r="B86" s="78"/>
      <c r="C86" s="80"/>
      <c r="D86" s="80"/>
      <c r="E86" s="80"/>
      <c r="F86" s="83" t="s">
        <v>204</v>
      </c>
      <c r="G86" s="80"/>
      <c r="H86" s="110">
        <v>0</v>
      </c>
      <c r="I86" s="80"/>
      <c r="J86" s="85" t="s">
        <v>203</v>
      </c>
      <c r="K86" s="80"/>
      <c r="L86" s="110">
        <v>0</v>
      </c>
      <c r="M86" s="80"/>
      <c r="N86" s="80"/>
      <c r="O86" s="80"/>
      <c r="P86" s="80"/>
      <c r="Q86" s="81"/>
      <c r="U86" s="56"/>
      <c r="V86" s="64"/>
      <c r="W86" s="63"/>
      <c r="X86" s="63"/>
      <c r="Y86" s="63"/>
      <c r="Z86" s="15"/>
      <c r="AA86" s="57"/>
    </row>
    <row r="87" spans="2:27" x14ac:dyDescent="0.2">
      <c r="B87" s="78"/>
      <c r="C87" s="80"/>
      <c r="D87" s="80"/>
      <c r="E87" s="80"/>
      <c r="F87" s="83" t="s">
        <v>220</v>
      </c>
      <c r="G87" s="80"/>
      <c r="H87" s="110">
        <v>0</v>
      </c>
      <c r="I87" s="80"/>
      <c r="J87" s="85" t="s">
        <v>204</v>
      </c>
      <c r="K87" s="80"/>
      <c r="L87" s="110">
        <v>0</v>
      </c>
      <c r="M87" s="80"/>
      <c r="N87" s="80"/>
      <c r="O87" s="80"/>
      <c r="P87" s="80"/>
      <c r="Q87" s="81"/>
      <c r="U87" s="56"/>
      <c r="V87" s="63" t="s">
        <v>253</v>
      </c>
      <c r="W87" s="63"/>
      <c r="X87" s="63">
        <f>L93*Hintergrund!G53*Hintergrund!I62</f>
        <v>0</v>
      </c>
      <c r="Y87" s="63">
        <f>X87*Hintergrund!F53</f>
        <v>0</v>
      </c>
      <c r="Z87" s="15"/>
      <c r="AA87" s="57"/>
    </row>
    <row r="88" spans="2:27" x14ac:dyDescent="0.2">
      <c r="B88" s="78"/>
      <c r="C88" s="80"/>
      <c r="D88" s="80"/>
      <c r="E88" s="80"/>
      <c r="F88" s="83" t="s">
        <v>200</v>
      </c>
      <c r="G88" s="80"/>
      <c r="H88" s="110">
        <v>0</v>
      </c>
      <c r="I88" s="80"/>
      <c r="J88" s="85" t="s">
        <v>212</v>
      </c>
      <c r="K88" s="80"/>
      <c r="L88" s="110">
        <v>1</v>
      </c>
      <c r="M88" s="80"/>
      <c r="N88" s="80"/>
      <c r="O88" s="80"/>
      <c r="P88" s="80"/>
      <c r="Q88" s="81"/>
      <c r="U88" s="56"/>
      <c r="V88" s="120" t="s">
        <v>249</v>
      </c>
      <c r="W88" s="63"/>
      <c r="X88" s="63"/>
      <c r="Y88" s="63">
        <f>X87*(L95*Hintergrund!F56+'Emissions Sebastian 2020'!L96*Hintergrund!F55+'Emissions Sebastian 2020'!L97*Hintergrund!F69+'Emissions Sebastian 2020'!L98*Hintergrund!F68+'Emissions Sebastian 2020'!L99*Hintergrund!F72+'Emissions Sebastian 2020'!L100*Hintergrund!F54+'Emissions Sebastian 2020'!L101*Hintergrund!F73)</f>
        <v>0</v>
      </c>
      <c r="Z88" s="15"/>
      <c r="AA88" s="57"/>
    </row>
    <row r="89" spans="2:27" x14ac:dyDescent="0.2">
      <c r="B89" s="78"/>
      <c r="C89" s="80"/>
      <c r="D89" s="80"/>
      <c r="E89" s="80"/>
      <c r="F89" s="83" t="s">
        <v>205</v>
      </c>
      <c r="G89" s="80"/>
      <c r="H89" s="110">
        <v>0</v>
      </c>
      <c r="I89" s="80"/>
      <c r="J89" s="85" t="s">
        <v>200</v>
      </c>
      <c r="K89" s="80"/>
      <c r="L89" s="110">
        <v>0</v>
      </c>
      <c r="M89" s="80"/>
      <c r="N89" s="80"/>
      <c r="O89" s="80"/>
      <c r="P89" s="80"/>
      <c r="Q89" s="81"/>
      <c r="U89" s="56"/>
      <c r="V89" s="121" t="s">
        <v>266</v>
      </c>
      <c r="W89" s="63"/>
      <c r="X89" s="63"/>
      <c r="Y89" s="63"/>
      <c r="Z89" s="15"/>
      <c r="AA89" s="57"/>
    </row>
    <row r="90" spans="2:27" x14ac:dyDescent="0.2">
      <c r="B90" s="78"/>
      <c r="C90" s="80"/>
      <c r="D90" s="80"/>
      <c r="E90" s="80"/>
      <c r="F90" s="80"/>
      <c r="G90" s="80"/>
      <c r="H90" s="80"/>
      <c r="I90" s="80"/>
      <c r="J90" s="85" t="s">
        <v>220</v>
      </c>
      <c r="K90" s="80"/>
      <c r="L90" s="110">
        <v>0</v>
      </c>
      <c r="M90" s="80"/>
      <c r="N90" s="80"/>
      <c r="O90" s="80"/>
      <c r="P90" s="80"/>
      <c r="Q90" s="81"/>
      <c r="U90" s="56"/>
      <c r="V90" s="63"/>
      <c r="W90" s="63"/>
      <c r="X90" s="63"/>
      <c r="Y90" s="63"/>
      <c r="Z90" s="15"/>
      <c r="AA90" s="57"/>
    </row>
    <row r="91" spans="2:27" x14ac:dyDescent="0.2">
      <c r="B91" s="78"/>
      <c r="C91" s="80"/>
      <c r="D91" s="80"/>
      <c r="E91" s="79" t="s">
        <v>215</v>
      </c>
      <c r="F91" s="80"/>
      <c r="G91" s="80"/>
      <c r="H91" s="80"/>
      <c r="I91" s="80"/>
      <c r="J91" s="85" t="s">
        <v>205</v>
      </c>
      <c r="K91" s="80"/>
      <c r="L91" s="110">
        <v>0</v>
      </c>
      <c r="M91" s="80"/>
      <c r="N91" s="80"/>
      <c r="O91" s="80"/>
      <c r="P91" s="80"/>
      <c r="Q91" s="81"/>
      <c r="U91" s="56"/>
      <c r="V91" s="63" t="s">
        <v>254</v>
      </c>
      <c r="W91" s="63"/>
      <c r="X91" s="74">
        <f>L103*(Hintergrund!G55-Hintergrund!G62)</f>
        <v>0.87000000000000033</v>
      </c>
      <c r="Y91" s="63">
        <f>X91*Hintergrund!F55</f>
        <v>5.4183600000000016</v>
      </c>
      <c r="Z91" s="15"/>
      <c r="AA91" s="57"/>
    </row>
    <row r="92" spans="2:27" x14ac:dyDescent="0.2">
      <c r="B92" s="78"/>
      <c r="C92" s="80"/>
      <c r="D92" s="80"/>
      <c r="E92" s="80"/>
      <c r="F92" s="80"/>
      <c r="G92" s="80"/>
      <c r="H92" s="80"/>
      <c r="I92" s="80"/>
      <c r="J92" s="84"/>
      <c r="K92" s="80"/>
      <c r="L92" s="110"/>
      <c r="M92" s="80"/>
      <c r="N92" s="80"/>
      <c r="O92" s="80"/>
      <c r="P92" s="80"/>
      <c r="Q92" s="81"/>
      <c r="U92" s="56"/>
      <c r="V92" s="120" t="s">
        <v>249</v>
      </c>
      <c r="W92" s="63"/>
      <c r="X92" s="63"/>
      <c r="Y92" s="63">
        <f>X91*(L104*Hintergrund!F56+'Emissions Sebastian 2020'!L105*Hintergrund!F69+'Emissions Sebastian 2020'!L106*Hintergrund!F68+'Emissions Sebastian 2020'!L107*Hintergrund!F72+'Emissions Sebastian 2020'!L108*Hintergrund!F73)</f>
        <v>1.6012173825000007</v>
      </c>
      <c r="Z92" s="15"/>
      <c r="AA92" s="57"/>
    </row>
    <row r="93" spans="2:27" x14ac:dyDescent="0.2">
      <c r="B93" s="78"/>
      <c r="C93" s="80"/>
      <c r="D93" s="80"/>
      <c r="E93" s="80"/>
      <c r="F93" s="80" t="s">
        <v>210</v>
      </c>
      <c r="G93" s="80"/>
      <c r="H93" s="110">
        <v>0</v>
      </c>
      <c r="I93" s="80"/>
      <c r="J93" s="84" t="s">
        <v>207</v>
      </c>
      <c r="K93" s="80"/>
      <c r="L93" s="110">
        <v>0</v>
      </c>
      <c r="M93" s="80"/>
      <c r="N93" s="80"/>
      <c r="O93" s="80"/>
      <c r="P93" s="80"/>
      <c r="Q93" s="81"/>
      <c r="U93" s="56"/>
      <c r="V93" s="121" t="s">
        <v>266</v>
      </c>
      <c r="W93" s="63"/>
      <c r="X93" s="63"/>
      <c r="Y93" s="63">
        <f>Y92-Y91</f>
        <v>-3.8171426175000009</v>
      </c>
      <c r="Z93" s="15"/>
      <c r="AA93" s="57"/>
    </row>
    <row r="94" spans="2:27" x14ac:dyDescent="0.2">
      <c r="B94" s="78"/>
      <c r="C94" s="80"/>
      <c r="D94" s="80"/>
      <c r="E94" s="80"/>
      <c r="F94" s="80" t="s">
        <v>262</v>
      </c>
      <c r="G94" s="80"/>
      <c r="H94" s="110"/>
      <c r="I94" s="80"/>
      <c r="J94" s="84" t="s">
        <v>199</v>
      </c>
      <c r="K94" s="80"/>
      <c r="L94" s="110"/>
      <c r="M94" s="80"/>
      <c r="N94" s="80"/>
      <c r="O94" s="80"/>
      <c r="P94" s="80"/>
      <c r="Q94" s="81"/>
      <c r="U94" s="56"/>
      <c r="V94" s="63"/>
      <c r="W94" s="63"/>
      <c r="X94" s="63"/>
      <c r="Y94" s="63"/>
      <c r="Z94" s="15"/>
      <c r="AA94" s="57"/>
    </row>
    <row r="95" spans="2:27" x14ac:dyDescent="0.2">
      <c r="B95" s="78"/>
      <c r="C95" s="80"/>
      <c r="D95" s="80"/>
      <c r="E95" s="80"/>
      <c r="F95" s="83" t="s">
        <v>211</v>
      </c>
      <c r="G95" s="80"/>
      <c r="H95" s="110">
        <v>0</v>
      </c>
      <c r="I95" s="80"/>
      <c r="J95" s="85" t="s">
        <v>202</v>
      </c>
      <c r="K95" s="80"/>
      <c r="L95" s="110">
        <v>0</v>
      </c>
      <c r="M95" s="80"/>
      <c r="N95" s="80"/>
      <c r="O95" s="80"/>
      <c r="P95" s="80"/>
      <c r="Q95" s="81"/>
      <c r="U95" s="56"/>
      <c r="V95" s="63" t="s">
        <v>255</v>
      </c>
      <c r="W95" s="63"/>
      <c r="X95" s="63">
        <f>L110*Hintergrund!G56</f>
        <v>1.3800000000000001</v>
      </c>
      <c r="Y95" s="63">
        <f>X95*Hintergrund!F56</f>
        <v>7.2815700000000012</v>
      </c>
      <c r="Z95" s="15"/>
      <c r="AA95" s="57"/>
    </row>
    <row r="96" spans="2:27" x14ac:dyDescent="0.2">
      <c r="B96" s="78"/>
      <c r="C96" s="80"/>
      <c r="D96" s="80"/>
      <c r="E96" s="80"/>
      <c r="F96" s="83" t="s">
        <v>205</v>
      </c>
      <c r="G96" s="80"/>
      <c r="H96" s="110">
        <v>0</v>
      </c>
      <c r="I96" s="80"/>
      <c r="J96" s="85" t="s">
        <v>203</v>
      </c>
      <c r="K96" s="80"/>
      <c r="L96" s="110">
        <v>0</v>
      </c>
      <c r="M96" s="80"/>
      <c r="N96" s="80"/>
      <c r="O96" s="80"/>
      <c r="P96" s="80"/>
      <c r="Q96" s="81"/>
      <c r="U96" s="56"/>
      <c r="V96" s="120" t="s">
        <v>249</v>
      </c>
      <c r="W96" s="63"/>
      <c r="X96" s="63"/>
      <c r="Y96" s="63">
        <f>X95*(L112*Hintergrund!F69+'Emissions Sebastian 2020'!L113*Hintergrund!F68*'Emissions Sebastian 2020'!L114*Hintergrund!F72+'Emissions Sebastian 2020'!L115*Hintergrund!F73)</f>
        <v>1.601050125</v>
      </c>
      <c r="Z96" s="15"/>
      <c r="AA96" s="57"/>
    </row>
    <row r="97" spans="2:27" x14ac:dyDescent="0.2">
      <c r="B97" s="78"/>
      <c r="C97" s="80"/>
      <c r="D97" s="80"/>
      <c r="E97" s="80"/>
      <c r="F97" s="80"/>
      <c r="G97" s="80"/>
      <c r="H97" s="110"/>
      <c r="I97" s="80"/>
      <c r="J97" s="85" t="s">
        <v>212</v>
      </c>
      <c r="K97" s="80"/>
      <c r="L97" s="110">
        <v>0</v>
      </c>
      <c r="M97" s="80"/>
      <c r="N97" s="80"/>
      <c r="O97" s="80"/>
      <c r="P97" s="80"/>
      <c r="Q97" s="81"/>
      <c r="U97" s="56"/>
      <c r="V97" s="121" t="s">
        <v>266</v>
      </c>
      <c r="W97" s="63"/>
      <c r="X97" s="63"/>
      <c r="Y97" s="63">
        <f>Y96-Y95</f>
        <v>-5.6805198750000017</v>
      </c>
      <c r="Z97" s="15"/>
      <c r="AA97" s="57"/>
    </row>
    <row r="98" spans="2:27" x14ac:dyDescent="0.2">
      <c r="B98" s="78"/>
      <c r="C98" s="80"/>
      <c r="D98" s="80"/>
      <c r="E98" s="80"/>
      <c r="F98" s="80" t="s">
        <v>216</v>
      </c>
      <c r="G98" s="80"/>
      <c r="H98" s="110">
        <v>0</v>
      </c>
      <c r="I98" s="80"/>
      <c r="J98" s="85" t="s">
        <v>204</v>
      </c>
      <c r="K98" s="80"/>
      <c r="L98" s="110">
        <v>0</v>
      </c>
      <c r="M98" s="80"/>
      <c r="N98" s="80"/>
      <c r="O98" s="80"/>
      <c r="P98" s="80"/>
      <c r="Q98" s="81"/>
      <c r="U98" s="56"/>
      <c r="V98" s="63"/>
      <c r="W98" s="63"/>
      <c r="X98" s="63"/>
      <c r="Y98" s="63"/>
      <c r="Z98" s="15"/>
      <c r="AA98" s="57"/>
    </row>
    <row r="99" spans="2:27" x14ac:dyDescent="0.2">
      <c r="B99" s="78"/>
      <c r="C99" s="80"/>
      <c r="D99" s="80"/>
      <c r="E99" s="80"/>
      <c r="F99" s="80" t="s">
        <v>262</v>
      </c>
      <c r="G99" s="80"/>
      <c r="H99" s="110"/>
      <c r="I99" s="80"/>
      <c r="J99" s="85" t="s">
        <v>220</v>
      </c>
      <c r="K99" s="80"/>
      <c r="L99" s="110">
        <v>0</v>
      </c>
      <c r="M99" s="80"/>
      <c r="N99" s="80"/>
      <c r="O99" s="80"/>
      <c r="P99" s="80"/>
      <c r="Q99" s="81"/>
      <c r="U99" s="56"/>
      <c r="V99" s="122" t="s">
        <v>267</v>
      </c>
      <c r="W99" s="63"/>
      <c r="X99" s="63"/>
      <c r="Y99" s="119">
        <f>Y97+Y93+Y88+Y85+Y80+Y77</f>
        <v>210.53152000750003</v>
      </c>
      <c r="Z99" s="15"/>
      <c r="AA99" s="57"/>
    </row>
    <row r="100" spans="2:27" x14ac:dyDescent="0.2">
      <c r="B100" s="78"/>
      <c r="C100" s="80"/>
      <c r="D100" s="80"/>
      <c r="E100" s="80"/>
      <c r="F100" s="83" t="s">
        <v>217</v>
      </c>
      <c r="G100" s="80"/>
      <c r="H100" s="110">
        <v>0</v>
      </c>
      <c r="I100" s="80"/>
      <c r="J100" s="85" t="s">
        <v>200</v>
      </c>
      <c r="K100" s="80"/>
      <c r="L100" s="110">
        <v>0</v>
      </c>
      <c r="M100" s="80"/>
      <c r="N100" s="80"/>
      <c r="O100" s="80"/>
      <c r="P100" s="80"/>
      <c r="Q100" s="81"/>
      <c r="U100" s="56"/>
      <c r="V100" s="63"/>
      <c r="W100" s="63"/>
      <c r="X100" s="63"/>
      <c r="Y100" s="63"/>
      <c r="Z100" s="15"/>
      <c r="AA100" s="57"/>
    </row>
    <row r="101" spans="2:27" x14ac:dyDescent="0.2">
      <c r="B101" s="78"/>
      <c r="C101" s="80"/>
      <c r="D101" s="80"/>
      <c r="E101" s="80"/>
      <c r="F101" s="83"/>
      <c r="G101" s="80"/>
      <c r="H101" s="110"/>
      <c r="I101" s="80"/>
      <c r="J101" s="85" t="s">
        <v>205</v>
      </c>
      <c r="K101" s="80"/>
      <c r="L101" s="110">
        <v>0</v>
      </c>
      <c r="M101" s="80"/>
      <c r="N101" s="80"/>
      <c r="O101" s="80"/>
      <c r="P101" s="80"/>
      <c r="Q101" s="81"/>
      <c r="U101" s="56"/>
      <c r="V101" s="63" t="s">
        <v>256</v>
      </c>
      <c r="W101" s="63"/>
      <c r="X101" s="63">
        <f>H93*Hintergrund!G54</f>
        <v>0</v>
      </c>
      <c r="Y101" s="63">
        <f>X101*Hintergrund!F54</f>
        <v>0</v>
      </c>
      <c r="Z101" s="15"/>
      <c r="AA101" s="57"/>
    </row>
    <row r="102" spans="2:27" x14ac:dyDescent="0.2">
      <c r="B102" s="78"/>
      <c r="C102" s="80"/>
      <c r="D102" s="80"/>
      <c r="E102" s="80"/>
      <c r="F102" s="80" t="s">
        <v>218</v>
      </c>
      <c r="G102" s="80"/>
      <c r="H102" s="110">
        <v>0</v>
      </c>
      <c r="I102" s="80"/>
      <c r="J102" s="84"/>
      <c r="K102" s="80"/>
      <c r="L102" s="110"/>
      <c r="M102" s="80"/>
      <c r="N102" s="80"/>
      <c r="O102" s="80"/>
      <c r="P102" s="80"/>
      <c r="Q102" s="81"/>
      <c r="U102" s="56"/>
      <c r="V102" s="120" t="s">
        <v>249</v>
      </c>
      <c r="W102" s="63"/>
      <c r="X102" s="63"/>
      <c r="Y102" s="63">
        <f>X101*(H95*Hintergrund!F70+'Emissions Sebastian 2020'!H96*Hintergrund!F73)</f>
        <v>0</v>
      </c>
      <c r="Z102" s="15"/>
      <c r="AA102" s="57"/>
    </row>
    <row r="103" spans="2:27" x14ac:dyDescent="0.2">
      <c r="B103" s="78"/>
      <c r="C103" s="80"/>
      <c r="D103" s="80"/>
      <c r="E103" s="80"/>
      <c r="F103" s="80" t="s">
        <v>262</v>
      </c>
      <c r="G103" s="80"/>
      <c r="H103" s="110"/>
      <c r="I103" s="80"/>
      <c r="J103" s="84" t="s">
        <v>208</v>
      </c>
      <c r="K103" s="80"/>
      <c r="L103" s="110">
        <v>0.2</v>
      </c>
      <c r="M103" s="80"/>
      <c r="N103" s="80"/>
      <c r="O103" s="80"/>
      <c r="P103" s="80"/>
      <c r="Q103" s="81"/>
      <c r="U103" s="56"/>
      <c r="V103" s="121" t="s">
        <v>248</v>
      </c>
      <c r="W103" s="63"/>
      <c r="X103" s="63"/>
      <c r="Y103" s="63"/>
      <c r="Z103" s="15"/>
      <c r="AA103" s="57"/>
    </row>
    <row r="104" spans="2:27" x14ac:dyDescent="0.2">
      <c r="B104" s="78"/>
      <c r="C104" s="80"/>
      <c r="D104" s="80"/>
      <c r="E104" s="80"/>
      <c r="F104" s="83" t="s">
        <v>219</v>
      </c>
      <c r="G104" s="80"/>
      <c r="H104" s="110">
        <v>0</v>
      </c>
      <c r="I104" s="80"/>
      <c r="J104" s="85" t="s">
        <v>202</v>
      </c>
      <c r="K104" s="80"/>
      <c r="L104" s="110">
        <v>0</v>
      </c>
      <c r="M104" s="80"/>
      <c r="N104" s="80"/>
      <c r="O104" s="80"/>
      <c r="P104" s="80"/>
      <c r="Q104" s="81"/>
      <c r="U104" s="56"/>
      <c r="V104" s="63"/>
      <c r="W104" s="63"/>
      <c r="X104" s="63"/>
      <c r="Y104" s="63"/>
      <c r="Z104" s="15"/>
      <c r="AA104" s="57"/>
    </row>
    <row r="105" spans="2:27" x14ac:dyDescent="0.2">
      <c r="B105" s="78"/>
      <c r="C105" s="80"/>
      <c r="D105" s="80"/>
      <c r="E105" s="80"/>
      <c r="F105" s="80"/>
      <c r="G105" s="80"/>
      <c r="H105" s="80"/>
      <c r="I105" s="80"/>
      <c r="J105" s="85" t="s">
        <v>212</v>
      </c>
      <c r="K105" s="80"/>
      <c r="L105" s="110">
        <v>0</v>
      </c>
      <c r="M105" s="80"/>
      <c r="N105" s="80"/>
      <c r="O105" s="80"/>
      <c r="P105" s="80"/>
      <c r="Q105" s="81"/>
      <c r="U105" s="56"/>
      <c r="V105" s="63" t="s">
        <v>257</v>
      </c>
      <c r="W105" s="63"/>
      <c r="X105" s="63">
        <f>H98*Hintergrund!G58</f>
        <v>0</v>
      </c>
      <c r="Y105" s="63">
        <f>X105*Hintergrund!F58</f>
        <v>0</v>
      </c>
      <c r="Z105" s="15"/>
      <c r="AA105" s="57"/>
    </row>
    <row r="106" spans="2:27" x14ac:dyDescent="0.2">
      <c r="B106" s="78"/>
      <c r="C106" s="80"/>
      <c r="D106" s="80"/>
      <c r="E106" s="80"/>
      <c r="F106" s="80"/>
      <c r="G106" s="80"/>
      <c r="H106" s="80"/>
      <c r="I106" s="80"/>
      <c r="J106" s="85" t="s">
        <v>204</v>
      </c>
      <c r="K106" s="80"/>
      <c r="L106" s="110">
        <v>0.33</v>
      </c>
      <c r="M106" s="80"/>
      <c r="N106" s="80"/>
      <c r="O106" s="80"/>
      <c r="P106" s="80"/>
      <c r="Q106" s="81"/>
      <c r="U106" s="56"/>
      <c r="V106" s="120" t="s">
        <v>249</v>
      </c>
      <c r="W106" s="63"/>
      <c r="X106" s="63"/>
      <c r="Y106" s="63">
        <f>X105*H100*Hintergrund!F71</f>
        <v>0</v>
      </c>
      <c r="Z106" s="15"/>
      <c r="AA106" s="57"/>
    </row>
    <row r="107" spans="2:27" x14ac:dyDescent="0.2">
      <c r="B107" s="78"/>
      <c r="C107" s="80"/>
      <c r="D107" s="80"/>
      <c r="E107" s="80"/>
      <c r="F107" s="80"/>
      <c r="G107" s="80"/>
      <c r="H107" s="80"/>
      <c r="I107" s="80"/>
      <c r="J107" s="85" t="s">
        <v>220</v>
      </c>
      <c r="K107" s="80"/>
      <c r="L107" s="110">
        <v>0.33</v>
      </c>
      <c r="M107" s="80"/>
      <c r="N107" s="80"/>
      <c r="O107" s="80"/>
      <c r="P107" s="80"/>
      <c r="Q107" s="81"/>
      <c r="U107" s="56"/>
      <c r="V107" s="121" t="s">
        <v>248</v>
      </c>
      <c r="W107" s="63"/>
      <c r="X107" s="63"/>
      <c r="Y107" s="63"/>
      <c r="Z107" s="15"/>
      <c r="AA107" s="57"/>
    </row>
    <row r="108" spans="2:27" x14ac:dyDescent="0.2">
      <c r="B108" s="78"/>
      <c r="C108" s="80"/>
      <c r="D108" s="80"/>
      <c r="E108" s="80"/>
      <c r="F108" s="80"/>
      <c r="G108" s="80"/>
      <c r="H108" s="80"/>
      <c r="I108" s="80"/>
      <c r="J108" s="85" t="s">
        <v>205</v>
      </c>
      <c r="K108" s="80"/>
      <c r="L108" s="110">
        <v>0.34</v>
      </c>
      <c r="M108" s="80"/>
      <c r="N108" s="80"/>
      <c r="O108" s="80"/>
      <c r="P108" s="80"/>
      <c r="Q108" s="81"/>
      <c r="U108" s="56"/>
      <c r="V108" s="63"/>
      <c r="W108" s="63"/>
      <c r="X108" s="63"/>
      <c r="Y108" s="63"/>
      <c r="Z108" s="15"/>
      <c r="AA108" s="57"/>
    </row>
    <row r="109" spans="2:27" x14ac:dyDescent="0.2">
      <c r="B109" s="78"/>
      <c r="C109" s="80"/>
      <c r="D109" s="80"/>
      <c r="E109" s="80"/>
      <c r="F109" s="80"/>
      <c r="G109" s="80"/>
      <c r="H109" s="80"/>
      <c r="I109" s="80"/>
      <c r="J109" s="84"/>
      <c r="K109" s="80"/>
      <c r="L109" s="110"/>
      <c r="M109" s="80"/>
      <c r="N109" s="80"/>
      <c r="O109" s="80"/>
      <c r="P109" s="80"/>
      <c r="Q109" s="81"/>
      <c r="U109" s="56"/>
      <c r="V109" s="63" t="s">
        <v>258</v>
      </c>
      <c r="W109" s="63"/>
      <c r="X109" s="63">
        <f>H102*Hintergrund!G59</f>
        <v>0</v>
      </c>
      <c r="Y109" s="63">
        <f>X109*Hintergrund!F59</f>
        <v>0</v>
      </c>
      <c r="Z109" s="15"/>
      <c r="AA109" s="57"/>
    </row>
    <row r="110" spans="2:27" x14ac:dyDescent="0.2">
      <c r="B110" s="78"/>
      <c r="C110" s="80"/>
      <c r="D110" s="80"/>
      <c r="E110" s="80"/>
      <c r="F110" s="80"/>
      <c r="G110" s="80"/>
      <c r="H110" s="80"/>
      <c r="I110" s="80"/>
      <c r="J110" s="84" t="s">
        <v>209</v>
      </c>
      <c r="K110" s="80"/>
      <c r="L110" s="110">
        <v>0.1</v>
      </c>
      <c r="M110" s="80"/>
      <c r="N110" s="80"/>
      <c r="O110" s="80"/>
      <c r="P110" s="80"/>
      <c r="Q110" s="81"/>
      <c r="U110" s="56"/>
      <c r="V110" s="120" t="s">
        <v>249</v>
      </c>
      <c r="W110" s="63"/>
      <c r="X110" s="63"/>
      <c r="Y110" s="63">
        <f>H104*X109*Hintergrund!F70</f>
        <v>0</v>
      </c>
      <c r="Z110" s="15"/>
      <c r="AA110" s="57"/>
    </row>
    <row r="111" spans="2:27" x14ac:dyDescent="0.2">
      <c r="B111" s="78"/>
      <c r="C111" s="80"/>
      <c r="D111" s="80"/>
      <c r="E111" s="80"/>
      <c r="F111" s="80"/>
      <c r="G111" s="80"/>
      <c r="H111" s="80"/>
      <c r="I111" s="80"/>
      <c r="J111" s="84" t="s">
        <v>199</v>
      </c>
      <c r="K111" s="91"/>
      <c r="L111" s="111"/>
      <c r="M111" s="80"/>
      <c r="N111" s="80"/>
      <c r="O111" s="80"/>
      <c r="P111" s="80"/>
      <c r="Q111" s="81"/>
      <c r="U111" s="56"/>
      <c r="V111" s="121" t="s">
        <v>248</v>
      </c>
      <c r="W111" s="63"/>
      <c r="X111" s="63"/>
      <c r="Y111" s="63"/>
      <c r="Z111" s="15"/>
      <c r="AA111" s="57"/>
    </row>
    <row r="112" spans="2:27" x14ac:dyDescent="0.2">
      <c r="B112" s="78"/>
      <c r="C112" s="80"/>
      <c r="D112" s="80"/>
      <c r="E112" s="80"/>
      <c r="F112" s="80"/>
      <c r="G112" s="80"/>
      <c r="H112" s="80"/>
      <c r="I112" s="80"/>
      <c r="J112" s="85" t="s">
        <v>212</v>
      </c>
      <c r="K112" s="80"/>
      <c r="L112" s="110">
        <v>0</v>
      </c>
      <c r="M112" s="80"/>
      <c r="N112" s="80"/>
      <c r="O112" s="80"/>
      <c r="P112" s="80"/>
      <c r="Q112" s="81"/>
      <c r="U112" s="56"/>
      <c r="V112" s="63"/>
      <c r="W112" s="63"/>
      <c r="X112" s="63"/>
      <c r="Y112" s="63"/>
      <c r="Z112" s="15"/>
      <c r="AA112" s="57"/>
    </row>
    <row r="113" spans="2:27" x14ac:dyDescent="0.2">
      <c r="B113" s="78"/>
      <c r="C113" s="80"/>
      <c r="D113" s="80"/>
      <c r="E113" s="80"/>
      <c r="F113" s="80"/>
      <c r="G113" s="80"/>
      <c r="H113" s="80"/>
      <c r="I113" s="80"/>
      <c r="J113" s="85" t="s">
        <v>204</v>
      </c>
      <c r="K113" s="80"/>
      <c r="L113" s="110">
        <v>0.5</v>
      </c>
      <c r="M113" s="80"/>
      <c r="N113" s="80"/>
      <c r="O113" s="80"/>
      <c r="P113" s="80"/>
      <c r="Q113" s="81"/>
      <c r="U113" s="56"/>
      <c r="V113" s="122" t="s">
        <v>259</v>
      </c>
      <c r="W113" s="63"/>
      <c r="X113" s="63"/>
      <c r="Y113" s="63">
        <f>Y110+Y106+Y102</f>
        <v>0</v>
      </c>
      <c r="Z113" s="15"/>
      <c r="AA113" s="57"/>
    </row>
    <row r="114" spans="2:27" x14ac:dyDescent="0.2">
      <c r="B114" s="78"/>
      <c r="C114" s="80"/>
      <c r="D114" s="80"/>
      <c r="E114" s="80"/>
      <c r="F114" s="80"/>
      <c r="G114" s="80"/>
      <c r="H114" s="80"/>
      <c r="I114" s="80"/>
      <c r="J114" s="85" t="s">
        <v>220</v>
      </c>
      <c r="K114" s="80"/>
      <c r="L114" s="110">
        <v>0.5</v>
      </c>
      <c r="M114" s="80"/>
      <c r="N114" s="80"/>
      <c r="O114" s="80"/>
      <c r="P114" s="80"/>
      <c r="Q114" s="81"/>
      <c r="U114" s="56"/>
      <c r="V114" s="63" t="s">
        <v>260</v>
      </c>
      <c r="W114" s="63"/>
      <c r="X114" s="63"/>
      <c r="Y114" s="119">
        <f>Y113+Y99</f>
        <v>210.53152000750003</v>
      </c>
      <c r="Z114" s="15"/>
      <c r="AA114" s="57"/>
    </row>
    <row r="115" spans="2:27" x14ac:dyDescent="0.2">
      <c r="B115" s="78"/>
      <c r="C115" s="80"/>
      <c r="D115" s="80"/>
      <c r="E115" s="80"/>
      <c r="F115" s="80"/>
      <c r="G115" s="80"/>
      <c r="H115" s="80"/>
      <c r="I115" s="80"/>
      <c r="J115" s="85" t="s">
        <v>205</v>
      </c>
      <c r="K115" s="80"/>
      <c r="L115" s="110">
        <v>0</v>
      </c>
      <c r="M115" s="80"/>
      <c r="N115" s="80"/>
      <c r="O115" s="80"/>
      <c r="P115" s="80"/>
      <c r="Q115" s="81"/>
      <c r="U115" s="56"/>
      <c r="V115" s="63"/>
      <c r="W115" s="63"/>
      <c r="X115" s="63"/>
      <c r="Y115" s="63"/>
      <c r="Z115" s="15"/>
      <c r="AA115" s="57"/>
    </row>
    <row r="116" spans="2:27" x14ac:dyDescent="0.2">
      <c r="B116" s="78"/>
      <c r="C116" s="80"/>
      <c r="D116" s="80"/>
      <c r="E116" s="80"/>
      <c r="F116" s="80"/>
      <c r="G116" s="80"/>
      <c r="H116" s="80"/>
      <c r="I116" s="80"/>
      <c r="J116" s="80"/>
      <c r="K116" s="80"/>
      <c r="L116" s="110"/>
      <c r="M116" s="80"/>
      <c r="N116" s="80"/>
      <c r="O116" s="80"/>
      <c r="P116" s="80"/>
      <c r="Q116" s="81"/>
      <c r="U116" s="56"/>
      <c r="V116" s="15"/>
      <c r="W116" s="15"/>
      <c r="X116" s="15"/>
      <c r="Y116" s="15"/>
      <c r="Z116" s="15"/>
      <c r="AA116" s="57"/>
    </row>
    <row r="117" spans="2:27" ht="17" thickBot="1" x14ac:dyDescent="0.25">
      <c r="B117" s="86"/>
      <c r="C117" s="87"/>
      <c r="D117" s="87"/>
      <c r="E117" s="87"/>
      <c r="F117" s="89" t="s">
        <v>224</v>
      </c>
      <c r="G117" s="89"/>
      <c r="H117" s="115">
        <f>(W178+W179+W181+W180+W182+W183)/1000</f>
        <v>1.5261773391325002</v>
      </c>
      <c r="I117" s="87"/>
      <c r="J117" s="87"/>
      <c r="K117" s="87"/>
      <c r="L117" s="87"/>
      <c r="M117" s="87"/>
      <c r="N117" s="87"/>
      <c r="O117" s="87"/>
      <c r="P117" s="87"/>
      <c r="Q117" s="88"/>
      <c r="U117" s="58"/>
      <c r="V117" s="59"/>
      <c r="W117" s="59"/>
      <c r="X117" s="59"/>
      <c r="Y117" s="59"/>
      <c r="Z117" s="59"/>
      <c r="AA117" s="60"/>
    </row>
    <row r="118" spans="2:27" x14ac:dyDescent="0.2">
      <c r="B118" s="96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8"/>
      <c r="U118" s="53"/>
      <c r="V118" s="54"/>
      <c r="W118" s="54"/>
      <c r="X118" s="54"/>
      <c r="Y118" s="54"/>
      <c r="Z118" s="54"/>
      <c r="AA118" s="55"/>
    </row>
    <row r="119" spans="2:27" x14ac:dyDescent="0.2">
      <c r="B119" s="99"/>
      <c r="C119" s="100" t="s">
        <v>227</v>
      </c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2"/>
      <c r="U119" s="56"/>
      <c r="V119" s="15"/>
      <c r="W119" s="15"/>
      <c r="X119" s="15"/>
      <c r="Y119" s="15"/>
      <c r="Z119" s="15"/>
      <c r="AA119" s="57"/>
    </row>
    <row r="120" spans="2:27" x14ac:dyDescent="0.2">
      <c r="B120" s="99"/>
      <c r="C120" s="101"/>
      <c r="D120" s="101"/>
      <c r="E120" s="101" t="s">
        <v>236</v>
      </c>
      <c r="F120" s="101"/>
      <c r="G120" s="101"/>
      <c r="H120" s="101">
        <v>1</v>
      </c>
      <c r="I120" s="101"/>
      <c r="J120" s="101"/>
      <c r="K120" s="101"/>
      <c r="L120" s="101"/>
      <c r="M120" s="101"/>
      <c r="N120" s="101"/>
      <c r="O120" s="101"/>
      <c r="P120" s="101"/>
      <c r="Q120" s="102"/>
      <c r="U120" s="56"/>
      <c r="V120" s="62" t="s">
        <v>269</v>
      </c>
      <c r="W120" s="15"/>
      <c r="X120" s="15"/>
      <c r="Y120" s="15"/>
      <c r="Z120" s="15"/>
      <c r="AA120" s="57"/>
    </row>
    <row r="121" spans="2:27" x14ac:dyDescent="0.2">
      <c r="B121" s="99"/>
      <c r="C121" s="101"/>
      <c r="D121" s="101"/>
      <c r="E121" s="103" t="s">
        <v>237</v>
      </c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2"/>
      <c r="U121" s="56"/>
      <c r="V121" s="63"/>
      <c r="W121" s="63"/>
      <c r="X121" s="63"/>
      <c r="Y121" s="63"/>
      <c r="Z121" s="15"/>
      <c r="AA121" s="57"/>
    </row>
    <row r="122" spans="2:27" x14ac:dyDescent="0.2">
      <c r="B122" s="99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2"/>
      <c r="U122" s="56"/>
      <c r="V122" s="63" t="s">
        <v>272</v>
      </c>
      <c r="W122" s="63"/>
      <c r="X122" s="63"/>
      <c r="Y122" s="63">
        <f>Hintergrund!D87</f>
        <v>3.79</v>
      </c>
      <c r="Z122" s="15"/>
      <c r="AA122" s="57"/>
    </row>
    <row r="123" spans="2:27" x14ac:dyDescent="0.2">
      <c r="B123" s="99"/>
      <c r="C123" s="101"/>
      <c r="D123" s="101"/>
      <c r="E123" s="101" t="s">
        <v>238</v>
      </c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2"/>
      <c r="U123" s="56"/>
      <c r="V123" s="63" t="s">
        <v>273</v>
      </c>
      <c r="W123" s="63"/>
      <c r="X123" s="63"/>
      <c r="Y123" s="63">
        <f>Y122*H120</f>
        <v>3.79</v>
      </c>
      <c r="Z123" s="15"/>
      <c r="AA123" s="57"/>
    </row>
    <row r="124" spans="2:27" x14ac:dyDescent="0.2">
      <c r="B124" s="99"/>
      <c r="C124" s="101"/>
      <c r="D124" s="101"/>
      <c r="E124" s="101"/>
      <c r="F124" s="101" t="s">
        <v>241</v>
      </c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2"/>
      <c r="U124" s="56"/>
      <c r="V124" s="63"/>
      <c r="W124" s="63"/>
      <c r="X124" s="63"/>
      <c r="Y124" s="63"/>
      <c r="Z124" s="15"/>
      <c r="AA124" s="57"/>
    </row>
    <row r="125" spans="2:27" x14ac:dyDescent="0.2">
      <c r="B125" s="99"/>
      <c r="C125" s="101"/>
      <c r="D125" s="101"/>
      <c r="E125" s="101"/>
      <c r="F125" s="103" t="s">
        <v>229</v>
      </c>
      <c r="G125" s="101"/>
      <c r="H125" s="104">
        <v>1</v>
      </c>
      <c r="I125" s="101"/>
      <c r="J125" s="101"/>
      <c r="K125" s="101"/>
      <c r="L125" s="101"/>
      <c r="M125" s="101"/>
      <c r="N125" s="101"/>
      <c r="O125" s="101"/>
      <c r="P125" s="101"/>
      <c r="Q125" s="102"/>
      <c r="U125" s="56"/>
      <c r="V125" s="63"/>
      <c r="W125" s="63" t="s">
        <v>276</v>
      </c>
      <c r="X125" s="63" t="s">
        <v>277</v>
      </c>
      <c r="Y125" s="63" t="s">
        <v>278</v>
      </c>
      <c r="Z125" s="15"/>
      <c r="AA125" s="57"/>
    </row>
    <row r="126" spans="2:27" x14ac:dyDescent="0.2">
      <c r="B126" s="99"/>
      <c r="C126" s="101"/>
      <c r="D126" s="101"/>
      <c r="E126" s="101"/>
      <c r="F126" s="103" t="s">
        <v>228</v>
      </c>
      <c r="G126" s="101"/>
      <c r="H126" s="104">
        <v>0.1</v>
      </c>
      <c r="I126" s="101"/>
      <c r="J126" s="101"/>
      <c r="K126" s="101"/>
      <c r="L126" s="101"/>
      <c r="M126" s="101"/>
      <c r="N126" s="101"/>
      <c r="O126" s="101"/>
      <c r="P126" s="101"/>
      <c r="Q126" s="102"/>
      <c r="U126" s="56"/>
      <c r="V126" s="120" t="s">
        <v>229</v>
      </c>
      <c r="W126" s="127">
        <f>H125*Hintergrund!D99*'Emissions Sebastian 2020'!Y$123</f>
        <v>0.66564873417721526</v>
      </c>
      <c r="X126" s="127">
        <f>W126</f>
        <v>0.66564873417721526</v>
      </c>
      <c r="Y126" s="127">
        <f>X126</f>
        <v>0.66564873417721526</v>
      </c>
      <c r="Z126" s="15"/>
      <c r="AA126" s="57"/>
    </row>
    <row r="127" spans="2:27" x14ac:dyDescent="0.2">
      <c r="B127" s="99"/>
      <c r="C127" s="101"/>
      <c r="D127" s="101"/>
      <c r="E127" s="101"/>
      <c r="F127" s="103" t="s">
        <v>235</v>
      </c>
      <c r="G127" s="101"/>
      <c r="H127" s="104">
        <v>1.3</v>
      </c>
      <c r="I127" s="101"/>
      <c r="J127" s="101"/>
      <c r="K127" s="101"/>
      <c r="L127" s="101"/>
      <c r="M127" s="101"/>
      <c r="N127" s="101"/>
      <c r="O127" s="101"/>
      <c r="P127" s="101"/>
      <c r="Q127" s="102"/>
      <c r="U127" s="56"/>
      <c r="V127" s="120" t="s">
        <v>228</v>
      </c>
      <c r="W127" s="127">
        <f>H126*Hintergrund!D100*'Emissions Sebastian 2020'!Y$123</f>
        <v>2.39873417721519E-2</v>
      </c>
      <c r="X127" s="127">
        <f t="shared" ref="X127:Y131" si="0">W127</f>
        <v>2.39873417721519E-2</v>
      </c>
      <c r="Y127" s="127">
        <f t="shared" si="0"/>
        <v>2.39873417721519E-2</v>
      </c>
      <c r="Z127" s="15"/>
      <c r="AA127" s="57"/>
    </row>
    <row r="128" spans="2:27" x14ac:dyDescent="0.2">
      <c r="B128" s="99"/>
      <c r="C128" s="101"/>
      <c r="D128" s="101"/>
      <c r="E128" s="101"/>
      <c r="F128" s="103" t="s">
        <v>230</v>
      </c>
      <c r="G128" s="101"/>
      <c r="H128" s="104">
        <v>1</v>
      </c>
      <c r="I128" s="101"/>
      <c r="J128" s="101"/>
      <c r="K128" s="101"/>
      <c r="L128" s="101"/>
      <c r="M128" s="101"/>
      <c r="N128" s="101"/>
      <c r="O128" s="101"/>
      <c r="P128" s="101"/>
      <c r="Q128" s="102"/>
      <c r="U128" s="56"/>
      <c r="V128" s="120" t="s">
        <v>235</v>
      </c>
      <c r="W128" s="127">
        <f>H127*Hintergrund!D101*'Emissions Sebastian 2020'!Y$123</f>
        <v>0.60028322784810129</v>
      </c>
      <c r="X128" s="127">
        <f t="shared" si="0"/>
        <v>0.60028322784810129</v>
      </c>
      <c r="Y128" s="127">
        <f t="shared" si="0"/>
        <v>0.60028322784810129</v>
      </c>
      <c r="Z128" s="15"/>
      <c r="AA128" s="57"/>
    </row>
    <row r="129" spans="2:27" x14ac:dyDescent="0.2">
      <c r="B129" s="99"/>
      <c r="C129" s="101"/>
      <c r="D129" s="101"/>
      <c r="E129" s="101"/>
      <c r="F129" s="103" t="s">
        <v>231</v>
      </c>
      <c r="G129" s="101"/>
      <c r="H129" s="104">
        <v>1</v>
      </c>
      <c r="I129" s="101"/>
      <c r="J129" s="101"/>
      <c r="K129" s="101"/>
      <c r="L129" s="101"/>
      <c r="M129" s="101"/>
      <c r="N129" s="101"/>
      <c r="O129" s="101"/>
      <c r="P129" s="101"/>
      <c r="Q129" s="102"/>
      <c r="U129" s="56"/>
      <c r="V129" s="120" t="s">
        <v>230</v>
      </c>
      <c r="W129" s="127">
        <f>H128*Hintergrund!D102*'Emissions Sebastian 2020'!Y$123</f>
        <v>0.39579113924050635</v>
      </c>
      <c r="X129" s="127">
        <f>W129*(100%-H135)</f>
        <v>0.39579113924050635</v>
      </c>
      <c r="Y129" s="127">
        <f>X129-(H140*X129*0.3)</f>
        <v>0.39579113924050635</v>
      </c>
      <c r="Z129" s="15"/>
      <c r="AA129" s="57"/>
    </row>
    <row r="130" spans="2:27" x14ac:dyDescent="0.2">
      <c r="B130" s="99"/>
      <c r="C130" s="101"/>
      <c r="D130" s="101"/>
      <c r="E130" s="101"/>
      <c r="F130" s="103" t="s">
        <v>232</v>
      </c>
      <c r="G130" s="101"/>
      <c r="H130" s="104">
        <v>1</v>
      </c>
      <c r="I130" s="101"/>
      <c r="J130" s="101"/>
      <c r="K130" s="101"/>
      <c r="L130" s="101"/>
      <c r="M130" s="101"/>
      <c r="N130" s="101"/>
      <c r="O130" s="101"/>
      <c r="P130" s="101"/>
      <c r="Q130" s="102"/>
      <c r="U130" s="56"/>
      <c r="V130" s="120" t="s">
        <v>231</v>
      </c>
      <c r="W130" s="127">
        <f>H129*Hintergrund!D103*'Emissions Sebastian 2020'!Y$123</f>
        <v>0.40178797468354421</v>
      </c>
      <c r="X130" s="127">
        <f>W130*(100%-H136)</f>
        <v>0.40178797468354421</v>
      </c>
      <c r="Y130" s="127">
        <f>X130-(H141*X130*0.3)</f>
        <v>0.40178797468354421</v>
      </c>
      <c r="Z130" s="15"/>
      <c r="AA130" s="57"/>
    </row>
    <row r="131" spans="2:27" x14ac:dyDescent="0.2">
      <c r="B131" s="99"/>
      <c r="C131" s="101"/>
      <c r="D131" s="101"/>
      <c r="E131" s="101"/>
      <c r="F131" s="103" t="s">
        <v>233</v>
      </c>
      <c r="G131" s="101"/>
      <c r="H131" s="104">
        <v>1</v>
      </c>
      <c r="I131" s="101"/>
      <c r="J131" s="101"/>
      <c r="K131" s="101"/>
      <c r="L131" s="101"/>
      <c r="M131" s="101"/>
      <c r="N131" s="101"/>
      <c r="O131" s="101"/>
      <c r="P131" s="101"/>
      <c r="Q131" s="102"/>
      <c r="U131" s="56"/>
      <c r="V131" s="120" t="s">
        <v>232</v>
      </c>
      <c r="W131" s="127">
        <f>H130*Hintergrund!D104*'Emissions Sebastian 2020'!Y$123</f>
        <v>0.10194620253164557</v>
      </c>
      <c r="X131" s="127">
        <f t="shared" si="0"/>
        <v>0.10194620253164557</v>
      </c>
      <c r="Y131" s="127">
        <f t="shared" ref="Y131" si="1">X131</f>
        <v>0.10194620253164557</v>
      </c>
      <c r="Z131" s="15"/>
      <c r="AA131" s="57"/>
    </row>
    <row r="132" spans="2:27" x14ac:dyDescent="0.2">
      <c r="B132" s="99"/>
      <c r="C132" s="101"/>
      <c r="D132" s="101"/>
      <c r="E132" s="101"/>
      <c r="F132" s="101"/>
      <c r="G132" s="101"/>
      <c r="H132" s="101"/>
      <c r="I132" s="101"/>
      <c r="J132" s="101"/>
      <c r="K132" s="101"/>
      <c r="L132" s="101"/>
      <c r="M132" s="101"/>
      <c r="N132" s="101"/>
      <c r="O132" s="101"/>
      <c r="P132" s="101"/>
      <c r="Q132" s="102"/>
      <c r="U132" s="56"/>
      <c r="V132" s="120" t="s">
        <v>233</v>
      </c>
      <c r="W132" s="127">
        <f>H131*Hintergrund!D105*'Emissions Sebastian 2020'!Y$123</f>
        <v>1.5231962025316454</v>
      </c>
      <c r="X132" s="127">
        <f>W132*(100%-H137)</f>
        <v>1.5231962025316454</v>
      </c>
      <c r="Y132" s="127">
        <f>X132-(H142*X132*0.3)</f>
        <v>1.5231962025316454</v>
      </c>
      <c r="Z132" s="15"/>
      <c r="AA132" s="57"/>
    </row>
    <row r="133" spans="2:27" x14ac:dyDescent="0.2">
      <c r="B133" s="99"/>
      <c r="C133" s="101"/>
      <c r="D133" s="101"/>
      <c r="E133" s="101" t="s">
        <v>239</v>
      </c>
      <c r="F133" s="101"/>
      <c r="G133" s="101"/>
      <c r="H133" s="101"/>
      <c r="I133" s="101"/>
      <c r="J133" s="101"/>
      <c r="K133" s="101"/>
      <c r="L133" s="101"/>
      <c r="M133" s="101"/>
      <c r="N133" s="101"/>
      <c r="O133" s="101"/>
      <c r="P133" s="101"/>
      <c r="Q133" s="102"/>
      <c r="U133" s="56"/>
      <c r="V133" s="63"/>
      <c r="W133" s="127"/>
      <c r="X133" s="63"/>
      <c r="Y133" s="127"/>
      <c r="Z133" s="15"/>
      <c r="AA133" s="57"/>
    </row>
    <row r="134" spans="2:27" x14ac:dyDescent="0.2">
      <c r="B134" s="99"/>
      <c r="C134" s="101"/>
      <c r="D134" s="101"/>
      <c r="E134" s="101"/>
      <c r="F134" s="101" t="s">
        <v>234</v>
      </c>
      <c r="G134" s="101"/>
      <c r="H134" s="101"/>
      <c r="I134" s="101"/>
      <c r="J134" s="101"/>
      <c r="K134" s="101"/>
      <c r="L134" s="101"/>
      <c r="M134" s="101"/>
      <c r="N134" s="101"/>
      <c r="O134" s="101"/>
      <c r="P134" s="101"/>
      <c r="Q134" s="102"/>
      <c r="U134" s="56"/>
      <c r="V134" s="63"/>
      <c r="W134" s="63"/>
      <c r="X134" s="63"/>
      <c r="Y134" s="63"/>
      <c r="Z134" s="15"/>
      <c r="AA134" s="57"/>
    </row>
    <row r="135" spans="2:27" x14ac:dyDescent="0.2">
      <c r="B135" s="99"/>
      <c r="C135" s="101"/>
      <c r="D135" s="101"/>
      <c r="E135" s="101"/>
      <c r="F135" s="103" t="s">
        <v>230</v>
      </c>
      <c r="G135" s="101"/>
      <c r="H135" s="104">
        <v>0</v>
      </c>
      <c r="I135" s="101"/>
      <c r="J135" s="101"/>
      <c r="K135" s="101"/>
      <c r="L135" s="101"/>
      <c r="M135" s="101"/>
      <c r="N135" s="101"/>
      <c r="O135" s="101"/>
      <c r="P135" s="101"/>
      <c r="Q135" s="102"/>
      <c r="U135" s="56"/>
      <c r="V135" s="63" t="s">
        <v>279</v>
      </c>
      <c r="W135" s="63"/>
      <c r="X135" s="63"/>
      <c r="Y135" s="127">
        <f>SUM(Y126:Y132)</f>
        <v>3.7126408227848096</v>
      </c>
      <c r="Z135" s="15"/>
      <c r="AA135" s="57"/>
    </row>
    <row r="136" spans="2:27" x14ac:dyDescent="0.2">
      <c r="B136" s="99"/>
      <c r="C136" s="101"/>
      <c r="D136" s="101"/>
      <c r="E136" s="101"/>
      <c r="F136" s="103" t="s">
        <v>231</v>
      </c>
      <c r="G136" s="101"/>
      <c r="H136" s="104">
        <v>0</v>
      </c>
      <c r="I136" s="101"/>
      <c r="J136" s="101"/>
      <c r="K136" s="101"/>
      <c r="L136" s="101"/>
      <c r="M136" s="101"/>
      <c r="N136" s="101"/>
      <c r="O136" s="101"/>
      <c r="P136" s="101"/>
      <c r="Q136" s="102"/>
      <c r="U136" s="56"/>
      <c r="V136" s="63"/>
      <c r="W136" s="63"/>
      <c r="X136" s="63"/>
      <c r="Y136" s="63"/>
      <c r="Z136" s="15"/>
      <c r="AA136" s="57"/>
    </row>
    <row r="137" spans="2:27" x14ac:dyDescent="0.2">
      <c r="B137" s="99"/>
      <c r="C137" s="101"/>
      <c r="D137" s="101"/>
      <c r="E137" s="101"/>
      <c r="F137" s="103" t="s">
        <v>233</v>
      </c>
      <c r="G137" s="101"/>
      <c r="H137" s="104">
        <v>0</v>
      </c>
      <c r="I137" s="101"/>
      <c r="J137" s="101"/>
      <c r="K137" s="101"/>
      <c r="L137" s="101"/>
      <c r="M137" s="101"/>
      <c r="N137" s="101"/>
      <c r="O137" s="101"/>
      <c r="P137" s="101"/>
      <c r="Q137" s="102"/>
      <c r="U137" s="56"/>
      <c r="V137" s="63"/>
      <c r="W137" s="63"/>
      <c r="X137" s="63"/>
      <c r="Y137" s="63"/>
      <c r="Z137" s="15"/>
      <c r="AA137" s="57"/>
    </row>
    <row r="138" spans="2:27" x14ac:dyDescent="0.2">
      <c r="B138" s="99"/>
      <c r="C138" s="101"/>
      <c r="D138" s="101"/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2"/>
      <c r="U138" s="56"/>
      <c r="V138" s="15"/>
      <c r="W138" s="15"/>
      <c r="X138" s="15"/>
      <c r="Y138" s="15"/>
      <c r="Z138" s="15"/>
      <c r="AA138" s="57"/>
    </row>
    <row r="139" spans="2:27" x14ac:dyDescent="0.2">
      <c r="B139" s="99"/>
      <c r="C139" s="101"/>
      <c r="D139" s="101"/>
      <c r="E139" s="101" t="s">
        <v>240</v>
      </c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2"/>
      <c r="U139" s="56"/>
      <c r="V139" s="15"/>
      <c r="W139" s="15"/>
      <c r="X139" s="15"/>
      <c r="Y139" s="15"/>
      <c r="Z139" s="15"/>
      <c r="AA139" s="57"/>
    </row>
    <row r="140" spans="2:27" x14ac:dyDescent="0.2">
      <c r="B140" s="99"/>
      <c r="C140" s="101"/>
      <c r="D140" s="101"/>
      <c r="E140" s="101"/>
      <c r="F140" s="103" t="s">
        <v>230</v>
      </c>
      <c r="G140" s="101"/>
      <c r="H140" s="104">
        <v>0</v>
      </c>
      <c r="I140" s="101"/>
      <c r="J140" s="101"/>
      <c r="K140" s="101"/>
      <c r="L140" s="101"/>
      <c r="M140" s="101"/>
      <c r="N140" s="101"/>
      <c r="O140" s="101"/>
      <c r="P140" s="101"/>
      <c r="Q140" s="102"/>
      <c r="U140" s="56"/>
      <c r="V140" s="15"/>
      <c r="W140" s="15"/>
      <c r="X140" s="15"/>
      <c r="Y140" s="15"/>
      <c r="Z140" s="15"/>
      <c r="AA140" s="57"/>
    </row>
    <row r="141" spans="2:27" x14ac:dyDescent="0.2">
      <c r="B141" s="99"/>
      <c r="C141" s="101"/>
      <c r="D141" s="101"/>
      <c r="E141" s="101"/>
      <c r="F141" s="103" t="s">
        <v>231</v>
      </c>
      <c r="G141" s="101"/>
      <c r="H141" s="104">
        <v>0</v>
      </c>
      <c r="I141" s="101"/>
      <c r="J141" s="101"/>
      <c r="K141" s="101"/>
      <c r="L141" s="101"/>
      <c r="M141" s="101"/>
      <c r="N141" s="101"/>
      <c r="O141" s="101"/>
      <c r="P141" s="101"/>
      <c r="Q141" s="102"/>
      <c r="U141" s="56"/>
      <c r="V141" s="15"/>
      <c r="W141" s="15"/>
      <c r="X141" s="15"/>
      <c r="Y141" s="15"/>
      <c r="Z141" s="15"/>
      <c r="AA141" s="57"/>
    </row>
    <row r="142" spans="2:27" x14ac:dyDescent="0.2">
      <c r="B142" s="99"/>
      <c r="C142" s="101"/>
      <c r="D142" s="101"/>
      <c r="E142" s="101"/>
      <c r="F142" s="103" t="s">
        <v>233</v>
      </c>
      <c r="G142" s="101"/>
      <c r="H142" s="104">
        <v>0</v>
      </c>
      <c r="I142" s="101"/>
      <c r="J142" s="101"/>
      <c r="K142" s="101"/>
      <c r="L142" s="101"/>
      <c r="M142" s="101"/>
      <c r="N142" s="101"/>
      <c r="O142" s="101"/>
      <c r="P142" s="101"/>
      <c r="Q142" s="102"/>
      <c r="U142" s="56"/>
      <c r="V142" s="15"/>
      <c r="W142" s="15"/>
      <c r="X142" s="15"/>
      <c r="Y142" s="15"/>
      <c r="Z142" s="15"/>
      <c r="AA142" s="57"/>
    </row>
    <row r="143" spans="2:27" x14ac:dyDescent="0.2">
      <c r="B143" s="99"/>
      <c r="C143" s="101"/>
      <c r="D143" s="101"/>
      <c r="E143" s="101"/>
      <c r="F143" s="101"/>
      <c r="G143" s="101"/>
      <c r="H143" s="101"/>
      <c r="I143" s="101"/>
      <c r="J143" s="101"/>
      <c r="K143" s="101"/>
      <c r="L143" s="101"/>
      <c r="M143" s="101"/>
      <c r="N143" s="101"/>
      <c r="O143" s="101"/>
      <c r="P143" s="101"/>
      <c r="Q143" s="102"/>
      <c r="U143" s="56"/>
      <c r="V143" s="15"/>
      <c r="W143" s="15"/>
      <c r="X143" s="15"/>
      <c r="Y143" s="15"/>
      <c r="Z143" s="15"/>
      <c r="AA143" s="57"/>
    </row>
    <row r="144" spans="2:27" x14ac:dyDescent="0.2">
      <c r="B144" s="99"/>
      <c r="C144" s="101"/>
      <c r="D144" s="101"/>
      <c r="E144" s="101"/>
      <c r="F144" s="101"/>
      <c r="G144" s="101"/>
      <c r="H144" s="101"/>
      <c r="I144" s="101"/>
      <c r="J144" s="101"/>
      <c r="K144" s="101"/>
      <c r="L144" s="101"/>
      <c r="M144" s="101"/>
      <c r="N144" s="101"/>
      <c r="O144" s="101"/>
      <c r="P144" s="101"/>
      <c r="Q144" s="102"/>
      <c r="U144" s="56"/>
      <c r="V144" s="15"/>
      <c r="W144" s="15"/>
      <c r="X144" s="15"/>
      <c r="Y144" s="15"/>
      <c r="Z144" s="15"/>
      <c r="AA144" s="57"/>
    </row>
    <row r="145" spans="2:27" ht="17" thickBot="1" x14ac:dyDescent="0.25">
      <c r="B145" s="105"/>
      <c r="C145" s="106"/>
      <c r="D145" s="106"/>
      <c r="E145" s="106"/>
      <c r="F145" s="107" t="s">
        <v>242</v>
      </c>
      <c r="G145" s="106"/>
      <c r="H145" s="126">
        <f>Y135</f>
        <v>3.7126408227848096</v>
      </c>
      <c r="I145" s="106"/>
      <c r="J145" s="106"/>
      <c r="K145" s="106"/>
      <c r="L145" s="106"/>
      <c r="M145" s="106"/>
      <c r="N145" s="106"/>
      <c r="O145" s="106"/>
      <c r="P145" s="106"/>
      <c r="Q145" s="108"/>
      <c r="U145" s="58"/>
      <c r="V145" s="59"/>
      <c r="W145" s="59"/>
      <c r="X145" s="59"/>
      <c r="Y145" s="59"/>
      <c r="Z145" s="59"/>
      <c r="AA145" s="60"/>
    </row>
    <row r="146" spans="2:27" ht="17" thickBot="1" x14ac:dyDescent="0.25"/>
    <row r="147" spans="2:27" ht="21" x14ac:dyDescent="0.25">
      <c r="B147" s="129"/>
      <c r="C147" s="130"/>
      <c r="D147" s="130"/>
      <c r="E147" s="130"/>
      <c r="F147" s="130"/>
      <c r="G147" s="130"/>
      <c r="H147" s="130"/>
      <c r="I147" s="130"/>
      <c r="J147" s="130"/>
      <c r="K147" s="130"/>
      <c r="L147" s="130"/>
      <c r="M147" s="130"/>
      <c r="N147" s="130"/>
      <c r="O147" s="130"/>
      <c r="P147" s="130"/>
      <c r="Q147" s="131"/>
      <c r="U147" s="53"/>
      <c r="V147" s="66"/>
      <c r="W147" s="66"/>
      <c r="X147" s="66"/>
      <c r="Y147" s="66"/>
      <c r="Z147" s="54"/>
      <c r="AA147" s="55"/>
    </row>
    <row r="148" spans="2:27" ht="21" x14ac:dyDescent="0.25">
      <c r="B148" s="132"/>
      <c r="C148" s="133"/>
      <c r="D148" s="133"/>
      <c r="E148" s="133"/>
      <c r="F148" s="134" t="s">
        <v>243</v>
      </c>
      <c r="G148" s="133"/>
      <c r="H148" s="135">
        <f>H145+H117+H68+H15+H6</f>
        <v>7.7894199829503599</v>
      </c>
      <c r="I148" s="133"/>
      <c r="J148" s="133"/>
      <c r="K148" s="133"/>
      <c r="L148" s="133"/>
      <c r="M148" s="133"/>
      <c r="N148" s="133"/>
      <c r="O148" s="133"/>
      <c r="P148" s="133"/>
      <c r="Q148" s="136"/>
      <c r="U148" s="56"/>
      <c r="V148" s="63" t="s">
        <v>285</v>
      </c>
      <c r="W148" s="63"/>
      <c r="X148" s="63"/>
      <c r="Y148" s="63">
        <f>Hintergrund!F110</f>
        <v>11.17</v>
      </c>
      <c r="Z148" s="15"/>
      <c r="AA148" s="57"/>
    </row>
    <row r="149" spans="2:27" ht="21" x14ac:dyDescent="0.25">
      <c r="B149" s="132"/>
      <c r="C149" s="133"/>
      <c r="D149" s="133"/>
      <c r="E149" s="133"/>
      <c r="F149" s="137" t="s">
        <v>244</v>
      </c>
      <c r="G149" s="133"/>
      <c r="H149" s="138">
        <f>(H148/Y148)-1</f>
        <v>-0.30264816625332502</v>
      </c>
      <c r="I149" s="133"/>
      <c r="J149" s="133"/>
      <c r="K149" s="133"/>
      <c r="L149" s="133"/>
      <c r="M149" s="133"/>
      <c r="N149" s="133"/>
      <c r="O149" s="133"/>
      <c r="P149" s="133"/>
      <c r="Q149" s="136"/>
      <c r="U149" s="56"/>
      <c r="V149" s="15"/>
      <c r="W149" s="15"/>
      <c r="X149" s="15"/>
      <c r="Y149" s="15"/>
      <c r="Z149" s="15"/>
      <c r="AA149" s="57"/>
    </row>
    <row r="150" spans="2:27" ht="22" thickBot="1" x14ac:dyDescent="0.3">
      <c r="B150" s="139"/>
      <c r="C150" s="140"/>
      <c r="D150" s="140"/>
      <c r="E150" s="140"/>
      <c r="F150" s="140"/>
      <c r="G150" s="140"/>
      <c r="H150" s="140"/>
      <c r="I150" s="140"/>
      <c r="J150" s="140"/>
      <c r="K150" s="140"/>
      <c r="L150" s="140"/>
      <c r="M150" s="140"/>
      <c r="N150" s="140"/>
      <c r="O150" s="140"/>
      <c r="P150" s="140"/>
      <c r="Q150" s="141"/>
      <c r="U150" s="58"/>
      <c r="V150" s="59"/>
      <c r="W150" s="59"/>
      <c r="X150" s="59"/>
      <c r="Y150" s="59"/>
      <c r="Z150" s="59"/>
      <c r="AA150" s="60"/>
    </row>
    <row r="151" spans="2:27" ht="17" thickBot="1" x14ac:dyDescent="0.25"/>
    <row r="152" spans="2:27" x14ac:dyDescent="0.2">
      <c r="B152" s="142"/>
      <c r="C152" s="143"/>
      <c r="D152" s="143"/>
      <c r="E152" s="143"/>
      <c r="F152" s="143"/>
      <c r="G152" s="143"/>
      <c r="H152" s="143"/>
      <c r="I152" s="143"/>
      <c r="J152" s="143"/>
      <c r="K152" s="143"/>
      <c r="L152" s="143"/>
      <c r="M152" s="143"/>
      <c r="N152" s="143"/>
      <c r="O152" s="143"/>
      <c r="P152" s="143"/>
      <c r="Q152" s="144"/>
    </row>
    <row r="153" spans="2:27" x14ac:dyDescent="0.2">
      <c r="B153" s="145"/>
      <c r="C153" s="146"/>
      <c r="D153" s="146"/>
      <c r="E153" s="146"/>
      <c r="F153" s="146"/>
      <c r="G153" s="146"/>
      <c r="H153" s="146"/>
      <c r="I153" s="146"/>
      <c r="J153" s="146"/>
      <c r="K153" s="146"/>
      <c r="L153" s="146"/>
      <c r="M153" s="146"/>
      <c r="N153" s="146"/>
      <c r="O153" s="146"/>
      <c r="P153" s="146"/>
      <c r="Q153" s="148"/>
    </row>
    <row r="154" spans="2:27" ht="26" x14ac:dyDescent="0.3">
      <c r="B154" s="145"/>
      <c r="C154" s="146"/>
      <c r="D154" s="146"/>
      <c r="E154" s="146"/>
      <c r="F154" s="146"/>
      <c r="G154" s="146"/>
      <c r="H154" s="147" t="s">
        <v>286</v>
      </c>
      <c r="I154" s="146"/>
      <c r="J154" s="146"/>
      <c r="K154" s="146"/>
      <c r="L154" s="146"/>
      <c r="M154" s="146"/>
      <c r="N154" s="146"/>
      <c r="O154" s="146"/>
      <c r="P154" s="146"/>
      <c r="Q154" s="148"/>
    </row>
    <row r="155" spans="2:27" x14ac:dyDescent="0.2">
      <c r="B155" s="145"/>
      <c r="C155" s="146"/>
      <c r="D155" s="146"/>
      <c r="E155" s="146"/>
      <c r="F155" s="146"/>
      <c r="G155" s="146"/>
      <c r="H155" s="146"/>
      <c r="I155" s="146"/>
      <c r="J155" s="146"/>
      <c r="K155" s="146"/>
      <c r="L155" s="146"/>
      <c r="M155" s="146"/>
      <c r="N155" s="146"/>
      <c r="O155" s="146"/>
      <c r="P155" s="146"/>
      <c r="Q155" s="148"/>
    </row>
    <row r="156" spans="2:27" ht="17" thickBot="1" x14ac:dyDescent="0.25">
      <c r="B156" s="149"/>
      <c r="C156" s="150"/>
      <c r="D156" s="150"/>
      <c r="E156" s="150"/>
      <c r="F156" s="150"/>
      <c r="G156" s="150"/>
      <c r="H156" s="150"/>
      <c r="I156" s="150"/>
      <c r="J156" s="150"/>
      <c r="K156" s="150"/>
      <c r="L156" s="150"/>
      <c r="M156" s="150"/>
      <c r="N156" s="150"/>
      <c r="O156" s="150"/>
      <c r="P156" s="150"/>
      <c r="Q156" s="151"/>
    </row>
    <row r="158" spans="2:27" ht="17" thickBot="1" x14ac:dyDescent="0.25"/>
    <row r="159" spans="2:27" x14ac:dyDescent="0.2">
      <c r="U159" s="65"/>
      <c r="V159" s="66"/>
      <c r="W159" s="66"/>
      <c r="X159" s="66"/>
      <c r="Y159" s="66"/>
      <c r="Z159" s="66"/>
      <c r="AA159" s="67"/>
    </row>
    <row r="160" spans="2:27" x14ac:dyDescent="0.2">
      <c r="U160" s="68"/>
      <c r="V160" s="62" t="s">
        <v>288</v>
      </c>
      <c r="W160" s="155" t="s">
        <v>287</v>
      </c>
      <c r="X160" s="62" t="s">
        <v>318</v>
      </c>
      <c r="Y160" s="63"/>
      <c r="Z160" s="63"/>
      <c r="AA160" s="69"/>
    </row>
    <row r="161" spans="21:33" x14ac:dyDescent="0.2">
      <c r="U161" s="68"/>
      <c r="V161" s="63" t="s">
        <v>123</v>
      </c>
      <c r="W161" s="74">
        <f>H6</f>
        <v>0.86</v>
      </c>
      <c r="X161" s="74">
        <f>Hintergrund!F111</f>
        <v>0.86</v>
      </c>
      <c r="Y161" s="63"/>
      <c r="Z161" s="63"/>
      <c r="AA161" s="69"/>
      <c r="AC161" s="63" t="s">
        <v>123</v>
      </c>
      <c r="AD161" s="63" t="s">
        <v>289</v>
      </c>
      <c r="AE161" s="63" t="s">
        <v>139</v>
      </c>
      <c r="AF161" s="63" t="s">
        <v>172</v>
      </c>
      <c r="AG161" s="63" t="s">
        <v>275</v>
      </c>
    </row>
    <row r="162" spans="21:33" x14ac:dyDescent="0.2">
      <c r="U162" s="68"/>
      <c r="V162" s="63" t="s">
        <v>289</v>
      </c>
      <c r="W162" s="74">
        <f>H15</f>
        <v>1.1123615353187635</v>
      </c>
      <c r="X162" s="74">
        <f>Hintergrund!F112</f>
        <v>2.74</v>
      </c>
      <c r="Y162" s="63"/>
      <c r="Z162" s="63"/>
      <c r="AA162" s="69"/>
    </row>
    <row r="163" spans="21:33" x14ac:dyDescent="0.2">
      <c r="U163" s="68"/>
      <c r="V163" s="63" t="s">
        <v>139</v>
      </c>
      <c r="W163" s="74">
        <f>H68</f>
        <v>0.57824028571428576</v>
      </c>
      <c r="X163" s="74">
        <f>Hintergrund!F113</f>
        <v>2.09</v>
      </c>
      <c r="Y163" s="63"/>
      <c r="Z163" s="63"/>
      <c r="AA163" s="69"/>
      <c r="AB163" t="s">
        <v>287</v>
      </c>
      <c r="AC163" s="2">
        <f>W161</f>
        <v>0.86</v>
      </c>
      <c r="AD163" s="2">
        <f>W162</f>
        <v>1.1123615353187635</v>
      </c>
      <c r="AE163" s="2">
        <f>W163</f>
        <v>0.57824028571428576</v>
      </c>
      <c r="AF163" s="2">
        <f>W164</f>
        <v>1.5261773391325002</v>
      </c>
      <c r="AG163" s="2">
        <f>W165</f>
        <v>3.7126408227848096</v>
      </c>
    </row>
    <row r="164" spans="21:33" x14ac:dyDescent="0.2">
      <c r="U164" s="68"/>
      <c r="V164" s="63" t="s">
        <v>172</v>
      </c>
      <c r="W164" s="74">
        <f>H117</f>
        <v>1.5261773391325002</v>
      </c>
      <c r="X164" s="74">
        <f>Hintergrund!F114</f>
        <v>1.69</v>
      </c>
      <c r="Y164" s="63"/>
      <c r="Z164" s="63"/>
      <c r="AA164" s="69"/>
      <c r="AB164" t="s">
        <v>318</v>
      </c>
      <c r="AC164" s="2">
        <f>X161</f>
        <v>0.86</v>
      </c>
      <c r="AD164" s="2">
        <f>X162</f>
        <v>2.74</v>
      </c>
      <c r="AE164" s="2">
        <f>X163</f>
        <v>2.09</v>
      </c>
      <c r="AF164" s="2">
        <f>X164</f>
        <v>1.69</v>
      </c>
      <c r="AG164" s="2">
        <f>X165</f>
        <v>3.79</v>
      </c>
    </row>
    <row r="165" spans="21:33" x14ac:dyDescent="0.2">
      <c r="U165" s="68"/>
      <c r="V165" s="63" t="s">
        <v>275</v>
      </c>
      <c r="W165" s="74">
        <f>H145</f>
        <v>3.7126408227848096</v>
      </c>
      <c r="X165" s="74">
        <f>Hintergrund!F115</f>
        <v>3.79</v>
      </c>
      <c r="Y165" s="63"/>
      <c r="Z165" s="63"/>
      <c r="AA165" s="69"/>
    </row>
    <row r="166" spans="21:33" x14ac:dyDescent="0.2">
      <c r="U166" s="68"/>
      <c r="V166" s="63"/>
      <c r="W166" s="63"/>
      <c r="X166" s="63"/>
      <c r="Y166" s="63"/>
      <c r="Z166" s="63"/>
      <c r="AA166" s="69"/>
    </row>
    <row r="167" spans="21:33" x14ac:dyDescent="0.2">
      <c r="U167" s="68"/>
      <c r="V167" s="62" t="s">
        <v>290</v>
      </c>
      <c r="W167" s="155" t="s">
        <v>287</v>
      </c>
      <c r="X167" s="62" t="s">
        <v>318</v>
      </c>
      <c r="Y167" s="63"/>
      <c r="Z167" s="63"/>
      <c r="AA167" s="69"/>
    </row>
    <row r="168" spans="21:33" x14ac:dyDescent="0.2">
      <c r="U168" s="68"/>
      <c r="V168" s="63" t="s">
        <v>291</v>
      </c>
      <c r="W168" s="119">
        <f>(X14+X13)/1000</f>
        <v>1.0123615353187636</v>
      </c>
      <c r="X168" s="63">
        <f>Hintergrund!F119</f>
        <v>2.04</v>
      </c>
      <c r="Y168" s="63"/>
      <c r="Z168" s="63"/>
      <c r="AA168" s="69"/>
    </row>
    <row r="169" spans="21:33" x14ac:dyDescent="0.2">
      <c r="U169" s="68"/>
      <c r="V169" s="63" t="s">
        <v>17</v>
      </c>
      <c r="W169" s="63">
        <f>(X9+X13)/1000</f>
        <v>0.18</v>
      </c>
      <c r="X169" s="63">
        <f>Hintergrund!F120</f>
        <v>0.7</v>
      </c>
      <c r="Y169" s="63"/>
      <c r="Z169" s="63"/>
      <c r="AA169" s="69"/>
    </row>
    <row r="170" spans="21:33" x14ac:dyDescent="0.2">
      <c r="U170" s="68"/>
      <c r="V170" s="63"/>
      <c r="W170" s="63"/>
      <c r="X170" s="63"/>
      <c r="Y170" s="63"/>
      <c r="Z170" s="63"/>
      <c r="AA170" s="69"/>
    </row>
    <row r="171" spans="21:33" x14ac:dyDescent="0.2">
      <c r="U171" s="68"/>
      <c r="V171" s="62" t="s">
        <v>139</v>
      </c>
      <c r="W171" s="155" t="s">
        <v>287</v>
      </c>
      <c r="X171" s="62" t="s">
        <v>318</v>
      </c>
      <c r="Y171" s="63"/>
      <c r="Z171" s="63"/>
      <c r="AA171" s="69"/>
    </row>
    <row r="172" spans="21:33" x14ac:dyDescent="0.2">
      <c r="U172" s="68"/>
      <c r="V172" s="63" t="s">
        <v>298</v>
      </c>
      <c r="W172" s="74">
        <f>(X39+X49+X55)/1000</f>
        <v>7.0876285714285711E-2</v>
      </c>
      <c r="X172" s="74">
        <f>Hintergrund!F124</f>
        <v>1.3375999999999999</v>
      </c>
      <c r="Y172" s="63"/>
      <c r="Z172" s="63"/>
      <c r="AA172" s="69"/>
    </row>
    <row r="173" spans="21:33" x14ac:dyDescent="0.2">
      <c r="U173" s="68"/>
      <c r="V173" s="63" t="s">
        <v>304</v>
      </c>
      <c r="W173" s="74">
        <f>(X23+X30)/1000</f>
        <v>0.23158400000000001</v>
      </c>
      <c r="X173" s="74">
        <f>Hintergrund!F125</f>
        <v>0.12539999999999998</v>
      </c>
      <c r="Y173" s="63"/>
      <c r="Z173" s="63"/>
      <c r="AA173" s="69"/>
    </row>
    <row r="174" spans="21:33" x14ac:dyDescent="0.2">
      <c r="U174" s="68"/>
      <c r="V174" s="63" t="s">
        <v>26</v>
      </c>
      <c r="W174" s="74">
        <f>X58/1000</f>
        <v>0.2152</v>
      </c>
      <c r="X174" s="74">
        <f>Hintergrund!F126</f>
        <v>0.54339999999999999</v>
      </c>
      <c r="Y174" s="63"/>
      <c r="Z174" s="63"/>
      <c r="AA174" s="69"/>
    </row>
    <row r="175" spans="21:33" x14ac:dyDescent="0.2">
      <c r="U175" s="68"/>
      <c r="V175" s="63" t="s">
        <v>300</v>
      </c>
      <c r="W175" s="74">
        <f>X63/1000</f>
        <v>6.0579999999999995E-2</v>
      </c>
      <c r="X175" s="74">
        <f>Hintergrund!F127</f>
        <v>8.3599999999999994E-2</v>
      </c>
      <c r="Y175" s="63"/>
      <c r="Z175" s="63"/>
      <c r="AA175" s="69"/>
    </row>
    <row r="176" spans="21:33" x14ac:dyDescent="0.2">
      <c r="U176" s="68"/>
      <c r="V176" s="63"/>
      <c r="W176" s="63"/>
      <c r="X176" s="63"/>
      <c r="Y176" s="63"/>
      <c r="Z176" s="63"/>
      <c r="AA176" s="69"/>
    </row>
    <row r="177" spans="21:27" x14ac:dyDescent="0.2">
      <c r="U177" s="68"/>
      <c r="V177" s="62" t="s">
        <v>172</v>
      </c>
      <c r="W177" s="155" t="s">
        <v>287</v>
      </c>
      <c r="X177" s="62" t="s">
        <v>318</v>
      </c>
      <c r="Y177" s="63"/>
      <c r="Z177" s="63"/>
      <c r="AA177" s="69"/>
    </row>
    <row r="178" spans="21:27" x14ac:dyDescent="0.2">
      <c r="U178" s="68"/>
      <c r="V178" s="63" t="s">
        <v>305</v>
      </c>
      <c r="W178" s="74">
        <f>(Hintergrund!G61-'Emissions Sebastian 2020'!X75)*Hintergrund!D61</f>
        <v>32.130000000000017</v>
      </c>
      <c r="X178" s="154">
        <f>Hintergrund!F131</f>
        <v>160.26979499999999</v>
      </c>
      <c r="Y178" s="63"/>
      <c r="Z178" s="63"/>
      <c r="AA178" s="69"/>
    </row>
    <row r="179" spans="21:27" x14ac:dyDescent="0.2">
      <c r="U179" s="68"/>
      <c r="V179" s="63" t="s">
        <v>306</v>
      </c>
      <c r="W179" s="119">
        <f>((Hintergrund!H52/2)-'Emissions Sebastian 2020'!Y83)+(Hintergrund!H53/2)-Y87+(Hintergrund!H55/2)-'Emissions Sebastian 2020'!Y91+(Hintergrund!H56/2)-'Emissions Sebastian 2020'!Y95+(X83*L85*Hintergrund!F56)+('Emissions Sebastian 2020'!X83*'Emissions Sebastian 2020'!L86*Hintergrund!F55)+(X87*L95*Hintergrund!F56)+('Emissions Sebastian 2020'!X87*'Emissions Sebastian 2020'!L96*Hintergrund!F55)+(X91*L104*Hintergrund!F56)</f>
        <v>214.74468375000001</v>
      </c>
      <c r="X179" s="154">
        <f>Hintergrund!F132</f>
        <v>635.88525145833319</v>
      </c>
      <c r="Y179" s="63"/>
      <c r="Z179" s="63"/>
      <c r="AA179" s="69"/>
    </row>
    <row r="180" spans="21:27" x14ac:dyDescent="0.2">
      <c r="U180" s="68"/>
      <c r="V180" s="63" t="s">
        <v>307</v>
      </c>
      <c r="W180" s="154">
        <f>Hintergrund!H54-(X101*Hintergrund!F54)+(X75*H79*Hintergrund!F54)+(Hintergrund!F54*X79*H88)+(Hintergrund!F54*X83*L89)+(Hintergrund!F54*X87*L100)</f>
        <v>815.49544450000008</v>
      </c>
      <c r="X180" s="154">
        <f>Hintergrund!F133</f>
        <v>398.14548700000006</v>
      </c>
      <c r="Y180" s="63"/>
      <c r="Z180" s="63"/>
      <c r="AA180" s="69"/>
    </row>
    <row r="181" spans="21:27" x14ac:dyDescent="0.2">
      <c r="U181" s="68"/>
      <c r="V181" s="63" t="s">
        <v>316</v>
      </c>
      <c r="W181" s="154">
        <f>Hintergrund!H58-(X105*Hintergrund!F58)</f>
        <v>103.913488</v>
      </c>
      <c r="X181" s="154">
        <f>Hintergrund!F134</f>
        <v>103.913488</v>
      </c>
      <c r="Y181" s="63"/>
      <c r="Z181" s="63"/>
      <c r="AA181" s="69"/>
    </row>
    <row r="182" spans="21:27" x14ac:dyDescent="0.2">
      <c r="U182" s="68"/>
      <c r="V182" s="63" t="s">
        <v>47</v>
      </c>
      <c r="W182" s="154">
        <f>Hintergrund!H59-(X109*Hintergrund!F59)</f>
        <v>55.331238749999997</v>
      </c>
      <c r="X182" s="154">
        <f>Hintergrund!F135</f>
        <v>55.331238749999997</v>
      </c>
      <c r="Y182" s="63"/>
      <c r="Z182" s="63"/>
      <c r="AA182" s="69"/>
    </row>
    <row r="183" spans="21:27" x14ac:dyDescent="0.2">
      <c r="U183" s="68"/>
      <c r="V183" s="63" t="s">
        <v>308</v>
      </c>
      <c r="W183" s="74">
        <f>Hintergrund!H44-Hintergrund!H46+(X75*H80*Hintergrund!F70)+(X79*H85*Hintergrund!F69)+(X79*H86*Hintergrund!F68)+(X79*H87*Hintergrund!F72)+(X79*H89*1)+(X83*L87*Hintergrund!F68)+(X83*L88*Hintergrund!F69)+(X83*L90*3)+(X83*L91*1)+(X87*L97*Hintergrund!F69)+(X87*L98*Hintergrund!F68)+(X87*L99*3)+(X87*L101*1)+(X91*L105*Hintergrund!F69)+(X91*L106*Hintergrund!F68)+(X91*L107*3)+(X91*L108*1)+(X95*L112*Hintergrund!F69)+(X95*L113*Hintergrund!F68)+(X95*L114*3)+(X95*L115*1)+(X101*H95*Hintergrund!F70)+(X101*H96*1)+(X105*H100*Hintergrund!F71)+(X109*H104*Hintergrund!F70)</f>
        <v>304.56248413249995</v>
      </c>
      <c r="X183" s="154">
        <f>Hintergrund!F136</f>
        <v>287.29999999999995</v>
      </c>
      <c r="Y183" s="63"/>
      <c r="Z183" s="63"/>
      <c r="AA183" s="69"/>
    </row>
    <row r="184" spans="21:27" x14ac:dyDescent="0.2">
      <c r="U184" s="68"/>
      <c r="V184" s="63"/>
      <c r="W184" s="63"/>
      <c r="X184" s="63"/>
      <c r="Y184" s="63"/>
      <c r="Z184" s="63"/>
      <c r="AA184" s="69"/>
    </row>
    <row r="185" spans="21:27" x14ac:dyDescent="0.2">
      <c r="U185" s="68"/>
      <c r="V185" s="62" t="s">
        <v>275</v>
      </c>
      <c r="W185" s="155" t="s">
        <v>287</v>
      </c>
      <c r="X185" s="62" t="s">
        <v>318</v>
      </c>
      <c r="Y185" s="63"/>
      <c r="Z185" s="63"/>
      <c r="AA185" s="69"/>
    </row>
    <row r="186" spans="21:27" x14ac:dyDescent="0.2">
      <c r="U186" s="68"/>
      <c r="V186" s="63" t="s">
        <v>309</v>
      </c>
      <c r="W186" s="127">
        <f>Y126</f>
        <v>0.66564873417721526</v>
      </c>
      <c r="X186" s="74">
        <f>Hintergrund!F139</f>
        <v>0.66564873417721526</v>
      </c>
      <c r="Y186" s="63"/>
      <c r="Z186" s="63"/>
      <c r="AA186" s="69"/>
    </row>
    <row r="187" spans="21:27" x14ac:dyDescent="0.2">
      <c r="U187" s="68"/>
      <c r="V187" s="63" t="s">
        <v>310</v>
      </c>
      <c r="W187" s="127">
        <f t="shared" ref="W187:W192" si="2">Y127</f>
        <v>2.39873417721519E-2</v>
      </c>
      <c r="X187" s="74">
        <f>Hintergrund!F140</f>
        <v>0.23987341772151902</v>
      </c>
      <c r="Y187" s="63"/>
      <c r="Z187" s="63"/>
      <c r="AA187" s="69"/>
    </row>
    <row r="188" spans="21:27" x14ac:dyDescent="0.2">
      <c r="U188" s="68"/>
      <c r="V188" s="63" t="s">
        <v>311</v>
      </c>
      <c r="W188" s="127">
        <f t="shared" si="2"/>
        <v>0.60028322784810129</v>
      </c>
      <c r="X188" s="74">
        <f>Hintergrund!F141</f>
        <v>0.46175632911392406</v>
      </c>
      <c r="Y188" s="63"/>
      <c r="Z188" s="63"/>
      <c r="AA188" s="69"/>
    </row>
    <row r="189" spans="21:27" x14ac:dyDescent="0.2">
      <c r="U189" s="68"/>
      <c r="V189" s="63" t="s">
        <v>312</v>
      </c>
      <c r="W189" s="127">
        <f>Y129</f>
        <v>0.39579113924050635</v>
      </c>
      <c r="X189" s="74">
        <f>Hintergrund!F142</f>
        <v>0.39579113924050635</v>
      </c>
      <c r="Y189" s="63"/>
      <c r="Z189" s="63"/>
      <c r="AA189" s="69"/>
    </row>
    <row r="190" spans="21:27" x14ac:dyDescent="0.2">
      <c r="U190" s="68"/>
      <c r="V190" s="63" t="s">
        <v>313</v>
      </c>
      <c r="W190" s="127">
        <f t="shared" si="2"/>
        <v>0.40178797468354421</v>
      </c>
      <c r="X190" s="74">
        <f>Hintergrund!F143</f>
        <v>0.40178797468354421</v>
      </c>
      <c r="Y190" s="63"/>
      <c r="Z190" s="63"/>
      <c r="AA190" s="69"/>
    </row>
    <row r="191" spans="21:27" x14ac:dyDescent="0.2">
      <c r="U191" s="68"/>
      <c r="V191" s="63" t="s">
        <v>314</v>
      </c>
      <c r="W191" s="127">
        <f>Y131</f>
        <v>0.10194620253164557</v>
      </c>
      <c r="X191" s="74">
        <f>Hintergrund!F144</f>
        <v>0.10194620253164557</v>
      </c>
      <c r="Y191" s="63"/>
      <c r="Z191" s="63"/>
      <c r="AA191" s="69"/>
    </row>
    <row r="192" spans="21:27" x14ac:dyDescent="0.2">
      <c r="U192" s="68"/>
      <c r="V192" s="63" t="s">
        <v>315</v>
      </c>
      <c r="W192" s="127">
        <f t="shared" si="2"/>
        <v>1.5231962025316454</v>
      </c>
      <c r="X192" s="74">
        <f>Hintergrund!F145</f>
        <v>1.5231962025316454</v>
      </c>
      <c r="Y192" s="63"/>
      <c r="Z192" s="63"/>
      <c r="AA192" s="69"/>
    </row>
    <row r="193" spans="21:27" x14ac:dyDescent="0.2">
      <c r="U193" s="68"/>
      <c r="V193" s="63"/>
      <c r="W193" s="63"/>
      <c r="X193" s="63"/>
      <c r="Y193" s="63"/>
      <c r="Z193" s="63"/>
      <c r="AA193" s="69"/>
    </row>
    <row r="194" spans="21:27" ht="17" thickBot="1" x14ac:dyDescent="0.25">
      <c r="U194" s="70"/>
      <c r="V194" s="71"/>
      <c r="W194" s="71"/>
      <c r="X194" s="71"/>
      <c r="Y194" s="71"/>
      <c r="Z194" s="71"/>
      <c r="AA194" s="72"/>
    </row>
    <row r="263" spans="2:26" ht="17" thickBot="1" x14ac:dyDescent="0.25"/>
    <row r="264" spans="2:26" x14ac:dyDescent="0.2">
      <c r="B264" s="156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8"/>
    </row>
    <row r="265" spans="2:26" x14ac:dyDescent="0.2">
      <c r="B265" s="159"/>
      <c r="C265" s="160"/>
      <c r="D265" s="160"/>
      <c r="E265" s="160"/>
      <c r="F265" s="160"/>
      <c r="G265" s="160"/>
      <c r="H265" s="160"/>
      <c r="I265" s="160"/>
      <c r="J265" s="160"/>
      <c r="K265" s="160"/>
      <c r="L265" s="160"/>
      <c r="M265" s="160"/>
      <c r="N265" s="160"/>
      <c r="O265" s="160"/>
      <c r="P265" s="160"/>
      <c r="Q265" s="161"/>
    </row>
    <row r="266" spans="2:26" ht="26" x14ac:dyDescent="0.3">
      <c r="B266" s="159"/>
      <c r="C266" s="160"/>
      <c r="D266" s="160"/>
      <c r="E266" s="160"/>
      <c r="F266" s="160"/>
      <c r="G266" s="160"/>
      <c r="H266" s="162" t="s">
        <v>319</v>
      </c>
      <c r="I266" s="160"/>
      <c r="J266" s="160"/>
      <c r="K266" s="160"/>
      <c r="L266" s="160"/>
      <c r="M266" s="160"/>
      <c r="N266" s="160"/>
      <c r="O266" s="160"/>
      <c r="P266" s="160"/>
      <c r="Q266" s="161"/>
    </row>
    <row r="267" spans="2:26" x14ac:dyDescent="0.2">
      <c r="B267" s="159"/>
      <c r="C267" s="160"/>
      <c r="D267" s="160"/>
      <c r="E267" s="160"/>
      <c r="F267" s="160"/>
      <c r="G267" s="160"/>
      <c r="H267" s="160"/>
      <c r="I267" s="160"/>
      <c r="J267" s="160"/>
      <c r="K267" s="160"/>
      <c r="L267" s="160"/>
      <c r="M267" s="160"/>
      <c r="N267" s="160"/>
      <c r="O267" s="160"/>
      <c r="P267" s="160"/>
      <c r="Q267" s="161"/>
    </row>
    <row r="268" spans="2:26" ht="17" thickBot="1" x14ac:dyDescent="0.25">
      <c r="B268" s="163"/>
      <c r="C268" s="164"/>
      <c r="D268" s="164"/>
      <c r="E268" s="164"/>
      <c r="F268" s="164"/>
      <c r="G268" s="164"/>
      <c r="H268" s="164"/>
      <c r="I268" s="164"/>
      <c r="J268" s="164"/>
      <c r="K268" s="164"/>
      <c r="L268" s="164"/>
      <c r="M268" s="164"/>
      <c r="N268" s="164"/>
      <c r="O268" s="164"/>
      <c r="P268" s="164"/>
      <c r="Q268" s="165"/>
    </row>
    <row r="269" spans="2:26" ht="17" thickBot="1" x14ac:dyDescent="0.25"/>
    <row r="270" spans="2:26" x14ac:dyDescent="0.2">
      <c r="B270" s="17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9"/>
      <c r="S270" s="10"/>
      <c r="T270" s="11"/>
      <c r="U270" s="11"/>
      <c r="V270" s="11"/>
      <c r="W270" s="11"/>
      <c r="X270" s="11"/>
      <c r="Y270" s="11"/>
      <c r="Z270" s="12"/>
    </row>
    <row r="271" spans="2:26" x14ac:dyDescent="0.2">
      <c r="B271" s="20"/>
      <c r="C271" s="21" t="s">
        <v>324</v>
      </c>
      <c r="D271" s="22"/>
      <c r="E271" s="22"/>
      <c r="F271" s="21" t="s">
        <v>323</v>
      </c>
      <c r="G271" s="21"/>
      <c r="H271" s="22"/>
      <c r="I271" s="22"/>
      <c r="J271" s="22"/>
      <c r="K271" s="22"/>
      <c r="L271" s="22"/>
      <c r="M271" s="22"/>
      <c r="N271" s="22"/>
      <c r="O271" s="22"/>
      <c r="P271" s="22"/>
      <c r="Q271" s="23"/>
      <c r="S271" s="204"/>
      <c r="T271" s="63" t="s">
        <v>358</v>
      </c>
      <c r="U271" s="63"/>
      <c r="V271" s="119">
        <f>X15</f>
        <v>1112.3615353187636</v>
      </c>
      <c r="W271" s="63"/>
      <c r="X271" s="63" t="s">
        <v>359</v>
      </c>
      <c r="Y271" s="74">
        <f>X13</f>
        <v>80</v>
      </c>
      <c r="Z271" s="208"/>
    </row>
    <row r="272" spans="2:26" x14ac:dyDescent="0.2">
      <c r="B272" s="20"/>
      <c r="C272" s="21"/>
      <c r="D272" s="22"/>
      <c r="E272" s="22"/>
      <c r="F272" s="21" t="s">
        <v>320</v>
      </c>
      <c r="G272" s="169">
        <v>-0.1</v>
      </c>
      <c r="H272" s="22"/>
      <c r="I272" s="22"/>
      <c r="J272" s="22"/>
      <c r="K272" s="22"/>
      <c r="L272" s="22"/>
      <c r="M272" s="22"/>
      <c r="N272" s="22"/>
      <c r="O272" s="22"/>
      <c r="P272" s="22"/>
      <c r="Q272" s="23"/>
      <c r="S272" s="204"/>
      <c r="T272" s="63" t="s">
        <v>353</v>
      </c>
      <c r="U272" s="63"/>
      <c r="V272" s="119">
        <f>X9</f>
        <v>100</v>
      </c>
      <c r="W272" s="63"/>
      <c r="X272" s="63"/>
      <c r="Y272" s="63"/>
      <c r="Z272" s="208"/>
    </row>
    <row r="273" spans="2:26" x14ac:dyDescent="0.2">
      <c r="B273" s="20"/>
      <c r="C273" s="22"/>
      <c r="D273" s="22"/>
      <c r="E273" s="22"/>
      <c r="F273" s="21" t="s">
        <v>1</v>
      </c>
      <c r="G273" s="169">
        <v>-0.15</v>
      </c>
      <c r="H273" s="22"/>
      <c r="I273" s="22"/>
      <c r="J273" s="22"/>
      <c r="K273" s="22"/>
      <c r="L273" s="22"/>
      <c r="M273" s="22"/>
      <c r="N273" s="22"/>
      <c r="O273" s="22"/>
      <c r="P273" s="22"/>
      <c r="Q273" s="23"/>
      <c r="S273" s="204"/>
      <c r="T273" s="63" t="s">
        <v>354</v>
      </c>
      <c r="U273" s="63"/>
      <c r="V273" s="119">
        <f>V272+V272*G272</f>
        <v>90</v>
      </c>
      <c r="W273" s="63"/>
      <c r="X273" s="63"/>
      <c r="Y273" s="63"/>
      <c r="Z273" s="208"/>
    </row>
    <row r="274" spans="2:26" x14ac:dyDescent="0.2">
      <c r="B274" s="20"/>
      <c r="C274" s="22"/>
      <c r="D274" s="22"/>
      <c r="E274" s="22"/>
      <c r="F274" s="21"/>
      <c r="G274" s="169"/>
      <c r="H274" s="22"/>
      <c r="I274" s="22"/>
      <c r="J274" s="22"/>
      <c r="K274" s="22"/>
      <c r="L274" s="22"/>
      <c r="M274" s="22"/>
      <c r="N274" s="22"/>
      <c r="O274" s="22"/>
      <c r="P274" s="22"/>
      <c r="Q274" s="23"/>
      <c r="S274" s="204"/>
      <c r="T274" s="63" t="s">
        <v>355</v>
      </c>
      <c r="U274" s="63"/>
      <c r="V274" s="119">
        <f>X14</f>
        <v>932.36153531876357</v>
      </c>
      <c r="W274" s="63"/>
      <c r="X274" s="63"/>
      <c r="Y274" s="63"/>
      <c r="Z274" s="208"/>
    </row>
    <row r="275" spans="2:26" x14ac:dyDescent="0.2">
      <c r="B275" s="20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1" t="s">
        <v>322</v>
      </c>
      <c r="N275" s="22"/>
      <c r="O275" s="22"/>
      <c r="P275" s="30">
        <f>V276</f>
        <v>149.85423029781452</v>
      </c>
      <c r="Q275" s="23"/>
      <c r="S275" s="204"/>
      <c r="T275" s="63" t="s">
        <v>356</v>
      </c>
      <c r="U275" s="63"/>
      <c r="V275" s="119">
        <f>V274+V274*G273</f>
        <v>792.50730502094905</v>
      </c>
      <c r="W275" s="63"/>
      <c r="X275" s="63"/>
      <c r="Y275" s="63"/>
      <c r="Z275" s="208"/>
    </row>
    <row r="276" spans="2:26" x14ac:dyDescent="0.2">
      <c r="B276" s="20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1" t="s">
        <v>321</v>
      </c>
      <c r="N276" s="22"/>
      <c r="O276" s="22"/>
      <c r="P276" s="197">
        <f>V276/V271</f>
        <v>0.13471719898591386</v>
      </c>
      <c r="Q276" s="23"/>
      <c r="S276" s="204"/>
      <c r="T276" s="62" t="s">
        <v>357</v>
      </c>
      <c r="U276" s="63"/>
      <c r="V276" s="119">
        <f>V271-(V273+V275+Y271)</f>
        <v>149.85423029781452</v>
      </c>
      <c r="W276" s="63"/>
      <c r="X276" s="63"/>
      <c r="Y276" s="63"/>
      <c r="Z276" s="208"/>
    </row>
    <row r="277" spans="2:26" ht="17" thickBot="1" x14ac:dyDescent="0.25">
      <c r="B277" s="166"/>
      <c r="C277" s="167"/>
      <c r="D277" s="167"/>
      <c r="E277" s="167"/>
      <c r="F277" s="167"/>
      <c r="G277" s="167"/>
      <c r="H277" s="167"/>
      <c r="I277" s="167"/>
      <c r="J277" s="167"/>
      <c r="K277" s="167"/>
      <c r="L277" s="167"/>
      <c r="M277" s="167"/>
      <c r="N277" s="167"/>
      <c r="O277" s="167"/>
      <c r="P277" s="167"/>
      <c r="Q277" s="168"/>
      <c r="S277" s="198"/>
      <c r="T277" s="199"/>
      <c r="U277" s="199"/>
      <c r="V277" s="199"/>
      <c r="W277" s="199"/>
      <c r="X277" s="199"/>
      <c r="Y277" s="199"/>
      <c r="Z277" s="200"/>
    </row>
    <row r="278" spans="2:26" ht="17" thickBot="1" x14ac:dyDescent="0.25"/>
    <row r="279" spans="2:26" x14ac:dyDescent="0.2">
      <c r="B279" s="170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2"/>
      <c r="S279" s="209" t="s">
        <v>360</v>
      </c>
      <c r="T279" s="210" t="s">
        <v>334</v>
      </c>
      <c r="U279" s="211">
        <f>X39</f>
        <v>61.146000000000001</v>
      </c>
      <c r="V279" s="212" t="s">
        <v>361</v>
      </c>
      <c r="W279" s="210" t="s">
        <v>334</v>
      </c>
      <c r="X279" s="211">
        <f>U279-U279*J281-U279*G282</f>
        <v>61.146000000000001</v>
      </c>
      <c r="Y279" s="210"/>
      <c r="Z279" s="213"/>
    </row>
    <row r="280" spans="2:26" x14ac:dyDescent="0.2">
      <c r="B280" s="173"/>
      <c r="C280" s="42" t="s">
        <v>325</v>
      </c>
      <c r="D280" s="43"/>
      <c r="E280" s="43"/>
      <c r="F280" s="42" t="s">
        <v>326</v>
      </c>
      <c r="G280" s="42"/>
      <c r="H280" s="43"/>
      <c r="I280" s="42" t="s">
        <v>323</v>
      </c>
      <c r="J280" s="43"/>
      <c r="K280" s="43"/>
      <c r="L280" s="43"/>
      <c r="M280" s="43"/>
      <c r="N280" s="43"/>
      <c r="O280" s="43"/>
      <c r="P280" s="43"/>
      <c r="Q280" s="174"/>
      <c r="S280" s="204"/>
      <c r="T280" s="63" t="s">
        <v>140</v>
      </c>
      <c r="U280" s="119">
        <f>X23</f>
        <v>22.272000000000002</v>
      </c>
      <c r="V280" s="63"/>
      <c r="W280" s="63" t="s">
        <v>140</v>
      </c>
      <c r="X280" s="119">
        <f>U280-U280*G284-U280*J284</f>
        <v>22.272000000000002</v>
      </c>
      <c r="Y280" s="63"/>
      <c r="Z280" s="208"/>
    </row>
    <row r="281" spans="2:26" x14ac:dyDescent="0.2">
      <c r="B281" s="173"/>
      <c r="C281" s="42"/>
      <c r="D281" s="43"/>
      <c r="E281" s="43"/>
      <c r="F281" s="196" t="s">
        <v>327</v>
      </c>
      <c r="G281" s="175">
        <v>0</v>
      </c>
      <c r="H281" s="47" t="s">
        <v>363</v>
      </c>
      <c r="I281" s="43" t="s">
        <v>332</v>
      </c>
      <c r="J281" s="175">
        <v>0</v>
      </c>
      <c r="K281" s="43"/>
      <c r="L281" s="43"/>
      <c r="M281" s="43"/>
      <c r="N281" s="43"/>
      <c r="O281" s="43"/>
      <c r="P281" s="43"/>
      <c r="Q281" s="174"/>
      <c r="S281" s="204"/>
      <c r="T281" s="63" t="s">
        <v>335</v>
      </c>
      <c r="U281" s="119">
        <f>X30</f>
        <v>209.31200000000001</v>
      </c>
      <c r="V281" s="63"/>
      <c r="W281" s="63" t="s">
        <v>335</v>
      </c>
      <c r="X281" s="119">
        <f>U281-U281*J283</f>
        <v>209.31200000000001</v>
      </c>
      <c r="Y281" s="63"/>
      <c r="Z281" s="208"/>
    </row>
    <row r="282" spans="2:26" x14ac:dyDescent="0.2">
      <c r="B282" s="173"/>
      <c r="C282" s="43"/>
      <c r="D282" s="43"/>
      <c r="E282" s="43"/>
      <c r="F282" s="196" t="s">
        <v>330</v>
      </c>
      <c r="G282" s="175">
        <v>0</v>
      </c>
      <c r="H282" s="43"/>
      <c r="I282" s="43" t="s">
        <v>333</v>
      </c>
      <c r="J282" s="175">
        <v>0</v>
      </c>
      <c r="K282" s="43"/>
      <c r="L282" s="43"/>
      <c r="M282" s="43"/>
      <c r="N282" s="43"/>
      <c r="O282" s="43"/>
      <c r="P282" s="43"/>
      <c r="Q282" s="174"/>
      <c r="S282" s="204"/>
      <c r="T282" s="63" t="s">
        <v>333</v>
      </c>
      <c r="U282" s="119">
        <f>X49</f>
        <v>9.7302857142857153</v>
      </c>
      <c r="V282" s="63"/>
      <c r="W282" s="63" t="s">
        <v>333</v>
      </c>
      <c r="X282" s="119">
        <f>U282-J282*U282-U282*G283</f>
        <v>0</v>
      </c>
      <c r="Y282" s="63"/>
      <c r="Z282" s="208"/>
    </row>
    <row r="283" spans="2:26" x14ac:dyDescent="0.2">
      <c r="B283" s="173"/>
      <c r="C283" s="43"/>
      <c r="D283" s="43"/>
      <c r="E283" s="43"/>
      <c r="F283" s="196" t="s">
        <v>328</v>
      </c>
      <c r="G283" s="175">
        <v>1</v>
      </c>
      <c r="H283" s="43"/>
      <c r="I283" s="43" t="s">
        <v>335</v>
      </c>
      <c r="J283" s="175">
        <v>0</v>
      </c>
      <c r="K283" s="43"/>
      <c r="L283" s="43"/>
      <c r="M283" s="43"/>
      <c r="N283" s="43"/>
      <c r="O283" s="43"/>
      <c r="P283" s="43"/>
      <c r="Q283" s="174"/>
      <c r="S283" s="204"/>
      <c r="T283" s="63" t="s">
        <v>31</v>
      </c>
      <c r="U283" s="119">
        <v>0</v>
      </c>
      <c r="V283" s="63"/>
      <c r="W283" s="63" t="s">
        <v>31</v>
      </c>
      <c r="X283" s="119">
        <f>U282*G283*Hintergrund!G36/Hintergrund!G32</f>
        <v>4.902857142857143</v>
      </c>
      <c r="Y283" s="63"/>
      <c r="Z283" s="208"/>
    </row>
    <row r="284" spans="2:26" x14ac:dyDescent="0.2">
      <c r="B284" s="173"/>
      <c r="C284" s="43"/>
      <c r="D284" s="43"/>
      <c r="E284" s="43"/>
      <c r="F284" s="196" t="s">
        <v>329</v>
      </c>
      <c r="G284" s="175">
        <v>0</v>
      </c>
      <c r="H284" s="43"/>
      <c r="I284" s="43" t="s">
        <v>140</v>
      </c>
      <c r="J284" s="175">
        <v>0</v>
      </c>
      <c r="K284" s="43"/>
      <c r="L284" s="43"/>
      <c r="M284" s="43" t="s">
        <v>322</v>
      </c>
      <c r="N284" s="43"/>
      <c r="O284" s="43"/>
      <c r="P284" s="201">
        <f>U286-X286</f>
        <v>-149.79257142857148</v>
      </c>
      <c r="Q284" s="174"/>
      <c r="S284" s="204"/>
      <c r="T284" s="63" t="s">
        <v>362</v>
      </c>
      <c r="U284" s="119">
        <f>X63</f>
        <v>60.58</v>
      </c>
      <c r="V284" s="63"/>
      <c r="W284" s="63" t="s">
        <v>336</v>
      </c>
      <c r="X284" s="119">
        <f>U284-U284*J285</f>
        <v>0</v>
      </c>
      <c r="Y284" s="63"/>
      <c r="Z284" s="208"/>
    </row>
    <row r="285" spans="2:26" x14ac:dyDescent="0.2">
      <c r="B285" s="173"/>
      <c r="C285" s="43"/>
      <c r="D285" s="43"/>
      <c r="E285" s="43"/>
      <c r="F285" s="196" t="s">
        <v>331</v>
      </c>
      <c r="G285" s="175">
        <v>0</v>
      </c>
      <c r="H285" s="43"/>
      <c r="I285" s="43" t="s">
        <v>336</v>
      </c>
      <c r="J285" s="175">
        <v>1</v>
      </c>
      <c r="K285" s="43"/>
      <c r="L285" s="43"/>
      <c r="M285" s="43" t="s">
        <v>321</v>
      </c>
      <c r="N285" s="43"/>
      <c r="O285" s="43"/>
      <c r="P285" s="175">
        <f>P284/U286</f>
        <v>-0.25904900632016059</v>
      </c>
      <c r="Q285" s="174"/>
      <c r="S285" s="204"/>
      <c r="T285" s="63" t="s">
        <v>337</v>
      </c>
      <c r="U285" s="119">
        <f>X58</f>
        <v>215.2</v>
      </c>
      <c r="V285" s="63"/>
      <c r="W285" s="63" t="s">
        <v>337</v>
      </c>
      <c r="X285" s="119">
        <f>U285-U285*J286</f>
        <v>430.4</v>
      </c>
      <c r="Y285" s="63"/>
      <c r="Z285" s="208"/>
    </row>
    <row r="286" spans="2:26" ht="17" thickBot="1" x14ac:dyDescent="0.25">
      <c r="B286" s="176"/>
      <c r="C286" s="177"/>
      <c r="D286" s="177"/>
      <c r="E286" s="177"/>
      <c r="F286" s="177"/>
      <c r="G286" s="177"/>
      <c r="H286" s="177"/>
      <c r="I286" s="177" t="s">
        <v>337</v>
      </c>
      <c r="J286" s="179">
        <v>-1</v>
      </c>
      <c r="K286" s="177"/>
      <c r="L286" s="177"/>
      <c r="M286" s="177"/>
      <c r="N286" s="177"/>
      <c r="O286" s="177"/>
      <c r="P286" s="177"/>
      <c r="Q286" s="178"/>
      <c r="S286" s="214"/>
      <c r="T286" s="215" t="s">
        <v>2</v>
      </c>
      <c r="U286" s="216">
        <f>X66</f>
        <v>578.24028571428573</v>
      </c>
      <c r="V286" s="215"/>
      <c r="W286" s="215" t="s">
        <v>2</v>
      </c>
      <c r="X286" s="216">
        <f>SUM(X279:X285)</f>
        <v>728.03285714285721</v>
      </c>
      <c r="Y286" s="215"/>
      <c r="Z286" s="217"/>
    </row>
    <row r="287" spans="2:26" ht="17" thickBot="1" x14ac:dyDescent="0.25"/>
    <row r="288" spans="2:26" x14ac:dyDescent="0.2">
      <c r="B288" s="180"/>
      <c r="C288" s="181"/>
      <c r="D288" s="181"/>
      <c r="E288" s="181"/>
      <c r="F288" s="181"/>
      <c r="G288" s="181"/>
      <c r="H288" s="181"/>
      <c r="I288" s="181"/>
      <c r="J288" s="181"/>
      <c r="K288" s="181"/>
      <c r="L288" s="181"/>
      <c r="M288" s="181"/>
      <c r="N288" s="181"/>
      <c r="O288" s="181"/>
      <c r="P288" s="181"/>
      <c r="Q288" s="182"/>
      <c r="S288" s="218"/>
      <c r="T288" s="210"/>
      <c r="U288" s="210"/>
      <c r="V288" s="210"/>
      <c r="W288" s="210"/>
      <c r="X288" s="210"/>
      <c r="Y288" s="11"/>
      <c r="Z288" s="12"/>
    </row>
    <row r="289" spans="2:26" x14ac:dyDescent="0.2">
      <c r="B289" s="183"/>
      <c r="C289" s="79" t="s">
        <v>338</v>
      </c>
      <c r="D289" s="80"/>
      <c r="E289" s="80"/>
      <c r="F289" s="80" t="s">
        <v>339</v>
      </c>
      <c r="G289" s="80"/>
      <c r="H289" s="80"/>
      <c r="I289" s="80"/>
      <c r="J289" s="80" t="s">
        <v>343</v>
      </c>
      <c r="K289" s="80"/>
      <c r="L289" s="80"/>
      <c r="M289" s="80"/>
      <c r="N289" s="80"/>
      <c r="O289" s="80"/>
      <c r="P289" s="80"/>
      <c r="Q289" s="184"/>
      <c r="S289" s="219" t="s">
        <v>369</v>
      </c>
      <c r="T289" s="63"/>
      <c r="U289" s="63">
        <f>Y73</f>
        <v>1690</v>
      </c>
      <c r="V289" s="63"/>
      <c r="W289" s="63"/>
      <c r="X289" s="63"/>
      <c r="Y289" s="15"/>
      <c r="Z289" s="16"/>
    </row>
    <row r="290" spans="2:26" x14ac:dyDescent="0.2">
      <c r="B290" s="183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184"/>
      <c r="S290" s="204"/>
      <c r="T290" s="63"/>
      <c r="U290" s="63"/>
      <c r="V290" s="63"/>
      <c r="W290" s="63"/>
      <c r="X290" s="63"/>
      <c r="Y290" s="15"/>
      <c r="Z290" s="16"/>
    </row>
    <row r="291" spans="2:26" x14ac:dyDescent="0.2">
      <c r="B291" s="183"/>
      <c r="C291" s="80"/>
      <c r="D291" s="80"/>
      <c r="E291" s="80"/>
      <c r="F291" s="79" t="s">
        <v>368</v>
      </c>
      <c r="G291" s="80"/>
      <c r="H291" s="109">
        <v>0.9</v>
      </c>
      <c r="I291" s="80"/>
      <c r="J291" s="79" t="s">
        <v>344</v>
      </c>
      <c r="K291" s="80"/>
      <c r="L291" s="80"/>
      <c r="M291" s="80"/>
      <c r="N291" s="80"/>
      <c r="O291" s="80"/>
      <c r="P291" s="80"/>
      <c r="Q291" s="184"/>
      <c r="S291" s="204"/>
      <c r="T291" s="63" t="s">
        <v>370</v>
      </c>
      <c r="U291" s="63" t="s">
        <v>263</v>
      </c>
      <c r="V291" s="63"/>
      <c r="W291" s="63"/>
      <c r="X291" s="63" t="s">
        <v>370</v>
      </c>
      <c r="Y291" s="63" t="s">
        <v>69</v>
      </c>
      <c r="Z291" s="16"/>
    </row>
    <row r="292" spans="2:26" x14ac:dyDescent="0.2">
      <c r="B292" s="183"/>
      <c r="C292" s="80"/>
      <c r="D292" s="80"/>
      <c r="E292" s="80" t="s">
        <v>340</v>
      </c>
      <c r="F292" s="83" t="s">
        <v>200</v>
      </c>
      <c r="G292" s="80"/>
      <c r="H292" s="109">
        <v>0.1</v>
      </c>
      <c r="I292" s="80"/>
      <c r="J292" s="83" t="s">
        <v>345</v>
      </c>
      <c r="K292" s="80"/>
      <c r="L292" s="110">
        <v>0.3</v>
      </c>
      <c r="M292" s="80"/>
      <c r="N292" s="80"/>
      <c r="O292" s="80"/>
      <c r="P292" s="80"/>
      <c r="Q292" s="184"/>
      <c r="S292" s="219" t="s">
        <v>261</v>
      </c>
      <c r="T292" s="119">
        <f>H291*Hintergrund!G61</f>
        <v>26.775000000000002</v>
      </c>
      <c r="U292" s="119">
        <f>T292*Hintergrund!F61</f>
        <v>166.75470000000001</v>
      </c>
      <c r="V292" s="63"/>
      <c r="W292" s="63" t="s">
        <v>256</v>
      </c>
      <c r="X292" s="63">
        <f>L292*Hintergrund!G54</f>
        <v>7.53</v>
      </c>
      <c r="Y292" s="63">
        <f>X292*Hintergrund!F54</f>
        <v>138.08514000000002</v>
      </c>
      <c r="Z292" s="16"/>
    </row>
    <row r="293" spans="2:26" x14ac:dyDescent="0.2">
      <c r="B293" s="183"/>
      <c r="C293" s="80"/>
      <c r="D293" s="80"/>
      <c r="E293" s="80"/>
      <c r="F293" s="83" t="s">
        <v>201</v>
      </c>
      <c r="G293" s="80"/>
      <c r="H293" s="109">
        <v>0.2</v>
      </c>
      <c r="I293" s="80"/>
      <c r="J293" s="83" t="s">
        <v>211</v>
      </c>
      <c r="K293" s="80"/>
      <c r="L293" s="110">
        <v>0.5</v>
      </c>
      <c r="M293" s="80"/>
      <c r="N293" s="80"/>
      <c r="O293" s="80"/>
      <c r="P293" s="80"/>
      <c r="Q293" s="184"/>
      <c r="S293" s="205" t="s">
        <v>249</v>
      </c>
      <c r="T293" s="119"/>
      <c r="U293" s="119">
        <f>(T292*H292*Hintergrund!F54)+('Emissions Sebastian 2020'!H293*'Emissions Sebastian 2020'!T292*Hintergrund!F70)+(H294*T292*1)+(H295*T292*1)</f>
        <v>83.693295000000006</v>
      </c>
      <c r="V293" s="63"/>
      <c r="W293" s="120" t="s">
        <v>249</v>
      </c>
      <c r="X293" s="63"/>
      <c r="Y293" s="63">
        <f>X292*(L293*Hintergrund!F70+'Emissions Sebastian 2020'!L294*Hintergrund!F73)</f>
        <v>14.9094</v>
      </c>
      <c r="Z293" s="16"/>
    </row>
    <row r="294" spans="2:26" x14ac:dyDescent="0.2">
      <c r="B294" s="183"/>
      <c r="C294" s="80"/>
      <c r="D294" s="80"/>
      <c r="E294" s="80"/>
      <c r="F294" s="83" t="s">
        <v>346</v>
      </c>
      <c r="G294" s="80"/>
      <c r="H294" s="109">
        <v>0.3</v>
      </c>
      <c r="I294" s="80"/>
      <c r="J294" s="83" t="s">
        <v>205</v>
      </c>
      <c r="K294" s="80"/>
      <c r="L294" s="110">
        <v>0.5</v>
      </c>
      <c r="M294" s="80"/>
      <c r="N294" s="80"/>
      <c r="O294" s="80"/>
      <c r="P294" s="80"/>
      <c r="Q294" s="184"/>
      <c r="S294" s="206" t="s">
        <v>266</v>
      </c>
      <c r="T294" s="119"/>
      <c r="U294" s="119">
        <f>U293-U292</f>
        <v>-83.061405000000008</v>
      </c>
      <c r="V294" s="63"/>
      <c r="W294" s="121" t="s">
        <v>248</v>
      </c>
      <c r="X294" s="63"/>
      <c r="Y294" s="63">
        <f>Y293-Y292</f>
        <v>-123.17574000000002</v>
      </c>
      <c r="Z294" s="16"/>
    </row>
    <row r="295" spans="2:26" x14ac:dyDescent="0.2">
      <c r="B295" s="183"/>
      <c r="C295" s="80"/>
      <c r="D295" s="80"/>
      <c r="E295" s="80"/>
      <c r="F295" s="83" t="s">
        <v>205</v>
      </c>
      <c r="G295" s="80"/>
      <c r="H295" s="109">
        <v>0.4</v>
      </c>
      <c r="I295" s="80"/>
      <c r="J295" s="80"/>
      <c r="K295" s="80"/>
      <c r="L295" s="80"/>
      <c r="M295" s="80"/>
      <c r="N295" s="80"/>
      <c r="O295" s="80"/>
      <c r="P295" s="80"/>
      <c r="Q295" s="184"/>
      <c r="S295" s="204"/>
      <c r="T295" s="63"/>
      <c r="U295" s="63"/>
      <c r="V295" s="63"/>
      <c r="W295" s="63"/>
      <c r="X295" s="63"/>
      <c r="Y295" s="63"/>
      <c r="Z295" s="16"/>
    </row>
    <row r="296" spans="2:26" x14ac:dyDescent="0.2">
      <c r="B296" s="183"/>
      <c r="C296" s="80"/>
      <c r="D296" s="80"/>
      <c r="E296" s="80"/>
      <c r="F296" s="80"/>
      <c r="G296" s="80"/>
      <c r="H296" s="80"/>
      <c r="I296" s="80"/>
      <c r="J296" s="79" t="s">
        <v>216</v>
      </c>
      <c r="K296" s="80"/>
      <c r="L296" s="110">
        <v>0.8</v>
      </c>
      <c r="M296" s="80"/>
      <c r="N296" s="80"/>
      <c r="O296" s="80"/>
      <c r="P296" s="80"/>
      <c r="Q296" s="184"/>
      <c r="S296" s="219" t="s">
        <v>252</v>
      </c>
      <c r="T296" s="63">
        <f>H297*Hintergrund!G52</f>
        <v>9</v>
      </c>
      <c r="U296" s="154">
        <f>T296*Hintergrund!F52</f>
        <v>314.12474999999995</v>
      </c>
      <c r="V296" s="63"/>
      <c r="W296" s="63" t="s">
        <v>257</v>
      </c>
      <c r="X296" s="63">
        <f>L296*Hintergrund!G58</f>
        <v>39.680000000000007</v>
      </c>
      <c r="Y296" s="63">
        <f>X296*Hintergrund!F58</f>
        <v>96.10496000000002</v>
      </c>
      <c r="Z296" s="16"/>
    </row>
    <row r="297" spans="2:26" x14ac:dyDescent="0.2">
      <c r="B297" s="183"/>
      <c r="C297" s="80"/>
      <c r="D297" s="80"/>
      <c r="E297" s="80"/>
      <c r="F297" s="79" t="s">
        <v>341</v>
      </c>
      <c r="G297" s="80"/>
      <c r="H297" s="109">
        <v>0.9</v>
      </c>
      <c r="I297" s="80"/>
      <c r="J297" s="80" t="s">
        <v>262</v>
      </c>
      <c r="K297" s="80"/>
      <c r="L297" s="110"/>
      <c r="M297" s="80"/>
      <c r="N297" s="80"/>
      <c r="O297" s="80"/>
      <c r="P297" s="80"/>
      <c r="Q297" s="184"/>
      <c r="S297" s="205" t="s">
        <v>249</v>
      </c>
      <c r="T297" s="63"/>
      <c r="U297" s="154">
        <f>T296*(H298*Hintergrund!$F$56+'Emissions Sebastian 2020'!H299*Hintergrund!$F$55+'Emissions Sebastian 2020'!H300*Hintergrund!$F$68+'Emissions Sebastian 2020'!H301*Hintergrund!$F$69+'Emissions Sebastian 2020'!H302*Hintergrund!$F$54+'Emissions Sebastian 2020'!H303*Hintergrund!$F$72+'Emissions Sebastian 2020'!H304*Hintergrund!$F$73)</f>
        <v>26.697937500000002</v>
      </c>
      <c r="V297" s="63"/>
      <c r="W297" s="120" t="s">
        <v>249</v>
      </c>
      <c r="X297" s="63"/>
      <c r="Y297" s="63">
        <f>X296*L298*Hintergrund!F71</f>
        <v>39.680000000000007</v>
      </c>
      <c r="Z297" s="16"/>
    </row>
    <row r="298" spans="2:26" x14ac:dyDescent="0.2">
      <c r="B298" s="183"/>
      <c r="C298" s="80"/>
      <c r="D298" s="80"/>
      <c r="E298" s="80" t="s">
        <v>340</v>
      </c>
      <c r="F298" s="83" t="s">
        <v>202</v>
      </c>
      <c r="G298" s="80"/>
      <c r="H298" s="110">
        <v>0.25</v>
      </c>
      <c r="I298" s="80"/>
      <c r="J298" s="83" t="s">
        <v>217</v>
      </c>
      <c r="K298" s="80"/>
      <c r="L298" s="110">
        <v>1</v>
      </c>
      <c r="M298" s="80"/>
      <c r="N298" s="80"/>
      <c r="O298" s="80"/>
      <c r="P298" s="80"/>
      <c r="Q298" s="184"/>
      <c r="S298" s="206" t="s">
        <v>266</v>
      </c>
      <c r="T298" s="63"/>
      <c r="U298" s="154">
        <f>U297-U296</f>
        <v>-287.42681249999993</v>
      </c>
      <c r="V298" s="63"/>
      <c r="W298" s="121" t="s">
        <v>248</v>
      </c>
      <c r="X298" s="63"/>
      <c r="Y298" s="63">
        <f>Y297-Y296</f>
        <v>-56.424960000000013</v>
      </c>
      <c r="Z298" s="16"/>
    </row>
    <row r="299" spans="2:26" x14ac:dyDescent="0.2">
      <c r="B299" s="183"/>
      <c r="C299" s="80"/>
      <c r="D299" s="80"/>
      <c r="E299" s="80"/>
      <c r="F299" s="83" t="s">
        <v>203</v>
      </c>
      <c r="G299" s="80"/>
      <c r="H299" s="110">
        <v>0.05</v>
      </c>
      <c r="I299" s="80"/>
      <c r="J299" s="83"/>
      <c r="K299" s="80"/>
      <c r="L299" s="110"/>
      <c r="M299" s="80"/>
      <c r="N299" s="80"/>
      <c r="O299" s="80"/>
      <c r="P299" s="80"/>
      <c r="Q299" s="184"/>
      <c r="S299" s="204"/>
      <c r="T299" s="63"/>
      <c r="U299" s="154"/>
      <c r="V299" s="63"/>
      <c r="W299" s="63"/>
      <c r="X299" s="63"/>
      <c r="Y299" s="63"/>
      <c r="Z299" s="16"/>
    </row>
    <row r="300" spans="2:26" x14ac:dyDescent="0.2">
      <c r="B300" s="183"/>
      <c r="C300" s="80"/>
      <c r="D300" s="80"/>
      <c r="E300" s="80"/>
      <c r="F300" s="83" t="s">
        <v>204</v>
      </c>
      <c r="G300" s="80"/>
      <c r="H300" s="110">
        <v>0.3</v>
      </c>
      <c r="I300" s="80"/>
      <c r="J300" s="79" t="s">
        <v>218</v>
      </c>
      <c r="K300" s="80"/>
      <c r="L300" s="110">
        <v>0.7</v>
      </c>
      <c r="M300" s="80"/>
      <c r="N300" s="80"/>
      <c r="O300" s="80"/>
      <c r="P300" s="80"/>
      <c r="Q300" s="184"/>
      <c r="S300" s="219" t="s">
        <v>250</v>
      </c>
      <c r="T300" s="63">
        <f>H306*(Hintergrund!G60-Hintergrund!G61-Hintergrund!G52)</f>
        <v>9.875</v>
      </c>
      <c r="U300" s="154">
        <f>T300*Hintergrund!F62</f>
        <v>157.48607904085259</v>
      </c>
      <c r="V300" s="63"/>
      <c r="W300" s="63" t="s">
        <v>258</v>
      </c>
      <c r="X300" s="63">
        <f>L300*Hintergrund!G59</f>
        <v>4.0599999999999996</v>
      </c>
      <c r="Y300" s="63">
        <f>X300*Hintergrund!F59</f>
        <v>44.776724999999999</v>
      </c>
      <c r="Z300" s="16"/>
    </row>
    <row r="301" spans="2:26" x14ac:dyDescent="0.2">
      <c r="B301" s="183"/>
      <c r="C301" s="80"/>
      <c r="D301" s="80"/>
      <c r="E301" s="80"/>
      <c r="F301" s="83" t="s">
        <v>212</v>
      </c>
      <c r="G301" s="80"/>
      <c r="H301" s="110">
        <v>0.2</v>
      </c>
      <c r="I301" s="80"/>
      <c r="J301" s="80" t="s">
        <v>262</v>
      </c>
      <c r="K301" s="80"/>
      <c r="L301" s="110"/>
      <c r="M301" s="80"/>
      <c r="N301" s="80"/>
      <c r="O301" s="80"/>
      <c r="P301" s="80"/>
      <c r="Q301" s="184"/>
      <c r="S301" s="205" t="s">
        <v>249</v>
      </c>
      <c r="T301" s="63"/>
      <c r="U301" s="154">
        <f>T300*('Emissions Sebastian 2020'!H307*Hintergrund!F69+'Emissions Sebastian 2020'!H308*Hintergrund!F68+'Emissions Sebastian 2020'!H309*Hintergrund!F72+'Emissions Sebastian 2020'!H310*Hintergrund!F54+'Emissions Sebastian 2020'!H311*Hintergrund!F73)</f>
        <v>16.432715937499999</v>
      </c>
      <c r="V301" s="63"/>
      <c r="W301" s="120" t="s">
        <v>249</v>
      </c>
      <c r="X301" s="63"/>
      <c r="Y301" s="63">
        <f>L302*X300*Hintergrund!F70</f>
        <v>12.017599999999998</v>
      </c>
      <c r="Z301" s="16"/>
    </row>
    <row r="302" spans="2:26" x14ac:dyDescent="0.2">
      <c r="B302" s="183"/>
      <c r="C302" s="80"/>
      <c r="D302" s="80"/>
      <c r="E302" s="80"/>
      <c r="F302" s="83" t="s">
        <v>200</v>
      </c>
      <c r="G302" s="80"/>
      <c r="H302" s="110">
        <v>0</v>
      </c>
      <c r="I302" s="80"/>
      <c r="J302" s="83" t="s">
        <v>219</v>
      </c>
      <c r="K302" s="80"/>
      <c r="L302" s="110">
        <v>1</v>
      </c>
      <c r="M302" s="80"/>
      <c r="N302" s="80"/>
      <c r="O302" s="80"/>
      <c r="P302" s="80"/>
      <c r="Q302" s="184"/>
      <c r="S302" s="206" t="s">
        <v>266</v>
      </c>
      <c r="T302" s="63"/>
      <c r="U302" s="154">
        <f>U301-U300</f>
        <v>-141.05336310335258</v>
      </c>
      <c r="V302" s="63"/>
      <c r="W302" s="121" t="s">
        <v>248</v>
      </c>
      <c r="X302" s="63"/>
      <c r="Y302" s="63">
        <f>Y301-Y300</f>
        <v>-32.759124999999997</v>
      </c>
      <c r="Z302" s="16"/>
    </row>
    <row r="303" spans="2:26" x14ac:dyDescent="0.2">
      <c r="B303" s="183"/>
      <c r="C303" s="80"/>
      <c r="D303" s="80"/>
      <c r="E303" s="80"/>
      <c r="F303" s="83" t="s">
        <v>220</v>
      </c>
      <c r="G303" s="80"/>
      <c r="H303" s="110">
        <v>0</v>
      </c>
      <c r="I303" s="80"/>
      <c r="J303" s="80"/>
      <c r="K303" s="80"/>
      <c r="L303" s="80"/>
      <c r="M303" s="80"/>
      <c r="N303" s="80"/>
      <c r="O303" s="80"/>
      <c r="P303" s="80"/>
      <c r="Q303" s="184"/>
      <c r="S303" s="204"/>
      <c r="T303" s="63"/>
      <c r="U303" s="154"/>
      <c r="V303" s="63"/>
      <c r="W303" s="63"/>
      <c r="X303" s="63"/>
      <c r="Y303" s="63"/>
      <c r="Z303" s="16"/>
    </row>
    <row r="304" spans="2:26" x14ac:dyDescent="0.2">
      <c r="B304" s="183"/>
      <c r="C304" s="80"/>
      <c r="D304" s="80"/>
      <c r="E304" s="80"/>
      <c r="F304" s="83" t="s">
        <v>205</v>
      </c>
      <c r="G304" s="80"/>
      <c r="H304" s="110">
        <v>0.2</v>
      </c>
      <c r="I304" s="80"/>
      <c r="J304" s="80"/>
      <c r="K304" s="80"/>
      <c r="L304" s="80"/>
      <c r="M304" s="80"/>
      <c r="N304" s="80"/>
      <c r="O304" s="80"/>
      <c r="P304" s="80"/>
      <c r="Q304" s="184"/>
      <c r="S304" s="207" t="s">
        <v>267</v>
      </c>
      <c r="T304" s="63"/>
      <c r="U304" s="154">
        <f>U294+U298+U302</f>
        <v>-511.54158060335249</v>
      </c>
      <c r="V304" s="63"/>
      <c r="W304" s="122" t="s">
        <v>259</v>
      </c>
      <c r="X304" s="63"/>
      <c r="Y304" s="63">
        <f>Y294+Y298+Y302</f>
        <v>-212.359825</v>
      </c>
      <c r="Z304" s="16"/>
    </row>
    <row r="305" spans="2:26" x14ac:dyDescent="0.2">
      <c r="B305" s="183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184"/>
      <c r="S305" s="205"/>
      <c r="T305" s="63"/>
      <c r="U305" s="63"/>
      <c r="V305" s="63"/>
      <c r="W305" s="63"/>
      <c r="X305" s="63"/>
      <c r="Y305" s="63"/>
      <c r="Z305" s="16"/>
    </row>
    <row r="306" spans="2:26" x14ac:dyDescent="0.2">
      <c r="B306" s="183"/>
      <c r="C306" s="80"/>
      <c r="D306" s="80"/>
      <c r="E306" s="80"/>
      <c r="F306" s="79" t="s">
        <v>342</v>
      </c>
      <c r="G306" s="80"/>
      <c r="H306" s="109">
        <v>0.5</v>
      </c>
      <c r="I306" s="80"/>
      <c r="J306" s="80"/>
      <c r="K306" s="80"/>
      <c r="L306" s="80"/>
      <c r="M306" s="80"/>
      <c r="N306" s="80"/>
      <c r="O306" s="80"/>
      <c r="P306" s="80"/>
      <c r="Q306" s="184"/>
      <c r="S306" s="13"/>
      <c r="T306" s="15"/>
      <c r="U306" s="15"/>
      <c r="V306" s="15"/>
      <c r="W306" s="62" t="s">
        <v>260</v>
      </c>
      <c r="X306" s="15"/>
      <c r="Y306" s="119">
        <f>U304+Y304</f>
        <v>-723.90140560335249</v>
      </c>
      <c r="Z306" s="16"/>
    </row>
    <row r="307" spans="2:26" x14ac:dyDescent="0.2">
      <c r="B307" s="183"/>
      <c r="C307" s="80"/>
      <c r="D307" s="80"/>
      <c r="E307" s="80" t="s">
        <v>340</v>
      </c>
      <c r="F307" s="83" t="s">
        <v>212</v>
      </c>
      <c r="G307" s="80"/>
      <c r="H307" s="110">
        <v>0</v>
      </c>
      <c r="I307" s="80"/>
      <c r="J307" s="80"/>
      <c r="K307" s="80"/>
      <c r="L307" s="80"/>
      <c r="M307" s="80"/>
      <c r="N307" s="80"/>
      <c r="O307" s="80"/>
      <c r="P307" s="80"/>
      <c r="Q307" s="184"/>
      <c r="S307" s="13"/>
      <c r="T307" s="15"/>
      <c r="U307" s="15"/>
      <c r="V307" s="15"/>
      <c r="W307" s="62" t="s">
        <v>190</v>
      </c>
      <c r="X307" s="15"/>
      <c r="Y307" s="119">
        <f>U289+Y306</f>
        <v>966.09859439664751</v>
      </c>
      <c r="Z307" s="16"/>
    </row>
    <row r="308" spans="2:26" x14ac:dyDescent="0.2">
      <c r="B308" s="183"/>
      <c r="C308" s="80"/>
      <c r="D308" s="80"/>
      <c r="E308" s="80"/>
      <c r="F308" s="83" t="s">
        <v>204</v>
      </c>
      <c r="G308" s="80"/>
      <c r="H308" s="110">
        <v>0.3</v>
      </c>
      <c r="I308" s="80"/>
      <c r="J308" s="80"/>
      <c r="K308" s="80"/>
      <c r="L308" s="80"/>
      <c r="M308" s="80" t="s">
        <v>322</v>
      </c>
      <c r="N308" s="80"/>
      <c r="O308" s="80"/>
      <c r="P308" s="220">
        <f>Y306*-1</f>
        <v>723.90140560335249</v>
      </c>
      <c r="Q308" s="184"/>
      <c r="S308" s="13"/>
      <c r="T308" s="15"/>
      <c r="U308" s="15"/>
      <c r="V308" s="15"/>
      <c r="W308" s="15"/>
      <c r="X308" s="15"/>
      <c r="Y308" s="15"/>
      <c r="Z308" s="16"/>
    </row>
    <row r="309" spans="2:26" x14ac:dyDescent="0.2">
      <c r="B309" s="183"/>
      <c r="C309" s="80"/>
      <c r="D309" s="80"/>
      <c r="E309" s="80"/>
      <c r="F309" s="83" t="s">
        <v>220</v>
      </c>
      <c r="G309" s="80"/>
      <c r="H309" s="110">
        <v>0.3</v>
      </c>
      <c r="I309" s="80"/>
      <c r="J309" s="80"/>
      <c r="K309" s="80"/>
      <c r="L309" s="80"/>
      <c r="M309" s="80" t="s">
        <v>321</v>
      </c>
      <c r="N309" s="80"/>
      <c r="O309" s="80"/>
      <c r="P309" s="110">
        <f>P308/H117/1000</f>
        <v>0.47432325657176105</v>
      </c>
      <c r="Q309" s="184"/>
      <c r="S309" s="13"/>
      <c r="T309" s="15"/>
      <c r="U309" s="15"/>
      <c r="V309" s="15"/>
      <c r="W309" s="15"/>
      <c r="X309" s="15"/>
      <c r="Y309" s="15"/>
      <c r="Z309" s="16"/>
    </row>
    <row r="310" spans="2:26" x14ac:dyDescent="0.2">
      <c r="B310" s="183"/>
      <c r="C310" s="80"/>
      <c r="D310" s="80"/>
      <c r="E310" s="80"/>
      <c r="F310" s="83" t="s">
        <v>200</v>
      </c>
      <c r="G310" s="80"/>
      <c r="H310" s="110">
        <v>0</v>
      </c>
      <c r="I310" s="80"/>
      <c r="J310" s="80"/>
      <c r="K310" s="80"/>
      <c r="L310" s="80"/>
      <c r="M310" s="80"/>
      <c r="N310" s="80"/>
      <c r="O310" s="80"/>
      <c r="P310" s="80"/>
      <c r="Q310" s="184"/>
      <c r="S310" s="13"/>
      <c r="T310" s="15"/>
      <c r="U310" s="15"/>
      <c r="V310" s="15"/>
      <c r="W310" s="15"/>
      <c r="X310" s="15"/>
      <c r="Y310" s="15"/>
      <c r="Z310" s="16"/>
    </row>
    <row r="311" spans="2:26" x14ac:dyDescent="0.2">
      <c r="B311" s="183"/>
      <c r="C311" s="80"/>
      <c r="D311" s="80"/>
      <c r="E311" s="80"/>
      <c r="F311" s="83" t="s">
        <v>205</v>
      </c>
      <c r="G311" s="80"/>
      <c r="H311" s="110">
        <v>0.3</v>
      </c>
      <c r="I311" s="80"/>
      <c r="J311" s="80"/>
      <c r="K311" s="80"/>
      <c r="L311" s="80"/>
      <c r="M311" s="80"/>
      <c r="N311" s="80"/>
      <c r="O311" s="80"/>
      <c r="P311" s="80"/>
      <c r="Q311" s="184"/>
      <c r="S311" s="13"/>
      <c r="T311" s="15"/>
      <c r="U311" s="15"/>
      <c r="V311" s="15"/>
      <c r="W311" s="15"/>
      <c r="X311" s="15"/>
      <c r="Y311" s="15"/>
      <c r="Z311" s="16"/>
    </row>
    <row r="312" spans="2:26" ht="17" thickBot="1" x14ac:dyDescent="0.25">
      <c r="B312" s="185"/>
      <c r="C312" s="186"/>
      <c r="D312" s="186"/>
      <c r="E312" s="186"/>
      <c r="F312" s="186"/>
      <c r="G312" s="186"/>
      <c r="H312" s="186"/>
      <c r="I312" s="186"/>
      <c r="J312" s="186"/>
      <c r="K312" s="186"/>
      <c r="L312" s="186"/>
      <c r="M312" s="186"/>
      <c r="N312" s="186"/>
      <c r="O312" s="186"/>
      <c r="P312" s="186"/>
      <c r="Q312" s="187"/>
      <c r="S312" s="198"/>
      <c r="T312" s="199"/>
      <c r="U312" s="199"/>
      <c r="V312" s="199"/>
      <c r="W312" s="199"/>
      <c r="X312" s="199"/>
      <c r="Y312" s="199"/>
      <c r="Z312" s="200"/>
    </row>
    <row r="313" spans="2:26" ht="17" thickBot="1" x14ac:dyDescent="0.25"/>
    <row r="314" spans="2:26" x14ac:dyDescent="0.2">
      <c r="B314" s="188"/>
      <c r="C314" s="189"/>
      <c r="D314" s="189"/>
      <c r="E314" s="189"/>
      <c r="F314" s="189"/>
      <c r="G314" s="189"/>
      <c r="H314" s="189"/>
      <c r="I314" s="189"/>
      <c r="J314" s="189"/>
      <c r="K314" s="189"/>
      <c r="L314" s="189"/>
      <c r="M314" s="189"/>
      <c r="N314" s="189"/>
      <c r="O314" s="189"/>
      <c r="P314" s="189"/>
      <c r="Q314" s="190"/>
      <c r="S314" s="10"/>
      <c r="T314" s="11"/>
      <c r="U314" s="11"/>
      <c r="V314" s="11"/>
      <c r="W314" s="11"/>
      <c r="X314" s="11"/>
      <c r="Y314" s="11"/>
      <c r="Z314" s="12"/>
    </row>
    <row r="315" spans="2:26" x14ac:dyDescent="0.2">
      <c r="B315" s="191"/>
      <c r="C315" s="101"/>
      <c r="D315" s="101"/>
      <c r="E315" s="101"/>
      <c r="F315" s="101"/>
      <c r="G315" s="101"/>
      <c r="H315" s="101"/>
      <c r="I315" s="101"/>
      <c r="J315" s="101"/>
      <c r="K315" s="101"/>
      <c r="L315" s="101"/>
      <c r="M315" s="101"/>
      <c r="N315" s="101"/>
      <c r="O315" s="101"/>
      <c r="P315" s="101"/>
      <c r="Q315" s="192"/>
      <c r="S315" s="13"/>
      <c r="T315" s="15"/>
      <c r="U315" s="15"/>
      <c r="V315" s="15"/>
      <c r="W315" s="15"/>
      <c r="X315" s="15"/>
      <c r="Y315" s="15"/>
      <c r="Z315" s="16"/>
    </row>
    <row r="316" spans="2:26" x14ac:dyDescent="0.2">
      <c r="B316" s="191"/>
      <c r="C316" s="101"/>
      <c r="D316" s="100" t="s">
        <v>379</v>
      </c>
      <c r="E316" s="100"/>
      <c r="F316" s="101"/>
      <c r="G316" s="101"/>
      <c r="H316" s="100" t="s">
        <v>365</v>
      </c>
      <c r="I316" s="101"/>
      <c r="J316" s="101"/>
      <c r="K316" s="100"/>
      <c r="L316" s="101"/>
      <c r="M316" s="101"/>
      <c r="N316" s="101"/>
      <c r="O316" s="101"/>
      <c r="P316" s="101"/>
      <c r="Q316" s="192"/>
      <c r="S316" s="204"/>
      <c r="T316" s="63"/>
      <c r="U316" s="62" t="s">
        <v>364</v>
      </c>
      <c r="V316" s="62" t="s">
        <v>277</v>
      </c>
      <c r="W316" s="62"/>
      <c r="X316" s="63"/>
      <c r="Y316" s="63"/>
      <c r="Z316" s="16"/>
    </row>
    <row r="317" spans="2:26" x14ac:dyDescent="0.2">
      <c r="B317" s="191"/>
      <c r="C317" s="101"/>
      <c r="D317" s="103" t="s">
        <v>229</v>
      </c>
      <c r="E317" s="103"/>
      <c r="F317" s="104">
        <v>0.1</v>
      </c>
      <c r="G317" s="101"/>
      <c r="H317" s="103" t="s">
        <v>230</v>
      </c>
      <c r="I317" s="104">
        <v>0.1</v>
      </c>
      <c r="J317" s="101"/>
      <c r="K317" s="103"/>
      <c r="L317" s="101"/>
      <c r="M317" s="104"/>
      <c r="N317" s="101"/>
      <c r="O317" s="101"/>
      <c r="P317" s="101"/>
      <c r="Q317" s="192"/>
      <c r="S317" s="204"/>
      <c r="T317" s="63" t="s">
        <v>229</v>
      </c>
      <c r="U317" s="74">
        <f>W126-(W126*F317)</f>
        <v>0.59908386075949371</v>
      </c>
      <c r="V317" s="74">
        <f>U317</f>
        <v>0.59908386075949371</v>
      </c>
      <c r="W317" s="63"/>
      <c r="X317" s="63"/>
      <c r="Y317" s="63"/>
      <c r="Z317" s="16"/>
    </row>
    <row r="318" spans="2:26" x14ac:dyDescent="0.2">
      <c r="B318" s="191"/>
      <c r="C318" s="101"/>
      <c r="D318" s="103" t="s">
        <v>228</v>
      </c>
      <c r="E318" s="103"/>
      <c r="F318" s="104">
        <v>0</v>
      </c>
      <c r="G318" s="101"/>
      <c r="H318" s="103" t="s">
        <v>231</v>
      </c>
      <c r="I318" s="104">
        <v>0.15</v>
      </c>
      <c r="J318" s="101"/>
      <c r="K318" s="103"/>
      <c r="L318" s="101"/>
      <c r="M318" s="104"/>
      <c r="N318" s="101"/>
      <c r="O318" s="101"/>
      <c r="P318" s="101"/>
      <c r="Q318" s="192"/>
      <c r="S318" s="204"/>
      <c r="T318" s="63" t="s">
        <v>228</v>
      </c>
      <c r="U318" s="74">
        <f t="shared" ref="U318:U323" si="3">W127-(W127*F318)</f>
        <v>2.39873417721519E-2</v>
      </c>
      <c r="V318" s="74">
        <f t="shared" ref="V318:V322" si="4">U318</f>
        <v>2.39873417721519E-2</v>
      </c>
      <c r="W318" s="63"/>
      <c r="X318" s="63"/>
      <c r="Y318" s="63"/>
      <c r="Z318" s="16"/>
    </row>
    <row r="319" spans="2:26" x14ac:dyDescent="0.2">
      <c r="B319" s="191"/>
      <c r="C319" s="101"/>
      <c r="D319" s="103" t="s">
        <v>235</v>
      </c>
      <c r="E319" s="103"/>
      <c r="F319" s="104">
        <v>0</v>
      </c>
      <c r="G319" s="101"/>
      <c r="H319" s="103" t="s">
        <v>233</v>
      </c>
      <c r="I319" s="104">
        <v>0</v>
      </c>
      <c r="J319" s="101"/>
      <c r="K319" s="103"/>
      <c r="L319" s="101"/>
      <c r="M319" s="104"/>
      <c r="N319" s="101"/>
      <c r="O319" s="101"/>
      <c r="P319" s="101"/>
      <c r="Q319" s="192"/>
      <c r="S319" s="204"/>
      <c r="T319" s="63" t="s">
        <v>235</v>
      </c>
      <c r="U319" s="74">
        <f t="shared" si="3"/>
        <v>0.60028322784810129</v>
      </c>
      <c r="V319" s="74">
        <f t="shared" si="4"/>
        <v>0.60028322784810129</v>
      </c>
      <c r="W319" s="63"/>
      <c r="X319" s="63"/>
      <c r="Y319" s="63"/>
      <c r="Z319" s="16"/>
    </row>
    <row r="320" spans="2:26" x14ac:dyDescent="0.2">
      <c r="B320" s="191"/>
      <c r="C320" s="101"/>
      <c r="D320" s="103" t="s">
        <v>230</v>
      </c>
      <c r="E320" s="103"/>
      <c r="F320" s="104">
        <v>0.1</v>
      </c>
      <c r="G320" s="101"/>
      <c r="H320" s="101"/>
      <c r="I320" s="101"/>
      <c r="J320" s="101"/>
      <c r="K320" s="101"/>
      <c r="L320" s="101"/>
      <c r="M320" s="101"/>
      <c r="N320" s="101"/>
      <c r="O320" s="101"/>
      <c r="P320" s="101"/>
      <c r="Q320" s="192"/>
      <c r="S320" s="204"/>
      <c r="T320" s="63" t="s">
        <v>230</v>
      </c>
      <c r="U320" s="74">
        <f t="shared" si="3"/>
        <v>0.35621202531645568</v>
      </c>
      <c r="V320" s="74">
        <f>U320*(100%-I317)</f>
        <v>0.3205908227848101</v>
      </c>
      <c r="W320" s="63"/>
      <c r="X320" s="63"/>
      <c r="Y320" s="63"/>
      <c r="Z320" s="16"/>
    </row>
    <row r="321" spans="2:33" x14ac:dyDescent="0.2">
      <c r="B321" s="191"/>
      <c r="C321" s="101"/>
      <c r="D321" s="103" t="s">
        <v>231</v>
      </c>
      <c r="E321" s="103"/>
      <c r="F321" s="104">
        <v>0</v>
      </c>
      <c r="G321" s="101"/>
      <c r="H321" s="101"/>
      <c r="I321" s="101"/>
      <c r="J321" s="101"/>
      <c r="K321" s="101"/>
      <c r="L321" s="101"/>
      <c r="M321" s="101"/>
      <c r="N321" s="101"/>
      <c r="O321" s="101"/>
      <c r="P321" s="101"/>
      <c r="Q321" s="192"/>
      <c r="S321" s="204"/>
      <c r="T321" s="63" t="s">
        <v>231</v>
      </c>
      <c r="U321" s="74">
        <f t="shared" si="3"/>
        <v>0.40178797468354421</v>
      </c>
      <c r="V321" s="74">
        <f>U321*(100%-I318)</f>
        <v>0.34151977848101256</v>
      </c>
      <c r="W321" s="63"/>
      <c r="X321" s="63"/>
      <c r="Y321" s="63"/>
      <c r="Z321" s="16"/>
    </row>
    <row r="322" spans="2:33" x14ac:dyDescent="0.2">
      <c r="B322" s="191"/>
      <c r="C322" s="101"/>
      <c r="D322" s="103" t="s">
        <v>232</v>
      </c>
      <c r="E322" s="103"/>
      <c r="F322" s="104">
        <v>0.1</v>
      </c>
      <c r="G322" s="100" t="s">
        <v>347</v>
      </c>
      <c r="H322" s="101"/>
      <c r="I322" s="101"/>
      <c r="J322" s="101"/>
      <c r="K322" s="101"/>
      <c r="L322" s="101"/>
      <c r="M322" s="101"/>
      <c r="N322" s="101"/>
      <c r="O322" s="101"/>
      <c r="P322" s="101"/>
      <c r="Q322" s="192"/>
      <c r="S322" s="204"/>
      <c r="T322" s="63" t="s">
        <v>232</v>
      </c>
      <c r="U322" s="74">
        <f t="shared" si="3"/>
        <v>9.1751582278481014E-2</v>
      </c>
      <c r="V322" s="74">
        <f t="shared" si="4"/>
        <v>9.1751582278481014E-2</v>
      </c>
      <c r="W322" s="63"/>
      <c r="X322" s="63"/>
      <c r="Y322" s="63"/>
      <c r="Z322" s="16"/>
    </row>
    <row r="323" spans="2:33" x14ac:dyDescent="0.2">
      <c r="B323" s="191"/>
      <c r="C323" s="101"/>
      <c r="D323" s="103" t="s">
        <v>233</v>
      </c>
      <c r="E323" s="103"/>
      <c r="F323" s="104">
        <v>0.05</v>
      </c>
      <c r="G323" s="103" t="s">
        <v>348</v>
      </c>
      <c r="H323" s="101"/>
      <c r="I323" s="101"/>
      <c r="J323" s="101"/>
      <c r="K323" s="101"/>
      <c r="L323" s="101"/>
      <c r="M323" s="101"/>
      <c r="N323" s="101"/>
      <c r="O323" s="101"/>
      <c r="P323" s="101"/>
      <c r="Q323" s="192"/>
      <c r="S323" s="204"/>
      <c r="T323" s="63" t="s">
        <v>233</v>
      </c>
      <c r="U323" s="74">
        <f t="shared" si="3"/>
        <v>1.4470363924050631</v>
      </c>
      <c r="V323" s="74">
        <f>U323*(100%-I319)</f>
        <v>1.4470363924050631</v>
      </c>
      <c r="W323" s="63"/>
      <c r="X323" s="63"/>
      <c r="Y323" s="63"/>
      <c r="Z323" s="16"/>
    </row>
    <row r="324" spans="2:33" x14ac:dyDescent="0.2">
      <c r="B324" s="191"/>
      <c r="C324" s="101"/>
      <c r="D324" s="101"/>
      <c r="E324" s="101"/>
      <c r="F324" s="101"/>
      <c r="G324" s="103" t="s">
        <v>349</v>
      </c>
      <c r="H324" s="101"/>
      <c r="I324" s="101"/>
      <c r="J324" s="101"/>
      <c r="K324" s="101"/>
      <c r="L324" s="101"/>
      <c r="M324" s="101"/>
      <c r="N324" s="101"/>
      <c r="O324" s="101"/>
      <c r="P324" s="101"/>
      <c r="Q324" s="192"/>
      <c r="S324" s="204"/>
      <c r="T324" s="63"/>
      <c r="U324" s="63"/>
      <c r="V324" s="63"/>
      <c r="W324" s="63"/>
      <c r="X324" s="63"/>
      <c r="Y324" s="63"/>
      <c r="Z324" s="16"/>
    </row>
    <row r="325" spans="2:33" x14ac:dyDescent="0.2">
      <c r="B325" s="191"/>
      <c r="C325" s="101"/>
      <c r="D325" s="101"/>
      <c r="E325" s="101"/>
      <c r="F325" s="101"/>
      <c r="G325" s="103" t="s">
        <v>350</v>
      </c>
      <c r="H325" s="101"/>
      <c r="I325" s="101"/>
      <c r="J325" s="101"/>
      <c r="K325" s="101"/>
      <c r="L325" s="101"/>
      <c r="M325" s="101"/>
      <c r="N325" s="101"/>
      <c r="O325" s="101"/>
      <c r="P325" s="101"/>
      <c r="Q325" s="192"/>
      <c r="S325" s="204"/>
      <c r="T325" s="63"/>
      <c r="U325" s="63"/>
      <c r="V325" s="63"/>
      <c r="W325" s="62" t="s">
        <v>367</v>
      </c>
      <c r="X325" s="63"/>
      <c r="Y325" s="127">
        <f>Y135</f>
        <v>3.7126408227848096</v>
      </c>
      <c r="Z325" s="16"/>
    </row>
    <row r="326" spans="2:33" x14ac:dyDescent="0.2">
      <c r="B326" s="191"/>
      <c r="C326" s="101"/>
      <c r="D326" s="101"/>
      <c r="E326" s="101"/>
      <c r="F326" s="101"/>
      <c r="G326" s="103" t="s">
        <v>351</v>
      </c>
      <c r="H326" s="101"/>
      <c r="I326" s="101"/>
      <c r="J326" s="101"/>
      <c r="K326" s="101"/>
      <c r="L326" s="101"/>
      <c r="M326" s="101" t="s">
        <v>322</v>
      </c>
      <c r="N326" s="101"/>
      <c r="O326" s="101"/>
      <c r="P326" s="202">
        <f>(Y325-Y326)*1000</f>
        <v>288.38781645569611</v>
      </c>
      <c r="Q326" s="192"/>
      <c r="S326" s="204"/>
      <c r="T326" s="63"/>
      <c r="U326" s="63"/>
      <c r="V326" s="63"/>
      <c r="W326" s="62" t="s">
        <v>366</v>
      </c>
      <c r="X326" s="63"/>
      <c r="Y326" s="127">
        <f>SUM(V317:V323)</f>
        <v>3.4242530063291134</v>
      </c>
      <c r="Z326" s="16"/>
    </row>
    <row r="327" spans="2:33" x14ac:dyDescent="0.2">
      <c r="B327" s="191"/>
      <c r="C327" s="101"/>
      <c r="D327" s="101"/>
      <c r="E327" s="101"/>
      <c r="F327" s="101"/>
      <c r="G327" s="103" t="s">
        <v>352</v>
      </c>
      <c r="H327" s="101"/>
      <c r="I327" s="101"/>
      <c r="J327" s="101"/>
      <c r="K327" s="101"/>
      <c r="L327" s="101"/>
      <c r="M327" s="101" t="s">
        <v>321</v>
      </c>
      <c r="N327" s="101"/>
      <c r="O327" s="101"/>
      <c r="P327" s="203">
        <f>(P326/1000)/Y325</f>
        <v>7.7677273461476321E-2</v>
      </c>
      <c r="Q327" s="192"/>
      <c r="S327" s="13"/>
      <c r="T327" s="15"/>
      <c r="U327" s="15"/>
      <c r="V327" s="15"/>
      <c r="W327" s="15"/>
      <c r="X327" s="15"/>
      <c r="Y327" s="15"/>
      <c r="Z327" s="16"/>
    </row>
    <row r="328" spans="2:33" ht="17" thickBot="1" x14ac:dyDescent="0.25">
      <c r="B328" s="193"/>
      <c r="C328" s="194"/>
      <c r="D328" s="194"/>
      <c r="E328" s="194"/>
      <c r="F328" s="194"/>
      <c r="G328" s="194"/>
      <c r="H328" s="194"/>
      <c r="I328" s="194"/>
      <c r="J328" s="194"/>
      <c r="K328" s="194"/>
      <c r="L328" s="194"/>
      <c r="M328" s="194"/>
      <c r="N328" s="194"/>
      <c r="O328" s="194"/>
      <c r="P328" s="194"/>
      <c r="Q328" s="195"/>
      <c r="S328" s="198"/>
      <c r="T328" s="199"/>
      <c r="U328" s="199"/>
      <c r="V328" s="199"/>
      <c r="W328" s="199"/>
      <c r="X328" s="199"/>
      <c r="Y328" s="199"/>
      <c r="Z328" s="200"/>
    </row>
    <row r="329" spans="2:33" ht="17" thickBot="1" x14ac:dyDescent="0.25"/>
    <row r="330" spans="2:33" x14ac:dyDescent="0.2">
      <c r="S330" s="218"/>
      <c r="T330" s="210"/>
      <c r="U330" s="210"/>
      <c r="V330" s="210"/>
      <c r="W330" s="210"/>
      <c r="X330" s="210"/>
      <c r="Y330" s="210"/>
      <c r="Z330" s="213"/>
      <c r="AA330" s="222"/>
      <c r="AB330" t="s">
        <v>378</v>
      </c>
      <c r="AC330" t="s">
        <v>377</v>
      </c>
      <c r="AD330" t="s">
        <v>375</v>
      </c>
      <c r="AE330" t="s">
        <v>325</v>
      </c>
      <c r="AF330" t="s">
        <v>338</v>
      </c>
      <c r="AG330" t="s">
        <v>376</v>
      </c>
    </row>
    <row r="331" spans="2:33" x14ac:dyDescent="0.2">
      <c r="S331" s="13"/>
      <c r="T331" s="62" t="s">
        <v>378</v>
      </c>
      <c r="U331" s="62" t="s">
        <v>397</v>
      </c>
      <c r="V331" s="62">
        <v>2020</v>
      </c>
      <c r="W331" s="62">
        <v>2021</v>
      </c>
      <c r="Y331" s="63"/>
      <c r="Z331" s="208"/>
      <c r="AA331" s="222"/>
    </row>
    <row r="332" spans="2:33" x14ac:dyDescent="0.2">
      <c r="S332" s="13"/>
      <c r="Y332" s="63"/>
      <c r="Z332" s="208"/>
      <c r="AA332" s="222"/>
      <c r="AB332" s="2" t="s">
        <v>380</v>
      </c>
      <c r="AC332" s="2">
        <v>0.86</v>
      </c>
      <c r="AD332" s="2">
        <v>2.74</v>
      </c>
      <c r="AE332" s="2">
        <v>2.09</v>
      </c>
      <c r="AF332" s="2">
        <v>1.69</v>
      </c>
      <c r="AG332" s="2">
        <v>3.79</v>
      </c>
    </row>
    <row r="333" spans="2:33" x14ac:dyDescent="0.2">
      <c r="S333" s="13"/>
      <c r="T333" s="63" t="s">
        <v>377</v>
      </c>
      <c r="U333" s="74">
        <f>W333</f>
        <v>0.86</v>
      </c>
      <c r="V333" s="74">
        <f>W161</f>
        <v>0.86</v>
      </c>
      <c r="W333" s="74">
        <f>V333</f>
        <v>0.86</v>
      </c>
      <c r="Y333" s="63"/>
      <c r="Z333" s="208"/>
      <c r="AA333" s="222"/>
      <c r="AB333" s="2" t="s">
        <v>373</v>
      </c>
      <c r="AC333" s="2">
        <v>0.86</v>
      </c>
      <c r="AD333" s="2">
        <v>1.1123615353187635</v>
      </c>
      <c r="AE333" s="2">
        <v>0.57824028571428576</v>
      </c>
      <c r="AF333" s="2">
        <v>1.9005315200075001</v>
      </c>
      <c r="AG333" s="2">
        <v>3.7126408227848096</v>
      </c>
    </row>
    <row r="334" spans="2:33" x14ac:dyDescent="0.2">
      <c r="S334" s="13"/>
      <c r="T334" s="63" t="s">
        <v>384</v>
      </c>
      <c r="U334" s="74">
        <f>X162</f>
        <v>2.74</v>
      </c>
      <c r="V334" s="74">
        <f>W162</f>
        <v>1.1123615353187635</v>
      </c>
      <c r="W334" s="119">
        <f>X286/1000</f>
        <v>0.72803285714285726</v>
      </c>
      <c r="Y334" s="63"/>
      <c r="Z334" s="208"/>
      <c r="AA334" s="222"/>
      <c r="AB334" s="2" t="s">
        <v>374</v>
      </c>
      <c r="AC334" s="2">
        <v>0.86</v>
      </c>
      <c r="AD334" s="2">
        <v>0.72803285714285726</v>
      </c>
      <c r="AE334" s="2">
        <v>0.72803285714285726</v>
      </c>
      <c r="AF334" s="2">
        <v>1.2841532455841476</v>
      </c>
      <c r="AG334" s="2">
        <v>3.4242530063291134</v>
      </c>
    </row>
    <row r="335" spans="2:33" x14ac:dyDescent="0.2">
      <c r="S335" s="13"/>
      <c r="T335" s="63" t="s">
        <v>325</v>
      </c>
      <c r="U335" s="74">
        <f>X163</f>
        <v>2.09</v>
      </c>
      <c r="V335" s="74">
        <f>W163</f>
        <v>0.57824028571428576</v>
      </c>
      <c r="W335" s="74">
        <f>X286/1000</f>
        <v>0.72803285714285726</v>
      </c>
      <c r="Y335" s="63"/>
      <c r="Z335" s="208"/>
      <c r="AA335" s="222"/>
    </row>
    <row r="336" spans="2:33" x14ac:dyDescent="0.2">
      <c r="S336" s="13"/>
      <c r="T336" s="63" t="s">
        <v>338</v>
      </c>
      <c r="U336" s="74">
        <f>X164</f>
        <v>1.69</v>
      </c>
      <c r="V336" s="74">
        <f>W164</f>
        <v>1.5261773391325002</v>
      </c>
      <c r="W336" s="119">
        <f>Y307/1000</f>
        <v>0.96609859439664747</v>
      </c>
      <c r="Y336" s="63"/>
      <c r="Z336" s="208"/>
      <c r="AA336" s="222"/>
    </row>
    <row r="337" spans="19:34" x14ac:dyDescent="0.2">
      <c r="S337" s="204"/>
      <c r="T337" s="63" t="s">
        <v>385</v>
      </c>
      <c r="U337" s="74">
        <f>X165</f>
        <v>3.79</v>
      </c>
      <c r="V337" s="74">
        <f>W165</f>
        <v>3.7126408227848096</v>
      </c>
      <c r="W337" s="74">
        <f>Y326</f>
        <v>3.4242530063291134</v>
      </c>
      <c r="Y337" s="63"/>
      <c r="Z337" s="208"/>
      <c r="AA337" s="222"/>
    </row>
    <row r="338" spans="19:34" x14ac:dyDescent="0.2">
      <c r="S338" s="204"/>
      <c r="T338" s="63"/>
      <c r="U338" s="63"/>
      <c r="V338" s="63"/>
      <c r="W338" s="63"/>
      <c r="X338" s="63"/>
      <c r="Y338" s="63"/>
      <c r="Z338" s="208"/>
      <c r="AA338" s="222"/>
      <c r="AB338" t="s">
        <v>290</v>
      </c>
      <c r="AC338" t="s">
        <v>291</v>
      </c>
      <c r="AD338" t="s">
        <v>17</v>
      </c>
    </row>
    <row r="339" spans="19:34" x14ac:dyDescent="0.2">
      <c r="S339" s="204"/>
      <c r="T339" s="62" t="s">
        <v>290</v>
      </c>
      <c r="U339" s="62" t="s">
        <v>397</v>
      </c>
      <c r="V339" s="62">
        <v>2020</v>
      </c>
      <c r="W339" s="62">
        <v>2021</v>
      </c>
      <c r="Z339" s="208"/>
      <c r="AA339" s="222"/>
      <c r="AB339" t="s">
        <v>373</v>
      </c>
      <c r="AC339">
        <v>1.0123615353187636</v>
      </c>
      <c r="AD339">
        <v>0.18</v>
      </c>
    </row>
    <row r="340" spans="19:34" x14ac:dyDescent="0.2">
      <c r="S340" s="204"/>
      <c r="T340" s="63"/>
      <c r="Z340" s="208"/>
      <c r="AA340" s="222"/>
      <c r="AB340" t="s">
        <v>374</v>
      </c>
      <c r="AC340">
        <v>0.79250730502094902</v>
      </c>
      <c r="AD340">
        <v>0.17</v>
      </c>
    </row>
    <row r="341" spans="19:34" x14ac:dyDescent="0.2">
      <c r="S341" s="204"/>
      <c r="T341" s="63" t="s">
        <v>1</v>
      </c>
      <c r="U341" s="63">
        <f>X168*1000</f>
        <v>2040</v>
      </c>
      <c r="V341" s="74">
        <f>W168*1000</f>
        <v>1012.3615353187636</v>
      </c>
      <c r="W341" s="74">
        <f>V275</f>
        <v>792.50730502094905</v>
      </c>
      <c r="Z341" s="208"/>
      <c r="AA341" s="222"/>
      <c r="AB341" t="s">
        <v>380</v>
      </c>
      <c r="AC341">
        <v>2.04</v>
      </c>
      <c r="AD341">
        <v>0.7</v>
      </c>
    </row>
    <row r="342" spans="19:34" x14ac:dyDescent="0.2">
      <c r="S342" s="204"/>
      <c r="T342" s="63" t="s">
        <v>386</v>
      </c>
      <c r="U342" s="63">
        <f>X169*1000</f>
        <v>700</v>
      </c>
      <c r="V342" s="74">
        <f>W169*1000</f>
        <v>180</v>
      </c>
      <c r="W342" s="74">
        <f>(V273+Y271)</f>
        <v>170</v>
      </c>
      <c r="X342" s="63"/>
      <c r="Y342" s="63"/>
      <c r="Z342" s="208"/>
      <c r="AA342" s="222"/>
    </row>
    <row r="343" spans="19:34" x14ac:dyDescent="0.2">
      <c r="AA343" s="222"/>
      <c r="AB343" t="s">
        <v>139</v>
      </c>
      <c r="AC343" t="s">
        <v>298</v>
      </c>
      <c r="AD343" t="s">
        <v>304</v>
      </c>
      <c r="AE343" t="s">
        <v>26</v>
      </c>
      <c r="AF343" t="s">
        <v>300</v>
      </c>
    </row>
    <row r="344" spans="19:34" x14ac:dyDescent="0.2">
      <c r="S344" s="204"/>
      <c r="T344" s="62" t="s">
        <v>139</v>
      </c>
      <c r="U344" s="62" t="s">
        <v>397</v>
      </c>
      <c r="V344" s="62">
        <v>2020</v>
      </c>
      <c r="W344" s="62">
        <v>2021</v>
      </c>
      <c r="Z344" s="208"/>
      <c r="AA344" s="222"/>
      <c r="AB344" t="s">
        <v>373</v>
      </c>
      <c r="AC344">
        <v>7.0876285714285711E-2</v>
      </c>
      <c r="AD344">
        <v>0.23158400000000001</v>
      </c>
      <c r="AE344">
        <v>0.2152</v>
      </c>
      <c r="AF344">
        <v>6.0579999999999995E-2</v>
      </c>
    </row>
    <row r="345" spans="19:34" x14ac:dyDescent="0.2">
      <c r="AA345" s="222"/>
      <c r="AB345" t="s">
        <v>374</v>
      </c>
      <c r="AC345">
        <v>6.6048857142857145E-2</v>
      </c>
      <c r="AD345">
        <v>0.23158400000000001</v>
      </c>
      <c r="AE345">
        <v>0.4304</v>
      </c>
      <c r="AF345">
        <v>0</v>
      </c>
    </row>
    <row r="346" spans="19:34" x14ac:dyDescent="0.2">
      <c r="S346" s="204"/>
      <c r="T346" s="63" t="s">
        <v>387</v>
      </c>
      <c r="U346" s="74">
        <f>X172*1000</f>
        <v>1337.6</v>
      </c>
      <c r="V346" s="74">
        <f>W172*1000</f>
        <v>70.876285714285714</v>
      </c>
      <c r="W346" s="74">
        <f>(X279+X282+X283)</f>
        <v>66.048857142857145</v>
      </c>
      <c r="Z346" s="208"/>
      <c r="AA346" s="222"/>
      <c r="AB346" t="s">
        <v>380</v>
      </c>
      <c r="AC346">
        <v>1.3375999999999999</v>
      </c>
      <c r="AD346">
        <v>0.12539999999999998</v>
      </c>
      <c r="AE346">
        <v>0.54339999999999999</v>
      </c>
      <c r="AF346">
        <v>8.3599999999999994E-2</v>
      </c>
    </row>
    <row r="347" spans="19:34" x14ac:dyDescent="0.2">
      <c r="S347" s="204"/>
      <c r="T347" s="63" t="s">
        <v>388</v>
      </c>
      <c r="U347" s="74">
        <f>X173*1000</f>
        <v>125.39999999999998</v>
      </c>
      <c r="V347" s="74">
        <f t="shared" ref="V347:V349" si="5">W173*1000</f>
        <v>231.584</v>
      </c>
      <c r="W347" s="74">
        <f>(X280+X281)</f>
        <v>231.584</v>
      </c>
      <c r="Z347" s="208"/>
      <c r="AA347" s="222"/>
    </row>
    <row r="348" spans="19:34" x14ac:dyDescent="0.2">
      <c r="S348" s="204"/>
      <c r="T348" s="63" t="s">
        <v>337</v>
      </c>
      <c r="U348" s="74">
        <f t="shared" ref="U348:U349" si="6">X174*1000</f>
        <v>543.4</v>
      </c>
      <c r="V348" s="74">
        <f t="shared" si="5"/>
        <v>215.2</v>
      </c>
      <c r="W348" s="74">
        <f>X285</f>
        <v>430.4</v>
      </c>
      <c r="Z348" s="208"/>
      <c r="AA348" s="222"/>
    </row>
    <row r="349" spans="19:34" x14ac:dyDescent="0.2">
      <c r="S349" s="204"/>
      <c r="T349" s="63" t="s">
        <v>115</v>
      </c>
      <c r="U349" s="74">
        <f t="shared" si="6"/>
        <v>83.6</v>
      </c>
      <c r="V349" s="74">
        <f t="shared" si="5"/>
        <v>60.58</v>
      </c>
      <c r="W349" s="74">
        <f>X284</f>
        <v>0</v>
      </c>
      <c r="Z349" s="208"/>
      <c r="AA349" s="222"/>
      <c r="AB349" t="s">
        <v>172</v>
      </c>
      <c r="AC349" t="s">
        <v>305</v>
      </c>
      <c r="AD349" t="s">
        <v>306</v>
      </c>
      <c r="AE349" t="s">
        <v>307</v>
      </c>
      <c r="AF349" t="s">
        <v>316</v>
      </c>
      <c r="AG349" t="s">
        <v>47</v>
      </c>
      <c r="AH349" t="s">
        <v>308</v>
      </c>
    </row>
    <row r="350" spans="19:34" x14ac:dyDescent="0.2">
      <c r="S350" s="204"/>
      <c r="T350" s="63"/>
      <c r="U350" s="119"/>
      <c r="V350" s="63"/>
      <c r="W350" s="63"/>
      <c r="X350" s="63"/>
      <c r="Y350" s="63"/>
      <c r="Z350" s="208"/>
      <c r="AA350" s="222"/>
      <c r="AB350" t="s">
        <v>373</v>
      </c>
      <c r="AC350">
        <v>32.130000000000017</v>
      </c>
      <c r="AD350">
        <v>214.74468375000001</v>
      </c>
      <c r="AE350">
        <v>815.49544450000008</v>
      </c>
      <c r="AF350">
        <v>103.913488</v>
      </c>
      <c r="AG350">
        <v>55.331238749999997</v>
      </c>
      <c r="AH350">
        <v>304.56248413249995</v>
      </c>
    </row>
    <row r="351" spans="19:34" x14ac:dyDescent="0.2">
      <c r="S351" s="204"/>
      <c r="T351" s="62" t="s">
        <v>172</v>
      </c>
      <c r="U351" s="62" t="s">
        <v>397</v>
      </c>
      <c r="V351" s="62">
        <v>2020</v>
      </c>
      <c r="W351" s="62">
        <v>2021</v>
      </c>
      <c r="Z351" s="208"/>
      <c r="AA351" s="222"/>
      <c r="AB351" t="s">
        <v>374</v>
      </c>
      <c r="AC351">
        <v>18.528299999999987</v>
      </c>
      <c r="AD351">
        <v>192.38882904085258</v>
      </c>
      <c r="AE351">
        <v>708.85539000000006</v>
      </c>
      <c r="AF351">
        <v>24.026239999999987</v>
      </c>
      <c r="AG351">
        <v>25.5867</v>
      </c>
      <c r="AH351">
        <v>383.34976962499991</v>
      </c>
    </row>
    <row r="352" spans="19:34" x14ac:dyDescent="0.2">
      <c r="AA352" s="222"/>
      <c r="AB352" t="s">
        <v>380</v>
      </c>
      <c r="AC352">
        <v>160.26979499999999</v>
      </c>
      <c r="AD352">
        <v>635.88525145833319</v>
      </c>
      <c r="AE352">
        <v>398.14548700000006</v>
      </c>
      <c r="AF352">
        <v>103.913488</v>
      </c>
      <c r="AG352">
        <v>55.331238749999997</v>
      </c>
      <c r="AH352">
        <v>287.29999999999995</v>
      </c>
    </row>
    <row r="353" spans="19:35" x14ac:dyDescent="0.2">
      <c r="S353" s="204"/>
      <c r="T353" s="63" t="s">
        <v>389</v>
      </c>
      <c r="U353" s="154">
        <f t="shared" ref="U353:U358" si="7">X178</f>
        <v>160.26979499999999</v>
      </c>
      <c r="V353" s="119">
        <f t="shared" ref="V353:V358" si="8">W178</f>
        <v>32.130000000000017</v>
      </c>
      <c r="W353" s="119">
        <f>(Hintergrund!G61-'Emissions Sebastian 2020'!T292)*Hintergrund!F61</f>
        <v>18.528299999999987</v>
      </c>
      <c r="Z353" s="208"/>
      <c r="AA353" s="222"/>
    </row>
    <row r="354" spans="19:35" x14ac:dyDescent="0.2">
      <c r="S354" s="204"/>
      <c r="T354" s="63" t="s">
        <v>390</v>
      </c>
      <c r="U354" s="154">
        <f t="shared" si="7"/>
        <v>635.88525145833319</v>
      </c>
      <c r="V354" s="119">
        <f t="shared" si="8"/>
        <v>214.74468375000001</v>
      </c>
      <c r="W354" s="119">
        <f>(Hintergrund!G52-'Emissions Sebastian 2020'!T296)*Hintergrund!F52+(Hintergrund!G62-Hintergrund!G52-'Emissions Sebastian 2020'!T300)*Hintergrund!F62</f>
        <v>192.38882904085258</v>
      </c>
      <c r="Z354" s="208"/>
      <c r="AA354" s="222"/>
    </row>
    <row r="355" spans="19:35" x14ac:dyDescent="0.2">
      <c r="S355" s="204"/>
      <c r="T355" s="63" t="s">
        <v>44</v>
      </c>
      <c r="U355" s="154">
        <f t="shared" si="7"/>
        <v>398.14548700000006</v>
      </c>
      <c r="V355" s="119">
        <f t="shared" si="8"/>
        <v>815.49544450000008</v>
      </c>
      <c r="W355" s="119">
        <f>(Hintergrund!G54-'Emissions Sebastian 2020'!X292)*Hintergrund!F54+T292*H292*Hintergrund!F54+T300*H310*Hintergrund!F54+T296*H302*Hintergrund!F54</f>
        <v>371.29865500000005</v>
      </c>
      <c r="Z355" s="208"/>
      <c r="AA355" s="222"/>
    </row>
    <row r="356" spans="19:35" x14ac:dyDescent="0.2">
      <c r="S356" s="204"/>
      <c r="T356" s="63" t="s">
        <v>46</v>
      </c>
      <c r="U356" s="154">
        <f t="shared" si="7"/>
        <v>103.913488</v>
      </c>
      <c r="V356" s="119">
        <f t="shared" si="8"/>
        <v>103.913488</v>
      </c>
      <c r="W356" s="119">
        <f>(Hintergrund!G58-'Emissions Sebastian 2020'!X296)*Hintergrund!F58</f>
        <v>24.026239999999987</v>
      </c>
      <c r="Z356" s="208"/>
      <c r="AA356" s="222"/>
    </row>
    <row r="357" spans="19:35" x14ac:dyDescent="0.2">
      <c r="S357" s="204"/>
      <c r="T357" s="63" t="s">
        <v>47</v>
      </c>
      <c r="U357" s="154">
        <f t="shared" si="7"/>
        <v>55.331238749999997</v>
      </c>
      <c r="V357" s="119">
        <f t="shared" si="8"/>
        <v>55.331238749999997</v>
      </c>
      <c r="W357" s="119">
        <f>(Hintergrund!G59-'Emissions Sebastian 2020'!X300)*Hintergrund!F59</f>
        <v>19.190025000000002</v>
      </c>
      <c r="Z357" s="208"/>
      <c r="AA357" s="222"/>
    </row>
    <row r="358" spans="19:35" x14ac:dyDescent="0.2">
      <c r="S358" s="204"/>
      <c r="T358" s="63" t="s">
        <v>391</v>
      </c>
      <c r="U358" s="154">
        <f t="shared" si="7"/>
        <v>287.29999999999995</v>
      </c>
      <c r="V358" s="119">
        <f t="shared" si="8"/>
        <v>304.56248413249995</v>
      </c>
      <c r="W358" s="119">
        <f>Hintergrund!H44-Hintergrund!H46+(T292*H293*1)+(T292*H294*Hintergrund!F68)+T296*H300*Hintergrund!F68+T296*H301*Hintergrund!F69+'Emissions Sebastian 2020'!T296*'Emissions Sebastian 2020'!H304*1+'Emissions Sebastian 2020'!T300*'Emissions Sebastian 2020'!H307*Hintergrund!F69+'Emissions Sebastian 2020'!T300*'Emissions Sebastian 2020'!H308*Hintergrund!F68+'Emissions Sebastian 2020'!T300*'Emissions Sebastian 2020'!H309*3+T296*H303*3+T300*H311*1+X292*L293*1+X292*L294*1+X296*L298*Hintergrund!F71+X300*L302*Hintergrund!F70</f>
        <v>392.76406962499993</v>
      </c>
      <c r="Z358" s="208"/>
      <c r="AA358" s="222"/>
      <c r="AB358" t="s">
        <v>275</v>
      </c>
      <c r="AC358" t="s">
        <v>309</v>
      </c>
      <c r="AD358" t="s">
        <v>310</v>
      </c>
      <c r="AE358" t="s">
        <v>311</v>
      </c>
      <c r="AF358" t="s">
        <v>312</v>
      </c>
      <c r="AG358" t="s">
        <v>313</v>
      </c>
      <c r="AH358" t="s">
        <v>314</v>
      </c>
      <c r="AI358" t="s">
        <v>315</v>
      </c>
    </row>
    <row r="359" spans="19:35" x14ac:dyDescent="0.2">
      <c r="S359" s="204"/>
      <c r="T359" s="63"/>
      <c r="U359" s="119"/>
      <c r="V359" s="63"/>
      <c r="W359" s="63"/>
      <c r="X359" s="63"/>
      <c r="Y359" s="63"/>
      <c r="Z359" s="208"/>
      <c r="AA359" s="222"/>
      <c r="AB359" t="s">
        <v>373</v>
      </c>
      <c r="AC359">
        <v>0.66564873417721526</v>
      </c>
      <c r="AD359">
        <v>2.39873417721519E-2</v>
      </c>
      <c r="AE359">
        <v>0.60028322784810129</v>
      </c>
      <c r="AF359">
        <v>0.39579113924050635</v>
      </c>
      <c r="AG359">
        <v>0.40178797468354421</v>
      </c>
      <c r="AH359">
        <v>0.10194620253164557</v>
      </c>
      <c r="AI359">
        <v>1.5231962025316454</v>
      </c>
    </row>
    <row r="360" spans="19:35" x14ac:dyDescent="0.2">
      <c r="S360" s="204"/>
      <c r="T360" s="62" t="s">
        <v>275</v>
      </c>
      <c r="U360" s="62" t="s">
        <v>397</v>
      </c>
      <c r="V360" s="62">
        <v>2020</v>
      </c>
      <c r="W360" s="62">
        <v>2021</v>
      </c>
      <c r="Z360" s="208"/>
      <c r="AA360" s="222"/>
      <c r="AB360" t="s">
        <v>374</v>
      </c>
      <c r="AC360">
        <v>0.59908386075949371</v>
      </c>
      <c r="AD360">
        <v>2.39873417721519E-2</v>
      </c>
      <c r="AE360">
        <v>0.60028322784810129</v>
      </c>
      <c r="AF360">
        <v>0.3205908227848101</v>
      </c>
      <c r="AG360">
        <v>0.34151977848101256</v>
      </c>
      <c r="AH360">
        <v>9.1751582278481014E-2</v>
      </c>
      <c r="AI360">
        <v>1.4470363924050631</v>
      </c>
    </row>
    <row r="361" spans="19:35" x14ac:dyDescent="0.2">
      <c r="AA361" s="222"/>
      <c r="AB361" t="s">
        <v>380</v>
      </c>
      <c r="AC361">
        <v>0.66564873417721526</v>
      </c>
      <c r="AD361">
        <v>0.23987341772151902</v>
      </c>
      <c r="AE361">
        <v>0.46175632911392406</v>
      </c>
      <c r="AF361">
        <v>0.39579113924050635</v>
      </c>
      <c r="AG361">
        <v>0.40178797468354421</v>
      </c>
      <c r="AH361">
        <v>0.10194620253164557</v>
      </c>
      <c r="AI361">
        <v>1.5231962025316454</v>
      </c>
    </row>
    <row r="362" spans="19:35" x14ac:dyDescent="0.2">
      <c r="S362" s="204"/>
      <c r="T362" s="63" t="s">
        <v>392</v>
      </c>
      <c r="U362" s="74">
        <f>X186*1000</f>
        <v>665.64873417721526</v>
      </c>
      <c r="V362" s="74">
        <f>W186*1000</f>
        <v>665.64873417721526</v>
      </c>
      <c r="W362" s="74">
        <f>V317*1000</f>
        <v>599.08386075949375</v>
      </c>
      <c r="Z362" s="208"/>
      <c r="AA362" s="222"/>
    </row>
    <row r="363" spans="19:35" x14ac:dyDescent="0.2">
      <c r="S363" s="204"/>
      <c r="T363" s="63" t="s">
        <v>398</v>
      </c>
      <c r="U363" s="74">
        <f t="shared" ref="U363:U368" si="9">X187*1000</f>
        <v>239.87341772151902</v>
      </c>
      <c r="V363" s="74">
        <f t="shared" ref="V363:V368" si="10">W187*1000</f>
        <v>23.9873417721519</v>
      </c>
      <c r="W363" s="74">
        <f t="shared" ref="W363:W368" si="11">V318*1000</f>
        <v>23.9873417721519</v>
      </c>
      <c r="Z363" s="208"/>
      <c r="AA363" s="222"/>
    </row>
    <row r="364" spans="19:35" x14ac:dyDescent="0.2">
      <c r="S364" s="204"/>
      <c r="T364" s="63" t="s">
        <v>393</v>
      </c>
      <c r="U364" s="74">
        <f t="shared" si="9"/>
        <v>461.75632911392404</v>
      </c>
      <c r="V364" s="74">
        <f t="shared" si="10"/>
        <v>600.28322784810132</v>
      </c>
      <c r="W364" s="74">
        <f t="shared" si="11"/>
        <v>600.28322784810132</v>
      </c>
      <c r="Z364" s="208"/>
      <c r="AA364" s="222"/>
    </row>
    <row r="365" spans="19:35" x14ac:dyDescent="0.2">
      <c r="S365" s="204"/>
      <c r="T365" s="63" t="s">
        <v>98</v>
      </c>
      <c r="U365" s="74">
        <f t="shared" si="9"/>
        <v>395.79113924050637</v>
      </c>
      <c r="V365" s="74">
        <f t="shared" si="10"/>
        <v>395.79113924050637</v>
      </c>
      <c r="W365" s="74">
        <f t="shared" si="11"/>
        <v>320.59082278481009</v>
      </c>
      <c r="Z365" s="208"/>
      <c r="AA365" s="222"/>
    </row>
    <row r="366" spans="19:35" x14ac:dyDescent="0.2">
      <c r="S366" s="204"/>
      <c r="T366" s="63" t="s">
        <v>394</v>
      </c>
      <c r="U366" s="74">
        <f t="shared" si="9"/>
        <v>401.78797468354423</v>
      </c>
      <c r="V366" s="74">
        <f t="shared" si="10"/>
        <v>401.78797468354423</v>
      </c>
      <c r="W366" s="74">
        <f t="shared" si="11"/>
        <v>341.51977848101257</v>
      </c>
      <c r="Z366" s="208"/>
      <c r="AA366" s="222"/>
    </row>
    <row r="367" spans="19:35" x14ac:dyDescent="0.2">
      <c r="S367" s="204"/>
      <c r="T367" s="63" t="s">
        <v>395</v>
      </c>
      <c r="U367" s="74">
        <f t="shared" si="9"/>
        <v>101.94620253164557</v>
      </c>
      <c r="V367" s="74">
        <f t="shared" si="10"/>
        <v>101.94620253164557</v>
      </c>
      <c r="W367" s="74">
        <f t="shared" si="11"/>
        <v>91.75158227848101</v>
      </c>
      <c r="Z367" s="208"/>
      <c r="AA367" s="222"/>
    </row>
    <row r="368" spans="19:35" x14ac:dyDescent="0.2">
      <c r="S368" s="204"/>
      <c r="T368" s="63" t="s">
        <v>396</v>
      </c>
      <c r="U368" s="74">
        <f t="shared" si="9"/>
        <v>1523.1962025316454</v>
      </c>
      <c r="V368" s="74">
        <f t="shared" si="10"/>
        <v>1523.1962025316454</v>
      </c>
      <c r="W368" s="74">
        <f t="shared" si="11"/>
        <v>1447.036392405063</v>
      </c>
      <c r="Z368" s="208"/>
      <c r="AA368" s="222"/>
    </row>
    <row r="369" spans="19:27" ht="17" thickBot="1" x14ac:dyDescent="0.25">
      <c r="S369" s="204"/>
      <c r="T369" s="63"/>
      <c r="U369" s="63"/>
      <c r="V369" s="63"/>
      <c r="W369" s="63"/>
      <c r="X369" s="63"/>
      <c r="Y369" s="63"/>
      <c r="Z369" s="208"/>
      <c r="AA369" s="222"/>
    </row>
    <row r="370" spans="19:27" x14ac:dyDescent="0.2">
      <c r="S370" s="209"/>
      <c r="T370" s="212"/>
      <c r="U370" s="212"/>
      <c r="V370" s="212"/>
      <c r="W370" s="212"/>
      <c r="X370" s="212"/>
      <c r="Y370" s="212"/>
      <c r="Z370" s="224"/>
      <c r="AA370" s="222"/>
    </row>
    <row r="371" spans="19:27" x14ac:dyDescent="0.2">
      <c r="S371" s="219"/>
      <c r="T371" s="62"/>
      <c r="U371" s="62" t="s">
        <v>373</v>
      </c>
      <c r="V371" s="62" t="s">
        <v>374</v>
      </c>
      <c r="W371" s="62" t="s">
        <v>380</v>
      </c>
      <c r="X371" s="62"/>
      <c r="Y371" s="62"/>
      <c r="Z371" s="225"/>
      <c r="AA371" s="222"/>
    </row>
    <row r="372" spans="19:27" x14ac:dyDescent="0.2">
      <c r="S372" s="219"/>
      <c r="T372" s="62" t="s">
        <v>381</v>
      </c>
      <c r="U372" s="223">
        <f>H148</f>
        <v>7.7894199829503599</v>
      </c>
      <c r="V372" s="223">
        <f>SUM(W333:W337)</f>
        <v>6.7064173150114756</v>
      </c>
      <c r="W372" s="62">
        <f>Y148</f>
        <v>11.17</v>
      </c>
      <c r="X372" s="62"/>
      <c r="Y372" s="62"/>
      <c r="Z372" s="225"/>
      <c r="AA372" s="222"/>
    </row>
    <row r="373" spans="19:27" ht="17" thickBot="1" x14ac:dyDescent="0.25">
      <c r="S373" s="214"/>
      <c r="T373" s="215"/>
      <c r="U373" s="215"/>
      <c r="V373" s="215"/>
      <c r="W373" s="215"/>
      <c r="X373" s="215"/>
      <c r="Y373" s="215"/>
      <c r="Z373" s="217"/>
      <c r="AA373" s="222"/>
    </row>
    <row r="374" spans="19:27" x14ac:dyDescent="0.2">
      <c r="S374" s="221"/>
      <c r="T374" s="221"/>
      <c r="U374" s="221"/>
      <c r="V374" s="221"/>
      <c r="W374" s="221"/>
      <c r="X374" s="221"/>
      <c r="Y374" s="221"/>
      <c r="Z374" s="221"/>
      <c r="AA374" s="222"/>
    </row>
    <row r="375" spans="19:27" x14ac:dyDescent="0.2">
      <c r="S375" s="221"/>
      <c r="T375" s="221"/>
      <c r="U375" s="221"/>
      <c r="V375" s="221"/>
      <c r="W375" s="221"/>
      <c r="X375" s="221"/>
      <c r="Y375" s="221"/>
      <c r="Z375" s="221"/>
      <c r="AA375" s="222"/>
    </row>
    <row r="376" spans="19:27" x14ac:dyDescent="0.2">
      <c r="S376" s="221"/>
      <c r="T376" s="221"/>
      <c r="U376" s="221"/>
      <c r="V376" s="221"/>
      <c r="W376" s="221"/>
      <c r="X376" s="221"/>
      <c r="Y376" s="221"/>
      <c r="Z376" s="221"/>
      <c r="AA376" s="222"/>
    </row>
    <row r="377" spans="19:27" x14ac:dyDescent="0.2">
      <c r="S377" s="221"/>
      <c r="T377" s="221"/>
      <c r="U377" s="221"/>
      <c r="V377" s="221"/>
      <c r="W377" s="221"/>
      <c r="X377" s="221"/>
      <c r="Y377" s="221"/>
      <c r="Z377" s="221"/>
      <c r="AA377" s="222"/>
    </row>
    <row r="378" spans="19:27" x14ac:dyDescent="0.2">
      <c r="S378" s="221"/>
      <c r="T378" s="221"/>
      <c r="U378" s="221"/>
      <c r="V378" s="221"/>
      <c r="W378" s="221"/>
      <c r="X378" s="221"/>
      <c r="Y378" s="221"/>
      <c r="Z378" s="221"/>
      <c r="AA378" s="222"/>
    </row>
    <row r="379" spans="19:27" x14ac:dyDescent="0.2">
      <c r="S379" s="221"/>
      <c r="T379" s="221"/>
      <c r="U379" s="221"/>
      <c r="V379" s="221"/>
      <c r="W379" s="221"/>
      <c r="X379" s="221"/>
      <c r="Y379" s="221"/>
      <c r="Z379" s="221"/>
      <c r="AA379" s="222"/>
    </row>
    <row r="380" spans="19:27" x14ac:dyDescent="0.2">
      <c r="S380" s="221"/>
      <c r="T380" s="221"/>
      <c r="U380" s="221"/>
      <c r="V380" s="221"/>
      <c r="W380" s="221"/>
      <c r="X380" s="221"/>
      <c r="Y380" s="221"/>
      <c r="Z380" s="221"/>
      <c r="AA380" s="222"/>
    </row>
    <row r="381" spans="19:27" x14ac:dyDescent="0.2">
      <c r="S381" s="221"/>
      <c r="T381" s="221"/>
      <c r="U381" s="221"/>
      <c r="V381" s="221"/>
      <c r="W381" s="221"/>
      <c r="X381" s="221"/>
      <c r="Y381" s="221"/>
      <c r="Z381" s="221"/>
      <c r="AA381" s="222"/>
    </row>
    <row r="382" spans="19:27" x14ac:dyDescent="0.2">
      <c r="S382" s="221"/>
      <c r="T382" s="221"/>
      <c r="U382" s="221"/>
      <c r="V382" s="221"/>
      <c r="W382" s="221"/>
      <c r="X382" s="221"/>
      <c r="Y382" s="221"/>
      <c r="Z382" s="221"/>
      <c r="AA382" s="222"/>
    </row>
    <row r="383" spans="19:27" x14ac:dyDescent="0.2">
      <c r="S383" s="221"/>
      <c r="T383" s="221"/>
      <c r="U383" s="221"/>
      <c r="V383" s="221"/>
      <c r="W383" s="221"/>
      <c r="X383" s="221"/>
      <c r="Y383" s="221"/>
      <c r="Z383" s="221"/>
      <c r="AA383" s="222"/>
    </row>
    <row r="384" spans="19:27" x14ac:dyDescent="0.2">
      <c r="S384" s="221"/>
      <c r="T384" s="221"/>
      <c r="U384" s="221"/>
      <c r="V384" s="221"/>
      <c r="W384" s="221"/>
      <c r="X384" s="221"/>
      <c r="Y384" s="221"/>
      <c r="Z384" s="221"/>
      <c r="AA384" s="222"/>
    </row>
    <row r="385" spans="19:27" x14ac:dyDescent="0.2">
      <c r="S385" s="221"/>
      <c r="T385" s="221"/>
      <c r="U385" s="221"/>
      <c r="V385" s="221"/>
      <c r="W385" s="221"/>
      <c r="X385" s="221"/>
      <c r="Y385" s="221"/>
      <c r="Z385" s="221"/>
      <c r="AA385" s="222"/>
    </row>
    <row r="386" spans="19:27" x14ac:dyDescent="0.2">
      <c r="S386" s="221"/>
      <c r="T386" s="221"/>
      <c r="U386" s="221"/>
      <c r="V386" s="221"/>
      <c r="W386" s="221"/>
      <c r="X386" s="221"/>
      <c r="Y386" s="221"/>
      <c r="Z386" s="221"/>
      <c r="AA386" s="222"/>
    </row>
    <row r="387" spans="19:27" x14ac:dyDescent="0.2">
      <c r="S387" s="221"/>
      <c r="T387" s="221"/>
      <c r="U387" s="221"/>
      <c r="V387" s="221"/>
      <c r="W387" s="221"/>
      <c r="X387" s="221"/>
      <c r="Y387" s="221"/>
      <c r="Z387" s="221"/>
      <c r="AA387" s="222"/>
    </row>
    <row r="388" spans="19:27" x14ac:dyDescent="0.2">
      <c r="S388" s="221"/>
      <c r="T388" s="221"/>
      <c r="U388" s="221"/>
      <c r="V388" s="221"/>
      <c r="W388" s="221"/>
      <c r="X388" s="221"/>
      <c r="Y388" s="221"/>
      <c r="Z388" s="221"/>
      <c r="AA388" s="222"/>
    </row>
    <row r="389" spans="19:27" x14ac:dyDescent="0.2">
      <c r="S389" s="221"/>
      <c r="T389" s="221"/>
      <c r="U389" s="221"/>
      <c r="V389" s="221"/>
      <c r="W389" s="221"/>
      <c r="X389" s="221"/>
      <c r="Y389" s="221"/>
      <c r="Z389" s="221"/>
      <c r="AA389" s="222"/>
    </row>
    <row r="390" spans="19:27" x14ac:dyDescent="0.2">
      <c r="S390" s="221"/>
      <c r="T390" s="221"/>
      <c r="U390" s="221"/>
      <c r="V390" s="221"/>
      <c r="W390" s="221"/>
      <c r="X390" s="221"/>
      <c r="Y390" s="221"/>
      <c r="Z390" s="221"/>
      <c r="AA390" s="222"/>
    </row>
    <row r="391" spans="19:27" x14ac:dyDescent="0.2">
      <c r="S391" s="221"/>
      <c r="T391" s="221"/>
      <c r="U391" s="221"/>
      <c r="V391" s="221"/>
      <c r="W391" s="221"/>
      <c r="X391" s="221"/>
      <c r="Y391" s="221"/>
      <c r="Z391" s="221"/>
      <c r="AA391" s="222"/>
    </row>
    <row r="392" spans="19:27" x14ac:dyDescent="0.2">
      <c r="S392" s="221"/>
      <c r="T392" s="221"/>
      <c r="U392" s="221"/>
      <c r="V392" s="221"/>
      <c r="W392" s="221"/>
      <c r="X392" s="221"/>
      <c r="Y392" s="221"/>
      <c r="Z392" s="221"/>
      <c r="AA392" s="222"/>
    </row>
    <row r="393" spans="19:27" x14ac:dyDescent="0.2">
      <c r="S393" s="221"/>
      <c r="T393" s="221"/>
      <c r="U393" s="221"/>
      <c r="V393" s="221"/>
      <c r="W393" s="221"/>
      <c r="X393" s="221"/>
      <c r="Y393" s="221"/>
      <c r="Z393" s="221"/>
      <c r="AA393" s="222"/>
    </row>
    <row r="394" spans="19:27" x14ac:dyDescent="0.2">
      <c r="S394" s="221"/>
      <c r="T394" s="221"/>
      <c r="U394" s="221"/>
      <c r="V394" s="221"/>
      <c r="W394" s="221"/>
      <c r="X394" s="221"/>
      <c r="Y394" s="221"/>
      <c r="Z394" s="221"/>
      <c r="AA394" s="222"/>
    </row>
    <row r="395" spans="19:27" x14ac:dyDescent="0.2">
      <c r="S395" s="221"/>
      <c r="T395" s="221"/>
      <c r="U395" s="221"/>
      <c r="V395" s="221"/>
      <c r="W395" s="221"/>
      <c r="X395" s="221"/>
      <c r="Y395" s="221"/>
      <c r="Z395" s="221"/>
      <c r="AA395" s="222"/>
    </row>
    <row r="396" spans="19:27" x14ac:dyDescent="0.2">
      <c r="S396" s="221"/>
      <c r="T396" s="221"/>
      <c r="U396" s="221"/>
      <c r="V396" s="221"/>
      <c r="W396" s="221"/>
      <c r="X396" s="221"/>
      <c r="Y396" s="221"/>
      <c r="Z396" s="221"/>
      <c r="AA396" s="222"/>
    </row>
    <row r="397" spans="19:27" x14ac:dyDescent="0.2">
      <c r="S397" s="221"/>
      <c r="T397" s="221"/>
      <c r="U397" s="221"/>
      <c r="V397" s="221"/>
      <c r="W397" s="221"/>
      <c r="X397" s="221"/>
      <c r="Y397" s="221"/>
      <c r="Z397" s="221"/>
      <c r="AA397" s="222"/>
    </row>
    <row r="398" spans="19:27" x14ac:dyDescent="0.2">
      <c r="S398" s="221"/>
      <c r="T398" s="221"/>
      <c r="U398" s="221"/>
      <c r="V398" s="221"/>
      <c r="W398" s="221"/>
      <c r="X398" s="221"/>
      <c r="Y398" s="221"/>
      <c r="Z398" s="221"/>
      <c r="AA398" s="222"/>
    </row>
    <row r="399" spans="19:27" x14ac:dyDescent="0.2">
      <c r="S399" s="221"/>
      <c r="T399" s="221"/>
      <c r="U399" s="221"/>
      <c r="V399" s="221"/>
      <c r="W399" s="221"/>
      <c r="X399" s="221"/>
      <c r="Y399" s="221"/>
      <c r="Z399" s="221"/>
      <c r="AA399" s="222"/>
    </row>
    <row r="400" spans="19:27" x14ac:dyDescent="0.2">
      <c r="S400" s="222"/>
      <c r="T400" s="222"/>
      <c r="U400" s="222"/>
      <c r="V400" s="222"/>
      <c r="W400" s="222"/>
      <c r="X400" s="222"/>
      <c r="Y400" s="222"/>
      <c r="Z400" s="222"/>
      <c r="AA400" s="22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1C80D-F1DE-BC49-9002-8FB1BCB05B96}">
  <dimension ref="B3:U145"/>
  <sheetViews>
    <sheetView topLeftCell="A44" zoomScale="75" workbookViewId="0">
      <selection activeCell="F70" sqref="F70"/>
    </sheetView>
  </sheetViews>
  <sheetFormatPr baseColWidth="10" defaultColWidth="11.1640625" defaultRowHeight="16" x14ac:dyDescent="0.2"/>
  <cols>
    <col min="1" max="1" width="9" customWidth="1"/>
    <col min="2" max="2" width="15.33203125" customWidth="1"/>
    <col min="3" max="3" width="26.5" customWidth="1"/>
    <col min="5" max="5" width="18.1640625" customWidth="1"/>
    <col min="6" max="6" width="30.1640625" customWidth="1"/>
    <col min="7" max="7" width="34.5" customWidth="1"/>
    <col min="8" max="8" width="14.5" customWidth="1"/>
  </cols>
  <sheetData>
    <row r="3" spans="2:13" x14ac:dyDescent="0.2">
      <c r="B3" s="5" t="s">
        <v>183</v>
      </c>
      <c r="C3" s="5"/>
      <c r="D3" s="5"/>
    </row>
    <row r="4" spans="2:13" x14ac:dyDescent="0.2">
      <c r="E4" t="s">
        <v>0</v>
      </c>
      <c r="F4" t="s">
        <v>18</v>
      </c>
      <c r="G4">
        <v>3000</v>
      </c>
      <c r="I4" t="s">
        <v>180</v>
      </c>
    </row>
    <row r="5" spans="2:13" x14ac:dyDescent="0.2">
      <c r="F5" t="s">
        <v>10</v>
      </c>
      <c r="G5">
        <f>G4/30</f>
        <v>100</v>
      </c>
      <c r="L5" t="s">
        <v>9</v>
      </c>
    </row>
    <row r="6" spans="2:13" x14ac:dyDescent="0.2">
      <c r="I6" t="s">
        <v>67</v>
      </c>
      <c r="L6" t="s">
        <v>16</v>
      </c>
    </row>
    <row r="7" spans="2:13" x14ac:dyDescent="0.2">
      <c r="E7" t="s">
        <v>1</v>
      </c>
      <c r="F7" t="s">
        <v>5</v>
      </c>
      <c r="G7" s="2">
        <f>'Emissions Sebastian 2020'!H12</f>
        <v>3.8966301445539084</v>
      </c>
      <c r="I7" t="s">
        <v>8</v>
      </c>
    </row>
    <row r="8" spans="2:13" x14ac:dyDescent="0.2">
      <c r="F8" t="s">
        <v>3</v>
      </c>
      <c r="G8">
        <f>G7*1000</f>
        <v>3896.6301445539084</v>
      </c>
      <c r="I8" t="s">
        <v>15</v>
      </c>
    </row>
    <row r="9" spans="2:13" x14ac:dyDescent="0.2">
      <c r="I9" t="s">
        <v>296</v>
      </c>
    </row>
    <row r="10" spans="2:13" x14ac:dyDescent="0.2">
      <c r="F10" t="s">
        <v>14</v>
      </c>
      <c r="G10">
        <v>66465</v>
      </c>
    </row>
    <row r="11" spans="2:13" x14ac:dyDescent="0.2">
      <c r="F11" t="s">
        <v>12</v>
      </c>
      <c r="G11" s="2">
        <f>G10/277778</f>
        <v>0.23927380858095312</v>
      </c>
      <c r="I11" t="s">
        <v>6</v>
      </c>
      <c r="M11" t="s">
        <v>7</v>
      </c>
    </row>
    <row r="12" spans="2:13" x14ac:dyDescent="0.2">
      <c r="F12" t="s">
        <v>13</v>
      </c>
      <c r="G12" s="2">
        <f>G11*G8</f>
        <v>932.36153531876357</v>
      </c>
    </row>
    <row r="13" spans="2:13" x14ac:dyDescent="0.2">
      <c r="J13" s="1"/>
    </row>
    <row r="14" spans="2:13" x14ac:dyDescent="0.2">
      <c r="E14" t="s">
        <v>2</v>
      </c>
      <c r="F14" t="s">
        <v>10</v>
      </c>
      <c r="G14" s="2">
        <f>G12+G5</f>
        <v>1032.3615353187636</v>
      </c>
    </row>
    <row r="15" spans="2:13" x14ac:dyDescent="0.2">
      <c r="F15" t="s">
        <v>11</v>
      </c>
      <c r="G15" s="2">
        <f>G14/1000</f>
        <v>1.0323615353187636</v>
      </c>
    </row>
    <row r="18" spans="2:19" x14ac:dyDescent="0.2">
      <c r="B18" s="5" t="s">
        <v>139</v>
      </c>
      <c r="C18" s="5"/>
      <c r="D18" s="5"/>
    </row>
    <row r="19" spans="2:19" x14ac:dyDescent="0.2">
      <c r="E19" t="s">
        <v>19</v>
      </c>
      <c r="F19" t="s">
        <v>20</v>
      </c>
      <c r="G19">
        <f>'Emissions Sebastian 2020'!H18*'Emissions Sebastian 2020'!H19*12+'Emissions Sebastian 2020'!H20*'Emissions Sebastian 2020'!H21*12+'Emissions Sebastian 2020'!H22*'Emissions Sebastian 2020'!H23+'Emissions Sebastian 2020'!H24*'Emissions Sebastian 2020'!H25*12</f>
        <v>384</v>
      </c>
      <c r="M19" t="s">
        <v>23</v>
      </c>
      <c r="S19" s="4" t="s">
        <v>29</v>
      </c>
    </row>
    <row r="20" spans="2:19" x14ac:dyDescent="0.2">
      <c r="F20" t="s">
        <v>22</v>
      </c>
      <c r="G20">
        <v>5.8000000000000003E-2</v>
      </c>
      <c r="N20" t="s">
        <v>33</v>
      </c>
      <c r="S20" t="s">
        <v>32</v>
      </c>
    </row>
    <row r="21" spans="2:19" x14ac:dyDescent="0.2">
      <c r="F21" t="s">
        <v>21</v>
      </c>
      <c r="G21">
        <f>G20*G19</f>
        <v>22.272000000000002</v>
      </c>
      <c r="N21" t="s">
        <v>192</v>
      </c>
      <c r="S21" t="s">
        <v>191</v>
      </c>
    </row>
    <row r="22" spans="2:19" x14ac:dyDescent="0.2">
      <c r="N22" t="s">
        <v>193</v>
      </c>
    </row>
    <row r="23" spans="2:19" x14ac:dyDescent="0.2">
      <c r="E23" t="s">
        <v>24</v>
      </c>
      <c r="F23" t="s">
        <v>30</v>
      </c>
      <c r="G23">
        <v>6541</v>
      </c>
    </row>
    <row r="24" spans="2:19" x14ac:dyDescent="0.2">
      <c r="F24" t="s">
        <v>22</v>
      </c>
      <c r="G24">
        <v>3.2000000000000001E-2</v>
      </c>
    </row>
    <row r="25" spans="2:19" x14ac:dyDescent="0.2">
      <c r="F25" t="s">
        <v>21</v>
      </c>
      <c r="G25">
        <f>G23*G24</f>
        <v>209.31200000000001</v>
      </c>
    </row>
    <row r="27" spans="2:19" x14ac:dyDescent="0.2">
      <c r="E27" t="s">
        <v>25</v>
      </c>
      <c r="F27" t="s">
        <v>34</v>
      </c>
      <c r="G27">
        <f>423</f>
        <v>423</v>
      </c>
    </row>
    <row r="28" spans="2:19" x14ac:dyDescent="0.2">
      <c r="F28" t="s">
        <v>22</v>
      </c>
      <c r="G28">
        <f>0.165+0.047+0.046</f>
        <v>0.25800000000000001</v>
      </c>
      <c r="H28" t="s">
        <v>197</v>
      </c>
    </row>
    <row r="29" spans="2:19" x14ac:dyDescent="0.2">
      <c r="F29" t="s">
        <v>21</v>
      </c>
      <c r="G29">
        <f>G27*G28</f>
        <v>109.134</v>
      </c>
    </row>
    <row r="31" spans="2:19" x14ac:dyDescent="0.2">
      <c r="E31" t="s">
        <v>27</v>
      </c>
      <c r="F31" t="s">
        <v>35</v>
      </c>
      <c r="G31">
        <f>66</f>
        <v>66</v>
      </c>
    </row>
    <row r="32" spans="2:19" x14ac:dyDescent="0.2">
      <c r="F32" t="s">
        <v>22</v>
      </c>
      <c r="G32">
        <f>0.165+0.047+0.046</f>
        <v>0.25800000000000001</v>
      </c>
    </row>
    <row r="33" spans="2:20" x14ac:dyDescent="0.2">
      <c r="F33" t="s">
        <v>21</v>
      </c>
      <c r="G33">
        <f>G31*G32</f>
        <v>17.027999999999999</v>
      </c>
    </row>
    <row r="35" spans="2:20" x14ac:dyDescent="0.2">
      <c r="E35" t="s">
        <v>31</v>
      </c>
      <c r="F35" s="3" t="s">
        <v>36</v>
      </c>
      <c r="G35">
        <v>0</v>
      </c>
    </row>
    <row r="36" spans="2:20" x14ac:dyDescent="0.2">
      <c r="F36" s="3" t="s">
        <v>22</v>
      </c>
      <c r="G36">
        <f>0.038+0.065+0.027</f>
        <v>0.13</v>
      </c>
    </row>
    <row r="37" spans="2:20" x14ac:dyDescent="0.2">
      <c r="F37" s="3" t="s">
        <v>21</v>
      </c>
      <c r="G37">
        <f>G35*G36</f>
        <v>0</v>
      </c>
    </row>
    <row r="39" spans="2:20" x14ac:dyDescent="0.2">
      <c r="E39" t="s">
        <v>26</v>
      </c>
      <c r="F39" s="3" t="s">
        <v>37</v>
      </c>
      <c r="G39">
        <v>136.80000000000001</v>
      </c>
    </row>
    <row r="41" spans="2:20" x14ac:dyDescent="0.2">
      <c r="F41" t="s">
        <v>28</v>
      </c>
      <c r="G41">
        <f>G21+G25+G29+G33+G39</f>
        <v>494.54600000000005</v>
      </c>
    </row>
    <row r="44" spans="2:20" x14ac:dyDescent="0.2">
      <c r="B44" s="5" t="s">
        <v>274</v>
      </c>
      <c r="C44" s="5"/>
      <c r="D44" s="5"/>
      <c r="E44" s="32" t="s">
        <v>40</v>
      </c>
      <c r="H44">
        <v>1690</v>
      </c>
      <c r="J44" t="s">
        <v>69</v>
      </c>
      <c r="Q44" t="s">
        <v>67</v>
      </c>
      <c r="R44" t="s">
        <v>75</v>
      </c>
      <c r="T44" t="s">
        <v>38</v>
      </c>
    </row>
    <row r="45" spans="2:20" x14ac:dyDescent="0.2">
      <c r="R45" s="4" t="s">
        <v>39</v>
      </c>
    </row>
    <row r="46" spans="2:20" x14ac:dyDescent="0.2">
      <c r="E46" t="s">
        <v>95</v>
      </c>
      <c r="H46" s="1">
        <f>H44*0.83</f>
        <v>1402.7</v>
      </c>
      <c r="J46" s="6" t="s">
        <v>265</v>
      </c>
      <c r="R46" t="s">
        <v>246</v>
      </c>
      <c r="T46" s="4" t="s">
        <v>68</v>
      </c>
    </row>
    <row r="47" spans="2:20" x14ac:dyDescent="0.2">
      <c r="R47" t="s">
        <v>74</v>
      </c>
      <c r="T47" s="4" t="s">
        <v>73</v>
      </c>
    </row>
    <row r="48" spans="2:20" x14ac:dyDescent="0.2">
      <c r="C48" s="5" t="s">
        <v>41</v>
      </c>
      <c r="D48" s="5" t="s">
        <v>96</v>
      </c>
      <c r="E48" s="5" t="s">
        <v>270</v>
      </c>
      <c r="F48" s="5" t="s">
        <v>372</v>
      </c>
      <c r="G48" s="5" t="s">
        <v>82</v>
      </c>
      <c r="H48" s="5" t="s">
        <v>97</v>
      </c>
      <c r="I48" s="5"/>
      <c r="J48" s="5" t="s">
        <v>53</v>
      </c>
      <c r="K48" s="5" t="s">
        <v>54</v>
      </c>
      <c r="L48" s="5" t="s">
        <v>55</v>
      </c>
      <c r="M48" s="5" t="s">
        <v>56</v>
      </c>
      <c r="N48" s="5" t="s">
        <v>57</v>
      </c>
      <c r="O48" s="5" t="s">
        <v>58</v>
      </c>
      <c r="P48" s="5" t="s">
        <v>59</v>
      </c>
      <c r="R48" t="s">
        <v>76</v>
      </c>
      <c r="S48" t="s">
        <v>81</v>
      </c>
      <c r="T48" s="4" t="s">
        <v>77</v>
      </c>
    </row>
    <row r="49" spans="3:21" x14ac:dyDescent="0.2">
      <c r="C49" s="5" t="s">
        <v>43</v>
      </c>
      <c r="D49" s="5"/>
      <c r="E49" s="5"/>
      <c r="J49" s="5" t="s">
        <v>52</v>
      </c>
      <c r="R49" t="s">
        <v>78</v>
      </c>
      <c r="S49" t="s">
        <v>79</v>
      </c>
      <c r="T49" t="s">
        <v>80</v>
      </c>
    </row>
    <row r="50" spans="3:21" x14ac:dyDescent="0.2">
      <c r="C50" t="s">
        <v>62</v>
      </c>
      <c r="D50">
        <f>SUM($J50:$P50)</f>
        <v>59.599999999999994</v>
      </c>
      <c r="E50">
        <v>0.86499999999999999</v>
      </c>
      <c r="F50">
        <f>D50*E50</f>
        <v>51.553999999999995</v>
      </c>
      <c r="J50">
        <v>16.3</v>
      </c>
      <c r="K50">
        <v>1.9</v>
      </c>
      <c r="L50">
        <v>39.4</v>
      </c>
      <c r="M50">
        <v>1.3</v>
      </c>
      <c r="N50">
        <v>0.3</v>
      </c>
      <c r="O50">
        <v>0.2</v>
      </c>
      <c r="P50">
        <v>0.2</v>
      </c>
      <c r="S50" t="s">
        <v>83</v>
      </c>
      <c r="U50" t="s">
        <v>84</v>
      </c>
    </row>
    <row r="51" spans="3:21" x14ac:dyDescent="0.2">
      <c r="C51" t="s">
        <v>63</v>
      </c>
      <c r="D51">
        <f>SUM($J51:$P51)</f>
        <v>21.099999999999998</v>
      </c>
      <c r="E51">
        <f t="shared" ref="E51:E62" si="0">E50</f>
        <v>0.86499999999999999</v>
      </c>
      <c r="F51">
        <f t="shared" ref="F51:F62" si="1">D51*E51</f>
        <v>18.251499999999997</v>
      </c>
      <c r="J51">
        <v>0.9</v>
      </c>
      <c r="K51">
        <v>2.5</v>
      </c>
      <c r="L51">
        <v>15.7</v>
      </c>
      <c r="M51">
        <v>1.1000000000000001</v>
      </c>
      <c r="N51">
        <v>0.4</v>
      </c>
      <c r="O51">
        <v>0.3</v>
      </c>
      <c r="P51">
        <v>0.2</v>
      </c>
      <c r="S51" t="s">
        <v>86</v>
      </c>
      <c r="T51" t="s">
        <v>87</v>
      </c>
      <c r="U51" t="s">
        <v>88</v>
      </c>
    </row>
    <row r="52" spans="3:21" x14ac:dyDescent="0.2">
      <c r="C52" t="s">
        <v>64</v>
      </c>
      <c r="D52">
        <f>0.5*D51+0.5*D50</f>
        <v>40.349999999999994</v>
      </c>
      <c r="E52">
        <f t="shared" si="0"/>
        <v>0.86499999999999999</v>
      </c>
      <c r="F52">
        <f t="shared" si="1"/>
        <v>34.902749999999997</v>
      </c>
      <c r="G52">
        <v>10</v>
      </c>
      <c r="H52" s="7">
        <f t="shared" ref="H52:H61" si="2">F52*G52*E52</f>
        <v>301.90878749999996</v>
      </c>
      <c r="J52">
        <f t="shared" ref="J52:P52" si="3">0.3*J51+0.7*J50</f>
        <v>11.68</v>
      </c>
      <c r="K52">
        <f t="shared" si="3"/>
        <v>2.08</v>
      </c>
      <c r="L52">
        <f t="shared" si="3"/>
        <v>32.29</v>
      </c>
      <c r="M52">
        <f t="shared" si="3"/>
        <v>1.24</v>
      </c>
      <c r="N52">
        <f t="shared" si="3"/>
        <v>0.32999999999999996</v>
      </c>
      <c r="O52">
        <f t="shared" si="3"/>
        <v>0.22999999999999998</v>
      </c>
      <c r="P52">
        <f t="shared" si="3"/>
        <v>0.19999999999999998</v>
      </c>
      <c r="S52" t="s">
        <v>89</v>
      </c>
      <c r="U52" t="s">
        <v>90</v>
      </c>
    </row>
    <row r="53" spans="3:21" x14ac:dyDescent="0.2">
      <c r="C53" t="s">
        <v>42</v>
      </c>
      <c r="D53">
        <f t="shared" ref="D53:D59" si="4">SUM($J53:$P53)</f>
        <v>24.5</v>
      </c>
      <c r="E53">
        <f t="shared" si="0"/>
        <v>0.86499999999999999</v>
      </c>
      <c r="F53">
        <f t="shared" si="1"/>
        <v>21.192499999999999</v>
      </c>
      <c r="G53">
        <v>0.6</v>
      </c>
      <c r="H53" s="7">
        <f t="shared" si="2"/>
        <v>10.9989075</v>
      </c>
      <c r="J53">
        <v>0.5</v>
      </c>
      <c r="K53">
        <v>2.4</v>
      </c>
      <c r="L53">
        <v>19.5</v>
      </c>
      <c r="M53">
        <v>1.1000000000000001</v>
      </c>
      <c r="N53">
        <v>0.5</v>
      </c>
      <c r="O53">
        <v>0.3</v>
      </c>
      <c r="P53">
        <v>0.2</v>
      </c>
      <c r="S53" t="s">
        <v>91</v>
      </c>
      <c r="U53" t="s">
        <v>92</v>
      </c>
    </row>
    <row r="54" spans="3:21" x14ac:dyDescent="0.2">
      <c r="C54" t="s">
        <v>44</v>
      </c>
      <c r="D54">
        <f t="shared" si="4"/>
        <v>21.2</v>
      </c>
      <c r="E54">
        <f t="shared" si="0"/>
        <v>0.86499999999999999</v>
      </c>
      <c r="F54">
        <f t="shared" si="1"/>
        <v>18.338000000000001</v>
      </c>
      <c r="G54">
        <v>25.1</v>
      </c>
      <c r="H54" s="7">
        <f t="shared" si="2"/>
        <v>398.14548700000006</v>
      </c>
      <c r="J54">
        <v>4.5</v>
      </c>
      <c r="K54">
        <v>2.2999999999999998</v>
      </c>
      <c r="L54">
        <v>13.1</v>
      </c>
      <c r="M54">
        <v>0.7</v>
      </c>
      <c r="N54">
        <v>0.1</v>
      </c>
      <c r="O54">
        <v>0.2</v>
      </c>
      <c r="P54">
        <v>0.3</v>
      </c>
      <c r="S54" s="5" t="s">
        <v>93</v>
      </c>
      <c r="U54" t="s">
        <v>94</v>
      </c>
    </row>
    <row r="55" spans="3:21" x14ac:dyDescent="0.2">
      <c r="C55" t="s">
        <v>65</v>
      </c>
      <c r="D55">
        <f t="shared" si="4"/>
        <v>7.2</v>
      </c>
      <c r="E55">
        <f t="shared" si="0"/>
        <v>0.86499999999999999</v>
      </c>
      <c r="F55">
        <f t="shared" si="1"/>
        <v>6.2279999999999998</v>
      </c>
      <c r="G55">
        <v>34.1</v>
      </c>
      <c r="H55" s="7">
        <f t="shared" si="2"/>
        <v>183.70420199999998</v>
      </c>
      <c r="J55">
        <v>1.5</v>
      </c>
      <c r="K55">
        <v>2.9</v>
      </c>
      <c r="L55">
        <v>1.7</v>
      </c>
      <c r="M55">
        <v>0.3</v>
      </c>
      <c r="N55">
        <v>0.3</v>
      </c>
      <c r="O55">
        <v>0.3</v>
      </c>
      <c r="P55">
        <v>0.2</v>
      </c>
    </row>
    <row r="56" spans="3:21" x14ac:dyDescent="0.2">
      <c r="C56" t="s">
        <v>66</v>
      </c>
      <c r="D56">
        <f t="shared" si="4"/>
        <v>6.1000000000000005</v>
      </c>
      <c r="E56">
        <f t="shared" si="0"/>
        <v>0.86499999999999999</v>
      </c>
      <c r="F56">
        <f t="shared" si="1"/>
        <v>5.2765000000000004</v>
      </c>
      <c r="G56">
        <v>13.8</v>
      </c>
      <c r="H56" s="7">
        <f t="shared" si="2"/>
        <v>62.985580500000005</v>
      </c>
      <c r="J56">
        <v>2.5</v>
      </c>
      <c r="K56">
        <v>1.8</v>
      </c>
      <c r="L56">
        <v>0.7</v>
      </c>
      <c r="M56">
        <v>0.4</v>
      </c>
      <c r="N56">
        <v>0.3</v>
      </c>
      <c r="O56">
        <v>0.2</v>
      </c>
      <c r="P56">
        <v>0.2</v>
      </c>
    </row>
    <row r="57" spans="3:21" x14ac:dyDescent="0.2">
      <c r="C57" t="s">
        <v>45</v>
      </c>
      <c r="D57">
        <f t="shared" si="4"/>
        <v>5</v>
      </c>
      <c r="E57">
        <f t="shared" si="0"/>
        <v>0.86499999999999999</v>
      </c>
      <c r="F57">
        <f t="shared" si="1"/>
        <v>4.3250000000000002</v>
      </c>
      <c r="G57">
        <v>13</v>
      </c>
      <c r="H57" s="7">
        <f t="shared" si="2"/>
        <v>48.634625</v>
      </c>
      <c r="J57">
        <v>0.5</v>
      </c>
      <c r="K57">
        <v>0.8</v>
      </c>
      <c r="L57">
        <v>3.6</v>
      </c>
      <c r="M57">
        <v>0</v>
      </c>
      <c r="N57">
        <v>0.1</v>
      </c>
      <c r="O57">
        <v>0</v>
      </c>
      <c r="P57">
        <v>0</v>
      </c>
    </row>
    <row r="58" spans="3:21" x14ac:dyDescent="0.2">
      <c r="C58" t="s">
        <v>46</v>
      </c>
      <c r="D58">
        <f t="shared" si="4"/>
        <v>2.8000000000000003</v>
      </c>
      <c r="E58">
        <f t="shared" si="0"/>
        <v>0.86499999999999999</v>
      </c>
      <c r="F58">
        <f t="shared" si="1"/>
        <v>2.4220000000000002</v>
      </c>
      <c r="G58">
        <v>49.6</v>
      </c>
      <c r="H58" s="7">
        <f t="shared" si="2"/>
        <v>103.913488</v>
      </c>
      <c r="J58">
        <v>0.5</v>
      </c>
      <c r="K58">
        <v>0.2</v>
      </c>
      <c r="L58">
        <v>1.5</v>
      </c>
      <c r="M58">
        <v>0.1</v>
      </c>
      <c r="N58">
        <v>0.1</v>
      </c>
      <c r="O58">
        <v>0.1</v>
      </c>
      <c r="P58">
        <v>0.3</v>
      </c>
    </row>
    <row r="59" spans="3:21" x14ac:dyDescent="0.2">
      <c r="C59" t="s">
        <v>47</v>
      </c>
      <c r="D59">
        <f t="shared" si="4"/>
        <v>12.75</v>
      </c>
      <c r="E59">
        <f t="shared" si="0"/>
        <v>0.86499999999999999</v>
      </c>
      <c r="F59">
        <f t="shared" si="1"/>
        <v>11.02875</v>
      </c>
      <c r="G59">
        <v>5.8</v>
      </c>
      <c r="H59" s="7">
        <f t="shared" si="2"/>
        <v>55.331238749999997</v>
      </c>
      <c r="K59">
        <v>11.68</v>
      </c>
      <c r="M59">
        <v>0.82</v>
      </c>
      <c r="N59">
        <v>0.1</v>
      </c>
      <c r="O59">
        <v>0.09</v>
      </c>
      <c r="P59">
        <v>0.06</v>
      </c>
    </row>
    <row r="60" spans="3:21" x14ac:dyDescent="0.2">
      <c r="C60" t="s">
        <v>70</v>
      </c>
      <c r="D60">
        <f>(D52+D55+D56)/3</f>
        <v>17.883333333333333</v>
      </c>
      <c r="E60">
        <f t="shared" si="0"/>
        <v>0.86499999999999999</v>
      </c>
      <c r="F60">
        <f t="shared" si="1"/>
        <v>15.469083333333332</v>
      </c>
      <c r="G60">
        <v>59.5</v>
      </c>
      <c r="H60" s="7">
        <f t="shared" si="2"/>
        <v>796.15504645833323</v>
      </c>
      <c r="J60">
        <f t="shared" ref="J60:P60" si="5">(J52+J55+J56)/3</f>
        <v>5.2266666666666666</v>
      </c>
      <c r="K60">
        <f t="shared" si="5"/>
        <v>2.2600000000000002</v>
      </c>
      <c r="L60">
        <f t="shared" si="5"/>
        <v>11.563333333333334</v>
      </c>
      <c r="M60">
        <f t="shared" si="5"/>
        <v>0.64666666666666661</v>
      </c>
      <c r="N60">
        <f t="shared" si="5"/>
        <v>0.31</v>
      </c>
      <c r="O60">
        <f t="shared" si="5"/>
        <v>0.24333333333333332</v>
      </c>
      <c r="P60">
        <f t="shared" si="5"/>
        <v>0.20000000000000004</v>
      </c>
    </row>
    <row r="61" spans="3:21" x14ac:dyDescent="0.2">
      <c r="C61" t="s">
        <v>85</v>
      </c>
      <c r="D61">
        <f>D55</f>
        <v>7.2</v>
      </c>
      <c r="E61">
        <f t="shared" si="0"/>
        <v>0.86499999999999999</v>
      </c>
      <c r="F61">
        <f t="shared" si="1"/>
        <v>6.2279999999999998</v>
      </c>
      <c r="G61">
        <f>G60/2</f>
        <v>29.75</v>
      </c>
      <c r="H61" s="7">
        <f t="shared" si="2"/>
        <v>160.26979499999999</v>
      </c>
    </row>
    <row r="62" spans="3:21" x14ac:dyDescent="0.2">
      <c r="C62" t="s">
        <v>371</v>
      </c>
      <c r="D62">
        <f>(D52*G52+D55*(G55-G61)+D56*G56)/(G52+(G55-G61)+G56)</f>
        <v>18.436944937833037</v>
      </c>
      <c r="E62">
        <f t="shared" si="0"/>
        <v>0.86499999999999999</v>
      </c>
      <c r="F62">
        <f t="shared" si="1"/>
        <v>15.947957371225577</v>
      </c>
      <c r="G62">
        <f>G60/2</f>
        <v>29.75</v>
      </c>
      <c r="I62">
        <f>1-G61/G60</f>
        <v>0.5</v>
      </c>
    </row>
    <row r="64" spans="3:21" x14ac:dyDescent="0.2">
      <c r="C64" t="s">
        <v>264</v>
      </c>
      <c r="H64" s="1">
        <f>H60+H59+H58+H57+H54</f>
        <v>1402.1798852083334</v>
      </c>
    </row>
    <row r="67" spans="2:16" x14ac:dyDescent="0.2">
      <c r="C67" s="5" t="s">
        <v>48</v>
      </c>
      <c r="D67" s="5"/>
      <c r="E67" s="5"/>
    </row>
    <row r="68" spans="2:16" x14ac:dyDescent="0.2">
      <c r="C68" t="s">
        <v>49</v>
      </c>
      <c r="F68">
        <f>F60*0.1</f>
        <v>1.5469083333333333</v>
      </c>
    </row>
    <row r="69" spans="2:16" x14ac:dyDescent="0.2">
      <c r="C69" t="s">
        <v>50</v>
      </c>
      <c r="F69">
        <f>SUM(K69:P69)</f>
        <v>3.3592000000000004</v>
      </c>
      <c r="K69">
        <f>0.22*8.84</f>
        <v>1.9448000000000001</v>
      </c>
      <c r="L69">
        <v>0</v>
      </c>
      <c r="M69">
        <f>0.05*8.84</f>
        <v>0.442</v>
      </c>
      <c r="N69">
        <f>0.02*8.84</f>
        <v>0.17680000000000001</v>
      </c>
      <c r="O69">
        <f>0.01*8.84</f>
        <v>8.8400000000000006E-2</v>
      </c>
      <c r="P69">
        <f>0.08*8.84</f>
        <v>0.70720000000000005</v>
      </c>
    </row>
    <row r="70" spans="2:16" x14ac:dyDescent="0.2">
      <c r="C70" t="s">
        <v>72</v>
      </c>
      <c r="F70">
        <v>2.96</v>
      </c>
      <c r="K70">
        <v>2.3199999999999998</v>
      </c>
      <c r="L70">
        <v>0</v>
      </c>
      <c r="M70">
        <v>0.05</v>
      </c>
      <c r="N70">
        <v>0.25</v>
      </c>
      <c r="O70">
        <v>7.0000000000000007E-2</v>
      </c>
      <c r="P70">
        <v>0.27</v>
      </c>
    </row>
    <row r="71" spans="2:16" x14ac:dyDescent="0.2">
      <c r="C71" t="s">
        <v>51</v>
      </c>
      <c r="F71">
        <f>SUM(J71:P71)</f>
        <v>1</v>
      </c>
      <c r="J71">
        <v>0.2</v>
      </c>
      <c r="K71">
        <v>0</v>
      </c>
      <c r="L71">
        <v>0.1</v>
      </c>
      <c r="M71">
        <v>0.2</v>
      </c>
      <c r="N71">
        <v>0.1</v>
      </c>
      <c r="O71">
        <v>0.1</v>
      </c>
      <c r="P71">
        <v>0.3</v>
      </c>
    </row>
    <row r="72" spans="2:16" x14ac:dyDescent="0.2">
      <c r="C72" t="s">
        <v>61</v>
      </c>
      <c r="F72">
        <f>SUM(J72:P72)</f>
        <v>3</v>
      </c>
      <c r="J72">
        <v>1</v>
      </c>
      <c r="K72">
        <v>0</v>
      </c>
      <c r="L72">
        <v>0.5</v>
      </c>
      <c r="M72">
        <v>0.8</v>
      </c>
      <c r="N72">
        <v>0.2</v>
      </c>
      <c r="O72">
        <v>0.2</v>
      </c>
      <c r="P72">
        <v>0.3</v>
      </c>
    </row>
    <row r="73" spans="2:16" x14ac:dyDescent="0.2">
      <c r="C73" t="s">
        <v>71</v>
      </c>
      <c r="F73">
        <v>1</v>
      </c>
    </row>
    <row r="75" spans="2:16" x14ac:dyDescent="0.2">
      <c r="E75" t="s">
        <v>271</v>
      </c>
    </row>
    <row r="78" spans="2:16" x14ac:dyDescent="0.2">
      <c r="B78" s="5" t="s">
        <v>275</v>
      </c>
    </row>
    <row r="81" spans="3:12" x14ac:dyDescent="0.2">
      <c r="C81" s="32" t="s">
        <v>60</v>
      </c>
    </row>
    <row r="82" spans="3:12" x14ac:dyDescent="0.2">
      <c r="C82" t="s">
        <v>103</v>
      </c>
    </row>
    <row r="83" spans="3:12" x14ac:dyDescent="0.2">
      <c r="C83" t="s">
        <v>104</v>
      </c>
      <c r="D83" t="s">
        <v>105</v>
      </c>
      <c r="E83" s="8" t="s">
        <v>108</v>
      </c>
      <c r="I83" t="s">
        <v>109</v>
      </c>
    </row>
    <row r="84" spans="3:12" x14ac:dyDescent="0.2">
      <c r="C84" t="s">
        <v>106</v>
      </c>
      <c r="D84" t="s">
        <v>107</v>
      </c>
      <c r="I84" t="s">
        <v>117</v>
      </c>
    </row>
    <row r="85" spans="3:12" x14ac:dyDescent="0.2">
      <c r="C85" t="s">
        <v>2</v>
      </c>
      <c r="D85">
        <f>1.36+0.73</f>
        <v>2.09</v>
      </c>
      <c r="I85" t="s">
        <v>121</v>
      </c>
    </row>
    <row r="86" spans="3:12" x14ac:dyDescent="0.2">
      <c r="I86" t="s">
        <v>283</v>
      </c>
    </row>
    <row r="87" spans="3:12" x14ac:dyDescent="0.2">
      <c r="C87" s="5" t="s">
        <v>282</v>
      </c>
      <c r="D87">
        <v>3.79</v>
      </c>
    </row>
    <row r="90" spans="3:12" x14ac:dyDescent="0.2">
      <c r="I90" t="s">
        <v>122</v>
      </c>
    </row>
    <row r="91" spans="3:12" x14ac:dyDescent="0.2">
      <c r="K91" t="s">
        <v>116</v>
      </c>
      <c r="L91" t="s">
        <v>4</v>
      </c>
    </row>
    <row r="92" spans="3:12" x14ac:dyDescent="0.2">
      <c r="I92" t="s">
        <v>110</v>
      </c>
      <c r="K92">
        <v>1.1100000000000001</v>
      </c>
      <c r="L92" s="9">
        <f t="shared" ref="L92:L98" si="6">K92/$K$99*100</f>
        <v>17.563291139240508</v>
      </c>
    </row>
    <row r="93" spans="3:12" x14ac:dyDescent="0.2">
      <c r="I93" t="s">
        <v>111</v>
      </c>
      <c r="K93">
        <v>0.4</v>
      </c>
      <c r="L93" s="9">
        <f t="shared" si="6"/>
        <v>6.3291139240506329</v>
      </c>
    </row>
    <row r="94" spans="3:12" x14ac:dyDescent="0.2">
      <c r="C94" t="s">
        <v>99</v>
      </c>
      <c r="I94" t="s">
        <v>112</v>
      </c>
      <c r="K94">
        <v>0.77</v>
      </c>
      <c r="L94" s="9">
        <f t="shared" si="6"/>
        <v>12.183544303797468</v>
      </c>
    </row>
    <row r="95" spans="3:12" x14ac:dyDescent="0.2">
      <c r="I95" t="s">
        <v>98</v>
      </c>
      <c r="K95">
        <v>0.66</v>
      </c>
      <c r="L95" s="9">
        <f t="shared" si="6"/>
        <v>10.443037974683545</v>
      </c>
    </row>
    <row r="96" spans="3:12" x14ac:dyDescent="0.2">
      <c r="I96" t="s">
        <v>113</v>
      </c>
      <c r="K96">
        <v>0.67</v>
      </c>
      <c r="L96" s="9">
        <f t="shared" si="6"/>
        <v>10.601265822784809</v>
      </c>
    </row>
    <row r="97" spans="2:12" x14ac:dyDescent="0.2">
      <c r="C97" t="s">
        <v>100</v>
      </c>
      <c r="I97" t="s">
        <v>114</v>
      </c>
      <c r="K97">
        <v>0.17</v>
      </c>
      <c r="L97" s="9">
        <f t="shared" si="6"/>
        <v>2.6898734177215191</v>
      </c>
    </row>
    <row r="98" spans="2:12" x14ac:dyDescent="0.2">
      <c r="C98" t="s">
        <v>101</v>
      </c>
      <c r="D98" t="s">
        <v>102</v>
      </c>
      <c r="E98" t="s">
        <v>120</v>
      </c>
      <c r="I98" t="s">
        <v>115</v>
      </c>
      <c r="K98">
        <v>2.54</v>
      </c>
      <c r="L98" s="9">
        <f t="shared" si="6"/>
        <v>40.189873417721515</v>
      </c>
    </row>
    <row r="99" spans="2:12" x14ac:dyDescent="0.2">
      <c r="C99" t="s">
        <v>118</v>
      </c>
      <c r="D99" s="2">
        <f t="shared" ref="D99:D105" si="7">L92/100</f>
        <v>0.17563291139240508</v>
      </c>
      <c r="E99" s="2">
        <f>$D$87*D99</f>
        <v>0.66564873417721526</v>
      </c>
      <c r="K99">
        <f>SUM(K92:K98)</f>
        <v>6.32</v>
      </c>
    </row>
    <row r="100" spans="2:12" x14ac:dyDescent="0.2">
      <c r="C100" t="s">
        <v>111</v>
      </c>
      <c r="D100" s="2">
        <f t="shared" si="7"/>
        <v>6.3291139240506333E-2</v>
      </c>
      <c r="E100" s="2">
        <f t="shared" ref="E100:E105" si="8">$D$87*D100</f>
        <v>0.23987341772151902</v>
      </c>
    </row>
    <row r="101" spans="2:12" x14ac:dyDescent="0.2">
      <c r="C101" t="s">
        <v>112</v>
      </c>
      <c r="D101" s="2">
        <f t="shared" si="7"/>
        <v>0.12183544303797468</v>
      </c>
      <c r="E101" s="2">
        <f t="shared" si="8"/>
        <v>0.46175632911392406</v>
      </c>
    </row>
    <row r="102" spans="2:12" x14ac:dyDescent="0.2">
      <c r="C102" t="s">
        <v>98</v>
      </c>
      <c r="D102" s="2">
        <f t="shared" si="7"/>
        <v>0.10443037974683544</v>
      </c>
      <c r="E102" s="2">
        <f t="shared" si="8"/>
        <v>0.39579113924050635</v>
      </c>
    </row>
    <row r="103" spans="2:12" x14ac:dyDescent="0.2">
      <c r="C103" t="s">
        <v>113</v>
      </c>
      <c r="D103" s="2">
        <f t="shared" si="7"/>
        <v>0.10601265822784808</v>
      </c>
      <c r="E103" s="2">
        <f t="shared" si="8"/>
        <v>0.40178797468354421</v>
      </c>
    </row>
    <row r="104" spans="2:12" x14ac:dyDescent="0.2">
      <c r="C104" t="s">
        <v>119</v>
      </c>
      <c r="D104" s="2">
        <f t="shared" si="7"/>
        <v>2.6898734177215191E-2</v>
      </c>
      <c r="E104" s="2">
        <f t="shared" si="8"/>
        <v>0.10194620253164557</v>
      </c>
    </row>
    <row r="105" spans="2:12" x14ac:dyDescent="0.2">
      <c r="C105" t="s">
        <v>115</v>
      </c>
      <c r="D105" s="2">
        <f t="shared" si="7"/>
        <v>0.40189873417721517</v>
      </c>
      <c r="E105" s="2">
        <f t="shared" si="8"/>
        <v>1.5231962025316454</v>
      </c>
    </row>
    <row r="106" spans="2:12" x14ac:dyDescent="0.2">
      <c r="C106" s="123" t="s">
        <v>280</v>
      </c>
      <c r="D106" s="124">
        <f>SUM(D99:D105)</f>
        <v>1</v>
      </c>
      <c r="E106" s="125">
        <f>SUM(E99:E105)</f>
        <v>3.79</v>
      </c>
    </row>
    <row r="109" spans="2:12" x14ac:dyDescent="0.2">
      <c r="B109" s="5" t="s">
        <v>281</v>
      </c>
    </row>
    <row r="110" spans="2:12" x14ac:dyDescent="0.2">
      <c r="C110" t="s">
        <v>284</v>
      </c>
      <c r="F110">
        <v>11.17</v>
      </c>
      <c r="G110" s="6" t="s">
        <v>382</v>
      </c>
    </row>
    <row r="111" spans="2:12" x14ac:dyDescent="0.2">
      <c r="C111" t="s">
        <v>123</v>
      </c>
      <c r="F111">
        <v>0.86</v>
      </c>
    </row>
    <row r="112" spans="2:12" x14ac:dyDescent="0.2">
      <c r="C112" t="s">
        <v>289</v>
      </c>
      <c r="F112">
        <v>2.74</v>
      </c>
    </row>
    <row r="113" spans="2:14" x14ac:dyDescent="0.2">
      <c r="C113" t="s">
        <v>139</v>
      </c>
      <c r="F113">
        <v>2.09</v>
      </c>
    </row>
    <row r="114" spans="2:14" x14ac:dyDescent="0.2">
      <c r="C114" t="s">
        <v>172</v>
      </c>
      <c r="F114">
        <v>1.69</v>
      </c>
    </row>
    <row r="115" spans="2:14" x14ac:dyDescent="0.2">
      <c r="C115" t="s">
        <v>275</v>
      </c>
      <c r="F115">
        <v>3.79</v>
      </c>
    </row>
    <row r="116" spans="2:14" x14ac:dyDescent="0.2">
      <c r="F116">
        <f>SUM(F111:F115)</f>
        <v>11.169999999999998</v>
      </c>
    </row>
    <row r="118" spans="2:14" x14ac:dyDescent="0.2">
      <c r="B118" s="5" t="s">
        <v>292</v>
      </c>
    </row>
    <row r="119" spans="2:14" x14ac:dyDescent="0.2">
      <c r="C119" t="s">
        <v>293</v>
      </c>
      <c r="F119">
        <v>2.04</v>
      </c>
    </row>
    <row r="120" spans="2:14" x14ac:dyDescent="0.2">
      <c r="C120" t="s">
        <v>17</v>
      </c>
      <c r="F120">
        <v>0.7</v>
      </c>
    </row>
    <row r="123" spans="2:14" x14ac:dyDescent="0.2">
      <c r="B123" s="5" t="s">
        <v>297</v>
      </c>
      <c r="I123" t="s">
        <v>301</v>
      </c>
      <c r="J123" t="s">
        <v>4</v>
      </c>
      <c r="M123" t="s">
        <v>302</v>
      </c>
      <c r="N123" s="4" t="s">
        <v>303</v>
      </c>
    </row>
    <row r="124" spans="2:14" x14ac:dyDescent="0.2">
      <c r="C124" t="s">
        <v>298</v>
      </c>
      <c r="F124" s="152">
        <f>$F$113*J124</f>
        <v>1.3375999999999999</v>
      </c>
      <c r="H124" t="s">
        <v>298</v>
      </c>
      <c r="I124">
        <v>1.6</v>
      </c>
      <c r="J124">
        <f>I124/$I$128</f>
        <v>0.64</v>
      </c>
    </row>
    <row r="125" spans="2:14" x14ac:dyDescent="0.2">
      <c r="C125" t="s">
        <v>299</v>
      </c>
      <c r="F125" s="152">
        <f t="shared" ref="F125:F127" si="9">$F$113*J125</f>
        <v>0.12539999999999998</v>
      </c>
      <c r="H125" t="s">
        <v>299</v>
      </c>
      <c r="I125">
        <v>0.15</v>
      </c>
      <c r="J125">
        <f>I125/$I$128</f>
        <v>0.06</v>
      </c>
    </row>
    <row r="126" spans="2:14" x14ac:dyDescent="0.2">
      <c r="C126" t="s">
        <v>26</v>
      </c>
      <c r="F126" s="152">
        <f t="shared" si="9"/>
        <v>0.54339999999999999</v>
      </c>
      <c r="H126" t="s">
        <v>26</v>
      </c>
      <c r="I126">
        <v>0.65</v>
      </c>
      <c r="J126">
        <f>I126/$I$128</f>
        <v>0.26</v>
      </c>
    </row>
    <row r="127" spans="2:14" x14ac:dyDescent="0.2">
      <c r="C127" t="s">
        <v>300</v>
      </c>
      <c r="F127" s="152">
        <f t="shared" si="9"/>
        <v>8.3599999999999994E-2</v>
      </c>
      <c r="H127" t="s">
        <v>300</v>
      </c>
      <c r="I127">
        <v>0.1</v>
      </c>
      <c r="J127">
        <f>I127/$I$128</f>
        <v>0.04</v>
      </c>
    </row>
    <row r="128" spans="2:14" x14ac:dyDescent="0.2">
      <c r="H128" t="s">
        <v>279</v>
      </c>
      <c r="I128">
        <f>SUM(I124:I127)</f>
        <v>2.5</v>
      </c>
      <c r="J128">
        <f>I128/$I$128</f>
        <v>1</v>
      </c>
    </row>
    <row r="130" spans="2:6" x14ac:dyDescent="0.2">
      <c r="B130" s="5" t="s">
        <v>172</v>
      </c>
    </row>
    <row r="131" spans="2:6" x14ac:dyDescent="0.2">
      <c r="C131" s="3" t="s">
        <v>305</v>
      </c>
      <c r="F131" s="7">
        <f>H61</f>
        <v>160.26979499999999</v>
      </c>
    </row>
    <row r="132" spans="2:6" x14ac:dyDescent="0.2">
      <c r="C132" s="3" t="s">
        <v>306</v>
      </c>
      <c r="F132" s="7">
        <f>H60-H61</f>
        <v>635.88525145833319</v>
      </c>
    </row>
    <row r="133" spans="2:6" x14ac:dyDescent="0.2">
      <c r="C133" s="3" t="s">
        <v>307</v>
      </c>
      <c r="F133" s="7">
        <f>H54</f>
        <v>398.14548700000006</v>
      </c>
    </row>
    <row r="134" spans="2:6" x14ac:dyDescent="0.2">
      <c r="C134" s="3" t="s">
        <v>316</v>
      </c>
      <c r="F134" s="7">
        <f>H58</f>
        <v>103.913488</v>
      </c>
    </row>
    <row r="135" spans="2:6" x14ac:dyDescent="0.2">
      <c r="C135" s="3" t="s">
        <v>47</v>
      </c>
      <c r="F135" s="7">
        <f>H59</f>
        <v>55.331238749999997</v>
      </c>
    </row>
    <row r="136" spans="2:6" x14ac:dyDescent="0.2">
      <c r="C136" s="3" t="s">
        <v>308</v>
      </c>
      <c r="F136" s="1">
        <f>H44-H46</f>
        <v>287.29999999999995</v>
      </c>
    </row>
    <row r="138" spans="2:6" x14ac:dyDescent="0.2">
      <c r="B138" s="5" t="s">
        <v>227</v>
      </c>
    </row>
    <row r="139" spans="2:6" x14ac:dyDescent="0.2">
      <c r="C139" t="s">
        <v>309</v>
      </c>
      <c r="F139" s="2">
        <f>E99</f>
        <v>0.66564873417721526</v>
      </c>
    </row>
    <row r="140" spans="2:6" x14ac:dyDescent="0.2">
      <c r="C140" t="s">
        <v>310</v>
      </c>
      <c r="F140" s="2">
        <f t="shared" ref="F140:F145" si="10">E100</f>
        <v>0.23987341772151902</v>
      </c>
    </row>
    <row r="141" spans="2:6" x14ac:dyDescent="0.2">
      <c r="C141" t="s">
        <v>311</v>
      </c>
      <c r="F141" s="2">
        <f t="shared" si="10"/>
        <v>0.46175632911392406</v>
      </c>
    </row>
    <row r="142" spans="2:6" x14ac:dyDescent="0.2">
      <c r="C142" t="s">
        <v>312</v>
      </c>
      <c r="F142" s="2">
        <f t="shared" si="10"/>
        <v>0.39579113924050635</v>
      </c>
    </row>
    <row r="143" spans="2:6" x14ac:dyDescent="0.2">
      <c r="C143" t="s">
        <v>313</v>
      </c>
      <c r="F143" s="2">
        <f t="shared" si="10"/>
        <v>0.40178797468354421</v>
      </c>
    </row>
    <row r="144" spans="2:6" x14ac:dyDescent="0.2">
      <c r="C144" t="s">
        <v>314</v>
      </c>
      <c r="F144" s="2">
        <f t="shared" si="10"/>
        <v>0.10194620253164557</v>
      </c>
    </row>
    <row r="145" spans="3:6" x14ac:dyDescent="0.2">
      <c r="C145" t="s">
        <v>315</v>
      </c>
      <c r="F145" s="2">
        <f t="shared" si="10"/>
        <v>1.5231962025316454</v>
      </c>
    </row>
  </sheetData>
  <hyperlinks>
    <hyperlink ref="S19" r:id="rId1" xr:uid="{A33D002E-6279-AD4D-84EF-0CEB90FC8D8F}"/>
    <hyperlink ref="R45" r:id="rId2" location="the-carbon-footprint-of-eu-diets-where-do-emissions-come-from" xr:uid="{711A4BE6-9C1B-B845-BFAC-F9E405D71FF4}"/>
    <hyperlink ref="T47" r:id="rId3" xr:uid="{85A8497E-F6A3-6442-9F8B-4183148AF3F1}"/>
    <hyperlink ref="T46" r:id="rId4" xr:uid="{3777411B-A723-6C47-9DAE-7EB17F7833C0}"/>
    <hyperlink ref="N123" r:id="rId5" xr:uid="{D27CF7F8-2745-084D-8789-EAF4138BECD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Emissions Sebastian 2020</vt:lpstr>
      <vt:lpstr>Hintergrund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Levi</dc:creator>
  <cp:lastModifiedBy>Sebastian Levi</cp:lastModifiedBy>
  <dcterms:created xsi:type="dcterms:W3CDTF">2020-11-18T18:14:00Z</dcterms:created>
  <dcterms:modified xsi:type="dcterms:W3CDTF">2021-02-23T11:17:21Z</dcterms:modified>
</cp:coreProperties>
</file>