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"/>
    </mc:Choice>
  </mc:AlternateContent>
  <xr:revisionPtr revIDLastSave="0" documentId="13_ncr:1_{4D287E2F-5D88-4567-81EB-464F7E9F93E9}" xr6:coauthVersionLast="47" xr6:coauthVersionMax="47" xr10:uidLastSave="{00000000-0000-0000-0000-000000000000}"/>
  <bookViews>
    <workbookView xWindow="-28920" yWindow="-2850" windowWidth="29040" windowHeight="15720" activeTab="1" xr2:uid="{5A543754-10BD-46A1-BB7E-1555BE2268B4}"/>
  </bookViews>
  <sheets>
    <sheet name="TL_Geometry" sheetId="1" r:id="rId1"/>
    <sheet name="Neighboring" sheetId="5" r:id="rId2"/>
    <sheet name="Sour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1" l="1"/>
  <c r="AT59" i="1"/>
  <c r="AT58" i="1"/>
  <c r="V58" i="1" s="1"/>
  <c r="AT57" i="1"/>
  <c r="V57" i="1" s="1"/>
  <c r="O57" i="1"/>
  <c r="AK57" i="1" s="1"/>
  <c r="S57" i="1"/>
  <c r="T57" i="1"/>
  <c r="U57" i="1"/>
  <c r="W57" i="1"/>
  <c r="X57" i="1"/>
  <c r="Y57" i="1"/>
  <c r="AC57" i="1"/>
  <c r="AD57" i="1"/>
  <c r="AE57" i="1"/>
  <c r="O58" i="1"/>
  <c r="Z58" i="1" s="1"/>
  <c r="Q58" i="1"/>
  <c r="S58" i="1"/>
  <c r="T58" i="1"/>
  <c r="U58" i="1"/>
  <c r="W58" i="1"/>
  <c r="X58" i="1"/>
  <c r="Y58" i="1"/>
  <c r="AC58" i="1"/>
  <c r="AD58" i="1"/>
  <c r="AE58" i="1"/>
  <c r="O59" i="1"/>
  <c r="AB59" i="1" s="1"/>
  <c r="S59" i="1"/>
  <c r="T59" i="1"/>
  <c r="U59" i="1"/>
  <c r="V59" i="1"/>
  <c r="W59" i="1"/>
  <c r="X59" i="1"/>
  <c r="Y59" i="1"/>
  <c r="Z59" i="1"/>
  <c r="AC59" i="1"/>
  <c r="AD59" i="1"/>
  <c r="AE59" i="1"/>
  <c r="O60" i="1"/>
  <c r="Q60" i="1" s="1"/>
  <c r="S60" i="1"/>
  <c r="T60" i="1"/>
  <c r="U60" i="1"/>
  <c r="V60" i="1"/>
  <c r="W60" i="1"/>
  <c r="X60" i="1"/>
  <c r="Y60" i="1"/>
  <c r="AC60" i="1"/>
  <c r="AD60" i="1"/>
  <c r="AE60" i="1"/>
  <c r="O61" i="1"/>
  <c r="AK61" i="1" s="1"/>
  <c r="S61" i="1"/>
  <c r="T61" i="1"/>
  <c r="U61" i="1"/>
  <c r="V61" i="1"/>
  <c r="W61" i="1"/>
  <c r="X61" i="1"/>
  <c r="Y61" i="1"/>
  <c r="AC61" i="1"/>
  <c r="AD61" i="1"/>
  <c r="AE61" i="1"/>
  <c r="O62" i="1"/>
  <c r="Z62" i="1" s="1"/>
  <c r="S62" i="1"/>
  <c r="T62" i="1"/>
  <c r="U62" i="1"/>
  <c r="V62" i="1"/>
  <c r="W62" i="1"/>
  <c r="X62" i="1"/>
  <c r="Y62" i="1"/>
  <c r="AC62" i="1"/>
  <c r="AD62" i="1"/>
  <c r="AE62" i="1"/>
  <c r="O63" i="1"/>
  <c r="Z63" i="1" s="1"/>
  <c r="P63" i="1"/>
  <c r="Q63" i="1"/>
  <c r="R63" i="1"/>
  <c r="S63" i="1"/>
  <c r="T63" i="1"/>
  <c r="U63" i="1"/>
  <c r="V63" i="1"/>
  <c r="W63" i="1"/>
  <c r="X63" i="1"/>
  <c r="Y63" i="1"/>
  <c r="AC63" i="1"/>
  <c r="AD63" i="1"/>
  <c r="AE63" i="1"/>
  <c r="O64" i="1"/>
  <c r="Z64" i="1" s="1"/>
  <c r="S64" i="1"/>
  <c r="T64" i="1"/>
  <c r="U64" i="1"/>
  <c r="V64" i="1"/>
  <c r="W64" i="1"/>
  <c r="X64" i="1"/>
  <c r="Y64" i="1"/>
  <c r="AC64" i="1"/>
  <c r="AD64" i="1"/>
  <c r="AE64" i="1"/>
  <c r="AX56" i="1"/>
  <c r="X56" i="1" s="1"/>
  <c r="AT56" i="1"/>
  <c r="V56" i="1" s="1"/>
  <c r="AX55" i="1"/>
  <c r="AT55" i="1"/>
  <c r="V55" i="1" s="1"/>
  <c r="AX54" i="1"/>
  <c r="X54" i="1" s="1"/>
  <c r="AT54" i="1"/>
  <c r="AI54" i="1"/>
  <c r="Q54" i="1" s="1"/>
  <c r="AX53" i="1"/>
  <c r="X53" i="1" s="1"/>
  <c r="AT53" i="1"/>
  <c r="V53" i="1" s="1"/>
  <c r="AO53" i="1"/>
  <c r="T53" i="1" s="1"/>
  <c r="AX52" i="1"/>
  <c r="X52" i="1" s="1"/>
  <c r="AT52" i="1"/>
  <c r="AJ51" i="1"/>
  <c r="AI51" i="1"/>
  <c r="AK51" i="1"/>
  <c r="AG51" i="1"/>
  <c r="S51" i="1"/>
  <c r="T51" i="1"/>
  <c r="U51" i="1"/>
  <c r="V51" i="1"/>
  <c r="W51" i="1"/>
  <c r="X51" i="1"/>
  <c r="Y51" i="1"/>
  <c r="AC51" i="1"/>
  <c r="AD51" i="1"/>
  <c r="AE51" i="1"/>
  <c r="Q52" i="1"/>
  <c r="S52" i="1"/>
  <c r="T52" i="1"/>
  <c r="U52" i="1"/>
  <c r="V52" i="1"/>
  <c r="W52" i="1"/>
  <c r="Y52" i="1"/>
  <c r="AC52" i="1"/>
  <c r="AD52" i="1"/>
  <c r="AE52" i="1"/>
  <c r="S53" i="1"/>
  <c r="U53" i="1"/>
  <c r="W53" i="1"/>
  <c r="Y53" i="1"/>
  <c r="AC53" i="1"/>
  <c r="AD53" i="1"/>
  <c r="AE53" i="1"/>
  <c r="S54" i="1"/>
  <c r="T54" i="1"/>
  <c r="U54" i="1"/>
  <c r="V54" i="1"/>
  <c r="W54" i="1"/>
  <c r="Y54" i="1"/>
  <c r="AC54" i="1"/>
  <c r="AD54" i="1"/>
  <c r="AE54" i="1"/>
  <c r="S55" i="1"/>
  <c r="T55" i="1"/>
  <c r="U55" i="1"/>
  <c r="W55" i="1"/>
  <c r="X55" i="1"/>
  <c r="Y55" i="1"/>
  <c r="AC55" i="1"/>
  <c r="AD55" i="1"/>
  <c r="AE55" i="1"/>
  <c r="S56" i="1"/>
  <c r="T56" i="1"/>
  <c r="U56" i="1"/>
  <c r="W56" i="1"/>
  <c r="Y56" i="1"/>
  <c r="AC56" i="1"/>
  <c r="AD56" i="1"/>
  <c r="AE56" i="1"/>
  <c r="AT50" i="1"/>
  <c r="V50" i="1" s="1"/>
  <c r="AK50" i="1"/>
  <c r="AI50" i="1"/>
  <c r="O51" i="1"/>
  <c r="Z51" i="1" s="1"/>
  <c r="O52" i="1"/>
  <c r="AA52" i="1" s="1"/>
  <c r="O53" i="1"/>
  <c r="BG53" i="1" s="1"/>
  <c r="AB53" i="1" s="1"/>
  <c r="O54" i="1"/>
  <c r="AK54" i="1" s="1"/>
  <c r="R54" i="1" s="1"/>
  <c r="O55" i="1"/>
  <c r="AA55" i="1" s="1"/>
  <c r="O56" i="1"/>
  <c r="AK56" i="1" s="1"/>
  <c r="R56" i="1" s="1"/>
  <c r="AT49" i="1"/>
  <c r="V49" i="1" s="1"/>
  <c r="BM48" i="1"/>
  <c r="BC48" i="1"/>
  <c r="AT48" i="1"/>
  <c r="V48" i="1" s="1"/>
  <c r="AO48" i="1"/>
  <c r="T48" i="1" s="1"/>
  <c r="AG48" i="1"/>
  <c r="BM47" i="1"/>
  <c r="AE47" i="1" s="1"/>
  <c r="BC47" i="1"/>
  <c r="AT47" i="1"/>
  <c r="V47" i="1" s="1"/>
  <c r="AO47" i="1"/>
  <c r="T47" i="1" s="1"/>
  <c r="AG47" i="1"/>
  <c r="BE46" i="1"/>
  <c r="BC46" i="1"/>
  <c r="AT46" i="1"/>
  <c r="V46" i="1" s="1"/>
  <c r="AK46" i="1"/>
  <c r="AI46" i="1"/>
  <c r="AT45" i="1"/>
  <c r="V45" i="1" s="1"/>
  <c r="AT44" i="1"/>
  <c r="V44" i="1" s="1"/>
  <c r="AT43" i="1"/>
  <c r="V43" i="1" s="1"/>
  <c r="AT42" i="1"/>
  <c r="V42" i="1" s="1"/>
  <c r="AT41" i="1"/>
  <c r="V41" i="1" s="1"/>
  <c r="AT40" i="1"/>
  <c r="V40" i="1" s="1"/>
  <c r="AT39" i="1"/>
  <c r="V39" i="1" s="1"/>
  <c r="AG38" i="1"/>
  <c r="AT37" i="1"/>
  <c r="V37" i="1" s="1"/>
  <c r="AG37" i="1"/>
  <c r="AU36" i="1"/>
  <c r="AT36" i="1"/>
  <c r="AG36" i="1"/>
  <c r="O36" i="1"/>
  <c r="Z36" i="1" s="1"/>
  <c r="S36" i="1"/>
  <c r="T36" i="1"/>
  <c r="U36" i="1"/>
  <c r="W36" i="1"/>
  <c r="X36" i="1"/>
  <c r="Y36" i="1"/>
  <c r="AC36" i="1"/>
  <c r="AD36" i="1"/>
  <c r="AE36" i="1"/>
  <c r="O37" i="1"/>
  <c r="Z37" i="1" s="1"/>
  <c r="S37" i="1"/>
  <c r="T37" i="1"/>
  <c r="U37" i="1"/>
  <c r="W37" i="1"/>
  <c r="X37" i="1"/>
  <c r="Y37" i="1"/>
  <c r="AC37" i="1"/>
  <c r="AD37" i="1"/>
  <c r="AE37" i="1"/>
  <c r="O38" i="1"/>
  <c r="Z38" i="1" s="1"/>
  <c r="S38" i="1"/>
  <c r="T38" i="1"/>
  <c r="U38" i="1"/>
  <c r="V38" i="1"/>
  <c r="W38" i="1"/>
  <c r="X38" i="1"/>
  <c r="Y38" i="1"/>
  <c r="AB38" i="1"/>
  <c r="AC38" i="1"/>
  <c r="AD38" i="1"/>
  <c r="AE38" i="1"/>
  <c r="O39" i="1"/>
  <c r="R39" i="1" s="1"/>
  <c r="Q39" i="1"/>
  <c r="S39" i="1"/>
  <c r="T39" i="1"/>
  <c r="U39" i="1"/>
  <c r="W39" i="1"/>
  <c r="X39" i="1"/>
  <c r="Y39" i="1"/>
  <c r="AC39" i="1"/>
  <c r="AD39" i="1"/>
  <c r="AE39" i="1"/>
  <c r="O40" i="1"/>
  <c r="Q40" i="1" s="1"/>
  <c r="S40" i="1"/>
  <c r="T40" i="1"/>
  <c r="U40" i="1"/>
  <c r="W40" i="1"/>
  <c r="X40" i="1"/>
  <c r="Y40" i="1"/>
  <c r="AC40" i="1"/>
  <c r="AD40" i="1"/>
  <c r="AE40" i="1"/>
  <c r="O41" i="1"/>
  <c r="R41" i="1" s="1"/>
  <c r="P41" i="1"/>
  <c r="Q41" i="1"/>
  <c r="S41" i="1"/>
  <c r="T41" i="1"/>
  <c r="U41" i="1"/>
  <c r="W41" i="1"/>
  <c r="X41" i="1"/>
  <c r="Y41" i="1"/>
  <c r="AC41" i="1"/>
  <c r="AD41" i="1"/>
  <c r="AE41" i="1"/>
  <c r="O42" i="1"/>
  <c r="AA42" i="1" s="1"/>
  <c r="P42" i="1"/>
  <c r="S42" i="1"/>
  <c r="T42" i="1"/>
  <c r="U42" i="1"/>
  <c r="W42" i="1"/>
  <c r="X42" i="1"/>
  <c r="Y42" i="1"/>
  <c r="AC42" i="1"/>
  <c r="AD42" i="1"/>
  <c r="AE42" i="1"/>
  <c r="O43" i="1"/>
  <c r="AB43" i="1" s="1"/>
  <c r="S43" i="1"/>
  <c r="T43" i="1"/>
  <c r="U43" i="1"/>
  <c r="W43" i="1"/>
  <c r="X43" i="1"/>
  <c r="Y43" i="1"/>
  <c r="AC43" i="1"/>
  <c r="AD43" i="1"/>
  <c r="AE43" i="1"/>
  <c r="O44" i="1"/>
  <c r="P44" i="1" s="1"/>
  <c r="Q44" i="1"/>
  <c r="S44" i="1"/>
  <c r="T44" i="1"/>
  <c r="U44" i="1"/>
  <c r="W44" i="1"/>
  <c r="X44" i="1"/>
  <c r="Y44" i="1"/>
  <c r="AC44" i="1"/>
  <c r="AD44" i="1"/>
  <c r="AE44" i="1"/>
  <c r="O45" i="1"/>
  <c r="P45" i="1" s="1"/>
  <c r="R45" i="1"/>
  <c r="S45" i="1"/>
  <c r="T45" i="1"/>
  <c r="U45" i="1"/>
  <c r="W45" i="1"/>
  <c r="X45" i="1"/>
  <c r="Y45" i="1"/>
  <c r="AC45" i="1"/>
  <c r="AD45" i="1"/>
  <c r="AE45" i="1"/>
  <c r="O46" i="1"/>
  <c r="Z46" i="1" s="1"/>
  <c r="P46" i="1"/>
  <c r="S46" i="1"/>
  <c r="T46" i="1"/>
  <c r="U46" i="1"/>
  <c r="W46" i="1"/>
  <c r="X46" i="1"/>
  <c r="Y46" i="1"/>
  <c r="AC46" i="1"/>
  <c r="AD46" i="1"/>
  <c r="AE46" i="1"/>
  <c r="O47" i="1"/>
  <c r="Q47" i="1"/>
  <c r="R47" i="1"/>
  <c r="S47" i="1"/>
  <c r="U47" i="1"/>
  <c r="W47" i="1"/>
  <c r="X47" i="1"/>
  <c r="Y47" i="1"/>
  <c r="AC47" i="1"/>
  <c r="AD47" i="1"/>
  <c r="O48" i="1"/>
  <c r="S48" i="1"/>
  <c r="U48" i="1"/>
  <c r="W48" i="1"/>
  <c r="X48" i="1"/>
  <c r="Y48" i="1"/>
  <c r="AC48" i="1"/>
  <c r="AD48" i="1"/>
  <c r="AE48" i="1"/>
  <c r="O49" i="1"/>
  <c r="AA49" i="1" s="1"/>
  <c r="P49" i="1"/>
  <c r="S49" i="1"/>
  <c r="T49" i="1"/>
  <c r="U49" i="1"/>
  <c r="W49" i="1"/>
  <c r="X49" i="1"/>
  <c r="Y49" i="1"/>
  <c r="AC49" i="1"/>
  <c r="AD49" i="1"/>
  <c r="AE49" i="1"/>
  <c r="O50" i="1"/>
  <c r="Z50" i="1" s="1"/>
  <c r="S50" i="1"/>
  <c r="T50" i="1"/>
  <c r="U50" i="1"/>
  <c r="W50" i="1"/>
  <c r="X50" i="1"/>
  <c r="Y50" i="1"/>
  <c r="AC50" i="1"/>
  <c r="AD50" i="1"/>
  <c r="AE50" i="1"/>
  <c r="AT35" i="1"/>
  <c r="V35" i="1" s="1"/>
  <c r="AG35" i="1"/>
  <c r="AT34" i="1"/>
  <c r="AG34" i="1"/>
  <c r="AY33" i="1"/>
  <c r="AX33" i="1"/>
  <c r="AU33" i="1"/>
  <c r="AT33" i="1"/>
  <c r="AH33" i="1"/>
  <c r="AG33" i="1"/>
  <c r="BM32" i="1"/>
  <c r="AE32" i="1" s="1"/>
  <c r="AX32" i="1"/>
  <c r="X32" i="1" s="1"/>
  <c r="AT32" i="1"/>
  <c r="V32" i="1" s="1"/>
  <c r="AO32" i="1"/>
  <c r="T32" i="1" s="1"/>
  <c r="AT31" i="1"/>
  <c r="V31" i="1" s="1"/>
  <c r="AX30" i="1"/>
  <c r="X30" i="1" s="1"/>
  <c r="AT30" i="1"/>
  <c r="V30" i="1" s="1"/>
  <c r="AX29" i="1"/>
  <c r="X29" i="1" s="1"/>
  <c r="AT29" i="1"/>
  <c r="V29" i="1" s="1"/>
  <c r="AU28" i="1"/>
  <c r="V28" i="1" s="1"/>
  <c r="AT28" i="1"/>
  <c r="AM28" i="1"/>
  <c r="S28" i="1" s="1"/>
  <c r="AJ28" i="1"/>
  <c r="AI28" i="1"/>
  <c r="AU27" i="1"/>
  <c r="AT27" i="1"/>
  <c r="AN27" i="1"/>
  <c r="AM27" i="1"/>
  <c r="AJ27" i="1"/>
  <c r="AI27" i="1"/>
  <c r="AT26" i="1"/>
  <c r="V26" i="1" s="1"/>
  <c r="AU25" i="1"/>
  <c r="AT25" i="1"/>
  <c r="S24" i="1"/>
  <c r="AW23" i="1"/>
  <c r="AV23" i="1"/>
  <c r="W23" i="1" s="1"/>
  <c r="AT23" i="1"/>
  <c r="V23" i="1" s="1"/>
  <c r="AM23" i="1"/>
  <c r="S23" i="1"/>
  <c r="O33" i="1"/>
  <c r="Q33" i="1" s="1"/>
  <c r="O34" i="1"/>
  <c r="AA34" i="1" s="1"/>
  <c r="O35" i="1"/>
  <c r="Z35" i="1" s="1"/>
  <c r="S33" i="1"/>
  <c r="T33" i="1"/>
  <c r="U33" i="1"/>
  <c r="W33" i="1"/>
  <c r="Y33" i="1"/>
  <c r="AC33" i="1"/>
  <c r="AD33" i="1"/>
  <c r="AE33" i="1"/>
  <c r="S34" i="1"/>
  <c r="T34" i="1"/>
  <c r="U34" i="1"/>
  <c r="V34" i="1"/>
  <c r="W34" i="1"/>
  <c r="X34" i="1"/>
  <c r="Y34" i="1"/>
  <c r="AC34" i="1"/>
  <c r="AD34" i="1"/>
  <c r="AE34" i="1"/>
  <c r="S35" i="1"/>
  <c r="T35" i="1"/>
  <c r="U35" i="1"/>
  <c r="W35" i="1"/>
  <c r="X35" i="1"/>
  <c r="Y35" i="1"/>
  <c r="AC35" i="1"/>
  <c r="AD35" i="1"/>
  <c r="AE35" i="1"/>
  <c r="T23" i="1"/>
  <c r="U23" i="1"/>
  <c r="X23" i="1"/>
  <c r="Y23" i="1"/>
  <c r="AC23" i="1"/>
  <c r="AD23" i="1"/>
  <c r="AE23" i="1"/>
  <c r="T24" i="1"/>
  <c r="U24" i="1"/>
  <c r="V24" i="1"/>
  <c r="W24" i="1"/>
  <c r="X24" i="1"/>
  <c r="Y24" i="1"/>
  <c r="AC24" i="1"/>
  <c r="AD24" i="1"/>
  <c r="AE24" i="1"/>
  <c r="S25" i="1"/>
  <c r="T25" i="1"/>
  <c r="U25" i="1"/>
  <c r="W25" i="1"/>
  <c r="X25" i="1"/>
  <c r="Y25" i="1"/>
  <c r="AC25" i="1"/>
  <c r="AD25" i="1"/>
  <c r="AE25" i="1"/>
  <c r="S26" i="1"/>
  <c r="T26" i="1"/>
  <c r="U26" i="1"/>
  <c r="W26" i="1"/>
  <c r="X26" i="1"/>
  <c r="Y26" i="1"/>
  <c r="AC26" i="1"/>
  <c r="AD26" i="1"/>
  <c r="AE26" i="1"/>
  <c r="T27" i="1"/>
  <c r="U27" i="1"/>
  <c r="W27" i="1"/>
  <c r="X27" i="1"/>
  <c r="Y27" i="1"/>
  <c r="AC27" i="1"/>
  <c r="AD27" i="1"/>
  <c r="AE27" i="1"/>
  <c r="T28" i="1"/>
  <c r="U28" i="1"/>
  <c r="W28" i="1"/>
  <c r="X28" i="1"/>
  <c r="Y28" i="1"/>
  <c r="AC28" i="1"/>
  <c r="AD28" i="1"/>
  <c r="AE28" i="1"/>
  <c r="S29" i="1"/>
  <c r="T29" i="1"/>
  <c r="U29" i="1"/>
  <c r="W29" i="1"/>
  <c r="Y29" i="1"/>
  <c r="AC29" i="1"/>
  <c r="AD29" i="1"/>
  <c r="AE29" i="1"/>
  <c r="R30" i="1"/>
  <c r="S30" i="1"/>
  <c r="T30" i="1"/>
  <c r="U30" i="1"/>
  <c r="W30" i="1"/>
  <c r="Y30" i="1"/>
  <c r="AC30" i="1"/>
  <c r="AD30" i="1"/>
  <c r="AE30" i="1"/>
  <c r="S31" i="1"/>
  <c r="T31" i="1"/>
  <c r="U31" i="1"/>
  <c r="W31" i="1"/>
  <c r="X31" i="1"/>
  <c r="Y31" i="1"/>
  <c r="AB31" i="1"/>
  <c r="AC31" i="1"/>
  <c r="AD31" i="1"/>
  <c r="AE31" i="1"/>
  <c r="S32" i="1"/>
  <c r="U32" i="1"/>
  <c r="W32" i="1"/>
  <c r="Y32" i="1"/>
  <c r="AC32" i="1"/>
  <c r="AD32" i="1"/>
  <c r="O23" i="1"/>
  <c r="P23" i="1" s="1"/>
  <c r="O24" i="1"/>
  <c r="Z24" i="1" s="1"/>
  <c r="O25" i="1"/>
  <c r="R25" i="1" s="1"/>
  <c r="O26" i="1"/>
  <c r="P26" i="1" s="1"/>
  <c r="O27" i="1"/>
  <c r="AA27" i="1" s="1"/>
  <c r="O28" i="1"/>
  <c r="P28" i="1" s="1"/>
  <c r="O29" i="1"/>
  <c r="P29" i="1" s="1"/>
  <c r="O30" i="1"/>
  <c r="Z30" i="1" s="1"/>
  <c r="O31" i="1"/>
  <c r="AA31" i="1" s="1"/>
  <c r="O32" i="1"/>
  <c r="BG32" i="1" s="1"/>
  <c r="AB32" i="1" s="1"/>
  <c r="BM22" i="1"/>
  <c r="AE22" i="1" s="1"/>
  <c r="BK22" i="1"/>
  <c r="AD22" i="1" s="1"/>
  <c r="BC22" i="1"/>
  <c r="AO22" i="1"/>
  <c r="AG22" i="1"/>
  <c r="P22" i="1" s="1"/>
  <c r="BM21" i="1"/>
  <c r="AE21" i="1" s="1"/>
  <c r="BC21" i="1"/>
  <c r="AT21" i="1"/>
  <c r="V21" i="1" s="1"/>
  <c r="AO21" i="1"/>
  <c r="AG21" i="1"/>
  <c r="BE20" i="1"/>
  <c r="BD20" i="1"/>
  <c r="BC20" i="1"/>
  <c r="AU20" i="1"/>
  <c r="AT20" i="1"/>
  <c r="V20" i="1" s="1"/>
  <c r="AL20" i="1"/>
  <c r="AK20" i="1"/>
  <c r="AI20" i="1"/>
  <c r="Q20" i="1" s="1"/>
  <c r="O15" i="1"/>
  <c r="P15" i="1" s="1"/>
  <c r="BE18" i="1"/>
  <c r="BC18" i="1"/>
  <c r="AX18" i="1"/>
  <c r="X18" i="1" s="1"/>
  <c r="AT18" i="1"/>
  <c r="V18" i="1" s="1"/>
  <c r="AK18" i="1"/>
  <c r="AI18" i="1"/>
  <c r="BE17" i="1"/>
  <c r="BC17" i="1"/>
  <c r="AX17" i="1"/>
  <c r="X17" i="1" s="1"/>
  <c r="AT17" i="1"/>
  <c r="V17" i="1" s="1"/>
  <c r="AK17" i="1"/>
  <c r="AI17" i="1"/>
  <c r="AG16" i="1"/>
  <c r="BG16" i="1"/>
  <c r="BE16" i="1"/>
  <c r="BC16" i="1"/>
  <c r="AK16" i="1"/>
  <c r="AI16" i="1"/>
  <c r="AT15" i="1"/>
  <c r="V15" i="1" s="1"/>
  <c r="AK15" i="1"/>
  <c r="AI15" i="1"/>
  <c r="S15" i="1"/>
  <c r="T15" i="1"/>
  <c r="U15" i="1"/>
  <c r="W15" i="1"/>
  <c r="X15" i="1"/>
  <c r="Y15" i="1"/>
  <c r="AC15" i="1"/>
  <c r="AD15" i="1"/>
  <c r="AE15" i="1"/>
  <c r="S16" i="1"/>
  <c r="T16" i="1"/>
  <c r="U16" i="1"/>
  <c r="V16" i="1"/>
  <c r="W16" i="1"/>
  <c r="X16" i="1"/>
  <c r="Y16" i="1"/>
  <c r="AC16" i="1"/>
  <c r="AD16" i="1"/>
  <c r="AE16" i="1"/>
  <c r="P17" i="1"/>
  <c r="S17" i="1"/>
  <c r="T17" i="1"/>
  <c r="U17" i="1"/>
  <c r="W17" i="1"/>
  <c r="Y17" i="1"/>
  <c r="AC17" i="1"/>
  <c r="AD17" i="1"/>
  <c r="AE17" i="1"/>
  <c r="S18" i="1"/>
  <c r="T18" i="1"/>
  <c r="U18" i="1"/>
  <c r="W18" i="1"/>
  <c r="Y18" i="1"/>
  <c r="AC18" i="1"/>
  <c r="AD18" i="1"/>
  <c r="AE18" i="1"/>
  <c r="S19" i="1"/>
  <c r="T19" i="1"/>
  <c r="U19" i="1"/>
  <c r="V19" i="1"/>
  <c r="W19" i="1"/>
  <c r="X19" i="1"/>
  <c r="Y19" i="1"/>
  <c r="AC19" i="1"/>
  <c r="AD19" i="1"/>
  <c r="AE19" i="1"/>
  <c r="S20" i="1"/>
  <c r="T20" i="1"/>
  <c r="U20" i="1"/>
  <c r="W20" i="1"/>
  <c r="X20" i="1"/>
  <c r="Y20" i="1"/>
  <c r="AC20" i="1"/>
  <c r="AD20" i="1"/>
  <c r="AE20" i="1"/>
  <c r="S21" i="1"/>
  <c r="T21" i="1"/>
  <c r="U21" i="1"/>
  <c r="W21" i="1"/>
  <c r="X21" i="1"/>
  <c r="Y21" i="1"/>
  <c r="AC21" i="1"/>
  <c r="AD21" i="1"/>
  <c r="S22" i="1"/>
  <c r="T22" i="1"/>
  <c r="U22" i="1"/>
  <c r="V22" i="1"/>
  <c r="W22" i="1"/>
  <c r="X22" i="1"/>
  <c r="Y22" i="1"/>
  <c r="AC22" i="1"/>
  <c r="O16" i="1"/>
  <c r="O17" i="1"/>
  <c r="AB17" i="1" s="1"/>
  <c r="O18" i="1"/>
  <c r="P18" i="1" s="1"/>
  <c r="O19" i="1"/>
  <c r="BG19" i="1" s="1"/>
  <c r="AB19" i="1" s="1"/>
  <c r="O20" i="1"/>
  <c r="P20" i="1" s="1"/>
  <c r="O21" i="1"/>
  <c r="Q21" i="1" s="1"/>
  <c r="O22" i="1"/>
  <c r="BK14" i="1"/>
  <c r="AD14" i="1" s="1"/>
  <c r="BI14" i="1"/>
  <c r="AC14" i="1" s="1"/>
  <c r="BC14" i="1"/>
  <c r="AV14" i="1"/>
  <c r="W14" i="1" s="1"/>
  <c r="AZ14" i="1"/>
  <c r="Y14" i="1" s="1"/>
  <c r="AT14" i="1"/>
  <c r="V14" i="1" s="1"/>
  <c r="AX14" i="1"/>
  <c r="X14" i="1" s="1"/>
  <c r="AM14" i="1"/>
  <c r="AO14" i="1" s="1"/>
  <c r="T14" i="1" s="1"/>
  <c r="AG14" i="1"/>
  <c r="BN13" i="1"/>
  <c r="BM13" i="1"/>
  <c r="BC13" i="1"/>
  <c r="AX13" i="1"/>
  <c r="X13" i="1" s="1"/>
  <c r="AT13" i="1"/>
  <c r="V13" i="1" s="1"/>
  <c r="AP13" i="1"/>
  <c r="AO13" i="1"/>
  <c r="T13" i="1" s="1"/>
  <c r="AG13" i="1"/>
  <c r="BM12" i="1"/>
  <c r="AE12" i="1" s="1"/>
  <c r="BC12" i="1"/>
  <c r="AX12" i="1"/>
  <c r="X12" i="1" s="1"/>
  <c r="AT12" i="1"/>
  <c r="V12" i="1" s="1"/>
  <c r="AO12" i="1"/>
  <c r="T12" i="1" s="1"/>
  <c r="AG12" i="1"/>
  <c r="BE11" i="1"/>
  <c r="BC11" i="1"/>
  <c r="AX11" i="1"/>
  <c r="X11" i="1" s="1"/>
  <c r="AT11" i="1"/>
  <c r="V11" i="1" s="1"/>
  <c r="AK11" i="1"/>
  <c r="AI11" i="1"/>
  <c r="BE10" i="1"/>
  <c r="BC10" i="1"/>
  <c r="AX10" i="1"/>
  <c r="X10" i="1" s="1"/>
  <c r="AT10" i="1"/>
  <c r="V10" i="1" s="1"/>
  <c r="AK10" i="1"/>
  <c r="AI10" i="1"/>
  <c r="BG9" i="1"/>
  <c r="BE9" i="1"/>
  <c r="BC9" i="1"/>
  <c r="AX9" i="1"/>
  <c r="X9" i="1" s="1"/>
  <c r="AT9" i="1"/>
  <c r="V9" i="1" s="1"/>
  <c r="AK9" i="1"/>
  <c r="AI9" i="1"/>
  <c r="BC8" i="1"/>
  <c r="BE8" i="1"/>
  <c r="AX8" i="1"/>
  <c r="X8" i="1" s="1"/>
  <c r="AT8" i="1"/>
  <c r="V8" i="1" s="1"/>
  <c r="AK8" i="1"/>
  <c r="AI8" i="1"/>
  <c r="AC2" i="1"/>
  <c r="AD2" i="1"/>
  <c r="AE2" i="1"/>
  <c r="AC3" i="1"/>
  <c r="AD3" i="1"/>
  <c r="AE3" i="1"/>
  <c r="AC4" i="1"/>
  <c r="AD4" i="1"/>
  <c r="AE4" i="1"/>
  <c r="AC5" i="1"/>
  <c r="AD5" i="1"/>
  <c r="AE5" i="1"/>
  <c r="AC6" i="1"/>
  <c r="AD6" i="1"/>
  <c r="AE6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C13" i="1"/>
  <c r="AD13" i="1"/>
  <c r="AE13" i="1"/>
  <c r="AE14" i="1"/>
  <c r="AE7" i="1"/>
  <c r="BH7" i="1"/>
  <c r="BG7" i="1"/>
  <c r="BF7" i="1"/>
  <c r="BE7" i="1"/>
  <c r="BD7" i="1"/>
  <c r="BC7" i="1"/>
  <c r="AY7" i="1"/>
  <c r="AX7" i="1"/>
  <c r="AU7" i="1"/>
  <c r="AT7" i="1"/>
  <c r="AZ6" i="1"/>
  <c r="Y6" i="1" s="1"/>
  <c r="AX6" i="1"/>
  <c r="X6" i="1" s="1"/>
  <c r="AV6" i="1"/>
  <c r="W6" i="1" s="1"/>
  <c r="AT6" i="1"/>
  <c r="V6" i="1" s="1"/>
  <c r="AX5" i="1"/>
  <c r="X5" i="1" s="1"/>
  <c r="AT5" i="1"/>
  <c r="V5" i="1" s="1"/>
  <c r="O3" i="1"/>
  <c r="AA3" i="1" s="1"/>
  <c r="O4" i="1"/>
  <c r="Q4" i="1" s="1"/>
  <c r="O5" i="1"/>
  <c r="Z5" i="1" s="1"/>
  <c r="O6" i="1"/>
  <c r="P6" i="1" s="1"/>
  <c r="O7" i="1"/>
  <c r="P7" i="1" s="1"/>
  <c r="O8" i="1"/>
  <c r="AB8" i="1" s="1"/>
  <c r="O9" i="1"/>
  <c r="P9" i="1" s="1"/>
  <c r="O10" i="1"/>
  <c r="O11" i="1"/>
  <c r="P11" i="1" s="1"/>
  <c r="O12" i="1"/>
  <c r="O13" i="1"/>
  <c r="AA13" i="1" s="1"/>
  <c r="O14" i="1"/>
  <c r="O2" i="1"/>
  <c r="Z2" i="1" s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U12" i="1"/>
  <c r="S13" i="1"/>
  <c r="U13" i="1"/>
  <c r="AX3" i="1"/>
  <c r="X3" i="1" s="1"/>
  <c r="W3" i="1"/>
  <c r="Y3" i="1"/>
  <c r="V4" i="1"/>
  <c r="W4" i="1"/>
  <c r="X4" i="1"/>
  <c r="Y4" i="1"/>
  <c r="W5" i="1"/>
  <c r="Y5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AT3" i="1"/>
  <c r="V3" i="1" s="1"/>
  <c r="AW2" i="1"/>
  <c r="AV2" i="1"/>
  <c r="AX2" i="1"/>
  <c r="X2" i="1" s="1"/>
  <c r="BA2" i="1"/>
  <c r="AZ2" i="1"/>
  <c r="AT2" i="1"/>
  <c r="V2" i="1" s="1"/>
  <c r="AC7" i="1"/>
  <c r="AD7" i="1"/>
  <c r="U2" i="1"/>
  <c r="T2" i="1"/>
  <c r="S2" i="1"/>
  <c r="Z56" i="1" l="1"/>
  <c r="P36" i="1"/>
  <c r="P50" i="1"/>
  <c r="V36" i="1"/>
  <c r="AB51" i="1"/>
  <c r="AI55" i="1"/>
  <c r="Q55" i="1" s="1"/>
  <c r="AA56" i="1"/>
  <c r="AA18" i="1"/>
  <c r="Z28" i="1"/>
  <c r="P38" i="1"/>
  <c r="Z48" i="1"/>
  <c r="AB50" i="1"/>
  <c r="AA38" i="1"/>
  <c r="AI53" i="1"/>
  <c r="Q53" i="1" s="1"/>
  <c r="AB60" i="1"/>
  <c r="Z22" i="1"/>
  <c r="AA50" i="1"/>
  <c r="AK53" i="1"/>
  <c r="R53" i="1" s="1"/>
  <c r="R64" i="1"/>
  <c r="AA60" i="1"/>
  <c r="Q64" i="1"/>
  <c r="Z60" i="1"/>
  <c r="R52" i="1"/>
  <c r="P64" i="1"/>
  <c r="P60" i="1"/>
  <c r="R35" i="1"/>
  <c r="P35" i="1"/>
  <c r="Z31" i="1"/>
  <c r="P30" i="1"/>
  <c r="Z34" i="1"/>
  <c r="R28" i="1"/>
  <c r="AB29" i="1"/>
  <c r="AB20" i="1"/>
  <c r="R31" i="1"/>
  <c r="Z29" i="1"/>
  <c r="V25" i="1"/>
  <c r="AA16" i="1"/>
  <c r="Q31" i="1"/>
  <c r="Z27" i="1"/>
  <c r="BC32" i="1"/>
  <c r="Z32" i="1" s="1"/>
  <c r="Z55" i="1"/>
  <c r="AG55" i="1"/>
  <c r="P55" i="1" s="1"/>
  <c r="AB16" i="1"/>
  <c r="AA20" i="1"/>
  <c r="P31" i="1"/>
  <c r="BE32" i="1"/>
  <c r="AA32" i="1" s="1"/>
  <c r="AK55" i="1"/>
  <c r="R55" i="1" s="1"/>
  <c r="AG59" i="1"/>
  <c r="P59" i="1" s="1"/>
  <c r="AG32" i="1"/>
  <c r="P32" i="1" s="1"/>
  <c r="AI32" i="1"/>
  <c r="Q32" i="1" s="1"/>
  <c r="AK59" i="1"/>
  <c r="R59" i="1" s="1"/>
  <c r="Q35" i="1"/>
  <c r="Q30" i="1"/>
  <c r="Z47" i="1"/>
  <c r="AA29" i="1"/>
  <c r="P16" i="1"/>
  <c r="AB35" i="1"/>
  <c r="Q17" i="1"/>
  <c r="AA35" i="1"/>
  <c r="Z21" i="1"/>
  <c r="AB30" i="1"/>
  <c r="R22" i="1"/>
  <c r="AA30" i="1"/>
  <c r="Q22" i="1"/>
  <c r="P51" i="1"/>
  <c r="AI61" i="1"/>
  <c r="Q61" i="1" s="1"/>
  <c r="AG39" i="1"/>
  <c r="P39" i="1" s="1"/>
  <c r="P21" i="1"/>
  <c r="R34" i="1"/>
  <c r="AI59" i="1"/>
  <c r="Q59" i="1" s="1"/>
  <c r="R17" i="1"/>
  <c r="AB47" i="1"/>
  <c r="AG56" i="1"/>
  <c r="P56" i="1" s="1"/>
  <c r="AB15" i="1"/>
  <c r="AI56" i="1"/>
  <c r="Q56" i="1" s="1"/>
  <c r="AG61" i="1"/>
  <c r="AA17" i="1"/>
  <c r="P27" i="1"/>
  <c r="Z49" i="1"/>
  <c r="Z15" i="1"/>
  <c r="Q28" i="1"/>
  <c r="Z43" i="1"/>
  <c r="Q38" i="1"/>
  <c r="R36" i="1"/>
  <c r="AB52" i="1"/>
  <c r="R27" i="1"/>
  <c r="AA43" i="1"/>
  <c r="AB28" i="1"/>
  <c r="Q36" i="1"/>
  <c r="P47" i="1"/>
  <c r="Z52" i="1"/>
  <c r="R51" i="1"/>
  <c r="AG62" i="1"/>
  <c r="P62" i="1" s="1"/>
  <c r="R21" i="1"/>
  <c r="R20" i="1"/>
  <c r="AB25" i="1"/>
  <c r="AA47" i="1"/>
  <c r="AA15" i="1"/>
  <c r="R18" i="1"/>
  <c r="AA28" i="1"/>
  <c r="AB56" i="1"/>
  <c r="Z54" i="1"/>
  <c r="AA59" i="1"/>
  <c r="AI62" i="1"/>
  <c r="Q62" i="1" s="1"/>
  <c r="AA25" i="1"/>
  <c r="Z20" i="1"/>
  <c r="R24" i="1"/>
  <c r="Z17" i="1"/>
  <c r="Q24" i="1"/>
  <c r="AK62" i="1"/>
  <c r="R62" i="1" s="1"/>
  <c r="AB21" i="1"/>
  <c r="AB18" i="1"/>
  <c r="P24" i="1"/>
  <c r="Q34" i="1"/>
  <c r="AK32" i="1"/>
  <c r="R32" i="1" s="1"/>
  <c r="AA21" i="1"/>
  <c r="Q18" i="1"/>
  <c r="R49" i="1"/>
  <c r="R42" i="1"/>
  <c r="P52" i="1"/>
  <c r="AG53" i="1"/>
  <c r="P53" i="1" s="1"/>
  <c r="Z18" i="1"/>
  <c r="AB26" i="1"/>
  <c r="Q49" i="1"/>
  <c r="Q42" i="1"/>
  <c r="AB33" i="1"/>
  <c r="AG57" i="1"/>
  <c r="P57" i="1" s="1"/>
  <c r="AI57" i="1"/>
  <c r="Q57" i="1" s="1"/>
  <c r="Z25" i="1"/>
  <c r="AA33" i="1"/>
  <c r="Z23" i="1"/>
  <c r="Z33" i="1"/>
  <c r="AA51" i="1"/>
  <c r="AB13" i="1"/>
  <c r="AB22" i="1"/>
  <c r="AG19" i="1"/>
  <c r="P19" i="1" s="1"/>
  <c r="P25" i="1"/>
  <c r="S27" i="1"/>
  <c r="AB36" i="1"/>
  <c r="AG40" i="1"/>
  <c r="P40" i="1" s="1"/>
  <c r="AB54" i="1"/>
  <c r="BC53" i="1"/>
  <c r="Z53" i="1" s="1"/>
  <c r="AB64" i="1"/>
  <c r="R60" i="1"/>
  <c r="AA26" i="1"/>
  <c r="Q27" i="1"/>
  <c r="Q25" i="1"/>
  <c r="Z13" i="1"/>
  <c r="AA22" i="1"/>
  <c r="Q15" i="1"/>
  <c r="AI19" i="1"/>
  <c r="Q19" i="1" s="1"/>
  <c r="Q50" i="1"/>
  <c r="AA41" i="1"/>
  <c r="AA36" i="1"/>
  <c r="AA54" i="1"/>
  <c r="BE53" i="1"/>
  <c r="AA53" i="1" s="1"/>
  <c r="AA64" i="1"/>
  <c r="P33" i="1"/>
  <c r="AB44" i="1"/>
  <c r="AG54" i="1"/>
  <c r="P54" i="1" s="1"/>
  <c r="R57" i="1"/>
  <c r="BC19" i="1"/>
  <c r="Z19" i="1" s="1"/>
  <c r="BE19" i="1"/>
  <c r="AA19" i="1" s="1"/>
  <c r="AB27" i="1"/>
  <c r="AB24" i="1"/>
  <c r="AB34" i="1"/>
  <c r="Z26" i="1"/>
  <c r="AB23" i="1"/>
  <c r="AA23" i="1"/>
  <c r="R15" i="1"/>
  <c r="AK19" i="1"/>
  <c r="R19" i="1" s="1"/>
  <c r="Q16" i="1"/>
  <c r="R26" i="1"/>
  <c r="AA44" i="1"/>
  <c r="S14" i="1"/>
  <c r="R16" i="1"/>
  <c r="Q26" i="1"/>
  <c r="AA24" i="1"/>
  <c r="R23" i="1"/>
  <c r="R33" i="1"/>
  <c r="Z44" i="1"/>
  <c r="AB39" i="1"/>
  <c r="R38" i="1"/>
  <c r="R58" i="1"/>
  <c r="R29" i="1"/>
  <c r="Q23" i="1"/>
  <c r="AA39" i="1"/>
  <c r="Z16" i="1"/>
  <c r="V7" i="1"/>
  <c r="Q29" i="1"/>
  <c r="P34" i="1"/>
  <c r="AB49" i="1"/>
  <c r="P48" i="1"/>
  <c r="AB55" i="1"/>
  <c r="P58" i="1"/>
  <c r="Z42" i="1"/>
  <c r="P61" i="1"/>
  <c r="AB61" i="1"/>
  <c r="AA61" i="1"/>
  <c r="Z61" i="1"/>
  <c r="AB57" i="1"/>
  <c r="AA57" i="1"/>
  <c r="Z57" i="1"/>
  <c r="AB62" i="1"/>
  <c r="AA62" i="1"/>
  <c r="AB58" i="1"/>
  <c r="AA58" i="1"/>
  <c r="AB63" i="1"/>
  <c r="R61" i="1"/>
  <c r="AA63" i="1"/>
  <c r="Q51" i="1"/>
  <c r="R50" i="1"/>
  <c r="R37" i="1"/>
  <c r="AB48" i="1"/>
  <c r="R46" i="1"/>
  <c r="Q37" i="1"/>
  <c r="AA48" i="1"/>
  <c r="Q46" i="1"/>
  <c r="Z39" i="1"/>
  <c r="P37" i="1"/>
  <c r="AA40" i="1"/>
  <c r="Z40" i="1"/>
  <c r="AA45" i="1"/>
  <c r="Q43" i="1"/>
  <c r="AB40" i="1"/>
  <c r="AB45" i="1"/>
  <c r="R43" i="1"/>
  <c r="Z45" i="1"/>
  <c r="P43" i="1"/>
  <c r="AB41" i="1"/>
  <c r="R48" i="1"/>
  <c r="Q48" i="1"/>
  <c r="Z41" i="1"/>
  <c r="AB37" i="1"/>
  <c r="AB46" i="1"/>
  <c r="R44" i="1"/>
  <c r="AA37" i="1"/>
  <c r="AA46" i="1"/>
  <c r="AB42" i="1"/>
  <c r="R40" i="1"/>
  <c r="Q45" i="1"/>
  <c r="X33" i="1"/>
  <c r="V33" i="1"/>
  <c r="V27" i="1"/>
  <c r="Z14" i="1"/>
  <c r="P8" i="1"/>
  <c r="Q2" i="1"/>
  <c r="X7" i="1"/>
  <c r="AQ14" i="1"/>
  <c r="U14" i="1" s="1"/>
  <c r="R10" i="1"/>
  <c r="R11" i="1"/>
  <c r="AB9" i="1"/>
  <c r="Q8" i="1"/>
  <c r="AA9" i="1"/>
  <c r="Z9" i="1"/>
  <c r="AA8" i="1"/>
  <c r="Z8" i="1"/>
  <c r="Z3" i="1"/>
  <c r="Z10" i="1"/>
  <c r="Z7" i="1"/>
  <c r="AB4" i="1"/>
  <c r="AA4" i="1"/>
  <c r="AA7" i="1"/>
  <c r="Z4" i="1"/>
  <c r="P5" i="1"/>
  <c r="P3" i="1"/>
  <c r="AB7" i="1"/>
  <c r="R8" i="1"/>
  <c r="AB3" i="1"/>
  <c r="P13" i="1"/>
  <c r="P12" i="1"/>
  <c r="AB12" i="1"/>
  <c r="AA12" i="1"/>
  <c r="AB11" i="1"/>
  <c r="Z11" i="1"/>
  <c r="AB14" i="1"/>
  <c r="Z12" i="1"/>
  <c r="AA6" i="1"/>
  <c r="Z6" i="1"/>
  <c r="Q11" i="1"/>
  <c r="AA14" i="1"/>
  <c r="AB5" i="1"/>
  <c r="R14" i="1"/>
  <c r="Q14" i="1"/>
  <c r="P14" i="1"/>
  <c r="AB6" i="1"/>
  <c r="AA11" i="1"/>
  <c r="AB2" i="1"/>
  <c r="AA2" i="1"/>
  <c r="AB10" i="1"/>
  <c r="AA5" i="1"/>
  <c r="AA10" i="1"/>
  <c r="Q7" i="1"/>
  <c r="R7" i="1"/>
  <c r="Q10" i="1"/>
  <c r="R6" i="1"/>
  <c r="Q6" i="1"/>
  <c r="P10" i="1"/>
  <c r="R9" i="1"/>
  <c r="Q9" i="1"/>
  <c r="P2" i="1"/>
  <c r="R5" i="1"/>
  <c r="Q5" i="1"/>
  <c r="R13" i="1"/>
  <c r="R4" i="1"/>
  <c r="Q13" i="1"/>
  <c r="P4" i="1"/>
  <c r="R12" i="1"/>
  <c r="R3" i="1"/>
  <c r="Q12" i="1"/>
  <c r="Q3" i="1"/>
  <c r="R2" i="1"/>
  <c r="Y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Machado, Sebastian de Jesus</author>
    <author>tc={89955BC4-8829-462E-A4B2-0DD22A17116D}</author>
  </authors>
  <commentList>
    <comment ref="L1" authorId="0" shapeId="0" xr:uid="{A79F1688-2CAA-404B-8815-8B669F1C7A8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According to IEC 60071-2. Table I referring to pollution levels</t>
        </r>
      </text>
    </comment>
    <comment ref="M1" authorId="1" shapeId="0" xr:uid="{89955BC4-8829-462E-A4B2-0DD22A1711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295 up to 600 according to IEC 60305
</t>
      </text>
    </comment>
    <comment ref="N1" authorId="0" shapeId="0" xr:uid="{7371704F-214C-49CC-8962-487D76403992}">
      <text>
        <r>
          <rPr>
            <b/>
            <sz val="9"/>
            <color indexed="81"/>
            <rFont val="Tahoma"/>
            <charset val="1"/>
          </rPr>
          <t>Machado, Sebastian de Jesus:</t>
        </r>
        <r>
          <rPr>
            <sz val="9"/>
            <color indexed="81"/>
            <rFont val="Tahoma"/>
            <charset val="1"/>
          </rPr>
          <t xml:space="preserve">
From 127mm up to 240</t>
        </r>
      </text>
    </comment>
  </commentList>
</comments>
</file>

<file path=xl/sharedStrings.xml><?xml version="1.0" encoding="utf-8"?>
<sst xmlns="http://schemas.openxmlformats.org/spreadsheetml/2006/main" count="485" uniqueCount="361">
  <si>
    <t>3L1</t>
  </si>
  <si>
    <t>3L2</t>
  </si>
  <si>
    <t>3L3</t>
  </si>
  <si>
    <t>3L4</t>
  </si>
  <si>
    <t>3L5</t>
  </si>
  <si>
    <t>3L6</t>
  </si>
  <si>
    <t>3L7</t>
  </si>
  <si>
    <t>3L8</t>
  </si>
  <si>
    <t>3L9</t>
  </si>
  <si>
    <t>3L10</t>
  </si>
  <si>
    <t>3L13</t>
  </si>
  <si>
    <t>3L14</t>
  </si>
  <si>
    <t>3L15</t>
  </si>
  <si>
    <t>Lattice</t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</si>
  <si>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</si>
  <si>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</si>
  <si>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</si>
  <si>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</si>
  <si>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</si>
  <si>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</si>
  <si>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</si>
  <si>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</si>
  <si>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</si>
  <si>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</si>
  <si>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</si>
  <si>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</si>
  <si>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</si>
  <si>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</si>
  <si>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</si>
  <si>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</si>
  <si>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</si>
  <si>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</si>
  <si>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</si>
  <si>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a2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</si>
  <si>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</si>
  <si>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b2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</si>
  <si>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</si>
  <si>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</t>
    </r>
    <r>
      <rPr>
        <b/>
        <vertAlign val="subscript"/>
        <sz val="11"/>
        <color theme="1"/>
        <rFont val="Aptos Narrow"/>
        <family val="2"/>
        <scheme val="minor"/>
      </rPr>
      <t>c2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</si>
  <si>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</si>
  <si>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</si>
  <si>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</si>
  <si>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</si>
  <si>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</si>
  <si>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</si>
  <si>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(ft)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</si>
  <si>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(inch)</t>
    </r>
  </si>
  <si>
    <t>Sources</t>
  </si>
  <si>
    <t>EPRI Transmission reference book</t>
  </si>
  <si>
    <t>Stevenson, Grainger</t>
  </si>
  <si>
    <t>Insulators string distance:IEC 60071-2 Insulation co-ordination application guite part 2 (creepage distance). AND IEC 60305 IEC Insulators classes</t>
  </si>
  <si>
    <t>typical bundling</t>
  </si>
  <si>
    <t>Oregon state U</t>
  </si>
  <si>
    <t>Section 4 Transmission Lines.pdf (oregonstate.edu)</t>
  </si>
  <si>
    <t>Commonwealth Edison Company</t>
  </si>
  <si>
    <t>Chicago</t>
  </si>
  <si>
    <t>Cleveland electric iluminating</t>
  </si>
  <si>
    <t>Ohio</t>
  </si>
  <si>
    <t>3P1</t>
  </si>
  <si>
    <t>3P2</t>
  </si>
  <si>
    <t>3P3</t>
  </si>
  <si>
    <t>3P4</t>
  </si>
  <si>
    <t>3P5</t>
  </si>
  <si>
    <t>3P6</t>
  </si>
  <si>
    <t>3P7</t>
  </si>
  <si>
    <t>3P8</t>
  </si>
  <si>
    <t>Pole</t>
  </si>
  <si>
    <t>ACSR</t>
  </si>
  <si>
    <t>ACAR</t>
  </si>
  <si>
    <t>New York</t>
  </si>
  <si>
    <t>Consolidated Edison Co</t>
  </si>
  <si>
    <t>Michigan</t>
  </si>
  <si>
    <t>Consumers Power Company</t>
  </si>
  <si>
    <t>Dayton Power &amp; Light company</t>
  </si>
  <si>
    <t>Detroit Edison</t>
  </si>
  <si>
    <t>Indiana</t>
  </si>
  <si>
    <t>Illinois Power Company</t>
  </si>
  <si>
    <t>Illinois</t>
  </si>
  <si>
    <t>Consumers Power Company, Indianapolis Power and Light Company</t>
  </si>
  <si>
    <t>Michigan, Indiana</t>
  </si>
  <si>
    <t>Iowa Public Service Co</t>
  </si>
  <si>
    <t>Iowa</t>
  </si>
  <si>
    <t>Northern Indiana Public Service</t>
  </si>
  <si>
    <t>Pennsylvania Electric Co</t>
  </si>
  <si>
    <t>Pensylvania</t>
  </si>
  <si>
    <t>Consolidated Edison Co, Houston Lightning Company, SouthWestern electric company</t>
  </si>
  <si>
    <t>Texas electric service &amp; Light Co</t>
  </si>
  <si>
    <t>Texas</t>
  </si>
  <si>
    <t>Union electric company</t>
  </si>
  <si>
    <t>Missouri, Nebraska, Minnesota</t>
  </si>
  <si>
    <t>Utah Power and Light Company</t>
  </si>
  <si>
    <t>Utah</t>
  </si>
  <si>
    <t>Indianapolis Power and Light Company, Western Power Area Administration</t>
  </si>
  <si>
    <t>Indiana, Colorado</t>
  </si>
  <si>
    <t>Northern States Power Company, Wisconsin Electric Power Co</t>
  </si>
  <si>
    <t>Minnesota, Wisconsin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</si>
  <si>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</si>
  <si>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</si>
  <si>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</si>
  <si>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</si>
  <si>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</si>
  <si>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</si>
  <si>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</si>
  <si>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</si>
  <si>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</si>
  <si>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3H10</t>
  </si>
  <si>
    <t>H frame</t>
  </si>
  <si>
    <t>Public Service Company of New Hampshire</t>
  </si>
  <si>
    <t>New Englad</t>
  </si>
  <si>
    <t>Public Service Company of New Mexico</t>
  </si>
  <si>
    <t>New Mexico</t>
  </si>
  <si>
    <t>Cleveland electric iluminating, Indianapolis Power and Light Company, Northeast Utilities</t>
  </si>
  <si>
    <t>Ohio, Indiana, New Hampshire, Massachusets, Connecticut</t>
  </si>
  <si>
    <t>Northern States Power Company, Wisconsin Electric Power Co, Kansas Gas &amp; Electric Co</t>
  </si>
  <si>
    <t>Minnesota, Wisconsin, Kansas</t>
  </si>
  <si>
    <t>New Englad Electric System</t>
  </si>
  <si>
    <t>AAC</t>
  </si>
  <si>
    <t>El paso electric company</t>
  </si>
  <si>
    <t>Texas, New Mexico</t>
  </si>
  <si>
    <t>Boston Edison Company</t>
  </si>
  <si>
    <t>Massachusets</t>
  </si>
  <si>
    <t>Oklahoma Gas &amp; Electric Co, American Electric Power Co</t>
  </si>
  <si>
    <t>Oklahoma, Ohio</t>
  </si>
  <si>
    <t>New York, Illinois, Maine, New Englad</t>
  </si>
  <si>
    <t>Niagara Mohawk Power Corporation, Illinois Power Company, Central Maine Power Co</t>
  </si>
  <si>
    <t>3Y1</t>
  </si>
  <si>
    <t>3Y2</t>
  </si>
  <si>
    <t>3Y3</t>
  </si>
  <si>
    <t>Y</t>
  </si>
  <si>
    <t>New Hampshire, Massachusets, Connecticut, New York, Vermont, Wisconsin</t>
  </si>
  <si>
    <t>Public Service Company of New Hampshire, Northeast Utilities, New York State Electric &amp; Gas, Vermont Electric Company, Wisconsin Public Service Corp</t>
  </si>
  <si>
    <t>Tucson Gas &amp; Electric Co</t>
  </si>
  <si>
    <t>Arizona</t>
  </si>
  <si>
    <t>SouthWestern electric company</t>
  </si>
  <si>
    <t>New York, Texas, Arkansas, Lousiana, Texas</t>
  </si>
  <si>
    <t>Arkansas, Lousiana, Texas</t>
  </si>
  <si>
    <t>Pacific Power Light corp</t>
  </si>
  <si>
    <t>5L10</t>
  </si>
  <si>
    <t>5L1</t>
  </si>
  <si>
    <t>5L2</t>
  </si>
  <si>
    <t>5L3</t>
  </si>
  <si>
    <t>5L4</t>
  </si>
  <si>
    <t>5L5</t>
  </si>
  <si>
    <t>5L6</t>
  </si>
  <si>
    <t>5L7</t>
  </si>
  <si>
    <t>5L8</t>
  </si>
  <si>
    <t>5L9</t>
  </si>
  <si>
    <t>5L11</t>
  </si>
  <si>
    <t>5L12</t>
  </si>
  <si>
    <t>5L13</t>
  </si>
  <si>
    <t>5L14</t>
  </si>
  <si>
    <t>5P1</t>
  </si>
  <si>
    <t>5P2</t>
  </si>
  <si>
    <t>5H1</t>
  </si>
  <si>
    <t>5H2</t>
  </si>
  <si>
    <t>5Y1</t>
  </si>
  <si>
    <t>5Y2</t>
  </si>
  <si>
    <t>5Y3</t>
  </si>
  <si>
    <t>7L1</t>
  </si>
  <si>
    <t>7L2</t>
  </si>
  <si>
    <t>7L3</t>
  </si>
  <si>
    <t>7P1</t>
  </si>
  <si>
    <t>7H1</t>
  </si>
  <si>
    <t>7V1</t>
  </si>
  <si>
    <t>DC1</t>
  </si>
  <si>
    <t>DC2</t>
  </si>
  <si>
    <t>V frame</t>
  </si>
  <si>
    <t>Alabama Power Company</t>
  </si>
  <si>
    <t>Alabama</t>
  </si>
  <si>
    <t>Arkansas Power &amp; Light Co.</t>
  </si>
  <si>
    <t>Arkansas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</si>
  <si>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</si>
  <si>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</si>
  <si>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</si>
  <si>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</si>
  <si>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</si>
  <si>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1.821, 1.504</t>
  </si>
  <si>
    <t xml:space="preserve">Baltimore Gas and Electric Company, Baltimore Gas and Electric Company </t>
  </si>
  <si>
    <t>Maryland, Maryland</t>
  </si>
  <si>
    <t>Basin Electric Power Co-op</t>
  </si>
  <si>
    <t>California, North Dakota, South Dakota, Colorado, Montana, New Mexico, Wyoming, Minnesota, Iowa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</si>
  <si>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theme="1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theme="1"/>
        <rFont val="Arial"/>
        <family val="2"/>
      </rPr>
      <t>California</t>
    </r>
  </si>
  <si>
    <t>Bonneville Power Administration</t>
  </si>
  <si>
    <t>Carolina Power &amp; Light Co</t>
  </si>
  <si>
    <t>North Carolina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</si>
  <si>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</si>
  <si>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</si>
  <si>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</si>
  <si>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</si>
  <si>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</si>
  <si>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Conductor_Type</t>
  </si>
  <si>
    <t>bundling</t>
  </si>
  <si>
    <t>bundling_spacing_inch</t>
  </si>
  <si>
    <t>n_circuits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</si>
  <si>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</si>
  <si>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</si>
  <si>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</si>
  <si>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</si>
  <si>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</si>
  <si>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1t_</t>
    </r>
    <r>
      <rPr>
        <b/>
        <sz val="11"/>
        <color theme="1"/>
        <rFont val="Aptos Narrow"/>
        <family val="2"/>
        <scheme val="minor"/>
      </rPr>
      <t>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</si>
  <si>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1t</t>
    </r>
    <r>
      <rPr>
        <b/>
        <sz val="11"/>
        <color theme="1"/>
        <rFont val="Aptos Narrow"/>
        <family val="2"/>
        <scheme val="minor"/>
      </rPr>
      <t>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</si>
  <si>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</si>
  <si>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</si>
  <si>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</si>
  <si>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</si>
  <si>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</si>
  <si>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Sg1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</si>
  <si>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</si>
  <si>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Sg2</t>
    </r>
    <r>
      <rPr>
        <b/>
        <vertAlign val="subscript"/>
        <sz val="11"/>
        <color theme="1"/>
        <rFont val="Aptos Narrow"/>
        <family val="2"/>
        <scheme val="minor"/>
      </rPr>
      <t>1t_ft</t>
    </r>
  </si>
  <si>
    <r>
      <t>ha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</si>
  <si>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</si>
  <si>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hc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</si>
  <si>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Sa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</si>
  <si>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Sb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</si>
  <si>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r>
      <t>Sc</t>
    </r>
    <r>
      <rPr>
        <b/>
        <vertAlign val="subscript"/>
        <sz val="11"/>
        <color theme="1"/>
        <rFont val="Aptos Narrow"/>
        <family val="2"/>
        <scheme val="minor"/>
      </rPr>
      <t>2t_ft</t>
    </r>
  </si>
  <si>
    <t>conductor_diameter_inch</t>
  </si>
  <si>
    <t>structure_type</t>
  </si>
  <si>
    <t>state</t>
  </si>
  <si>
    <t>code</t>
  </si>
  <si>
    <t>company</t>
  </si>
  <si>
    <t>New Englad, New Hampshire, Massachusets</t>
  </si>
  <si>
    <t>n_ground_w</t>
  </si>
  <si>
    <t>Serial number</t>
  </si>
  <si>
    <t>State name</t>
  </si>
  <si>
    <t>Number of bordering states</t>
  </si>
  <si>
    <t>Mississippi, Tennessee, Florida, Georgia</t>
  </si>
  <si>
    <t>Alaska</t>
  </si>
  <si>
    <t>None</t>
  </si>
  <si>
    <t>Nevada, New Mexico, Utah, California, Colorado</t>
  </si>
  <si>
    <t>Oklahoma, Tennessee, Texas, Louisiana, Mississippi, Missouri</t>
  </si>
  <si>
    <t>California</t>
  </si>
  <si>
    <t>Oregon, Arizona, Nevada</t>
  </si>
  <si>
    <t>Colorado</t>
  </si>
  <si>
    <t>New Mexico, Oklahoma, Utah, Wyoming, Arizona, Kansas, Nebraska</t>
  </si>
  <si>
    <t>Connecticut</t>
  </si>
  <si>
    <t>New York, Rhode Island, Massachusetts</t>
  </si>
  <si>
    <t>Delaware</t>
  </si>
  <si>
    <t>New Jersey, Pennsylvania, Maryland</t>
  </si>
  <si>
    <t>Florida</t>
  </si>
  <si>
    <t>Georgia, Alabama</t>
  </si>
  <si>
    <t>Georgia</t>
  </si>
  <si>
    <t>North Carolina, South Carolina, Tennessee, Alabama, Florida</t>
  </si>
  <si>
    <t>Hawaii</t>
  </si>
  <si>
    <t>Idaho</t>
  </si>
  <si>
    <t>Utah, Washington, Wyoming, Montana, Nevada, Oregon</t>
  </si>
  <si>
    <t>Kentucky, Missouri, Wisconsin, Indiana, Iowa, Michigan (water border only)</t>
  </si>
  <si>
    <t>Michigan, Ohio, Illinois, Kentucky</t>
  </si>
  <si>
    <t>Nebraska, South Dakota, Wisconsin, Illinois, Minnesota, Missouri</t>
  </si>
  <si>
    <t>Kansas</t>
  </si>
  <si>
    <t>Nebraska, Oklahoma, Colorado, Missouri</t>
  </si>
  <si>
    <t>Kentucky</t>
  </si>
  <si>
    <t>Tennessee, Virginia, West Virginia, Illinois, Indiana, Missouri, Ohio</t>
  </si>
  <si>
    <t>Louisiana</t>
  </si>
  <si>
    <t>Texas, Arkansas, Mississippi</t>
  </si>
  <si>
    <t>Maine</t>
  </si>
  <si>
    <t>New Hampshire</t>
  </si>
  <si>
    <t>Maryland</t>
  </si>
  <si>
    <t>Virginia, West Virginia, Delaware, Pennsylvania</t>
  </si>
  <si>
    <t>Massachusetts</t>
  </si>
  <si>
    <t>New York, Rhode Island, Vermont, Connecticut, New Hampshire</t>
  </si>
  <si>
    <t>Ohio, Wisconsin, Illinois, Indiana, Minnesota (water border)</t>
  </si>
  <si>
    <t>Minnesota</t>
  </si>
  <si>
    <t>North Dakota, South Dakota, Wisconsin, Iowa, Michigan (water border)</t>
  </si>
  <si>
    <t>Mississippi</t>
  </si>
  <si>
    <t>Louisiana, Tennessee, Alabama, Arkansas</t>
  </si>
  <si>
    <t>Missouri</t>
  </si>
  <si>
    <t>Nebraska, Oklahoma, Tennessee, Arkansas, Illinois, Iowa, Kansas, Kentucky</t>
  </si>
  <si>
    <t>Montana</t>
  </si>
  <si>
    <t>South Dakota, Wyoming, Idaho, North Dakota</t>
  </si>
  <si>
    <t>Nebraska</t>
  </si>
  <si>
    <t>Missouri, South Dakota, Wyoming, Colorado, Iowa, Kansas,</t>
  </si>
  <si>
    <t>Nevada</t>
  </si>
  <si>
    <t>Idaho, Oregon, Utah, Arizona, California</t>
  </si>
  <si>
    <t>Vermont, Maine, Massachusetts</t>
  </si>
  <si>
    <t>New Jersey</t>
  </si>
  <si>
    <t>Pennsylvania, Delaware, New York</t>
  </si>
  <si>
    <t>Oklahoma, Texas, Utah, Arizona, Colorado</t>
  </si>
  <si>
    <t>Pennsylvania, Rhode Island (water border), Vermont, Connecticut, Massachusetts, New Jersey</t>
  </si>
  <si>
    <t>Tennessee, Virginia, Georgia, South Carolina</t>
  </si>
  <si>
    <t>North Dakota</t>
  </si>
  <si>
    <t>South Dakota, Minnesota, Montana</t>
  </si>
  <si>
    <t>Michigan, Pennsylvania, West Virginia, Indiana, Kentucky</t>
  </si>
  <si>
    <t>Oklahoma</t>
  </si>
  <si>
    <t>Missouri, New Mexico, Texas, Arkansas, Colorado, Kansas</t>
  </si>
  <si>
    <t>Oregon</t>
  </si>
  <si>
    <t>Nevada, Washington, California, Idaho</t>
  </si>
  <si>
    <t>Pennsylvania</t>
  </si>
  <si>
    <t>New York, Ohio, West Virginia, Delaware, Maryland, New Jersey</t>
  </si>
  <si>
    <t>Rhode Island</t>
  </si>
  <si>
    <t>Massachusetts, New York (water border), Connecticut</t>
  </si>
  <si>
    <t>South Carolina</t>
  </si>
  <si>
    <t>North Carolina, Georgia,</t>
  </si>
  <si>
    <t>South Dakota</t>
  </si>
  <si>
    <t>Nebraska, North Dakota, Wyoming, Iowa, Minnesota, Montana</t>
  </si>
  <si>
    <t>Tennessee</t>
  </si>
  <si>
    <t>Mississippi, Missouri, North Carolina, Virginia, Alabama, Arkansas, Georgia, Kentucky</t>
  </si>
  <si>
    <t>New Mexico, Oklahoma, Arkansas, Louisiana</t>
  </si>
  <si>
    <t>Nevada, New Mexico, Wyoming, Arizona, Colorado, Idaho</t>
  </si>
  <si>
    <t>Vermont</t>
  </si>
  <si>
    <t>New Hampshire, New York, Massachusetts</t>
  </si>
  <si>
    <t>Virginia</t>
  </si>
  <si>
    <t>North Carolina, Tennessee, West Virginia, Kentucky, Maryland</t>
  </si>
  <si>
    <t>Washington</t>
  </si>
  <si>
    <t>Oregon, Idaho</t>
  </si>
  <si>
    <t>West Virginia</t>
  </si>
  <si>
    <t>Pennsylvania, Virginia, Kentucky, Maryland, Ohio</t>
  </si>
  <si>
    <t>Wisconsin</t>
  </si>
  <si>
    <t>Michigan, Minnesota, Illinois, Iowa</t>
  </si>
  <si>
    <t>Wyoming</t>
  </si>
  <si>
    <t>Nebraska, South Dakota, Utah, Colorado, Idaho, Montana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</si>
  <si>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</si>
  <si>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</si>
  <si>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</si>
  <si>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</si>
  <si>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</si>
  <si>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</si>
  <si>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</si>
  <si>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</si>
  <si>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</si>
  <si>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</si>
  <si>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</si>
  <si>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</si>
  <si>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</si>
  <si>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</si>
  <si>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</si>
  <si>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</si>
  <si>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</si>
  <si>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</si>
  <si>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</si>
  <si>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</si>
  <si>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</si>
  <si>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</si>
  <si>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</si>
  <si>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</si>
  <si>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</si>
  <si>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</si>
  <si>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</si>
  <si>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</si>
  <si>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</si>
  <si>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</si>
  <si>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</si>
  <si>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</si>
  <si>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</si>
  <si>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</si>
  <si>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</si>
  <si>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</si>
  <si>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</si>
  <si>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</si>
  <si>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</si>
  <si>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</si>
  <si>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</si>
  <si>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</si>
  <si>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</si>
  <si>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</si>
  <si>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</si>
  <si>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</si>
  <si>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</si>
  <si>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</si>
  <si>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</si>
  <si>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</si>
  <si>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Abreviation</t>
  </si>
  <si>
    <t>Bordering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</si>
</sst>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b/>
      <sz val="10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6" fillId="0" borderId="0" xfId="1"/>
    <xf numFmtId="0" fontId="0" fillId="2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7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320040</xdr:rowOff>
    </xdr:to>
    <xdr:sp macro="" textlink="">
      <xdr:nvSpPr>
        <xdr:cNvPr id="3073" name="offeringLogo">
          <a:extLst>
            <a:ext uri="{FF2B5EF4-FFF2-40B4-BE49-F238E27FC236}">
              <a16:creationId xmlns:a16="http://schemas.microsoft.com/office/drawing/2014/main" id="{C981926F-0D39-DFD5-F00C-3AFA0DA7A60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3074" name="offeringLogo">
          <a:extLst>
            <a:ext uri="{FF2B5EF4-FFF2-40B4-BE49-F238E27FC236}">
              <a16:creationId xmlns:a16="http://schemas.microsoft.com/office/drawing/2014/main" id="{A994E4FE-9EBE-ACB7-659D-1CA794A678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9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320040</xdr:rowOff>
    </xdr:to>
    <xdr:sp macro="" textlink="">
      <xdr:nvSpPr>
        <xdr:cNvPr id="3075" name="offeringLogo">
          <a:extLst>
            <a:ext uri="{FF2B5EF4-FFF2-40B4-BE49-F238E27FC236}">
              <a16:creationId xmlns:a16="http://schemas.microsoft.com/office/drawing/2014/main" id="{237D235A-A701-EA7C-DE85-3F43E65F68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0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320040</xdr:rowOff>
    </xdr:to>
    <xdr:sp macro="" textlink="">
      <xdr:nvSpPr>
        <xdr:cNvPr id="3076" name="offeringLogo">
          <a:extLst>
            <a:ext uri="{FF2B5EF4-FFF2-40B4-BE49-F238E27FC236}">
              <a16:creationId xmlns:a16="http://schemas.microsoft.com/office/drawing/2014/main" id="{A54B1AEE-B9A0-4D37-DD2F-EB31F03FCF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133350</xdr:rowOff>
    </xdr:to>
    <xdr:sp macro="" textlink="">
      <xdr:nvSpPr>
        <xdr:cNvPr id="3077" name="offeringLogo">
          <a:extLst>
            <a:ext uri="{FF2B5EF4-FFF2-40B4-BE49-F238E27FC236}">
              <a16:creationId xmlns:a16="http://schemas.microsoft.com/office/drawing/2014/main" id="{E3C220F2-8A39-4AA1-6609-BC17F8E58D1A}"/>
            </a:ext>
          </a:extLst>
        </xdr:cNvPr>
        <xdr:cNvSpPr>
          <a:spLocks noChangeAspect="1" noChangeArrowheads="1"/>
        </xdr:cNvSpPr>
      </xdr:nvSpPr>
      <xdr:spPr bwMode="auto">
        <a:xfrm>
          <a:off x="0" y="5969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133350</xdr:rowOff>
    </xdr:to>
    <xdr:sp macro="" textlink="">
      <xdr:nvSpPr>
        <xdr:cNvPr id="3078" name="offeringLogo">
          <a:extLst>
            <a:ext uri="{FF2B5EF4-FFF2-40B4-BE49-F238E27FC236}">
              <a16:creationId xmlns:a16="http://schemas.microsoft.com/office/drawing/2014/main" id="{8075DE53-2E79-CFE6-B26E-1355B100F89C}"/>
            </a:ext>
          </a:extLst>
        </xdr:cNvPr>
        <xdr:cNvSpPr>
          <a:spLocks noChangeAspect="1" noChangeArrowheads="1"/>
        </xdr:cNvSpPr>
      </xdr:nvSpPr>
      <xdr:spPr bwMode="auto">
        <a:xfrm>
          <a:off x="0" y="6006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83820</xdr:rowOff>
    </xdr:from>
    <xdr:to>
      <xdr:col>10</xdr:col>
      <xdr:colOff>229148</xdr:colOff>
      <xdr:row>43</xdr:row>
      <xdr:rowOff>145340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F3921-7C99-01A8-7941-66E2A6EB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3980"/>
          <a:ext cx="6325148" cy="646232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19</xdr:col>
      <xdr:colOff>358541</xdr:colOff>
      <xdr:row>33</xdr:row>
      <xdr:rowOff>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5C6CA-04AD-C229-E205-A1EB76B29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28800"/>
          <a:ext cx="4625741" cy="4214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35</xdr:row>
      <xdr:rowOff>35000</xdr:rowOff>
    </xdr:from>
    <xdr:to>
      <xdr:col>19</xdr:col>
      <xdr:colOff>541604</xdr:colOff>
      <xdr:row>46</xdr:row>
      <xdr:rowOff>38348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5E2EA6-AEE3-6A7D-4B77-2B71D4715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8540" y="6435800"/>
          <a:ext cx="4755464" cy="201502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</xdr:row>
      <xdr:rowOff>171450</xdr:rowOff>
    </xdr:from>
    <xdr:to>
      <xdr:col>24</xdr:col>
      <xdr:colOff>305021</xdr:colOff>
      <xdr:row>15</xdr:row>
      <xdr:rowOff>76395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700EFC-D118-14BD-3A9C-7834123F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0" y="533400"/>
          <a:ext cx="2552921" cy="225762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20</xdr:col>
      <xdr:colOff>83820</xdr:colOff>
      <xdr:row>15</xdr:row>
      <xdr:rowOff>160020</xdr:rowOff>
    </xdr:from>
    <xdr:to>
      <xdr:col>29</xdr:col>
      <xdr:colOff>541020</xdr:colOff>
      <xdr:row>43</xdr:row>
      <xdr:rowOff>182245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76C59A-7556-ADF7-B0AF-D02C768FC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75820" y="2903220"/>
          <a:ext cx="5943600" cy="5142865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hado, Sebastian de Jesus" id="{6F639521-924D-4019-BE77-FAD30B2E2DAA}" userId="S::smachado@nrel.gov::907c2522-1498-4aff-b899-4458e1a0c6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8-12T17:09:22.39" personId="{6F639521-924D-4019-BE77-FAD30B2E2DAA}" id="{89955BC4-8829-462E-A4B2-0DD22A17116D}">
    <text xml:space="preserve">From 295 up to 600 according to IEC 60305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eb.engr.oregonstate.edu/~webbky/ESE470_files/Section%204%20Transmission%20Lin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2E0-156B-4EF7-9E5E-E697E05A2978}">
  <dimension ref="A1:BW64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4.4" x14ac:dyDescent="0.3"/>
  <cols>
    <col min="1" max="1" width="5.33203125" style="8" bestFit="1" customWidth="1"/>
    <col min="2" max="2" width="6.44140625" bestFit="1" customWidth="1"/>
    <col min="3" max="3" width="6.44140625" customWidth="1"/>
    <col min="4" max="4" width="43.109375" customWidth="1"/>
    <col min="5" max="5" width="5.6640625" style="8" customWidth="1"/>
    <col min="6" max="6" width="5.88671875" customWidth="1"/>
    <col min="7" max="7" width="6.44140625" customWidth="1"/>
    <col min="8" max="8" width="6.44140625" style="9" customWidth="1"/>
    <col min="9" max="9" width="4.109375" customWidth="1"/>
    <col min="10" max="10" width="4.21875" customWidth="1"/>
    <col min="11" max="11" width="7.5546875" style="9" customWidth="1"/>
    <col min="12" max="12" width="6.5546875" bestFit="1" customWidth="1"/>
    <col min="13" max="14" width="6.5546875" customWidth="1"/>
    <col min="15" max="15" width="7" customWidth="1"/>
    <col min="16" max="16" width="5.33203125" style="13" customWidth="1"/>
    <col min="17" max="20" width="5.33203125" style="14" customWidth="1"/>
    <col min="21" max="21" width="5.33203125" style="15" customWidth="1"/>
    <col min="22" max="22" width="5.33203125" style="19" customWidth="1"/>
    <col min="23" max="24" width="5.33203125" style="20" customWidth="1"/>
    <col min="25" max="25" width="5.33203125" style="21" customWidth="1"/>
    <col min="26" max="26" width="5.33203125" style="25" customWidth="1"/>
    <col min="27" max="30" width="5.33203125" style="26" customWidth="1"/>
    <col min="31" max="31" width="5.33203125" style="27" customWidth="1"/>
    <col min="32" max="32" width="0.6640625" style="4" customWidth="1"/>
    <col min="33" max="33" width="5.33203125" style="13" customWidth="1"/>
    <col min="34" max="42" width="5.33203125" style="14" customWidth="1"/>
    <col min="43" max="43" width="5.77734375" style="14" customWidth="1"/>
    <col min="44" max="44" width="5.33203125" style="15" customWidth="1"/>
    <col min="45" max="45" width="1.21875" style="4" customWidth="1"/>
    <col min="46" max="46" width="5.33203125" style="19" customWidth="1"/>
    <col min="47" max="47" width="5.33203125" style="20" customWidth="1"/>
    <col min="48" max="48" width="5.6640625" style="20" customWidth="1"/>
    <col min="49" max="52" width="5.33203125" style="20" customWidth="1"/>
    <col min="53" max="53" width="5.33203125" style="21" customWidth="1"/>
    <col min="54" max="54" width="1.88671875" style="4" customWidth="1"/>
    <col min="55" max="55" width="5.33203125" style="25" customWidth="1"/>
    <col min="56" max="65" width="5.33203125" style="26" customWidth="1"/>
    <col min="66" max="66" width="5.33203125" style="27" customWidth="1"/>
    <col min="67" max="67" width="1.33203125" style="4" customWidth="1"/>
    <col min="68" max="75" width="5.33203125" style="4" customWidth="1"/>
  </cols>
  <sheetData>
    <row r="1" spans="1:75" s="1" customFormat="1" ht="86.4" x14ac:dyDescent="0.3">
      <c r="A1" s="5" t="s">
        <v>217</v>
      </c>
      <c r="B1" s="6" t="s">
        <v>215</v>
      </c>
      <c r="C1" s="6" t="s">
        <v>218</v>
      </c>
      <c r="D1" s="6" t="s">
        <v>216</v>
      </c>
      <c r="E1" s="5" t="s">
        <v>189</v>
      </c>
      <c r="F1" s="2" t="s">
        <v>214</v>
      </c>
      <c r="G1" s="2" t="s">
        <v>190</v>
      </c>
      <c r="H1" s="7" t="s">
        <v>191</v>
      </c>
      <c r="I1" s="2" t="s">
        <v>192</v>
      </c>
      <c r="J1" s="2" t="s">
        <v>220</v>
      </c>
      <c r="K1" s="7" t="s">
        <v>193</v>
      </c>
      <c r="L1" s="2" t="s">
        <v>194</v>
      </c>
      <c r="M1" s="2" t="s">
        <v>195</v>
      </c>
      <c r="N1" s="2" t="s">
        <v>196</v>
      </c>
      <c r="O1" s="2" t="s">
        <v>197</v>
      </c>
      <c r="P1" s="10" t="s">
        <v>198</v>
      </c>
      <c r="Q1" s="11" t="s">
        <v>199</v>
      </c>
      <c r="R1" s="11" t="s">
        <v>200</v>
      </c>
      <c r="S1" s="11" t="s">
        <v>201</v>
      </c>
      <c r="T1" s="11" t="s">
        <v>202</v>
      </c>
      <c r="U1" s="12" t="s">
        <v>203</v>
      </c>
      <c r="V1" s="16" t="s">
        <v>204</v>
      </c>
      <c r="W1" s="17" t="s">
        <v>205</v>
      </c>
      <c r="X1" s="17" t="s">
        <v>206</v>
      </c>
      <c r="Y1" s="18" t="s">
        <v>207</v>
      </c>
      <c r="Z1" s="22" t="s">
        <v>208</v>
      </c>
      <c r="AA1" s="23" t="s">
        <v>209</v>
      </c>
      <c r="AB1" s="23" t="s">
        <v>210</v>
      </c>
      <c r="AC1" s="23" t="s">
        <v>211</v>
      </c>
      <c r="AD1" s="23" t="s">
        <v>212</v>
      </c>
      <c r="AE1" s="24" t="s">
        <v>213</v>
      </c>
      <c r="AF1" s="2"/>
      <c r="AG1" s="10" t="s">
        <v>14</v>
      </c>
      <c r="AH1" s="11" t="s">
        <v>15</v>
      </c>
      <c r="AI1" s="11" t="s">
        <v>16</v>
      </c>
      <c r="AJ1" s="11" t="s">
        <v>17</v>
      </c>
      <c r="AK1" s="11" t="s">
        <v>18</v>
      </c>
      <c r="AL1" s="11" t="s">
        <v>19</v>
      </c>
      <c r="AM1" s="11" t="s">
        <v>20</v>
      </c>
      <c r="AN1" s="11" t="s">
        <v>21</v>
      </c>
      <c r="AO1" s="11" t="s">
        <v>22</v>
      </c>
      <c r="AP1" s="11" t="s">
        <v>23</v>
      </c>
      <c r="AQ1" s="11" t="s">
        <v>24</v>
      </c>
      <c r="AR1" s="12" t="s">
        <v>25</v>
      </c>
      <c r="AS1" s="2"/>
      <c r="AT1" s="16" t="s">
        <v>38</v>
      </c>
      <c r="AU1" s="17" t="s">
        <v>39</v>
      </c>
      <c r="AV1" s="17" t="s">
        <v>40</v>
      </c>
      <c r="AW1" s="17" t="s">
        <v>41</v>
      </c>
      <c r="AX1" s="17" t="s">
        <v>42</v>
      </c>
      <c r="AY1" s="17" t="s">
        <v>43</v>
      </c>
      <c r="AZ1" s="17" t="s">
        <v>44</v>
      </c>
      <c r="BA1" s="18" t="s">
        <v>45</v>
      </c>
      <c r="BB1" s="3"/>
      <c r="BC1" s="22" t="s">
        <v>26</v>
      </c>
      <c r="BD1" s="23" t="s">
        <v>27</v>
      </c>
      <c r="BE1" s="23" t="s">
        <v>28</v>
      </c>
      <c r="BF1" s="23" t="s">
        <v>29</v>
      </c>
      <c r="BG1" s="23" t="s">
        <v>30</v>
      </c>
      <c r="BH1" s="23" t="s">
        <v>31</v>
      </c>
      <c r="BI1" s="23" t="s">
        <v>32</v>
      </c>
      <c r="BJ1" s="23" t="s">
        <v>33</v>
      </c>
      <c r="BK1" s="23" t="s">
        <v>34</v>
      </c>
      <c r="BL1" s="23" t="s">
        <v>35</v>
      </c>
      <c r="BM1" s="23" t="s">
        <v>36</v>
      </c>
      <c r="BN1" s="24" t="s">
        <v>37</v>
      </c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3">
      <c r="A2" s="8" t="s">
        <v>0</v>
      </c>
      <c r="B2" t="s">
        <v>13</v>
      </c>
      <c r="C2" t="s">
        <v>79</v>
      </c>
      <c r="D2" t="s">
        <v>80</v>
      </c>
      <c r="E2" s="8" t="s">
        <v>66</v>
      </c>
      <c r="F2">
        <v>1.1080000000000001</v>
      </c>
      <c r="G2">
        <v>2</v>
      </c>
      <c r="H2" s="9">
        <v>18</v>
      </c>
      <c r="I2">
        <v>1</v>
      </c>
      <c r="J2">
        <v>2</v>
      </c>
      <c r="K2" s="9">
        <v>345</v>
      </c>
      <c r="L2">
        <v>20</v>
      </c>
      <c r="M2">
        <v>355</v>
      </c>
      <c r="N2">
        <v>170</v>
      </c>
      <c r="O2">
        <f>((K2*L2)/M2)*N2*(1/304.8)</f>
        <v>10.840634357325053</v>
      </c>
      <c r="P2" s="13">
        <f>AG2+(AH2*(1/12))-O2</f>
        <v>69.159365642674942</v>
      </c>
      <c r="Q2" s="14">
        <f>AI2+(AJ2*(1/12))-O2</f>
        <v>69.159365642674942</v>
      </c>
      <c r="R2" s="14">
        <f>AK2+(AL2*(1/12))-O2</f>
        <v>69.159365642674942</v>
      </c>
      <c r="S2" s="14">
        <f>AM2+(AN2*(1/12))</f>
        <v>-23.75</v>
      </c>
      <c r="T2" s="14">
        <f>AO2+(AP2*(1/12))</f>
        <v>0</v>
      </c>
      <c r="U2" s="15">
        <f>AQ2+(AR2*(1/12))</f>
        <v>23.75</v>
      </c>
      <c r="V2" s="19">
        <f>AT2+((1/12)*AU2)</f>
        <v>87.5</v>
      </c>
      <c r="W2" s="20">
        <f>AV2+((1/12)*AW2)</f>
        <v>-17.8125</v>
      </c>
      <c r="X2" s="20">
        <f>AX2+((1/12)*AY2)</f>
        <v>87.5</v>
      </c>
      <c r="Y2" s="21">
        <f>AZ2+((1/12)*BA2)</f>
        <v>17.8125</v>
      </c>
      <c r="Z2" s="25">
        <f>BC2+(BD2*(1/12))-O2</f>
        <v>-10.840634357325053</v>
      </c>
      <c r="AA2" s="26">
        <f>BE2+(BF2*(1/12))-O2</f>
        <v>-10.840634357325053</v>
      </c>
      <c r="AB2" s="26">
        <f>BG2+(BH2*(1/12))-O2</f>
        <v>-10.840634357325053</v>
      </c>
      <c r="AC2" s="26">
        <f t="shared" ref="AC2:AC6" si="0">BI2+(BJ2*(1/12))</f>
        <v>0</v>
      </c>
      <c r="AD2" s="26">
        <f t="shared" ref="AD2:AD6" si="1">BK2+(BL2*(1/12))</f>
        <v>0</v>
      </c>
      <c r="AE2" s="27">
        <f t="shared" ref="AE2:AE6" si="2">BM2+(BN2*(1/12))</f>
        <v>0</v>
      </c>
      <c r="AG2" s="13">
        <v>80</v>
      </c>
      <c r="AH2" s="14">
        <v>0</v>
      </c>
      <c r="AI2" s="14">
        <v>80</v>
      </c>
      <c r="AJ2" s="14">
        <v>0</v>
      </c>
      <c r="AK2" s="14">
        <v>80</v>
      </c>
      <c r="AL2" s="14">
        <v>0</v>
      </c>
      <c r="AM2" s="14">
        <v>-23</v>
      </c>
      <c r="AN2" s="14">
        <v>-9</v>
      </c>
      <c r="AO2" s="14">
        <v>0</v>
      </c>
      <c r="AP2" s="14">
        <v>0</v>
      </c>
      <c r="AQ2" s="14">
        <v>23</v>
      </c>
      <c r="AR2" s="15">
        <v>9</v>
      </c>
      <c r="AT2" s="19">
        <f>80+7</f>
        <v>87</v>
      </c>
      <c r="AU2" s="20">
        <v>6</v>
      </c>
      <c r="AV2" s="20">
        <f>(3/4)*AM2</f>
        <v>-17.25</v>
      </c>
      <c r="AW2" s="20">
        <f>(3/4)*AN2</f>
        <v>-6.75</v>
      </c>
      <c r="AX2" s="20">
        <f>80+7</f>
        <v>87</v>
      </c>
      <c r="AY2" s="20">
        <v>6</v>
      </c>
      <c r="AZ2" s="20">
        <f>(3/4)*AQ2</f>
        <v>17.25</v>
      </c>
      <c r="BA2" s="21">
        <f>(3/4)*AR2</f>
        <v>6.75</v>
      </c>
      <c r="BC2" s="25">
        <v>0</v>
      </c>
      <c r="BD2" s="26">
        <v>0</v>
      </c>
      <c r="BE2" s="26">
        <v>0</v>
      </c>
      <c r="BF2" s="26">
        <v>0</v>
      </c>
      <c r="BG2" s="26">
        <v>0</v>
      </c>
      <c r="BH2" s="26">
        <v>0</v>
      </c>
      <c r="BI2" s="26">
        <v>0</v>
      </c>
      <c r="BJ2" s="26">
        <v>0</v>
      </c>
      <c r="BK2" s="26">
        <v>0</v>
      </c>
      <c r="BL2" s="26">
        <v>0</v>
      </c>
      <c r="BM2" s="26">
        <v>0</v>
      </c>
      <c r="BN2" s="27">
        <v>0</v>
      </c>
    </row>
    <row r="3" spans="1:75" x14ac:dyDescent="0.3">
      <c r="A3" s="8" t="s">
        <v>1</v>
      </c>
      <c r="B3" t="s">
        <v>13</v>
      </c>
      <c r="C3" t="s">
        <v>91</v>
      </c>
      <c r="D3" t="s">
        <v>92</v>
      </c>
      <c r="E3" s="8" t="s">
        <v>66</v>
      </c>
      <c r="F3">
        <v>1.196</v>
      </c>
      <c r="G3">
        <v>2</v>
      </c>
      <c r="H3" s="9">
        <v>18</v>
      </c>
      <c r="I3">
        <v>1</v>
      </c>
      <c r="J3">
        <v>2</v>
      </c>
      <c r="K3" s="9">
        <v>345</v>
      </c>
      <c r="L3">
        <v>20</v>
      </c>
      <c r="M3">
        <v>355</v>
      </c>
      <c r="N3">
        <v>170</v>
      </c>
      <c r="O3">
        <f t="shared" ref="O3:O14" si="3">((K3*L3)/M3)*N3*(1/304.8)</f>
        <v>10.840634357325053</v>
      </c>
      <c r="P3" s="13">
        <f>AG3+(AH3*(1/12))-O3</f>
        <v>69.159365642674942</v>
      </c>
      <c r="Q3" s="14">
        <f>AI3+(AJ3*(1/12))-O3</f>
        <v>69.159365642674942</v>
      </c>
      <c r="R3" s="14">
        <f>AK3+(AL3*(1/12))-O3</f>
        <v>69.159365642674942</v>
      </c>
      <c r="S3" s="14">
        <f t="shared" ref="S3:S14" si="4">AM3+(AN3*(1/12))</f>
        <v>-32</v>
      </c>
      <c r="T3" s="14">
        <f t="shared" ref="T3:T14" si="5">AO3+(AP3*(1/12))</f>
        <v>0</v>
      </c>
      <c r="U3" s="15">
        <f t="shared" ref="U3:U14" si="6">AQ3+(AR3*(1/12))</f>
        <v>32</v>
      </c>
      <c r="V3" s="19">
        <f>AT3+((1/12)*AU3)</f>
        <v>96.5</v>
      </c>
      <c r="W3" s="20">
        <f t="shared" ref="W3:W14" si="7">AV3+((1/12)*AW3)</f>
        <v>-21.5</v>
      </c>
      <c r="X3" s="20">
        <f t="shared" ref="X3:X14" si="8">AX3+((1/12)*AY3)</f>
        <v>96.5</v>
      </c>
      <c r="Y3" s="21">
        <f t="shared" ref="Y3:Y14" si="9">AZ3+((1/12)*BA3)</f>
        <v>21.5</v>
      </c>
      <c r="Z3" s="25">
        <f>BC3+(BD3*(1/12))-O3</f>
        <v>-10.840634357325053</v>
      </c>
      <c r="AA3" s="26">
        <f>BE3+(BF3*(1/12))-O3</f>
        <v>-10.840634357325053</v>
      </c>
      <c r="AB3" s="26">
        <f>BG3+(BH3*(1/12))-O3</f>
        <v>-10.840634357325053</v>
      </c>
      <c r="AC3" s="26">
        <f t="shared" si="0"/>
        <v>0</v>
      </c>
      <c r="AD3" s="26">
        <f t="shared" si="1"/>
        <v>0</v>
      </c>
      <c r="AE3" s="27">
        <f t="shared" si="2"/>
        <v>0</v>
      </c>
      <c r="AG3" s="13">
        <v>80</v>
      </c>
      <c r="AH3" s="14">
        <v>0</v>
      </c>
      <c r="AI3" s="14">
        <v>80</v>
      </c>
      <c r="AJ3" s="14">
        <v>0</v>
      </c>
      <c r="AK3" s="14">
        <v>80</v>
      </c>
      <c r="AL3" s="14">
        <v>0</v>
      </c>
      <c r="AM3" s="14">
        <v>-32</v>
      </c>
      <c r="AN3" s="14">
        <v>0</v>
      </c>
      <c r="AO3" s="14">
        <v>0</v>
      </c>
      <c r="AP3" s="14">
        <v>0</v>
      </c>
      <c r="AQ3" s="14">
        <v>32</v>
      </c>
      <c r="AR3" s="15">
        <v>0</v>
      </c>
      <c r="AT3" s="19">
        <f>80+16</f>
        <v>96</v>
      </c>
      <c r="AU3" s="20">
        <v>6</v>
      </c>
      <c r="AV3" s="19">
        <v>-21</v>
      </c>
      <c r="AW3" s="20">
        <v>-6</v>
      </c>
      <c r="AX3" s="19">
        <f>80+16</f>
        <v>96</v>
      </c>
      <c r="AY3" s="20">
        <v>6</v>
      </c>
      <c r="AZ3" s="20">
        <v>21</v>
      </c>
      <c r="BA3" s="21">
        <v>6</v>
      </c>
      <c r="BC3" s="25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0</v>
      </c>
      <c r="BM3" s="26">
        <v>0</v>
      </c>
      <c r="BN3" s="27">
        <v>0</v>
      </c>
    </row>
    <row r="4" spans="1:75" x14ac:dyDescent="0.3">
      <c r="A4" s="8" t="s">
        <v>2</v>
      </c>
      <c r="B4" t="s">
        <v>13</v>
      </c>
      <c r="C4" t="s">
        <v>71</v>
      </c>
      <c r="D4" t="s">
        <v>70</v>
      </c>
      <c r="E4" s="8" t="s">
        <v>66</v>
      </c>
      <c r="F4">
        <v>1.762</v>
      </c>
      <c r="G4">
        <v>1</v>
      </c>
      <c r="H4" s="9">
        <v>0</v>
      </c>
      <c r="I4">
        <v>1</v>
      </c>
      <c r="J4">
        <v>2</v>
      </c>
      <c r="K4" s="9">
        <v>345</v>
      </c>
      <c r="L4">
        <v>20</v>
      </c>
      <c r="M4">
        <v>355</v>
      </c>
      <c r="N4">
        <v>170</v>
      </c>
      <c r="O4">
        <f t="shared" si="3"/>
        <v>10.840634357325053</v>
      </c>
      <c r="P4" s="13">
        <f>AG4+(AH4*(1/12))-O4</f>
        <v>59.159365642674949</v>
      </c>
      <c r="Q4" s="14">
        <f>AI4+(AJ4*(1/12))-O4</f>
        <v>59.159365642674949</v>
      </c>
      <c r="R4" s="14">
        <f>AK4+(AL4*(1/12))-O4</f>
        <v>59.159365642674949</v>
      </c>
      <c r="S4" s="14">
        <f t="shared" si="4"/>
        <v>-24.5</v>
      </c>
      <c r="T4" s="14">
        <f t="shared" si="5"/>
        <v>0</v>
      </c>
      <c r="U4" s="15">
        <f t="shared" si="6"/>
        <v>24.5</v>
      </c>
      <c r="V4" s="19">
        <f t="shared" ref="V4:V14" si="10">AT4+((1/12)*AU4)</f>
        <v>87.5</v>
      </c>
      <c r="W4" s="20">
        <f t="shared" si="7"/>
        <v>-16.5</v>
      </c>
      <c r="X4" s="20">
        <f t="shared" si="8"/>
        <v>87.5</v>
      </c>
      <c r="Y4" s="21">
        <f t="shared" si="9"/>
        <v>16.5</v>
      </c>
      <c r="Z4" s="25">
        <f>BC4+(BD4*(1/12))-O4</f>
        <v>-10.840634357325053</v>
      </c>
      <c r="AA4" s="26">
        <f>BE4+(BF4*(1/12))-O4</f>
        <v>-10.840634357325053</v>
      </c>
      <c r="AB4" s="26">
        <f>BG4+(BH4*(1/12))-O4</f>
        <v>-10.840634357325053</v>
      </c>
      <c r="AC4" s="26">
        <f t="shared" si="0"/>
        <v>0</v>
      </c>
      <c r="AD4" s="26">
        <f t="shared" si="1"/>
        <v>0</v>
      </c>
      <c r="AE4" s="27">
        <f t="shared" si="2"/>
        <v>0</v>
      </c>
      <c r="AG4" s="13">
        <v>70</v>
      </c>
      <c r="AH4" s="14">
        <v>0</v>
      </c>
      <c r="AI4" s="14">
        <v>70</v>
      </c>
      <c r="AJ4" s="14">
        <v>0</v>
      </c>
      <c r="AK4" s="14">
        <v>70</v>
      </c>
      <c r="AL4" s="14">
        <v>0</v>
      </c>
      <c r="AM4" s="14">
        <v>-24</v>
      </c>
      <c r="AN4" s="14">
        <v>-6</v>
      </c>
      <c r="AO4" s="14">
        <v>0</v>
      </c>
      <c r="AP4" s="14">
        <v>0</v>
      </c>
      <c r="AQ4" s="14">
        <v>24</v>
      </c>
      <c r="AR4" s="15">
        <v>6</v>
      </c>
      <c r="AT4" s="19">
        <v>87</v>
      </c>
      <c r="AU4" s="20">
        <v>6</v>
      </c>
      <c r="AV4" s="20">
        <v>-16</v>
      </c>
      <c r="AW4" s="20">
        <v>-6</v>
      </c>
      <c r="AX4" s="20">
        <v>87</v>
      </c>
      <c r="AY4" s="20">
        <v>6</v>
      </c>
      <c r="AZ4" s="20">
        <v>16</v>
      </c>
      <c r="BA4" s="21">
        <v>6</v>
      </c>
    </row>
    <row r="5" spans="1:75" x14ac:dyDescent="0.3">
      <c r="A5" s="8" t="s">
        <v>3</v>
      </c>
      <c r="B5" t="s">
        <v>13</v>
      </c>
      <c r="C5" t="s">
        <v>82</v>
      </c>
      <c r="D5" t="s">
        <v>83</v>
      </c>
      <c r="E5" s="8" t="s">
        <v>66</v>
      </c>
      <c r="F5">
        <v>1.246</v>
      </c>
      <c r="G5">
        <v>2</v>
      </c>
      <c r="H5" s="9">
        <v>18</v>
      </c>
      <c r="I5">
        <v>1</v>
      </c>
      <c r="J5">
        <v>2</v>
      </c>
      <c r="K5" s="9">
        <v>345</v>
      </c>
      <c r="L5">
        <v>20</v>
      </c>
      <c r="M5">
        <v>355</v>
      </c>
      <c r="N5">
        <v>170</v>
      </c>
      <c r="O5">
        <f t="shared" si="3"/>
        <v>10.840634357325053</v>
      </c>
      <c r="P5" s="13">
        <f>AG5+(AH5*(1/12))-O5</f>
        <v>44.159365642674949</v>
      </c>
      <c r="Q5" s="14">
        <f>AI5+(AJ5*(1/12))-O5</f>
        <v>44.159365642674949</v>
      </c>
      <c r="R5" s="14">
        <f>AK5+(AL5*(1/12))-O5</f>
        <v>44.159365642674949</v>
      </c>
      <c r="S5" s="14">
        <f t="shared" si="4"/>
        <v>-22.666666666666668</v>
      </c>
      <c r="T5" s="14">
        <f t="shared" si="5"/>
        <v>0</v>
      </c>
      <c r="U5" s="15">
        <f t="shared" si="6"/>
        <v>22.666666666666668</v>
      </c>
      <c r="V5" s="19">
        <f t="shared" si="10"/>
        <v>73</v>
      </c>
      <c r="W5" s="20">
        <f t="shared" si="7"/>
        <v>-18.583333333333332</v>
      </c>
      <c r="X5" s="20">
        <f t="shared" si="8"/>
        <v>73</v>
      </c>
      <c r="Y5" s="21">
        <f t="shared" si="9"/>
        <v>18.583333333333332</v>
      </c>
      <c r="Z5" s="25">
        <f>BC5+(BD5*(1/12))-O5</f>
        <v>-10.840634357325053</v>
      </c>
      <c r="AA5" s="26">
        <f>BE5+(BF5*(1/12))-O5</f>
        <v>-10.840634357325053</v>
      </c>
      <c r="AB5" s="26">
        <f>BG5+(BH5*(1/12))-O5</f>
        <v>-10.840634357325053</v>
      </c>
      <c r="AC5" s="26">
        <f t="shared" si="0"/>
        <v>0</v>
      </c>
      <c r="AD5" s="26">
        <f t="shared" si="1"/>
        <v>0</v>
      </c>
      <c r="AE5" s="27">
        <f t="shared" si="2"/>
        <v>0</v>
      </c>
      <c r="AG5" s="13">
        <v>55</v>
      </c>
      <c r="AH5" s="14">
        <v>0</v>
      </c>
      <c r="AI5" s="14">
        <v>55</v>
      </c>
      <c r="AJ5" s="14">
        <v>0</v>
      </c>
      <c r="AK5" s="14">
        <v>55</v>
      </c>
      <c r="AL5" s="14">
        <v>0</v>
      </c>
      <c r="AM5" s="14">
        <v>-22</v>
      </c>
      <c r="AN5" s="14">
        <v>-8</v>
      </c>
      <c r="AO5" s="14">
        <v>0</v>
      </c>
      <c r="AP5" s="14">
        <v>0</v>
      </c>
      <c r="AQ5" s="14">
        <v>22</v>
      </c>
      <c r="AR5" s="15">
        <v>8</v>
      </c>
      <c r="AT5" s="19">
        <f>55+9+7+2</f>
        <v>73</v>
      </c>
      <c r="AU5" s="20">
        <v>0</v>
      </c>
      <c r="AV5" s="20">
        <v>-18</v>
      </c>
      <c r="AW5" s="20">
        <v>-7</v>
      </c>
      <c r="AX5" s="19">
        <f>55+9+7+2</f>
        <v>73</v>
      </c>
      <c r="AY5" s="20">
        <v>0</v>
      </c>
      <c r="AZ5" s="20">
        <v>18</v>
      </c>
      <c r="BA5" s="21">
        <v>7</v>
      </c>
    </row>
    <row r="6" spans="1:75" x14ac:dyDescent="0.3">
      <c r="A6" s="8" t="s">
        <v>4</v>
      </c>
      <c r="B6" t="s">
        <v>13</v>
      </c>
      <c r="C6" t="s">
        <v>81</v>
      </c>
      <c r="D6" t="s">
        <v>74</v>
      </c>
      <c r="E6" s="8" t="s">
        <v>66</v>
      </c>
      <c r="F6">
        <v>1.762</v>
      </c>
      <c r="G6">
        <v>1</v>
      </c>
      <c r="H6" s="9">
        <v>0</v>
      </c>
      <c r="I6">
        <v>2</v>
      </c>
      <c r="J6">
        <v>2</v>
      </c>
      <c r="K6" s="9">
        <v>345</v>
      </c>
      <c r="L6">
        <v>20</v>
      </c>
      <c r="M6">
        <v>355</v>
      </c>
      <c r="N6">
        <v>170</v>
      </c>
      <c r="O6">
        <f t="shared" si="3"/>
        <v>10.840634357325053</v>
      </c>
      <c r="P6" s="13">
        <f>AG6+(AH6*(1/12))-O6</f>
        <v>79.159365642674942</v>
      </c>
      <c r="Q6" s="14">
        <f>AI6+(AJ6*(1/12))-O6</f>
        <v>79.159365642674942</v>
      </c>
      <c r="R6" s="14">
        <f>AK6+(AL6*(1/12))-O6</f>
        <v>79.159365642674942</v>
      </c>
      <c r="S6" s="14">
        <f t="shared" si="4"/>
        <v>-24</v>
      </c>
      <c r="T6" s="14">
        <f t="shared" si="5"/>
        <v>0</v>
      </c>
      <c r="U6" s="15">
        <f t="shared" si="6"/>
        <v>24</v>
      </c>
      <c r="V6" s="19">
        <f t="shared" si="10"/>
        <v>102</v>
      </c>
      <c r="W6" s="20">
        <f t="shared" si="7"/>
        <v>-21.6</v>
      </c>
      <c r="X6" s="20">
        <f t="shared" si="8"/>
        <v>102</v>
      </c>
      <c r="Y6" s="21">
        <f t="shared" si="9"/>
        <v>21.6</v>
      </c>
      <c r="Z6" s="25">
        <f>BC6+(BD6*(1/12))-O6</f>
        <v>-10.840634357325053</v>
      </c>
      <c r="AA6" s="26">
        <f>BE6+(BF6*(1/12))-O6</f>
        <v>-10.840634357325053</v>
      </c>
      <c r="AB6" s="26">
        <f>BG6+(BH6*(1/12))-O6</f>
        <v>-10.840634357325053</v>
      </c>
      <c r="AC6" s="26">
        <f t="shared" si="0"/>
        <v>0</v>
      </c>
      <c r="AD6" s="26">
        <f t="shared" si="1"/>
        <v>0</v>
      </c>
      <c r="AE6" s="27">
        <f t="shared" si="2"/>
        <v>0</v>
      </c>
      <c r="AG6" s="13">
        <v>90</v>
      </c>
      <c r="AH6" s="14">
        <v>0</v>
      </c>
      <c r="AI6" s="14">
        <v>90</v>
      </c>
      <c r="AJ6" s="14">
        <v>0</v>
      </c>
      <c r="AK6" s="14">
        <v>90</v>
      </c>
      <c r="AL6" s="14">
        <v>0</v>
      </c>
      <c r="AM6" s="14">
        <v>-24</v>
      </c>
      <c r="AN6" s="14">
        <v>0</v>
      </c>
      <c r="AO6" s="14">
        <v>0</v>
      </c>
      <c r="AP6" s="14">
        <v>0</v>
      </c>
      <c r="AQ6" s="14">
        <v>24</v>
      </c>
      <c r="AR6" s="15">
        <v>0</v>
      </c>
      <c r="AT6" s="19">
        <f>90+12</f>
        <v>102</v>
      </c>
      <c r="AU6" s="20">
        <v>0</v>
      </c>
      <c r="AV6" s="20">
        <f>AM6*0.9</f>
        <v>-21.6</v>
      </c>
      <c r="AW6" s="20">
        <v>0</v>
      </c>
      <c r="AX6" s="19">
        <f>90+12</f>
        <v>102</v>
      </c>
      <c r="AY6" s="20">
        <v>0</v>
      </c>
      <c r="AZ6" s="20">
        <f>AQ6*0.9</f>
        <v>21.6</v>
      </c>
      <c r="BA6" s="21">
        <v>0</v>
      </c>
    </row>
    <row r="7" spans="1:75" x14ac:dyDescent="0.3">
      <c r="A7" s="8" t="s">
        <v>5</v>
      </c>
      <c r="B7" t="s">
        <v>13</v>
      </c>
      <c r="C7" t="s">
        <v>55</v>
      </c>
      <c r="D7" t="s">
        <v>56</v>
      </c>
      <c r="E7" s="8" t="s">
        <v>66</v>
      </c>
      <c r="F7">
        <v>1.175</v>
      </c>
      <c r="G7">
        <v>2</v>
      </c>
      <c r="H7" s="9">
        <v>18</v>
      </c>
      <c r="I7">
        <v>2</v>
      </c>
      <c r="J7">
        <v>2</v>
      </c>
      <c r="K7" s="9">
        <v>345</v>
      </c>
      <c r="L7">
        <v>20</v>
      </c>
      <c r="M7">
        <v>355</v>
      </c>
      <c r="N7">
        <v>170</v>
      </c>
      <c r="O7">
        <f t="shared" si="3"/>
        <v>10.840634357325053</v>
      </c>
      <c r="P7" s="13">
        <f>AG7+(AH7*(1/12))-O7</f>
        <v>43.659365642674949</v>
      </c>
      <c r="Q7" s="14">
        <f>AI7+(AJ7*(1/12))-O7</f>
        <v>43.659365642674949</v>
      </c>
      <c r="R7" s="14">
        <f>AK7+(AL7*(1/12))-O7</f>
        <v>43.659365642674949</v>
      </c>
      <c r="S7" s="14">
        <f t="shared" si="4"/>
        <v>-23</v>
      </c>
      <c r="T7" s="14">
        <f t="shared" si="5"/>
        <v>0</v>
      </c>
      <c r="U7" s="15">
        <f t="shared" si="6"/>
        <v>23</v>
      </c>
      <c r="V7" s="19">
        <f t="shared" si="10"/>
        <v>94.5</v>
      </c>
      <c r="W7" s="20">
        <f t="shared" si="7"/>
        <v>-20.5</v>
      </c>
      <c r="X7" s="20">
        <f t="shared" si="8"/>
        <v>94.5</v>
      </c>
      <c r="Y7" s="21">
        <f t="shared" si="9"/>
        <v>20.5</v>
      </c>
      <c r="Z7" s="25">
        <f>BC7+(BD7*(1/12))-O7</f>
        <v>72.159365642674942</v>
      </c>
      <c r="AA7" s="26">
        <f>BE7+(BF7*(1/12))-O7</f>
        <v>72.159365642674942</v>
      </c>
      <c r="AB7" s="26">
        <f>BG7+(BH7*(1/12))-O7</f>
        <v>72.159365642674942</v>
      </c>
      <c r="AC7" s="26">
        <f t="shared" ref="AC7" si="11">BI7+(BJ7*(1/12))</f>
        <v>23</v>
      </c>
      <c r="AD7" s="26">
        <f t="shared" ref="AD7" si="12">BK7+(BL7*(1/12))</f>
        <v>0</v>
      </c>
      <c r="AE7" s="27">
        <f>BM7+(BN7*(1/12))</f>
        <v>-23</v>
      </c>
      <c r="AG7" s="13">
        <v>54</v>
      </c>
      <c r="AH7" s="14">
        <v>6</v>
      </c>
      <c r="AI7" s="14">
        <v>54</v>
      </c>
      <c r="AJ7" s="14">
        <v>6</v>
      </c>
      <c r="AK7" s="14">
        <v>54</v>
      </c>
      <c r="AL7" s="14">
        <v>6</v>
      </c>
      <c r="AM7" s="14">
        <v>-23</v>
      </c>
      <c r="AN7" s="14">
        <v>0</v>
      </c>
      <c r="AO7" s="14">
        <v>0</v>
      </c>
      <c r="AP7" s="14">
        <v>0</v>
      </c>
      <c r="AQ7" s="14">
        <v>23</v>
      </c>
      <c r="AR7" s="15">
        <v>0</v>
      </c>
      <c r="AT7" s="19">
        <f>54+28+11</f>
        <v>93</v>
      </c>
      <c r="AU7" s="20">
        <f>6+6+6</f>
        <v>18</v>
      </c>
      <c r="AV7" s="20">
        <v>-20</v>
      </c>
      <c r="AW7" s="20">
        <v>-6</v>
      </c>
      <c r="AX7" s="19">
        <f>54+28+11</f>
        <v>93</v>
      </c>
      <c r="AY7" s="20">
        <f>6+6+6</f>
        <v>18</v>
      </c>
      <c r="AZ7" s="20">
        <v>20</v>
      </c>
      <c r="BA7" s="21">
        <v>6</v>
      </c>
      <c r="BC7" s="25">
        <f>54+28</f>
        <v>82</v>
      </c>
      <c r="BD7" s="26">
        <f>6+6</f>
        <v>12</v>
      </c>
      <c r="BE7" s="25">
        <f>54+28</f>
        <v>82</v>
      </c>
      <c r="BF7" s="26">
        <f>6+6</f>
        <v>12</v>
      </c>
      <c r="BG7" s="25">
        <f>54+28</f>
        <v>82</v>
      </c>
      <c r="BH7" s="26">
        <f>6+6</f>
        <v>12</v>
      </c>
      <c r="BI7" s="26">
        <v>23</v>
      </c>
      <c r="BJ7" s="26">
        <v>0</v>
      </c>
      <c r="BK7" s="26">
        <v>0</v>
      </c>
      <c r="BL7" s="26">
        <v>0</v>
      </c>
      <c r="BM7" s="26">
        <v>-23</v>
      </c>
      <c r="BN7" s="27">
        <v>0</v>
      </c>
    </row>
    <row r="8" spans="1:75" x14ac:dyDescent="0.3">
      <c r="A8" s="8" t="s">
        <v>6</v>
      </c>
      <c r="B8" t="s">
        <v>13</v>
      </c>
      <c r="C8" t="s">
        <v>69</v>
      </c>
      <c r="D8" t="s">
        <v>68</v>
      </c>
      <c r="E8" s="8" t="s">
        <v>66</v>
      </c>
      <c r="F8">
        <v>1.82</v>
      </c>
      <c r="G8">
        <v>2</v>
      </c>
      <c r="H8" s="9">
        <v>18</v>
      </c>
      <c r="I8">
        <v>2</v>
      </c>
      <c r="J8">
        <v>2</v>
      </c>
      <c r="K8" s="9">
        <v>345</v>
      </c>
      <c r="L8">
        <v>20</v>
      </c>
      <c r="M8">
        <v>355</v>
      </c>
      <c r="N8">
        <v>170</v>
      </c>
      <c r="O8">
        <f t="shared" si="3"/>
        <v>10.840634357325053</v>
      </c>
      <c r="P8" s="13">
        <f>AG8+(AH8*(1/12))-O8</f>
        <v>41.826032309341613</v>
      </c>
      <c r="Q8" s="14">
        <f>AI8+(AJ8*(1/12))-O8</f>
        <v>64.826032309341613</v>
      </c>
      <c r="R8" s="14">
        <f>AK8+(AL8*(1/12))-O8</f>
        <v>87.826032309341613</v>
      </c>
      <c r="S8" s="14">
        <f t="shared" si="4"/>
        <v>-19</v>
      </c>
      <c r="T8" s="14">
        <f t="shared" si="5"/>
        <v>-17.5</v>
      </c>
      <c r="U8" s="15">
        <f t="shared" si="6"/>
        <v>-15.333333333333334</v>
      </c>
      <c r="V8" s="19">
        <f t="shared" si="10"/>
        <v>104.66666666666667</v>
      </c>
      <c r="W8" s="20">
        <f t="shared" si="7"/>
        <v>-12</v>
      </c>
      <c r="X8" s="20">
        <f t="shared" si="8"/>
        <v>104.66666666666667</v>
      </c>
      <c r="Y8" s="21">
        <f t="shared" si="9"/>
        <v>12</v>
      </c>
      <c r="Z8" s="25">
        <f>BC8+(BD8*(1/12))-O8</f>
        <v>87.826032309341613</v>
      </c>
      <c r="AA8" s="26">
        <f>BE8+(BF8*(1/12))-O8</f>
        <v>64.826032309341613</v>
      </c>
      <c r="AB8" s="26">
        <f>BG8+(BH8*(1/12))-O8</f>
        <v>41.826032309341613</v>
      </c>
      <c r="AC8" s="26">
        <f t="shared" ref="AC8:AC14" si="13">BI8+(BJ8*(1/12))</f>
        <v>15.333333333333334</v>
      </c>
      <c r="AD8" s="26">
        <f t="shared" ref="AD8:AD14" si="14">BK8+(BL8*(1/12))</f>
        <v>17.5</v>
      </c>
      <c r="AE8" s="27">
        <f t="shared" ref="AE8:AE14" si="15">BM8+(BN8*(1/12))</f>
        <v>19</v>
      </c>
      <c r="AG8" s="13">
        <v>52</v>
      </c>
      <c r="AH8" s="14">
        <v>8</v>
      </c>
      <c r="AI8" s="14">
        <f>52+23</f>
        <v>75</v>
      </c>
      <c r="AJ8" s="14">
        <v>8</v>
      </c>
      <c r="AK8" s="14">
        <f>52+23+23</f>
        <v>98</v>
      </c>
      <c r="AL8" s="14">
        <v>8</v>
      </c>
      <c r="AM8" s="14">
        <v>-19</v>
      </c>
      <c r="AN8" s="14">
        <v>0</v>
      </c>
      <c r="AO8" s="14">
        <v>-17</v>
      </c>
      <c r="AP8" s="14">
        <v>-6</v>
      </c>
      <c r="AQ8" s="14">
        <v>-15</v>
      </c>
      <c r="AR8" s="15">
        <v>-4</v>
      </c>
      <c r="AT8" s="19">
        <f>52+23+23+6</f>
        <v>104</v>
      </c>
      <c r="AU8" s="20">
        <v>8</v>
      </c>
      <c r="AV8" s="20">
        <v>-12</v>
      </c>
      <c r="AW8" s="20">
        <v>0</v>
      </c>
      <c r="AX8" s="20">
        <f>52+23+23+6</f>
        <v>104</v>
      </c>
      <c r="AY8" s="20">
        <v>8</v>
      </c>
      <c r="AZ8" s="20">
        <v>12</v>
      </c>
      <c r="BA8" s="21">
        <v>0</v>
      </c>
      <c r="BC8" s="25">
        <f>52+23+23</f>
        <v>98</v>
      </c>
      <c r="BD8" s="26">
        <v>8</v>
      </c>
      <c r="BE8" s="26">
        <f>52+23</f>
        <v>75</v>
      </c>
      <c r="BF8" s="26">
        <v>8</v>
      </c>
      <c r="BG8" s="26">
        <v>52</v>
      </c>
      <c r="BH8" s="26">
        <v>8</v>
      </c>
      <c r="BI8" s="26">
        <v>15</v>
      </c>
      <c r="BJ8" s="26">
        <v>4</v>
      </c>
      <c r="BK8" s="26">
        <v>17</v>
      </c>
      <c r="BL8" s="26">
        <v>6</v>
      </c>
      <c r="BM8" s="26">
        <v>19</v>
      </c>
      <c r="BN8" s="27">
        <v>0</v>
      </c>
    </row>
    <row r="9" spans="1:75" x14ac:dyDescent="0.3">
      <c r="A9" s="8" t="s">
        <v>7</v>
      </c>
      <c r="B9" t="s">
        <v>13</v>
      </c>
      <c r="C9" t="s">
        <v>120</v>
      </c>
      <c r="D9" t="s">
        <v>121</v>
      </c>
      <c r="E9" s="8" t="s">
        <v>66</v>
      </c>
      <c r="F9">
        <v>1.1080000000000001</v>
      </c>
      <c r="G9">
        <v>2</v>
      </c>
      <c r="H9" s="9">
        <v>18</v>
      </c>
      <c r="I9">
        <v>2</v>
      </c>
      <c r="J9">
        <v>2</v>
      </c>
      <c r="K9" s="9">
        <v>345</v>
      </c>
      <c r="L9">
        <v>20</v>
      </c>
      <c r="M9">
        <v>355</v>
      </c>
      <c r="N9">
        <v>170</v>
      </c>
      <c r="O9">
        <f t="shared" si="3"/>
        <v>10.840634357325053</v>
      </c>
      <c r="P9" s="13">
        <f>AG9+(AH9*(1/12))-O9</f>
        <v>69.159365642674942</v>
      </c>
      <c r="Q9" s="14">
        <f>AI9+(AJ9*(1/12))-O9</f>
        <v>93.159365642674942</v>
      </c>
      <c r="R9" s="14">
        <f>AK9+(AL9*(1/12))-O9</f>
        <v>117.15936564267494</v>
      </c>
      <c r="S9" s="14">
        <f t="shared" si="4"/>
        <v>-22</v>
      </c>
      <c r="T9" s="14">
        <f t="shared" si="5"/>
        <v>-37</v>
      </c>
      <c r="U9" s="15">
        <f t="shared" si="6"/>
        <v>-22</v>
      </c>
      <c r="V9" s="19">
        <f t="shared" si="10"/>
        <v>142</v>
      </c>
      <c r="W9" s="20">
        <f t="shared" si="7"/>
        <v>-11</v>
      </c>
      <c r="X9" s="20">
        <f t="shared" si="8"/>
        <v>142</v>
      </c>
      <c r="Y9" s="21">
        <f t="shared" si="9"/>
        <v>11</v>
      </c>
      <c r="Z9" s="25">
        <f>BC9+(BD9*(1/12))-O9</f>
        <v>117.15936564267494</v>
      </c>
      <c r="AA9" s="26">
        <f>BE9+(BF9*(1/12))-O9</f>
        <v>93.159365642674942</v>
      </c>
      <c r="AB9" s="26">
        <f>BG9+(BH9*(1/12))-O9</f>
        <v>69.159365642674942</v>
      </c>
      <c r="AC9" s="26">
        <f t="shared" si="13"/>
        <v>22</v>
      </c>
      <c r="AD9" s="26">
        <f t="shared" si="14"/>
        <v>37</v>
      </c>
      <c r="AE9" s="27">
        <f t="shared" si="15"/>
        <v>22</v>
      </c>
      <c r="AG9" s="13">
        <v>80</v>
      </c>
      <c r="AH9" s="14">
        <v>0</v>
      </c>
      <c r="AI9" s="14">
        <f>80+24</f>
        <v>104</v>
      </c>
      <c r="AJ9" s="14">
        <v>0</v>
      </c>
      <c r="AK9" s="14">
        <f>80+24+24</f>
        <v>128</v>
      </c>
      <c r="AL9" s="14">
        <v>0</v>
      </c>
      <c r="AM9" s="14">
        <v>-22</v>
      </c>
      <c r="AN9" s="14">
        <v>0</v>
      </c>
      <c r="AO9" s="14">
        <v>-37</v>
      </c>
      <c r="AP9" s="14">
        <v>0</v>
      </c>
      <c r="AQ9" s="14">
        <v>-22</v>
      </c>
      <c r="AR9" s="15">
        <v>0</v>
      </c>
      <c r="AT9" s="19">
        <f>80+24+24+14</f>
        <v>142</v>
      </c>
      <c r="AU9" s="20">
        <v>0</v>
      </c>
      <c r="AV9" s="20">
        <v>-11</v>
      </c>
      <c r="AW9" s="20">
        <v>0</v>
      </c>
      <c r="AX9" s="20">
        <f>80+24+24+14</f>
        <v>142</v>
      </c>
      <c r="AY9" s="20">
        <v>0</v>
      </c>
      <c r="AZ9" s="20">
        <v>11</v>
      </c>
      <c r="BA9" s="21">
        <v>0</v>
      </c>
      <c r="BC9" s="25">
        <f>80+24+24</f>
        <v>128</v>
      </c>
      <c r="BD9" s="26">
        <v>0</v>
      </c>
      <c r="BE9" s="26">
        <f>80+24</f>
        <v>104</v>
      </c>
      <c r="BF9" s="26">
        <v>0</v>
      </c>
      <c r="BG9" s="26">
        <f>80</f>
        <v>80</v>
      </c>
      <c r="BH9" s="26">
        <v>0</v>
      </c>
      <c r="BI9" s="26">
        <v>22</v>
      </c>
      <c r="BJ9" s="26">
        <v>0</v>
      </c>
      <c r="BK9" s="26">
        <v>37</v>
      </c>
      <c r="BL9" s="26">
        <v>0</v>
      </c>
      <c r="BM9" s="26">
        <v>22</v>
      </c>
      <c r="BN9" s="27">
        <v>0</v>
      </c>
    </row>
    <row r="10" spans="1:75" x14ac:dyDescent="0.3">
      <c r="A10" s="8" t="s">
        <v>8</v>
      </c>
      <c r="B10" t="s">
        <v>13</v>
      </c>
      <c r="C10" t="s">
        <v>77</v>
      </c>
      <c r="D10" t="s">
        <v>78</v>
      </c>
      <c r="E10" s="8" t="s">
        <v>66</v>
      </c>
      <c r="F10">
        <v>1.427</v>
      </c>
      <c r="G10">
        <v>2</v>
      </c>
      <c r="H10" s="9">
        <v>18</v>
      </c>
      <c r="I10">
        <v>2</v>
      </c>
      <c r="J10">
        <v>2</v>
      </c>
      <c r="K10" s="9">
        <v>345</v>
      </c>
      <c r="L10">
        <v>20</v>
      </c>
      <c r="M10">
        <v>355</v>
      </c>
      <c r="N10">
        <v>170</v>
      </c>
      <c r="O10">
        <f t="shared" si="3"/>
        <v>10.840634357325053</v>
      </c>
      <c r="P10" s="13">
        <f>AG10+(AH10*(1/12))-O10</f>
        <v>69.159365642674942</v>
      </c>
      <c r="Q10" s="14">
        <f>AI10+(AJ10*(1/12))-O10</f>
        <v>89.159365642674942</v>
      </c>
      <c r="R10" s="14">
        <f>AK10+(AL10*(1/12))-O10</f>
        <v>111.15936564267494</v>
      </c>
      <c r="S10" s="14">
        <f t="shared" si="4"/>
        <v>-18</v>
      </c>
      <c r="T10" s="14">
        <f t="shared" si="5"/>
        <v>-29</v>
      </c>
      <c r="U10" s="15">
        <f t="shared" si="6"/>
        <v>-17</v>
      </c>
      <c r="V10" s="19">
        <f t="shared" si="10"/>
        <v>137</v>
      </c>
      <c r="W10" s="20">
        <f t="shared" si="7"/>
        <v>-24</v>
      </c>
      <c r="X10" s="20">
        <f t="shared" si="8"/>
        <v>137</v>
      </c>
      <c r="Y10" s="21">
        <f t="shared" si="9"/>
        <v>24</v>
      </c>
      <c r="Z10" s="25">
        <f>BC10+(BD10*(1/12))-O10</f>
        <v>111.15936564267494</v>
      </c>
      <c r="AA10" s="26">
        <f>BE10+(BF10*(1/12))-O10</f>
        <v>89.159365642674942</v>
      </c>
      <c r="AB10" s="26">
        <f>BG10+(BH10*(1/12))-O10</f>
        <v>69.159365642674942</v>
      </c>
      <c r="AC10" s="26">
        <f t="shared" si="13"/>
        <v>17</v>
      </c>
      <c r="AD10" s="26">
        <f t="shared" si="14"/>
        <v>29</v>
      </c>
      <c r="AE10" s="27">
        <f t="shared" si="15"/>
        <v>18</v>
      </c>
      <c r="AG10" s="13">
        <v>80</v>
      </c>
      <c r="AH10" s="14">
        <v>0</v>
      </c>
      <c r="AI10" s="14">
        <f>80+20</f>
        <v>100</v>
      </c>
      <c r="AJ10" s="14">
        <v>0</v>
      </c>
      <c r="AK10" s="14">
        <f>80+20+22</f>
        <v>122</v>
      </c>
      <c r="AL10" s="14">
        <v>0</v>
      </c>
      <c r="AM10" s="14">
        <v>-18</v>
      </c>
      <c r="AN10" s="14">
        <v>0</v>
      </c>
      <c r="AO10" s="14">
        <v>-29</v>
      </c>
      <c r="AP10" s="14">
        <v>0</v>
      </c>
      <c r="AQ10" s="14">
        <v>-17</v>
      </c>
      <c r="AR10" s="15">
        <v>0</v>
      </c>
      <c r="AT10" s="19">
        <f>80+20+22+15</f>
        <v>137</v>
      </c>
      <c r="AU10" s="20">
        <v>0</v>
      </c>
      <c r="AV10" s="20">
        <v>-24</v>
      </c>
      <c r="AW10" s="20">
        <v>0</v>
      </c>
      <c r="AX10" s="20">
        <f>80+20+22+15</f>
        <v>137</v>
      </c>
      <c r="AY10" s="20">
        <v>0</v>
      </c>
      <c r="AZ10" s="20">
        <v>24</v>
      </c>
      <c r="BA10" s="21">
        <v>0</v>
      </c>
      <c r="BC10" s="25">
        <f>80+20+22</f>
        <v>122</v>
      </c>
      <c r="BD10" s="26">
        <v>0</v>
      </c>
      <c r="BE10" s="26">
        <f>80+20</f>
        <v>100</v>
      </c>
      <c r="BF10" s="26">
        <v>0</v>
      </c>
      <c r="BG10" s="26">
        <v>80</v>
      </c>
      <c r="BH10" s="26">
        <v>0</v>
      </c>
      <c r="BI10" s="26">
        <v>17</v>
      </c>
      <c r="BJ10" s="26">
        <v>0</v>
      </c>
      <c r="BK10" s="26">
        <v>29</v>
      </c>
      <c r="BL10" s="26">
        <v>0</v>
      </c>
      <c r="BM10" s="26">
        <v>18</v>
      </c>
      <c r="BN10" s="27">
        <v>0</v>
      </c>
    </row>
    <row r="11" spans="1:75" x14ac:dyDescent="0.3">
      <c r="A11" s="8" t="s">
        <v>9</v>
      </c>
      <c r="B11" t="s">
        <v>13</v>
      </c>
      <c r="C11" t="s">
        <v>73</v>
      </c>
      <c r="D11" t="s">
        <v>70</v>
      </c>
      <c r="E11" s="8" t="s">
        <v>66</v>
      </c>
      <c r="F11">
        <v>1.427</v>
      </c>
      <c r="G11">
        <v>2</v>
      </c>
      <c r="H11" s="9">
        <v>18</v>
      </c>
      <c r="I11">
        <v>2</v>
      </c>
      <c r="J11">
        <v>2</v>
      </c>
      <c r="K11" s="9">
        <v>345</v>
      </c>
      <c r="L11">
        <v>20</v>
      </c>
      <c r="M11">
        <v>355</v>
      </c>
      <c r="N11">
        <v>170</v>
      </c>
      <c r="O11">
        <f t="shared" si="3"/>
        <v>10.840634357325053</v>
      </c>
      <c r="P11" s="13">
        <f>AG11+(AH11*(1/12))-O11</f>
        <v>53.159365642674949</v>
      </c>
      <c r="Q11" s="14">
        <f>AI11+(AJ11*(1/12))-O11</f>
        <v>74.659365642674942</v>
      </c>
      <c r="R11" s="14">
        <f>AK11+(AL11*(1/12))-O11</f>
        <v>98.659365642674942</v>
      </c>
      <c r="S11" s="14">
        <f t="shared" si="4"/>
        <v>-20.5</v>
      </c>
      <c r="T11" s="14">
        <f t="shared" si="5"/>
        <v>-27</v>
      </c>
      <c r="U11" s="15">
        <f t="shared" si="6"/>
        <v>-18.5</v>
      </c>
      <c r="V11" s="19">
        <f t="shared" si="10"/>
        <v>119.5</v>
      </c>
      <c r="W11" s="20">
        <f t="shared" si="7"/>
        <v>-25.75</v>
      </c>
      <c r="X11" s="20">
        <f t="shared" si="8"/>
        <v>119.5</v>
      </c>
      <c r="Y11" s="21">
        <f t="shared" si="9"/>
        <v>25.75</v>
      </c>
      <c r="Z11" s="25">
        <f>BC11+(BD11*(1/12))-O11</f>
        <v>98.659365642674942</v>
      </c>
      <c r="AA11" s="26">
        <f>BE11+(BF11*(1/12))-O11</f>
        <v>74.659365642674942</v>
      </c>
      <c r="AB11" s="26">
        <f>BG11+(BH11*(1/12))-O11</f>
        <v>53.159365642674949</v>
      </c>
      <c r="AC11" s="26">
        <f t="shared" si="13"/>
        <v>18.5</v>
      </c>
      <c r="AD11" s="26">
        <f t="shared" si="14"/>
        <v>27</v>
      </c>
      <c r="AE11" s="27">
        <f t="shared" si="15"/>
        <v>20.5</v>
      </c>
      <c r="AG11" s="13">
        <v>64</v>
      </c>
      <c r="AH11" s="14">
        <v>0</v>
      </c>
      <c r="AI11" s="14">
        <f>64+21</f>
        <v>85</v>
      </c>
      <c r="AJ11" s="14">
        <v>6</v>
      </c>
      <c r="AK11" s="14">
        <f>64+21+24</f>
        <v>109</v>
      </c>
      <c r="AL11" s="14">
        <v>6</v>
      </c>
      <c r="AM11" s="14">
        <v>-20</v>
      </c>
      <c r="AN11" s="14">
        <v>-6</v>
      </c>
      <c r="AO11" s="14">
        <v>-27</v>
      </c>
      <c r="AP11" s="14">
        <v>0</v>
      </c>
      <c r="AQ11" s="14">
        <v>-18</v>
      </c>
      <c r="AR11" s="15">
        <v>-6</v>
      </c>
      <c r="AT11" s="19">
        <f>64+21+24+10</f>
        <v>119</v>
      </c>
      <c r="AU11" s="20">
        <v>6</v>
      </c>
      <c r="AV11" s="20">
        <v>-25</v>
      </c>
      <c r="AW11" s="20">
        <v>-9</v>
      </c>
      <c r="AX11" s="20">
        <f>64+21+24+10</f>
        <v>119</v>
      </c>
      <c r="AY11" s="20">
        <v>6</v>
      </c>
      <c r="AZ11" s="20">
        <v>25</v>
      </c>
      <c r="BA11" s="21">
        <v>9</v>
      </c>
      <c r="BC11" s="25">
        <f>64+21+24</f>
        <v>109</v>
      </c>
      <c r="BD11" s="26">
        <v>6</v>
      </c>
      <c r="BE11" s="26">
        <f>64+21</f>
        <v>85</v>
      </c>
      <c r="BF11" s="26">
        <v>6</v>
      </c>
      <c r="BG11" s="26">
        <v>64</v>
      </c>
      <c r="BH11" s="26">
        <v>0</v>
      </c>
      <c r="BI11" s="26">
        <v>18</v>
      </c>
      <c r="BJ11" s="26">
        <v>6</v>
      </c>
      <c r="BK11" s="26">
        <v>27</v>
      </c>
      <c r="BL11" s="26">
        <v>0</v>
      </c>
      <c r="BM11" s="26">
        <v>20</v>
      </c>
      <c r="BN11" s="27">
        <v>6</v>
      </c>
    </row>
    <row r="12" spans="1:75" x14ac:dyDescent="0.3">
      <c r="A12" s="8" t="s">
        <v>10</v>
      </c>
      <c r="B12" t="s">
        <v>13</v>
      </c>
      <c r="C12" t="s">
        <v>87</v>
      </c>
      <c r="D12" t="s">
        <v>88</v>
      </c>
      <c r="E12" s="8" t="s">
        <v>66</v>
      </c>
      <c r="F12">
        <v>1.504</v>
      </c>
      <c r="G12">
        <v>2</v>
      </c>
      <c r="H12" s="9">
        <v>18</v>
      </c>
      <c r="I12">
        <v>2</v>
      </c>
      <c r="J12">
        <v>2</v>
      </c>
      <c r="K12" s="9">
        <v>345</v>
      </c>
      <c r="L12">
        <v>20</v>
      </c>
      <c r="M12">
        <v>355</v>
      </c>
      <c r="N12">
        <v>170</v>
      </c>
      <c r="O12">
        <f t="shared" si="3"/>
        <v>10.840634357325053</v>
      </c>
      <c r="P12" s="13">
        <f>AG12+(AH12*(1/12))-O12</f>
        <v>91.159365642674942</v>
      </c>
      <c r="Q12" s="14">
        <f>AI12+(AJ12*(1/12))-O12</f>
        <v>65.159365642674942</v>
      </c>
      <c r="R12" s="14">
        <f>AK12+(AL12*(1/12))-O12</f>
        <v>65.159365642674942</v>
      </c>
      <c r="S12" s="14">
        <f t="shared" si="4"/>
        <v>-17.666666666666668</v>
      </c>
      <c r="T12" s="14">
        <f t="shared" si="5"/>
        <v>-37</v>
      </c>
      <c r="U12" s="15">
        <f t="shared" si="6"/>
        <v>-17</v>
      </c>
      <c r="V12" s="19">
        <f t="shared" si="10"/>
        <v>109</v>
      </c>
      <c r="W12" s="20">
        <f t="shared" si="7"/>
        <v>-23.333333333333332</v>
      </c>
      <c r="X12" s="20">
        <f t="shared" si="8"/>
        <v>109</v>
      </c>
      <c r="Y12" s="21">
        <f t="shared" si="9"/>
        <v>23.333333333333332</v>
      </c>
      <c r="Z12" s="25">
        <f>BC12+(BD12*(1/12))-O12</f>
        <v>91.159365642674942</v>
      </c>
      <c r="AA12" s="26">
        <f>BE12+(BF12*(1/12))-O12</f>
        <v>65.159365642674942</v>
      </c>
      <c r="AB12" s="26">
        <f>BG12+(BH12*(1/12))-O12</f>
        <v>65.159365642674942</v>
      </c>
      <c r="AC12" s="26">
        <f t="shared" si="13"/>
        <v>17.666666666666668</v>
      </c>
      <c r="AD12" s="26">
        <f t="shared" si="14"/>
        <v>17</v>
      </c>
      <c r="AE12" s="27">
        <f t="shared" si="15"/>
        <v>37</v>
      </c>
      <c r="AG12" s="13">
        <f>76+26</f>
        <v>102</v>
      </c>
      <c r="AH12" s="14">
        <v>0</v>
      </c>
      <c r="AI12" s="14">
        <v>76</v>
      </c>
      <c r="AJ12" s="14">
        <v>0</v>
      </c>
      <c r="AK12" s="14">
        <v>76</v>
      </c>
      <c r="AL12" s="14">
        <v>0</v>
      </c>
      <c r="AM12" s="14">
        <v>-17</v>
      </c>
      <c r="AN12" s="14">
        <v>-8</v>
      </c>
      <c r="AO12" s="14">
        <f>-17-20</f>
        <v>-37</v>
      </c>
      <c r="AP12" s="14">
        <v>0</v>
      </c>
      <c r="AQ12" s="14">
        <v>-17</v>
      </c>
      <c r="AR12" s="15">
        <v>0</v>
      </c>
      <c r="AT12" s="19">
        <f>76+26+7</f>
        <v>109</v>
      </c>
      <c r="AU12" s="20">
        <v>0</v>
      </c>
      <c r="AV12" s="20">
        <v>-23</v>
      </c>
      <c r="AW12" s="20">
        <v>-4</v>
      </c>
      <c r="AX12" s="20">
        <f>76+26+7</f>
        <v>109</v>
      </c>
      <c r="AY12" s="20">
        <v>0</v>
      </c>
      <c r="AZ12" s="20">
        <v>23</v>
      </c>
      <c r="BA12" s="21">
        <v>4</v>
      </c>
      <c r="BC12" s="25">
        <f>76+26</f>
        <v>102</v>
      </c>
      <c r="BD12" s="26">
        <v>0</v>
      </c>
      <c r="BE12" s="26">
        <v>76</v>
      </c>
      <c r="BF12" s="26">
        <v>0</v>
      </c>
      <c r="BG12" s="26">
        <v>76</v>
      </c>
      <c r="BH12" s="26">
        <v>0</v>
      </c>
      <c r="BI12" s="26">
        <v>17</v>
      </c>
      <c r="BJ12" s="26">
        <v>8</v>
      </c>
      <c r="BK12" s="26">
        <v>17</v>
      </c>
      <c r="BL12" s="26">
        <v>0</v>
      </c>
      <c r="BM12" s="26">
        <f>17+20</f>
        <v>37</v>
      </c>
      <c r="BN12" s="27">
        <v>0</v>
      </c>
    </row>
    <row r="13" spans="1:75" x14ac:dyDescent="0.3">
      <c r="A13" s="8" t="s">
        <v>11</v>
      </c>
      <c r="B13" t="s">
        <v>13</v>
      </c>
      <c r="C13" t="s">
        <v>85</v>
      </c>
      <c r="D13" t="s">
        <v>86</v>
      </c>
      <c r="E13" s="8" t="s">
        <v>66</v>
      </c>
      <c r="F13">
        <v>1.1080000000000001</v>
      </c>
      <c r="G13">
        <v>2</v>
      </c>
      <c r="H13" s="9">
        <v>18</v>
      </c>
      <c r="I13">
        <v>2</v>
      </c>
      <c r="J13">
        <v>2</v>
      </c>
      <c r="K13" s="9">
        <v>345</v>
      </c>
      <c r="L13">
        <v>20</v>
      </c>
      <c r="M13">
        <v>355</v>
      </c>
      <c r="N13">
        <v>170</v>
      </c>
      <c r="O13">
        <f t="shared" si="3"/>
        <v>10.840634357325053</v>
      </c>
      <c r="P13" s="13">
        <f>AG13+(AH13*(1/12))-O13</f>
        <v>77.159365642674942</v>
      </c>
      <c r="Q13" s="14">
        <f>AI13+(AJ13*(1/12))-O13</f>
        <v>52.159365642674949</v>
      </c>
      <c r="R13" s="14">
        <f>AK13+(AL13*(1/12))-O13</f>
        <v>52.159365642674949</v>
      </c>
      <c r="S13" s="14">
        <f t="shared" si="4"/>
        <v>-25.583333333333332</v>
      </c>
      <c r="T13" s="14">
        <f t="shared" si="5"/>
        <v>-37.833333333333336</v>
      </c>
      <c r="U13" s="15">
        <f t="shared" si="6"/>
        <v>-14.333333333333334</v>
      </c>
      <c r="V13" s="19">
        <f t="shared" si="10"/>
        <v>103</v>
      </c>
      <c r="W13" s="20">
        <f t="shared" si="7"/>
        <v>-15.666666666666666</v>
      </c>
      <c r="X13" s="20">
        <f t="shared" si="8"/>
        <v>103</v>
      </c>
      <c r="Y13" s="21">
        <f t="shared" si="9"/>
        <v>15.666666666666666</v>
      </c>
      <c r="Z13" s="25">
        <f>BC13+(BD13*(1/12))-O13</f>
        <v>77.159365642674942</v>
      </c>
      <c r="AA13" s="26">
        <f>BE13+(BF13*(1/12))-O13</f>
        <v>52.159365642674949</v>
      </c>
      <c r="AB13" s="26">
        <f>BG13+(BH13*(1/12))-O13</f>
        <v>52.159365642674949</v>
      </c>
      <c r="AC13" s="26">
        <f t="shared" si="13"/>
        <v>25.583333333333332</v>
      </c>
      <c r="AD13" s="26">
        <f t="shared" si="14"/>
        <v>14.333333333333334</v>
      </c>
      <c r="AE13" s="27">
        <f t="shared" si="15"/>
        <v>37.833333333333336</v>
      </c>
      <c r="AG13" s="13">
        <f>63+25</f>
        <v>88</v>
      </c>
      <c r="AH13" s="14">
        <v>0</v>
      </c>
      <c r="AI13" s="14">
        <v>63</v>
      </c>
      <c r="AJ13" s="14">
        <v>0</v>
      </c>
      <c r="AK13" s="14">
        <v>63</v>
      </c>
      <c r="AL13" s="14">
        <v>0</v>
      </c>
      <c r="AM13" s="14">
        <v>-25</v>
      </c>
      <c r="AN13" s="14">
        <v>-7</v>
      </c>
      <c r="AO13" s="14">
        <f>-14-23</f>
        <v>-37</v>
      </c>
      <c r="AP13" s="14">
        <f>-6-4</f>
        <v>-10</v>
      </c>
      <c r="AQ13" s="14">
        <v>-14</v>
      </c>
      <c r="AR13" s="15">
        <v>-4</v>
      </c>
      <c r="AT13" s="19">
        <f>63+25+15</f>
        <v>103</v>
      </c>
      <c r="AU13" s="20">
        <v>0</v>
      </c>
      <c r="AV13" s="20">
        <v>-15</v>
      </c>
      <c r="AW13" s="20">
        <v>-8</v>
      </c>
      <c r="AX13" s="20">
        <f>63+25+15</f>
        <v>103</v>
      </c>
      <c r="AY13" s="20">
        <v>0</v>
      </c>
      <c r="AZ13" s="20">
        <v>15</v>
      </c>
      <c r="BA13" s="21">
        <v>8</v>
      </c>
      <c r="BC13" s="25">
        <f>63+25</f>
        <v>88</v>
      </c>
      <c r="BD13" s="26">
        <v>0</v>
      </c>
      <c r="BE13" s="26">
        <v>63</v>
      </c>
      <c r="BF13" s="26">
        <v>0</v>
      </c>
      <c r="BG13" s="26">
        <v>63</v>
      </c>
      <c r="BH13" s="26">
        <v>0</v>
      </c>
      <c r="BI13" s="26">
        <v>25</v>
      </c>
      <c r="BJ13" s="26">
        <v>7</v>
      </c>
      <c r="BK13" s="26">
        <v>14</v>
      </c>
      <c r="BL13" s="26">
        <v>4</v>
      </c>
      <c r="BM13" s="26">
        <f>14+23</f>
        <v>37</v>
      </c>
      <c r="BN13" s="27">
        <f>4+6</f>
        <v>10</v>
      </c>
    </row>
    <row r="14" spans="1:75" x14ac:dyDescent="0.3">
      <c r="A14" s="8" t="s">
        <v>12</v>
      </c>
      <c r="B14" t="s">
        <v>13</v>
      </c>
      <c r="C14" t="s">
        <v>53</v>
      </c>
      <c r="D14" t="s">
        <v>54</v>
      </c>
      <c r="E14" s="8" t="s">
        <v>67</v>
      </c>
      <c r="F14">
        <v>1.302</v>
      </c>
      <c r="G14">
        <v>2</v>
      </c>
      <c r="H14" s="9">
        <v>18</v>
      </c>
      <c r="I14">
        <v>2</v>
      </c>
      <c r="J14">
        <v>2</v>
      </c>
      <c r="K14" s="9">
        <v>345</v>
      </c>
      <c r="L14">
        <v>20</v>
      </c>
      <c r="M14">
        <v>355</v>
      </c>
      <c r="N14">
        <v>170</v>
      </c>
      <c r="O14">
        <f t="shared" si="3"/>
        <v>10.840634357325053</v>
      </c>
      <c r="P14" s="13">
        <f>AG14+(AH14*(1/12))-O14</f>
        <v>97.159365642674942</v>
      </c>
      <c r="Q14" s="14">
        <f>AI14+(AJ14*(1/12))-O14</f>
        <v>54.159365642674949</v>
      </c>
      <c r="R14" s="14">
        <f>AK14+(AL14*(1/12))-O14</f>
        <v>54.159365642674949</v>
      </c>
      <c r="S14" s="14">
        <f t="shared" si="4"/>
        <v>-28.5</v>
      </c>
      <c r="T14" s="14">
        <f t="shared" si="5"/>
        <v>-40.5</v>
      </c>
      <c r="U14" s="15">
        <f t="shared" si="6"/>
        <v>-16.5</v>
      </c>
      <c r="V14" s="19">
        <f t="shared" si="10"/>
        <v>117</v>
      </c>
      <c r="W14" s="20">
        <f t="shared" si="7"/>
        <v>-40.5</v>
      </c>
      <c r="X14" s="20">
        <f t="shared" si="8"/>
        <v>117</v>
      </c>
      <c r="Y14" s="21">
        <f t="shared" si="9"/>
        <v>40.5</v>
      </c>
      <c r="Z14" s="25">
        <f>BC14+(BD14*(1/12))-O14</f>
        <v>97.159365642674942</v>
      </c>
      <c r="AA14" s="26">
        <f>BE14+(BF14*(1/12))-O14</f>
        <v>54.159365642674949</v>
      </c>
      <c r="AB14" s="26">
        <f>BG14+(BH14*(1/12))-O14</f>
        <v>54.159365642674949</v>
      </c>
      <c r="AC14" s="26">
        <f t="shared" si="13"/>
        <v>69</v>
      </c>
      <c r="AD14" s="26">
        <f t="shared" si="14"/>
        <v>16.5</v>
      </c>
      <c r="AE14" s="27">
        <f t="shared" si="15"/>
        <v>81</v>
      </c>
      <c r="AG14" s="13">
        <f>65+43</f>
        <v>108</v>
      </c>
      <c r="AH14" s="14">
        <v>0</v>
      </c>
      <c r="AI14" s="14">
        <v>65</v>
      </c>
      <c r="AJ14" s="14">
        <v>0</v>
      </c>
      <c r="AK14" s="14">
        <v>65</v>
      </c>
      <c r="AL14" s="14">
        <v>0</v>
      </c>
      <c r="AM14" s="14">
        <f>(-81/2)+12</f>
        <v>-28.5</v>
      </c>
      <c r="AN14" s="14">
        <v>0</v>
      </c>
      <c r="AO14" s="14">
        <f>AM14-12</f>
        <v>-40.5</v>
      </c>
      <c r="AP14" s="14">
        <v>0</v>
      </c>
      <c r="AQ14" s="14">
        <f>AM14+12</f>
        <v>-16.5</v>
      </c>
      <c r="AR14" s="15">
        <v>0</v>
      </c>
      <c r="AT14" s="19">
        <f>65+43+9</f>
        <v>117</v>
      </c>
      <c r="AU14" s="20">
        <v>0</v>
      </c>
      <c r="AV14" s="20">
        <f>-81/2</f>
        <v>-40.5</v>
      </c>
      <c r="AW14" s="20">
        <v>0</v>
      </c>
      <c r="AX14" s="20">
        <f>65+43+9</f>
        <v>117</v>
      </c>
      <c r="AY14" s="20">
        <v>0</v>
      </c>
      <c r="AZ14" s="20">
        <f>81/2</f>
        <v>40.5</v>
      </c>
      <c r="BA14" s="21">
        <v>0</v>
      </c>
      <c r="BC14" s="25">
        <f>65+43</f>
        <v>108</v>
      </c>
      <c r="BD14" s="26">
        <v>0</v>
      </c>
      <c r="BE14" s="26">
        <v>65</v>
      </c>
      <c r="BF14" s="26">
        <v>0</v>
      </c>
      <c r="BG14" s="26">
        <v>65</v>
      </c>
      <c r="BH14" s="26">
        <v>0</v>
      </c>
      <c r="BI14" s="26">
        <f>81-12</f>
        <v>69</v>
      </c>
      <c r="BJ14" s="26">
        <v>0</v>
      </c>
      <c r="BK14" s="26">
        <f>(81/2)-24</f>
        <v>16.5</v>
      </c>
      <c r="BL14" s="26">
        <v>0</v>
      </c>
      <c r="BM14" s="26">
        <v>81</v>
      </c>
      <c r="BN14" s="27">
        <v>0</v>
      </c>
    </row>
    <row r="15" spans="1:75" x14ac:dyDescent="0.3">
      <c r="A15" s="8" t="s">
        <v>57</v>
      </c>
      <c r="B15" t="s">
        <v>65</v>
      </c>
      <c r="C15" t="s">
        <v>72</v>
      </c>
      <c r="D15" t="s">
        <v>56</v>
      </c>
      <c r="E15" s="8" t="s">
        <v>67</v>
      </c>
      <c r="F15">
        <v>1.165</v>
      </c>
      <c r="G15">
        <v>2</v>
      </c>
      <c r="H15" s="9">
        <v>18</v>
      </c>
      <c r="I15">
        <v>1</v>
      </c>
      <c r="J15">
        <v>1</v>
      </c>
      <c r="K15" s="9">
        <v>345</v>
      </c>
      <c r="L15">
        <v>20</v>
      </c>
      <c r="M15">
        <v>355</v>
      </c>
      <c r="N15">
        <v>170</v>
      </c>
      <c r="O15">
        <f>((K15*L15)/M15)*N15*(1/304.8)</f>
        <v>10.840634357325053</v>
      </c>
      <c r="P15" s="13">
        <f>AG15+(AH15*(1/12))-O15</f>
        <v>64.159365642674942</v>
      </c>
      <c r="Q15" s="14">
        <f>AI15+(AJ15*(1/12))-O15</f>
        <v>75.659365642674942</v>
      </c>
      <c r="R15" s="14">
        <f>AK15+(AL15*(1/12))-O15</f>
        <v>87.159365642674942</v>
      </c>
      <c r="S15" s="14">
        <f t="shared" ref="S15:S22" si="16">AM15+(AN15*(1/12))</f>
        <v>9</v>
      </c>
      <c r="T15" s="14">
        <f t="shared" ref="T15:T22" si="17">AO15+(AP15*(1/12))</f>
        <v>-9</v>
      </c>
      <c r="U15" s="15">
        <f t="shared" ref="U15:U22" si="18">AQ15+(AR15*(1/12))</f>
        <v>9</v>
      </c>
      <c r="V15" s="19">
        <f t="shared" ref="V15:V22" si="19">AT15+((1/12)*AU15)</f>
        <v>131.5</v>
      </c>
      <c r="W15" s="20">
        <f t="shared" ref="W15:W22" si="20">AV15+((1/12)*AW15)</f>
        <v>0</v>
      </c>
      <c r="X15" s="20">
        <f t="shared" ref="X15:X22" si="21">AX15+((1/12)*AY15)</f>
        <v>0</v>
      </c>
      <c r="Y15" s="21">
        <f t="shared" ref="Y15:Y22" si="22">AZ15+((1/12)*BA15)</f>
        <v>0</v>
      </c>
      <c r="Z15" s="25">
        <f>BC15+(BD15*(1/12))-O15</f>
        <v>-10.840634357325053</v>
      </c>
      <c r="AA15" s="26">
        <f>BE15+(BF15*(1/12))-O15</f>
        <v>-10.840634357325053</v>
      </c>
      <c r="AB15" s="26">
        <f>BG15+(BH15*(1/12))-O15</f>
        <v>-10.840634357325053</v>
      </c>
      <c r="AC15" s="26">
        <f t="shared" ref="AC15:AC22" si="23">BI15+(BJ15*(1/12))</f>
        <v>0</v>
      </c>
      <c r="AD15" s="26">
        <f t="shared" ref="AD15:AD22" si="24">BK15+(BL15*(1/12))</f>
        <v>0</v>
      </c>
      <c r="AE15" s="27">
        <f t="shared" ref="AE15:AE22" si="25">BM15+(BN15*(1/12))</f>
        <v>0</v>
      </c>
      <c r="AG15" s="13">
        <v>75</v>
      </c>
      <c r="AH15" s="14">
        <v>0</v>
      </c>
      <c r="AI15" s="14">
        <f>75+11</f>
        <v>86</v>
      </c>
      <c r="AJ15" s="14">
        <v>6</v>
      </c>
      <c r="AK15" s="14">
        <f>75+23</f>
        <v>98</v>
      </c>
      <c r="AL15" s="14">
        <v>0</v>
      </c>
      <c r="AM15" s="14">
        <v>9</v>
      </c>
      <c r="AN15" s="14">
        <v>0</v>
      </c>
      <c r="AO15" s="14">
        <v>-9</v>
      </c>
      <c r="AP15" s="14">
        <v>0</v>
      </c>
      <c r="AQ15" s="14">
        <v>9</v>
      </c>
      <c r="AR15" s="15">
        <v>0</v>
      </c>
      <c r="AT15" s="19">
        <f>75+11+45</f>
        <v>131</v>
      </c>
      <c r="AU15" s="20">
        <v>6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1">
        <v>0</v>
      </c>
    </row>
    <row r="16" spans="1:75" x14ac:dyDescent="0.3">
      <c r="A16" s="8" t="s">
        <v>58</v>
      </c>
      <c r="B16" t="s">
        <v>65</v>
      </c>
      <c r="C16" t="s">
        <v>110</v>
      </c>
      <c r="D16" t="s">
        <v>111</v>
      </c>
      <c r="E16" s="8" t="s">
        <v>66</v>
      </c>
      <c r="F16">
        <v>1.175</v>
      </c>
      <c r="G16">
        <v>2</v>
      </c>
      <c r="H16" s="9">
        <v>18</v>
      </c>
      <c r="I16">
        <v>2</v>
      </c>
      <c r="J16">
        <v>2</v>
      </c>
      <c r="K16" s="9">
        <v>345</v>
      </c>
      <c r="L16">
        <v>20</v>
      </c>
      <c r="M16">
        <v>355</v>
      </c>
      <c r="N16">
        <v>170</v>
      </c>
      <c r="O16">
        <f t="shared" ref="O16:O22" si="26">((K16*L16)/M16)*N16*(1/304.8)</f>
        <v>10.840634357325053</v>
      </c>
      <c r="P16" s="13">
        <f>AG16+(AH16*(1/12))-O16</f>
        <v>54.159365642674949</v>
      </c>
      <c r="Q16" s="14">
        <f>AI16+(AJ16*(1/12))-O16</f>
        <v>77.159365642674942</v>
      </c>
      <c r="R16" s="14">
        <f>AK16+(AL16*(1/12))-O16</f>
        <v>100.15936564267494</v>
      </c>
      <c r="S16" s="14">
        <f t="shared" si="16"/>
        <v>-15</v>
      </c>
      <c r="T16" s="14">
        <f t="shared" si="17"/>
        <v>-15</v>
      </c>
      <c r="U16" s="15">
        <f t="shared" si="18"/>
        <v>-15</v>
      </c>
      <c r="V16" s="19">
        <f t="shared" si="19"/>
        <v>132</v>
      </c>
      <c r="W16" s="20">
        <f t="shared" si="20"/>
        <v>-14</v>
      </c>
      <c r="X16" s="20">
        <f t="shared" si="21"/>
        <v>132</v>
      </c>
      <c r="Y16" s="21">
        <f t="shared" si="22"/>
        <v>14</v>
      </c>
      <c r="Z16" s="25">
        <f>BC16+(BD16*(1/12))-O16</f>
        <v>100.15936564267494</v>
      </c>
      <c r="AA16" s="26">
        <f>BE16+(BF16*(1/12))-O16</f>
        <v>77.159365642674942</v>
      </c>
      <c r="AB16" s="26">
        <f>BG16+(BH16*(1/12))-O16</f>
        <v>54.159365642674949</v>
      </c>
      <c r="AC16" s="26">
        <f t="shared" si="23"/>
        <v>15</v>
      </c>
      <c r="AD16" s="26">
        <f t="shared" si="24"/>
        <v>15</v>
      </c>
      <c r="AE16" s="27">
        <f t="shared" si="25"/>
        <v>15</v>
      </c>
      <c r="AG16" s="13">
        <f>132-21-23-23</f>
        <v>65</v>
      </c>
      <c r="AH16" s="14">
        <v>0</v>
      </c>
      <c r="AI16" s="14">
        <f>132-21-23</f>
        <v>88</v>
      </c>
      <c r="AJ16" s="14">
        <v>0</v>
      </c>
      <c r="AK16" s="14">
        <f>132-21</f>
        <v>111</v>
      </c>
      <c r="AL16" s="14">
        <v>0</v>
      </c>
      <c r="AM16" s="14">
        <v>-15</v>
      </c>
      <c r="AN16" s="14">
        <v>0</v>
      </c>
      <c r="AO16" s="14">
        <v>-15</v>
      </c>
      <c r="AP16" s="14">
        <v>0</v>
      </c>
      <c r="AQ16" s="14">
        <v>-15</v>
      </c>
      <c r="AR16" s="15">
        <v>0</v>
      </c>
      <c r="AT16" s="19">
        <v>132</v>
      </c>
      <c r="AU16" s="20">
        <v>0</v>
      </c>
      <c r="AV16" s="20">
        <v>-14</v>
      </c>
      <c r="AW16" s="20">
        <v>0</v>
      </c>
      <c r="AX16" s="20">
        <v>132</v>
      </c>
      <c r="AY16" s="20">
        <v>0</v>
      </c>
      <c r="AZ16" s="20">
        <v>14</v>
      </c>
      <c r="BA16" s="21">
        <v>0</v>
      </c>
      <c r="BC16" s="25">
        <f>132-21</f>
        <v>111</v>
      </c>
      <c r="BD16" s="26">
        <v>0</v>
      </c>
      <c r="BE16" s="26">
        <f>132-21-23</f>
        <v>88</v>
      </c>
      <c r="BF16" s="26">
        <v>0</v>
      </c>
      <c r="BG16" s="26">
        <f>132-21-23-23</f>
        <v>65</v>
      </c>
      <c r="BH16" s="26">
        <v>0</v>
      </c>
      <c r="BI16" s="26">
        <v>15</v>
      </c>
      <c r="BJ16" s="26">
        <v>0</v>
      </c>
      <c r="BK16" s="26">
        <v>15</v>
      </c>
      <c r="BL16" s="26">
        <v>0</v>
      </c>
      <c r="BM16" s="26">
        <v>15</v>
      </c>
      <c r="BN16" s="27">
        <v>0</v>
      </c>
    </row>
    <row r="17" spans="1:66" x14ac:dyDescent="0.3">
      <c r="A17" s="8" t="s">
        <v>59</v>
      </c>
      <c r="B17" t="s">
        <v>65</v>
      </c>
      <c r="C17" t="s">
        <v>93</v>
      </c>
      <c r="D17" t="s">
        <v>94</v>
      </c>
      <c r="E17" s="8" t="s">
        <v>66</v>
      </c>
      <c r="F17">
        <v>1.196</v>
      </c>
      <c r="G17">
        <v>2</v>
      </c>
      <c r="H17" s="9">
        <v>18</v>
      </c>
      <c r="I17">
        <v>2</v>
      </c>
      <c r="J17">
        <v>2</v>
      </c>
      <c r="K17" s="9">
        <v>345</v>
      </c>
      <c r="L17">
        <v>20</v>
      </c>
      <c r="M17">
        <v>355</v>
      </c>
      <c r="N17">
        <v>170</v>
      </c>
      <c r="O17">
        <f t="shared" si="26"/>
        <v>10.840634357325053</v>
      </c>
      <c r="P17" s="13">
        <f>AG17+(AH17*(1/12))-O17</f>
        <v>65.159365642674942</v>
      </c>
      <c r="Q17" s="14">
        <f>AI17+(AJ17*(1/12))-O17</f>
        <v>90.159365642674942</v>
      </c>
      <c r="R17" s="14">
        <f>AK17+(AL17*(1/12))-O17</f>
        <v>115.15936564267494</v>
      </c>
      <c r="S17" s="14">
        <f t="shared" si="16"/>
        <v>-14.25</v>
      </c>
      <c r="T17" s="14">
        <f t="shared" si="17"/>
        <v>-21.25</v>
      </c>
      <c r="U17" s="15">
        <f t="shared" si="18"/>
        <v>-14.25</v>
      </c>
      <c r="V17" s="19">
        <f t="shared" si="19"/>
        <v>135</v>
      </c>
      <c r="W17" s="20">
        <f t="shared" si="20"/>
        <v>-17</v>
      </c>
      <c r="X17" s="20">
        <f t="shared" si="21"/>
        <v>135</v>
      </c>
      <c r="Y17" s="21">
        <f t="shared" si="22"/>
        <v>17</v>
      </c>
      <c r="Z17" s="25">
        <f>BC17+(BD17*(1/12))-O17</f>
        <v>115.15936564267494</v>
      </c>
      <c r="AA17" s="26">
        <f>BE17+(BF17*(1/12))-O17</f>
        <v>90.159365642674942</v>
      </c>
      <c r="AB17" s="26">
        <f>BG17+(BH17*(1/12))-O17</f>
        <v>65.159365642674942</v>
      </c>
      <c r="AC17" s="26">
        <f t="shared" si="23"/>
        <v>14.25</v>
      </c>
      <c r="AD17" s="26">
        <f t="shared" si="24"/>
        <v>21.25</v>
      </c>
      <c r="AE17" s="27">
        <f t="shared" si="25"/>
        <v>14.25</v>
      </c>
      <c r="AG17" s="13">
        <v>76</v>
      </c>
      <c r="AH17" s="14">
        <v>0</v>
      </c>
      <c r="AI17" s="14">
        <f>76+25</f>
        <v>101</v>
      </c>
      <c r="AJ17" s="14">
        <v>0</v>
      </c>
      <c r="AK17" s="14">
        <f>76+25+25</f>
        <v>126</v>
      </c>
      <c r="AL17" s="14">
        <v>0</v>
      </c>
      <c r="AM17" s="14">
        <v>-14</v>
      </c>
      <c r="AN17" s="14">
        <v>-3</v>
      </c>
      <c r="AO17" s="14">
        <v>-21</v>
      </c>
      <c r="AP17" s="14">
        <v>-3</v>
      </c>
      <c r="AQ17" s="14">
        <v>-14</v>
      </c>
      <c r="AR17" s="15">
        <v>-3</v>
      </c>
      <c r="AT17" s="19">
        <f>76+25+25+9</f>
        <v>135</v>
      </c>
      <c r="AU17" s="20">
        <v>0</v>
      </c>
      <c r="AV17" s="20">
        <v>-17</v>
      </c>
      <c r="AW17" s="20">
        <v>0</v>
      </c>
      <c r="AX17" s="20">
        <f>76+25+25+9</f>
        <v>135</v>
      </c>
      <c r="AY17" s="20">
        <v>0</v>
      </c>
      <c r="AZ17" s="20">
        <v>17</v>
      </c>
      <c r="BA17" s="21">
        <v>0</v>
      </c>
      <c r="BC17" s="25">
        <f>76+25+25</f>
        <v>126</v>
      </c>
      <c r="BD17" s="26">
        <v>0</v>
      </c>
      <c r="BE17" s="26">
        <f>76+25</f>
        <v>101</v>
      </c>
      <c r="BF17" s="26">
        <v>0</v>
      </c>
      <c r="BG17" s="26">
        <v>76</v>
      </c>
      <c r="BH17" s="26">
        <v>0</v>
      </c>
      <c r="BI17" s="26">
        <v>14</v>
      </c>
      <c r="BJ17" s="26">
        <v>3</v>
      </c>
      <c r="BK17" s="26">
        <v>21</v>
      </c>
      <c r="BL17" s="26">
        <v>3</v>
      </c>
      <c r="BM17" s="26">
        <v>14</v>
      </c>
      <c r="BN17" s="27">
        <v>3</v>
      </c>
    </row>
    <row r="18" spans="1:66" x14ac:dyDescent="0.3">
      <c r="A18" s="8" t="s">
        <v>60</v>
      </c>
      <c r="B18" t="s">
        <v>65</v>
      </c>
      <c r="C18" t="s">
        <v>84</v>
      </c>
      <c r="D18" t="s">
        <v>133</v>
      </c>
      <c r="E18" s="8" t="s">
        <v>67</v>
      </c>
      <c r="F18">
        <v>1.821</v>
      </c>
      <c r="G18">
        <v>2</v>
      </c>
      <c r="H18" s="9">
        <v>18</v>
      </c>
      <c r="I18">
        <v>2</v>
      </c>
      <c r="J18">
        <v>2</v>
      </c>
      <c r="K18" s="9">
        <v>345</v>
      </c>
      <c r="L18">
        <v>20</v>
      </c>
      <c r="M18">
        <v>355</v>
      </c>
      <c r="N18">
        <v>170</v>
      </c>
      <c r="O18">
        <f t="shared" si="26"/>
        <v>10.840634357325053</v>
      </c>
      <c r="P18" s="13">
        <f>AG18+(AH18*(1/12))-O18</f>
        <v>65.159365642674942</v>
      </c>
      <c r="Q18" s="14">
        <f>AI18+(AJ18*(1/12))-O18</f>
        <v>81.159365642674942</v>
      </c>
      <c r="R18" s="14">
        <f>AK18+(AL18*(1/12))-O18</f>
        <v>97.159365642674942</v>
      </c>
      <c r="S18" s="14">
        <f t="shared" si="16"/>
        <v>-11</v>
      </c>
      <c r="T18" s="14">
        <f t="shared" si="17"/>
        <v>-11</v>
      </c>
      <c r="U18" s="15">
        <f t="shared" si="18"/>
        <v>-11</v>
      </c>
      <c r="V18" s="19">
        <f t="shared" si="19"/>
        <v>111.5</v>
      </c>
      <c r="W18" s="20">
        <f t="shared" si="20"/>
        <v>-8</v>
      </c>
      <c r="X18" s="20">
        <f t="shared" si="21"/>
        <v>111.5</v>
      </c>
      <c r="Y18" s="21">
        <f t="shared" si="22"/>
        <v>8</v>
      </c>
      <c r="Z18" s="25">
        <f>BC18+(BD18*(1/12))-O18</f>
        <v>97.159365642674942</v>
      </c>
      <c r="AA18" s="26">
        <f>BE18+(BF18*(1/12))-O18</f>
        <v>81.159365642674942</v>
      </c>
      <c r="AB18" s="26">
        <f>BG18+(BH18*(1/12))-O18</f>
        <v>65.159365642674942</v>
      </c>
      <c r="AC18" s="26">
        <f t="shared" si="23"/>
        <v>11</v>
      </c>
      <c r="AD18" s="26">
        <f t="shared" si="24"/>
        <v>11</v>
      </c>
      <c r="AE18" s="27">
        <f t="shared" si="25"/>
        <v>11</v>
      </c>
      <c r="AG18" s="13">
        <v>76</v>
      </c>
      <c r="AH18" s="14">
        <v>0</v>
      </c>
      <c r="AI18" s="14">
        <f>76+16</f>
        <v>92</v>
      </c>
      <c r="AJ18" s="14">
        <v>0</v>
      </c>
      <c r="AK18" s="14">
        <f>76+16+16</f>
        <v>108</v>
      </c>
      <c r="AL18" s="14">
        <v>0</v>
      </c>
      <c r="AM18" s="14">
        <v>-11</v>
      </c>
      <c r="AN18" s="14">
        <v>0</v>
      </c>
      <c r="AO18" s="14">
        <v>-11</v>
      </c>
      <c r="AP18" s="14">
        <v>0</v>
      </c>
      <c r="AQ18" s="14">
        <v>-11</v>
      </c>
      <c r="AR18" s="15">
        <v>0</v>
      </c>
      <c r="AT18" s="19">
        <f>76+16+16+3</f>
        <v>111</v>
      </c>
      <c r="AU18" s="20">
        <v>6</v>
      </c>
      <c r="AV18" s="20">
        <v>-8</v>
      </c>
      <c r="AW18" s="20">
        <v>0</v>
      </c>
      <c r="AX18" s="20">
        <f>76+16+16+3</f>
        <v>111</v>
      </c>
      <c r="AY18" s="20">
        <v>6</v>
      </c>
      <c r="AZ18" s="20">
        <v>8</v>
      </c>
      <c r="BA18" s="21">
        <v>0</v>
      </c>
      <c r="BC18" s="25">
        <f>76+16+16</f>
        <v>108</v>
      </c>
      <c r="BD18" s="26">
        <v>0</v>
      </c>
      <c r="BE18" s="26">
        <f>76+16</f>
        <v>92</v>
      </c>
      <c r="BF18" s="26">
        <v>0</v>
      </c>
      <c r="BG18" s="26">
        <v>76</v>
      </c>
      <c r="BH18" s="26">
        <v>0</v>
      </c>
      <c r="BI18" s="26">
        <v>11</v>
      </c>
      <c r="BJ18" s="26">
        <v>0</v>
      </c>
      <c r="BK18" s="26">
        <v>11</v>
      </c>
      <c r="BL18" s="26">
        <v>0</v>
      </c>
      <c r="BM18" s="26">
        <v>11</v>
      </c>
      <c r="BN18" s="27">
        <v>0</v>
      </c>
    </row>
    <row r="19" spans="1:66" x14ac:dyDescent="0.3">
      <c r="A19" s="8" t="s">
        <v>61</v>
      </c>
      <c r="B19" t="s">
        <v>65</v>
      </c>
      <c r="C19" t="s">
        <v>89</v>
      </c>
      <c r="D19" t="s">
        <v>90</v>
      </c>
      <c r="E19" s="8" t="s">
        <v>66</v>
      </c>
      <c r="F19">
        <v>1.345</v>
      </c>
      <c r="G19">
        <v>2</v>
      </c>
      <c r="H19" s="9">
        <v>18</v>
      </c>
      <c r="I19">
        <v>2</v>
      </c>
      <c r="J19">
        <v>2</v>
      </c>
      <c r="K19" s="9">
        <v>345</v>
      </c>
      <c r="L19">
        <v>20</v>
      </c>
      <c r="M19">
        <v>355</v>
      </c>
      <c r="N19">
        <v>170</v>
      </c>
      <c r="O19">
        <f t="shared" si="26"/>
        <v>10.840634357325053</v>
      </c>
      <c r="P19" s="13">
        <f>AG19+(AH19*(1/12))-O19</f>
        <v>72</v>
      </c>
      <c r="Q19" s="14">
        <f>AI19+(AJ19*(1/12))-O19</f>
        <v>97</v>
      </c>
      <c r="R19" s="14">
        <f>AK19+(AL19*(1/12))-O19</f>
        <v>122</v>
      </c>
      <c r="S19" s="14">
        <f t="shared" si="16"/>
        <v>-11</v>
      </c>
      <c r="T19" s="14">
        <f t="shared" si="17"/>
        <v>-19</v>
      </c>
      <c r="U19" s="15">
        <f t="shared" si="18"/>
        <v>-11</v>
      </c>
      <c r="V19" s="19">
        <f t="shared" si="19"/>
        <v>140</v>
      </c>
      <c r="W19" s="20">
        <f t="shared" si="20"/>
        <v>-7</v>
      </c>
      <c r="X19" s="20">
        <f t="shared" si="21"/>
        <v>140</v>
      </c>
      <c r="Y19" s="21">
        <f t="shared" si="22"/>
        <v>7</v>
      </c>
      <c r="Z19" s="25">
        <f>BC19+(BD19*(1/12))-O19</f>
        <v>122</v>
      </c>
      <c r="AA19" s="26">
        <f>BE19+(BF19*(1/12))-O19</f>
        <v>97</v>
      </c>
      <c r="AB19" s="26">
        <f>BG19+(BH19*(1/12))-O19</f>
        <v>72</v>
      </c>
      <c r="AC19" s="26">
        <f t="shared" si="23"/>
        <v>11</v>
      </c>
      <c r="AD19" s="26">
        <f t="shared" si="24"/>
        <v>19</v>
      </c>
      <c r="AE19" s="27">
        <f t="shared" si="25"/>
        <v>11</v>
      </c>
      <c r="AG19" s="13">
        <f>140-18-25-25+O19</f>
        <v>82.840634357325058</v>
      </c>
      <c r="AH19" s="14">
        <v>0</v>
      </c>
      <c r="AI19" s="14">
        <f>140-18-25+O19</f>
        <v>107.84063435732506</v>
      </c>
      <c r="AJ19" s="14">
        <v>0</v>
      </c>
      <c r="AK19" s="14">
        <f>140-18+O19</f>
        <v>132.84063435732506</v>
      </c>
      <c r="AL19" s="14">
        <v>0</v>
      </c>
      <c r="AM19" s="14">
        <v>-11</v>
      </c>
      <c r="AN19" s="14">
        <v>0</v>
      </c>
      <c r="AO19" s="14">
        <v>-19</v>
      </c>
      <c r="AP19" s="14">
        <v>0</v>
      </c>
      <c r="AQ19" s="14">
        <v>-11</v>
      </c>
      <c r="AR19" s="15">
        <v>0</v>
      </c>
      <c r="AT19" s="19">
        <v>140</v>
      </c>
      <c r="AU19" s="20">
        <v>0</v>
      </c>
      <c r="AV19" s="20">
        <v>-7</v>
      </c>
      <c r="AW19" s="20">
        <v>0</v>
      </c>
      <c r="AX19" s="20">
        <v>140</v>
      </c>
      <c r="AY19" s="20">
        <v>0</v>
      </c>
      <c r="AZ19" s="20">
        <v>7</v>
      </c>
      <c r="BA19" s="21">
        <v>0</v>
      </c>
      <c r="BC19" s="25">
        <f>140-18+O19</f>
        <v>132.84063435732506</v>
      </c>
      <c r="BD19" s="26">
        <v>0</v>
      </c>
      <c r="BE19" s="26">
        <f>140-18-25+O19</f>
        <v>107.84063435732506</v>
      </c>
      <c r="BF19" s="26">
        <v>0</v>
      </c>
      <c r="BG19" s="26">
        <f>140-18-25-25+O19</f>
        <v>82.840634357325058</v>
      </c>
      <c r="BH19" s="26">
        <v>0</v>
      </c>
      <c r="BI19" s="26">
        <v>11</v>
      </c>
      <c r="BJ19" s="26">
        <v>0</v>
      </c>
      <c r="BK19" s="26">
        <v>19</v>
      </c>
      <c r="BL19" s="26">
        <v>0</v>
      </c>
      <c r="BM19" s="26">
        <v>11</v>
      </c>
      <c r="BN19" s="27">
        <v>0</v>
      </c>
    </row>
    <row r="20" spans="1:66" x14ac:dyDescent="0.3">
      <c r="A20" s="8" t="s">
        <v>62</v>
      </c>
      <c r="B20" t="s">
        <v>65</v>
      </c>
      <c r="C20" t="s">
        <v>72</v>
      </c>
      <c r="D20" t="s">
        <v>56</v>
      </c>
      <c r="E20" s="8" t="s">
        <v>67</v>
      </c>
      <c r="F20">
        <v>1.165</v>
      </c>
      <c r="G20">
        <v>2</v>
      </c>
      <c r="H20" s="9">
        <v>18</v>
      </c>
      <c r="I20">
        <v>2</v>
      </c>
      <c r="J20">
        <v>1</v>
      </c>
      <c r="K20" s="9">
        <v>345</v>
      </c>
      <c r="L20">
        <v>20</v>
      </c>
      <c r="M20">
        <v>355</v>
      </c>
      <c r="N20">
        <v>170</v>
      </c>
      <c r="O20">
        <f t="shared" si="26"/>
        <v>10.840634357325053</v>
      </c>
      <c r="P20" s="13">
        <f>AG20+(AH20*(1/12))-O20</f>
        <v>59.159365642674949</v>
      </c>
      <c r="Q20" s="14">
        <f>AI20+(AJ20*(1/12))-O20</f>
        <v>81.659365642674942</v>
      </c>
      <c r="R20" s="14">
        <f>AK20+(AL20*(1/12))-O20</f>
        <v>104.15936564267494</v>
      </c>
      <c r="S20" s="14">
        <f t="shared" si="16"/>
        <v>-9</v>
      </c>
      <c r="T20" s="14">
        <f t="shared" si="17"/>
        <v>-13</v>
      </c>
      <c r="U20" s="15">
        <f t="shared" si="18"/>
        <v>-9</v>
      </c>
      <c r="V20" s="19">
        <f t="shared" si="19"/>
        <v>145.5</v>
      </c>
      <c r="W20" s="20">
        <f t="shared" si="20"/>
        <v>0</v>
      </c>
      <c r="X20" s="20">
        <f t="shared" si="21"/>
        <v>0</v>
      </c>
      <c r="Y20" s="21">
        <f t="shared" si="22"/>
        <v>0</v>
      </c>
      <c r="Z20" s="25">
        <f>BC20+(BD20*(1/12))-O20</f>
        <v>104.15936564267494</v>
      </c>
      <c r="AA20" s="26">
        <f>BE20+(BF20*(1/12))-O20</f>
        <v>81.659365642674942</v>
      </c>
      <c r="AB20" s="26">
        <f>BG20+(BH20*(1/12))-O20</f>
        <v>59.159365642674949</v>
      </c>
      <c r="AC20" s="26">
        <f t="shared" si="23"/>
        <v>-9</v>
      </c>
      <c r="AD20" s="26">
        <f t="shared" si="24"/>
        <v>-13</v>
      </c>
      <c r="AE20" s="27">
        <f t="shared" si="25"/>
        <v>-9</v>
      </c>
      <c r="AG20" s="13">
        <v>70</v>
      </c>
      <c r="AH20" s="14">
        <v>0</v>
      </c>
      <c r="AI20" s="14">
        <f>70+22</f>
        <v>92</v>
      </c>
      <c r="AJ20" s="14">
        <v>6</v>
      </c>
      <c r="AK20" s="14">
        <f>70+22+22</f>
        <v>114</v>
      </c>
      <c r="AL20" s="14">
        <f>6+6</f>
        <v>12</v>
      </c>
      <c r="AM20" s="14">
        <v>-9</v>
      </c>
      <c r="AN20" s="14">
        <v>0</v>
      </c>
      <c r="AO20" s="14">
        <v>-13</v>
      </c>
      <c r="AP20" s="14">
        <v>0</v>
      </c>
      <c r="AQ20" s="14">
        <v>-9</v>
      </c>
      <c r="AR20" s="15">
        <v>0</v>
      </c>
      <c r="AT20" s="19">
        <f>70+22+22+30</f>
        <v>144</v>
      </c>
      <c r="AU20" s="20">
        <f>6+6+6</f>
        <v>18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1">
        <v>0</v>
      </c>
      <c r="BC20" s="25">
        <f>70+22+22</f>
        <v>114</v>
      </c>
      <c r="BD20" s="26">
        <f>6+6</f>
        <v>12</v>
      </c>
      <c r="BE20" s="26">
        <f>70+22</f>
        <v>92</v>
      </c>
      <c r="BF20" s="26">
        <v>6</v>
      </c>
      <c r="BG20" s="26">
        <v>70</v>
      </c>
      <c r="BH20" s="26">
        <v>0</v>
      </c>
      <c r="BI20" s="26">
        <v>-9</v>
      </c>
      <c r="BJ20" s="26">
        <v>0</v>
      </c>
      <c r="BK20" s="26">
        <v>-13</v>
      </c>
      <c r="BL20" s="26">
        <v>0</v>
      </c>
      <c r="BM20" s="26">
        <v>-9</v>
      </c>
      <c r="BN20" s="27">
        <v>0</v>
      </c>
    </row>
    <row r="21" spans="1:66" x14ac:dyDescent="0.3">
      <c r="A21" s="8" t="s">
        <v>63</v>
      </c>
      <c r="B21" t="s">
        <v>65</v>
      </c>
      <c r="C21" t="s">
        <v>75</v>
      </c>
      <c r="D21" t="s">
        <v>76</v>
      </c>
      <c r="E21" s="8" t="s">
        <v>66</v>
      </c>
      <c r="F21">
        <v>1.2929999999999999</v>
      </c>
      <c r="G21">
        <v>2</v>
      </c>
      <c r="H21" s="9">
        <v>18</v>
      </c>
      <c r="I21">
        <v>2</v>
      </c>
      <c r="J21">
        <v>2</v>
      </c>
      <c r="K21" s="9">
        <v>345</v>
      </c>
      <c r="L21">
        <v>20</v>
      </c>
      <c r="M21">
        <v>355</v>
      </c>
      <c r="N21">
        <v>170</v>
      </c>
      <c r="O21">
        <f t="shared" si="26"/>
        <v>10.840634357325053</v>
      </c>
      <c r="P21" s="13">
        <f>AG21+(AH21*(1/12))-O21</f>
        <v>116.82603230934161</v>
      </c>
      <c r="Q21" s="14">
        <f>AI21+(AJ21*(1/12))-O21</f>
        <v>80.826032309341613</v>
      </c>
      <c r="R21" s="14">
        <f>AK21+(AL21*(1/12))-O21</f>
        <v>80.826032309341613</v>
      </c>
      <c r="S21" s="14">
        <f t="shared" si="16"/>
        <v>-15.5</v>
      </c>
      <c r="T21" s="14">
        <f t="shared" si="17"/>
        <v>-41</v>
      </c>
      <c r="U21" s="15">
        <f t="shared" si="18"/>
        <v>-16</v>
      </c>
      <c r="V21" s="19">
        <f t="shared" si="19"/>
        <v>127.66666666666667</v>
      </c>
      <c r="W21" s="20">
        <f t="shared" si="20"/>
        <v>-30</v>
      </c>
      <c r="X21" s="20">
        <f t="shared" si="21"/>
        <v>127.66666666666667</v>
      </c>
      <c r="Y21" s="21">
        <f t="shared" si="22"/>
        <v>30</v>
      </c>
      <c r="Z21" s="25">
        <f>BC21+(BD21*(1/12))-O21</f>
        <v>116.82603230934161</v>
      </c>
      <c r="AA21" s="26">
        <f>BE21+(BF21*(1/12))-O21</f>
        <v>80.826032309341613</v>
      </c>
      <c r="AB21" s="26">
        <f>BG21+(BH21*(1/12))-O21</f>
        <v>80.826032309341613</v>
      </c>
      <c r="AC21" s="26">
        <f t="shared" si="23"/>
        <v>15.5</v>
      </c>
      <c r="AD21" s="26">
        <f t="shared" si="24"/>
        <v>16</v>
      </c>
      <c r="AE21" s="27">
        <f t="shared" si="25"/>
        <v>41</v>
      </c>
      <c r="AG21" s="13">
        <f>91+36</f>
        <v>127</v>
      </c>
      <c r="AH21" s="14">
        <v>8</v>
      </c>
      <c r="AI21" s="14">
        <v>91</v>
      </c>
      <c r="AJ21" s="14">
        <v>8</v>
      </c>
      <c r="AK21" s="14">
        <v>91</v>
      </c>
      <c r="AL21" s="14">
        <v>8</v>
      </c>
      <c r="AM21" s="14">
        <v>-15</v>
      </c>
      <c r="AN21" s="14">
        <v>-6</v>
      </c>
      <c r="AO21" s="14">
        <f>-16-25</f>
        <v>-41</v>
      </c>
      <c r="AP21" s="14">
        <v>0</v>
      </c>
      <c r="AQ21" s="14">
        <v>-16</v>
      </c>
      <c r="AR21" s="15">
        <v>0</v>
      </c>
      <c r="AT21" s="19">
        <f>91+36</f>
        <v>127</v>
      </c>
      <c r="AU21" s="20">
        <v>8</v>
      </c>
      <c r="AV21" s="20">
        <v>-30</v>
      </c>
      <c r="AW21" s="20">
        <v>0</v>
      </c>
      <c r="AX21" s="20">
        <v>127</v>
      </c>
      <c r="AY21" s="20">
        <v>8</v>
      </c>
      <c r="AZ21" s="20">
        <v>30</v>
      </c>
      <c r="BA21" s="21">
        <v>0</v>
      </c>
      <c r="BC21" s="25">
        <f>91+36</f>
        <v>127</v>
      </c>
      <c r="BD21" s="26">
        <v>8</v>
      </c>
      <c r="BE21" s="26">
        <v>91</v>
      </c>
      <c r="BF21" s="26">
        <v>8</v>
      </c>
      <c r="BG21" s="26">
        <v>91</v>
      </c>
      <c r="BH21" s="26">
        <v>8</v>
      </c>
      <c r="BI21" s="26">
        <v>15</v>
      </c>
      <c r="BJ21" s="26">
        <v>6</v>
      </c>
      <c r="BK21" s="26">
        <v>16</v>
      </c>
      <c r="BL21" s="26">
        <v>0</v>
      </c>
      <c r="BM21" s="26">
        <f>16+25</f>
        <v>41</v>
      </c>
      <c r="BN21" s="27">
        <v>0</v>
      </c>
    </row>
    <row r="22" spans="1:66" x14ac:dyDescent="0.3">
      <c r="A22" s="8" t="s">
        <v>64</v>
      </c>
      <c r="B22" t="s">
        <v>65</v>
      </c>
      <c r="C22" t="s">
        <v>53</v>
      </c>
      <c r="D22" t="s">
        <v>54</v>
      </c>
      <c r="E22" s="8" t="s">
        <v>67</v>
      </c>
      <c r="F22">
        <v>1.302</v>
      </c>
      <c r="G22">
        <v>2</v>
      </c>
      <c r="H22" s="9">
        <v>18</v>
      </c>
      <c r="I22">
        <v>2</v>
      </c>
      <c r="J22">
        <v>1</v>
      </c>
      <c r="K22" s="9">
        <v>345</v>
      </c>
      <c r="L22">
        <v>20</v>
      </c>
      <c r="M22">
        <v>355</v>
      </c>
      <c r="N22">
        <v>170</v>
      </c>
      <c r="O22">
        <f t="shared" si="26"/>
        <v>10.840634357325053</v>
      </c>
      <c r="P22" s="13">
        <f>AG22+(AH22*(1/12))-O22</f>
        <v>98.159365642674942</v>
      </c>
      <c r="Q22" s="14">
        <f>AI22+(AJ22*(1/12))-O22</f>
        <v>55.159365642674949</v>
      </c>
      <c r="R22" s="14">
        <f>AK22+(AL22*(1/12))-O22</f>
        <v>55.159365642674949</v>
      </c>
      <c r="S22" s="14">
        <f t="shared" si="16"/>
        <v>-22</v>
      </c>
      <c r="T22" s="14">
        <f t="shared" si="17"/>
        <v>-33</v>
      </c>
      <c r="U22" s="15">
        <f t="shared" si="18"/>
        <v>-10</v>
      </c>
      <c r="V22" s="19">
        <f t="shared" si="19"/>
        <v>118</v>
      </c>
      <c r="W22" s="20">
        <f t="shared" si="20"/>
        <v>0</v>
      </c>
      <c r="X22" s="20">
        <f t="shared" si="21"/>
        <v>0</v>
      </c>
      <c r="Y22" s="21">
        <f t="shared" si="22"/>
        <v>0</v>
      </c>
      <c r="Z22" s="25">
        <f>BC22+(BD22*(1/12))-O22</f>
        <v>98.159365642674942</v>
      </c>
      <c r="AA22" s="26">
        <f>BE22+(BF22*(1/12))-O22</f>
        <v>55.159365642674949</v>
      </c>
      <c r="AB22" s="26">
        <f>BG22+(BH22*(1/12))-O22</f>
        <v>55.159365642674949</v>
      </c>
      <c r="AC22" s="26">
        <f t="shared" si="23"/>
        <v>22</v>
      </c>
      <c r="AD22" s="26">
        <f t="shared" si="24"/>
        <v>10</v>
      </c>
      <c r="AE22" s="27">
        <f t="shared" si="25"/>
        <v>33</v>
      </c>
      <c r="AG22" s="13">
        <f>118-9</f>
        <v>109</v>
      </c>
      <c r="AH22" s="14">
        <v>0</v>
      </c>
      <c r="AI22" s="14">
        <v>66</v>
      </c>
      <c r="AJ22" s="14">
        <v>0</v>
      </c>
      <c r="AK22" s="14">
        <v>66</v>
      </c>
      <c r="AL22" s="14">
        <v>0</v>
      </c>
      <c r="AM22" s="14">
        <v>-22</v>
      </c>
      <c r="AN22" s="14">
        <v>0</v>
      </c>
      <c r="AO22" s="14">
        <f>-2-16-15</f>
        <v>-33</v>
      </c>
      <c r="AP22" s="14">
        <v>0</v>
      </c>
      <c r="AQ22" s="14">
        <v>-10</v>
      </c>
      <c r="AR22" s="15">
        <v>0</v>
      </c>
      <c r="AT22" s="19">
        <v>118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1">
        <v>0</v>
      </c>
      <c r="BC22" s="25">
        <f>118-9</f>
        <v>109</v>
      </c>
      <c r="BD22" s="26">
        <v>0</v>
      </c>
      <c r="BE22" s="26">
        <v>66</v>
      </c>
      <c r="BF22" s="26">
        <v>0</v>
      </c>
      <c r="BG22" s="26">
        <v>66</v>
      </c>
      <c r="BH22" s="26">
        <v>0</v>
      </c>
      <c r="BI22" s="26">
        <v>22</v>
      </c>
      <c r="BJ22" s="26">
        <v>0</v>
      </c>
      <c r="BK22" s="26">
        <f>2+8</f>
        <v>10</v>
      </c>
      <c r="BL22" s="26">
        <v>0</v>
      </c>
      <c r="BM22" s="26">
        <f>2+16+15</f>
        <v>33</v>
      </c>
      <c r="BN22" s="27">
        <v>0</v>
      </c>
    </row>
    <row r="23" spans="1:66" x14ac:dyDescent="0.3">
      <c r="A23" s="8" t="s">
        <v>95</v>
      </c>
      <c r="B23" t="s">
        <v>105</v>
      </c>
      <c r="C23" t="s">
        <v>106</v>
      </c>
      <c r="D23" t="s">
        <v>107</v>
      </c>
      <c r="E23" s="8" t="s">
        <v>66</v>
      </c>
      <c r="F23">
        <v>1.762</v>
      </c>
      <c r="G23">
        <v>2</v>
      </c>
      <c r="H23" s="9">
        <v>18</v>
      </c>
      <c r="I23">
        <v>1</v>
      </c>
      <c r="J23">
        <v>2</v>
      </c>
      <c r="K23" s="9">
        <v>345</v>
      </c>
      <c r="L23">
        <v>20</v>
      </c>
      <c r="M23">
        <v>355</v>
      </c>
      <c r="N23">
        <v>170</v>
      </c>
      <c r="O23">
        <f t="shared" ref="O23:O32" si="27">((K23*L23)/M23)*N23*(1/304.8)</f>
        <v>10.840634357325053</v>
      </c>
      <c r="P23" s="13">
        <f>AG23+(AH23*(1/12))-O23</f>
        <v>49.159365642674949</v>
      </c>
      <c r="Q23" s="14">
        <f>AI23+(AJ23*(1/12))-O23</f>
        <v>49.159365642674949</v>
      </c>
      <c r="R23" s="14">
        <f>AK23+(AL23*(1/12))-O23</f>
        <v>49.159365642674949</v>
      </c>
      <c r="S23" s="14">
        <f t="shared" ref="S23:S33" si="28">AM23+(AN23*(1/12))</f>
        <v>-18</v>
      </c>
      <c r="T23" s="14">
        <f t="shared" ref="T23:T33" si="29">AO23+(AP23*(1/12))</f>
        <v>0</v>
      </c>
      <c r="U23" s="15">
        <f t="shared" ref="U23:U33" si="30">AQ23+(AR23*(1/12))</f>
        <v>18</v>
      </c>
      <c r="V23" s="19">
        <f t="shared" ref="V23:V33" si="31">AT23+((1/12)*AU23)</f>
        <v>73</v>
      </c>
      <c r="W23" s="20">
        <f t="shared" ref="W23:W33" si="32">AV23+((1/12)*AW23)</f>
        <v>-12.25</v>
      </c>
      <c r="X23" s="20">
        <f t="shared" ref="X23:X33" si="33">AX23+((1/12)*AY23)</f>
        <v>73</v>
      </c>
      <c r="Y23" s="21">
        <f t="shared" ref="Y23:Y33" si="34">AZ23+((1/12)*BA23)</f>
        <v>12.25</v>
      </c>
      <c r="Z23" s="25">
        <f>BC23+(BD23*(1/12))-O23</f>
        <v>-10.840634357325053</v>
      </c>
      <c r="AA23" s="26">
        <f>BE23+(BF23*(1/12))-O23</f>
        <v>-10.840634357325053</v>
      </c>
      <c r="AB23" s="26">
        <f>BG23+(BH23*(1/12))-O23</f>
        <v>-10.840634357325053</v>
      </c>
      <c r="AC23" s="26">
        <f t="shared" ref="AC23:AC33" si="35">BI23+(BJ23*(1/12))</f>
        <v>0</v>
      </c>
      <c r="AD23" s="26">
        <f t="shared" ref="AD23:AD33" si="36">BK23+(BL23*(1/12))</f>
        <v>0</v>
      </c>
      <c r="AE23" s="27">
        <f t="shared" ref="AE23:AE33" si="37">BM23+(BN23*(1/12))</f>
        <v>0</v>
      </c>
      <c r="AG23" s="13">
        <v>60</v>
      </c>
      <c r="AH23" s="14">
        <v>0</v>
      </c>
      <c r="AI23" s="14">
        <v>60</v>
      </c>
      <c r="AJ23" s="14">
        <v>0</v>
      </c>
      <c r="AK23" s="14">
        <v>60</v>
      </c>
      <c r="AL23" s="14">
        <v>0</v>
      </c>
      <c r="AM23" s="14">
        <f>-36/2</f>
        <v>-18</v>
      </c>
      <c r="AN23" s="14">
        <v>0</v>
      </c>
      <c r="AO23" s="14">
        <v>0</v>
      </c>
      <c r="AP23" s="14">
        <v>0</v>
      </c>
      <c r="AQ23" s="14">
        <v>18</v>
      </c>
      <c r="AR23" s="15">
        <v>0</v>
      </c>
      <c r="AT23" s="19">
        <f>60+13</f>
        <v>73</v>
      </c>
      <c r="AU23" s="20">
        <v>0</v>
      </c>
      <c r="AV23" s="20">
        <f>-24/2</f>
        <v>-12</v>
      </c>
      <c r="AW23" s="20">
        <f>-6/2</f>
        <v>-3</v>
      </c>
      <c r="AX23" s="20">
        <v>73</v>
      </c>
      <c r="AY23" s="20">
        <v>0</v>
      </c>
      <c r="AZ23" s="20">
        <v>12</v>
      </c>
      <c r="BA23" s="21">
        <v>3</v>
      </c>
    </row>
    <row r="24" spans="1:66" x14ac:dyDescent="0.3">
      <c r="A24" s="31" t="s">
        <v>96</v>
      </c>
      <c r="B24" s="30" t="s">
        <v>105</v>
      </c>
      <c r="C24" s="30" t="s">
        <v>89</v>
      </c>
      <c r="D24" s="30" t="s">
        <v>90</v>
      </c>
      <c r="E24" s="8" t="s">
        <v>66</v>
      </c>
      <c r="F24">
        <v>1.196</v>
      </c>
      <c r="G24">
        <v>2</v>
      </c>
      <c r="H24" s="9">
        <v>18</v>
      </c>
      <c r="I24">
        <v>1</v>
      </c>
      <c r="J24">
        <v>2</v>
      </c>
      <c r="K24" s="9">
        <v>345</v>
      </c>
      <c r="L24">
        <v>20</v>
      </c>
      <c r="M24">
        <v>355</v>
      </c>
      <c r="N24">
        <v>170</v>
      </c>
      <c r="O24">
        <f t="shared" si="27"/>
        <v>10.840634357325053</v>
      </c>
      <c r="P24" s="13">
        <f>AG24+(AH24*(1/12))-O24</f>
        <v>62.159365642674949</v>
      </c>
      <c r="Q24" s="14">
        <f>AI24+(AJ24*(1/12))-O24</f>
        <v>62.159365642674949</v>
      </c>
      <c r="R24" s="14">
        <f>AK24+(AL24*(1/12))-O24</f>
        <v>62.159365642674949</v>
      </c>
      <c r="S24" s="14">
        <f t="shared" si="28"/>
        <v>-27</v>
      </c>
      <c r="T24" s="14">
        <f t="shared" si="29"/>
        <v>0</v>
      </c>
      <c r="U24" s="15">
        <f t="shared" si="30"/>
        <v>27</v>
      </c>
      <c r="V24" s="19">
        <f t="shared" si="31"/>
        <v>73</v>
      </c>
      <c r="W24" s="20">
        <f t="shared" si="32"/>
        <v>-12.25</v>
      </c>
      <c r="X24" s="20">
        <f t="shared" si="33"/>
        <v>73</v>
      </c>
      <c r="Y24" s="21">
        <f t="shared" si="34"/>
        <v>12.25</v>
      </c>
      <c r="Z24" s="25">
        <f>BC24+(BD24*(1/12))-O24</f>
        <v>-10.840634357325053</v>
      </c>
      <c r="AA24" s="26">
        <f>BE24+(BF24*(1/12))-O24</f>
        <v>-10.840634357325053</v>
      </c>
      <c r="AB24" s="26">
        <f>BG24+(BH24*(1/12))-O24</f>
        <v>-10.840634357325053</v>
      </c>
      <c r="AC24" s="26">
        <f t="shared" si="35"/>
        <v>0</v>
      </c>
      <c r="AD24" s="26">
        <f t="shared" si="36"/>
        <v>0</v>
      </c>
      <c r="AE24" s="27">
        <f t="shared" si="37"/>
        <v>0</v>
      </c>
      <c r="AG24" s="13">
        <v>73</v>
      </c>
      <c r="AH24" s="14">
        <v>0</v>
      </c>
      <c r="AI24" s="14">
        <v>73</v>
      </c>
      <c r="AJ24" s="14">
        <v>0</v>
      </c>
      <c r="AK24" s="14">
        <v>73</v>
      </c>
      <c r="AL24" s="14">
        <v>0</v>
      </c>
      <c r="AM24" s="14">
        <v>-26</v>
      </c>
      <c r="AN24" s="14">
        <v>-12</v>
      </c>
      <c r="AO24" s="14">
        <v>0</v>
      </c>
      <c r="AP24" s="14">
        <v>0</v>
      </c>
      <c r="AQ24" s="14">
        <v>26</v>
      </c>
      <c r="AR24" s="15">
        <v>12</v>
      </c>
      <c r="AT24" s="19">
        <v>73</v>
      </c>
      <c r="AU24" s="20">
        <v>0</v>
      </c>
      <c r="AV24" s="20">
        <v>-12</v>
      </c>
      <c r="AW24" s="20">
        <v>-3</v>
      </c>
      <c r="AX24" s="20">
        <v>73</v>
      </c>
      <c r="AY24" s="20">
        <v>0</v>
      </c>
      <c r="AZ24" s="20">
        <v>12</v>
      </c>
      <c r="BA24" s="21">
        <v>3</v>
      </c>
    </row>
    <row r="25" spans="1:66" x14ac:dyDescent="0.3">
      <c r="A25" s="31" t="s">
        <v>97</v>
      </c>
      <c r="B25" s="30" t="s">
        <v>105</v>
      </c>
      <c r="C25" s="30" t="s">
        <v>123</v>
      </c>
      <c r="D25" s="30" t="s">
        <v>122</v>
      </c>
      <c r="E25" s="8" t="s">
        <v>66</v>
      </c>
      <c r="F25">
        <v>1.302</v>
      </c>
      <c r="G25">
        <v>2</v>
      </c>
      <c r="H25" s="9">
        <v>18</v>
      </c>
      <c r="I25">
        <v>1</v>
      </c>
      <c r="J25">
        <v>2</v>
      </c>
      <c r="K25" s="9">
        <v>345</v>
      </c>
      <c r="L25">
        <v>20</v>
      </c>
      <c r="M25">
        <v>355</v>
      </c>
      <c r="N25">
        <v>170</v>
      </c>
      <c r="O25">
        <f t="shared" si="27"/>
        <v>10.840634357325053</v>
      </c>
      <c r="P25" s="13">
        <f>AG25+(AH25*(1/12))-O25</f>
        <v>44.826032309341613</v>
      </c>
      <c r="Q25" s="14">
        <f>AI25+(AJ25*(1/12))-O25</f>
        <v>44.826032309341613</v>
      </c>
      <c r="R25" s="14">
        <f>AK25+(AL25*(1/12))-O25</f>
        <v>44.826032309341613</v>
      </c>
      <c r="S25" s="14">
        <f t="shared" si="28"/>
        <v>-26</v>
      </c>
      <c r="T25" s="14">
        <f t="shared" si="29"/>
        <v>0</v>
      </c>
      <c r="U25" s="15">
        <f t="shared" si="30"/>
        <v>26</v>
      </c>
      <c r="V25" s="19">
        <f t="shared" si="31"/>
        <v>65.5</v>
      </c>
      <c r="W25" s="20">
        <f t="shared" si="32"/>
        <v>-13</v>
      </c>
      <c r="X25" s="20">
        <f t="shared" si="33"/>
        <v>65.5</v>
      </c>
      <c r="Y25" s="21">
        <f t="shared" si="34"/>
        <v>13</v>
      </c>
      <c r="Z25" s="25">
        <f>BC25+(BD25*(1/12))-O25</f>
        <v>-10.840634357325053</v>
      </c>
      <c r="AA25" s="26">
        <f>BE25+(BF25*(1/12))-O25</f>
        <v>-10.840634357325053</v>
      </c>
      <c r="AB25" s="26">
        <f>BG25+(BH25*(1/12))-O25</f>
        <v>-10.840634357325053</v>
      </c>
      <c r="AC25" s="26">
        <f t="shared" si="35"/>
        <v>0</v>
      </c>
      <c r="AD25" s="26">
        <f t="shared" si="36"/>
        <v>0</v>
      </c>
      <c r="AE25" s="27">
        <f t="shared" si="37"/>
        <v>0</v>
      </c>
      <c r="AG25" s="13">
        <v>55</v>
      </c>
      <c r="AH25" s="14">
        <v>8</v>
      </c>
      <c r="AI25" s="14">
        <v>55</v>
      </c>
      <c r="AJ25" s="14">
        <v>8</v>
      </c>
      <c r="AK25" s="14">
        <v>55</v>
      </c>
      <c r="AL25" s="14">
        <v>8</v>
      </c>
      <c r="AM25" s="14">
        <v>-26</v>
      </c>
      <c r="AN25" s="14">
        <v>0</v>
      </c>
      <c r="AO25" s="14">
        <v>0</v>
      </c>
      <c r="AP25" s="14">
        <v>0</v>
      </c>
      <c r="AQ25" s="14">
        <v>26</v>
      </c>
      <c r="AR25" s="15">
        <v>0</v>
      </c>
      <c r="AT25" s="19">
        <f>55+9</f>
        <v>64</v>
      </c>
      <c r="AU25" s="20">
        <f>8+10</f>
        <v>18</v>
      </c>
      <c r="AV25" s="20">
        <v>-13</v>
      </c>
      <c r="AW25" s="20">
        <v>0</v>
      </c>
      <c r="AX25" s="20">
        <v>64</v>
      </c>
      <c r="AY25" s="20">
        <v>18</v>
      </c>
      <c r="AZ25" s="20">
        <v>13</v>
      </c>
      <c r="BA25" s="21">
        <v>0</v>
      </c>
    </row>
    <row r="26" spans="1:66" x14ac:dyDescent="0.3">
      <c r="A26" s="31" t="s">
        <v>98</v>
      </c>
      <c r="B26" s="30" t="s">
        <v>105</v>
      </c>
      <c r="C26" s="30" t="s">
        <v>129</v>
      </c>
      <c r="D26" s="30" t="s">
        <v>128</v>
      </c>
      <c r="E26" s="8" t="s">
        <v>66</v>
      </c>
      <c r="F26">
        <v>1.2929999999999999</v>
      </c>
      <c r="G26">
        <v>2</v>
      </c>
      <c r="H26" s="9">
        <v>18</v>
      </c>
      <c r="I26">
        <v>1</v>
      </c>
      <c r="J26">
        <v>2</v>
      </c>
      <c r="K26" s="9">
        <v>345</v>
      </c>
      <c r="L26">
        <v>20</v>
      </c>
      <c r="M26">
        <v>355</v>
      </c>
      <c r="N26">
        <v>170</v>
      </c>
      <c r="O26">
        <f t="shared" si="27"/>
        <v>10.840634357325053</v>
      </c>
      <c r="P26" s="13">
        <f>AG26+(AH26*(1/12))-O26</f>
        <v>50.159365642674949</v>
      </c>
      <c r="Q26" s="14">
        <f>AI26+(AJ26*(1/12))-O26</f>
        <v>50.159365642674949</v>
      </c>
      <c r="R26" s="14">
        <f>AK26+(AL26*(1/12))-O26</f>
        <v>50.159365642674949</v>
      </c>
      <c r="S26" s="14">
        <f t="shared" si="28"/>
        <v>-26</v>
      </c>
      <c r="T26" s="14">
        <f t="shared" si="29"/>
        <v>0</v>
      </c>
      <c r="U26" s="15">
        <f t="shared" si="30"/>
        <v>26</v>
      </c>
      <c r="V26" s="19">
        <f t="shared" si="31"/>
        <v>73.5</v>
      </c>
      <c r="W26" s="20">
        <f t="shared" si="32"/>
        <v>-13</v>
      </c>
      <c r="X26" s="20">
        <f t="shared" si="33"/>
        <v>73.5</v>
      </c>
      <c r="Y26" s="21">
        <f t="shared" si="34"/>
        <v>13</v>
      </c>
      <c r="Z26" s="25">
        <f>BC26+(BD26*(1/12))-O26</f>
        <v>-10.840634357325053</v>
      </c>
      <c r="AA26" s="26">
        <f>BE26+(BF26*(1/12))-O26</f>
        <v>-10.840634357325053</v>
      </c>
      <c r="AB26" s="26">
        <f>BG26+(BH26*(1/12))-O26</f>
        <v>-10.840634357325053</v>
      </c>
      <c r="AC26" s="26">
        <f t="shared" si="35"/>
        <v>0</v>
      </c>
      <c r="AD26" s="26">
        <f t="shared" si="36"/>
        <v>0</v>
      </c>
      <c r="AE26" s="27">
        <f t="shared" si="37"/>
        <v>0</v>
      </c>
      <c r="AG26" s="13">
        <v>61</v>
      </c>
      <c r="AH26" s="14">
        <v>0</v>
      </c>
      <c r="AI26" s="14">
        <v>61</v>
      </c>
      <c r="AJ26" s="14">
        <v>0</v>
      </c>
      <c r="AK26" s="14">
        <v>61</v>
      </c>
      <c r="AL26" s="14">
        <v>0</v>
      </c>
      <c r="AM26" s="14">
        <v>-26</v>
      </c>
      <c r="AN26" s="14">
        <v>0</v>
      </c>
      <c r="AO26" s="14">
        <v>0</v>
      </c>
      <c r="AP26" s="14">
        <v>0</v>
      </c>
      <c r="AQ26" s="14">
        <v>26</v>
      </c>
      <c r="AR26" s="15">
        <v>0</v>
      </c>
      <c r="AT26" s="19">
        <f>61+12.5</f>
        <v>73.5</v>
      </c>
      <c r="AU26" s="20">
        <v>0</v>
      </c>
      <c r="AV26" s="20">
        <v>-13</v>
      </c>
      <c r="AW26" s="20">
        <v>0</v>
      </c>
      <c r="AX26" s="20">
        <v>73.5</v>
      </c>
      <c r="AY26" s="20">
        <v>0</v>
      </c>
      <c r="AZ26" s="20">
        <v>13</v>
      </c>
      <c r="BA26" s="21">
        <v>0</v>
      </c>
    </row>
    <row r="27" spans="1:66" x14ac:dyDescent="0.3">
      <c r="A27" s="8" t="s">
        <v>99</v>
      </c>
      <c r="B27" t="s">
        <v>105</v>
      </c>
      <c r="C27" t="s">
        <v>116</v>
      </c>
      <c r="D27" t="s">
        <v>117</v>
      </c>
      <c r="E27" s="8" t="s">
        <v>66</v>
      </c>
      <c r="F27">
        <v>1.0629999999999999</v>
      </c>
      <c r="G27">
        <v>2</v>
      </c>
      <c r="H27" s="9">
        <v>18</v>
      </c>
      <c r="I27">
        <v>1</v>
      </c>
      <c r="J27">
        <v>2</v>
      </c>
      <c r="K27" s="9">
        <v>345</v>
      </c>
      <c r="L27">
        <v>20</v>
      </c>
      <c r="M27">
        <v>355</v>
      </c>
      <c r="N27">
        <v>170</v>
      </c>
      <c r="O27">
        <f t="shared" si="27"/>
        <v>10.840634357325053</v>
      </c>
      <c r="P27" s="13">
        <f>AG27+(AH27*(1/12))-O27</f>
        <v>52.659365642674949</v>
      </c>
      <c r="Q27" s="14">
        <f>AI27+(AJ27*(1/12))-O27</f>
        <v>59.159365642674949</v>
      </c>
      <c r="R27" s="14">
        <f>AK27+(AL27*(1/12))-O27</f>
        <v>52.659365642674949</v>
      </c>
      <c r="S27" s="14">
        <f t="shared" si="28"/>
        <v>-27</v>
      </c>
      <c r="T27" s="14">
        <f t="shared" si="29"/>
        <v>0</v>
      </c>
      <c r="U27" s="15">
        <f t="shared" si="30"/>
        <v>27</v>
      </c>
      <c r="V27" s="19">
        <f t="shared" si="31"/>
        <v>78</v>
      </c>
      <c r="W27" s="20">
        <f t="shared" si="32"/>
        <v>-13.5</v>
      </c>
      <c r="X27" s="20">
        <f t="shared" si="33"/>
        <v>78</v>
      </c>
      <c r="Y27" s="21">
        <f t="shared" si="34"/>
        <v>13.5</v>
      </c>
      <c r="Z27" s="25">
        <f>BC27+(BD27*(1/12))-O27</f>
        <v>-10.840634357325053</v>
      </c>
      <c r="AA27" s="26">
        <f>BE27+(BF27*(1/12))-O27</f>
        <v>-10.840634357325053</v>
      </c>
      <c r="AB27" s="26">
        <f>BG27+(BH27*(1/12))-O27</f>
        <v>-10.840634357325053</v>
      </c>
      <c r="AC27" s="26">
        <f t="shared" si="35"/>
        <v>0</v>
      </c>
      <c r="AD27" s="26">
        <f t="shared" si="36"/>
        <v>0</v>
      </c>
      <c r="AE27" s="27">
        <f t="shared" si="37"/>
        <v>0</v>
      </c>
      <c r="AG27" s="13">
        <v>63</v>
      </c>
      <c r="AH27" s="14">
        <v>6</v>
      </c>
      <c r="AI27" s="14">
        <f>63+6</f>
        <v>69</v>
      </c>
      <c r="AJ27" s="14">
        <f>6+6</f>
        <v>12</v>
      </c>
      <c r="AK27" s="14">
        <v>63</v>
      </c>
      <c r="AL27" s="14">
        <v>6</v>
      </c>
      <c r="AM27" s="14">
        <f>-13-13</f>
        <v>-26</v>
      </c>
      <c r="AN27" s="14">
        <f>-6-6</f>
        <v>-12</v>
      </c>
      <c r="AO27" s="14">
        <v>0</v>
      </c>
      <c r="AP27" s="14">
        <v>0</v>
      </c>
      <c r="AQ27" s="14">
        <v>26</v>
      </c>
      <c r="AR27" s="15">
        <v>12</v>
      </c>
      <c r="AT27" s="19">
        <f>63+6+8</f>
        <v>77</v>
      </c>
      <c r="AU27" s="20">
        <f>6+6</f>
        <v>12</v>
      </c>
      <c r="AV27" s="20">
        <v>-13.5</v>
      </c>
      <c r="AW27" s="20">
        <v>0</v>
      </c>
      <c r="AX27" s="20">
        <v>77</v>
      </c>
      <c r="AY27" s="20">
        <v>12</v>
      </c>
      <c r="AZ27" s="20">
        <v>13.5</v>
      </c>
      <c r="BA27" s="21">
        <v>0</v>
      </c>
    </row>
    <row r="28" spans="1:66" x14ac:dyDescent="0.3">
      <c r="A28" s="8" t="s">
        <v>100</v>
      </c>
      <c r="B28" t="s">
        <v>105</v>
      </c>
      <c r="C28" t="s">
        <v>112</v>
      </c>
      <c r="D28" t="s">
        <v>113</v>
      </c>
      <c r="E28" s="8" t="s">
        <v>66</v>
      </c>
      <c r="F28">
        <v>1.1080000000000001</v>
      </c>
      <c r="G28">
        <v>2</v>
      </c>
      <c r="H28" s="9">
        <v>18</v>
      </c>
      <c r="I28">
        <v>1</v>
      </c>
      <c r="J28">
        <v>2</v>
      </c>
      <c r="K28" s="9">
        <v>345</v>
      </c>
      <c r="L28">
        <v>20</v>
      </c>
      <c r="M28">
        <v>355</v>
      </c>
      <c r="N28">
        <v>170</v>
      </c>
      <c r="O28">
        <f t="shared" si="27"/>
        <v>10.840634357325053</v>
      </c>
      <c r="P28" s="13">
        <f>AG28+(AH28*(1/12))-O28</f>
        <v>46.659365642674949</v>
      </c>
      <c r="Q28" s="14">
        <f>AI28+(AJ28*(1/12))-O28</f>
        <v>58.159365642674949</v>
      </c>
      <c r="R28" s="14">
        <f>AK28+(AL28*(1/12))-O28</f>
        <v>46.659365642674949</v>
      </c>
      <c r="S28" s="14">
        <f t="shared" si="28"/>
        <v>-28.25</v>
      </c>
      <c r="T28" s="14">
        <f t="shared" si="29"/>
        <v>0</v>
      </c>
      <c r="U28" s="15">
        <f t="shared" si="30"/>
        <v>28.25</v>
      </c>
      <c r="V28" s="19">
        <f t="shared" si="31"/>
        <v>69</v>
      </c>
      <c r="W28" s="20">
        <f t="shared" si="32"/>
        <v>-15.25</v>
      </c>
      <c r="X28" s="20">
        <f t="shared" si="33"/>
        <v>69</v>
      </c>
      <c r="Y28" s="21">
        <f t="shared" si="34"/>
        <v>15.25</v>
      </c>
      <c r="Z28" s="25">
        <f>BC28+(BD28*(1/12))-O28</f>
        <v>-10.840634357325053</v>
      </c>
      <c r="AA28" s="26">
        <f>BE28+(BF28*(1/12))-O28</f>
        <v>-10.840634357325053</v>
      </c>
      <c r="AB28" s="26">
        <f>BG28+(BH28*(1/12))-O28</f>
        <v>-10.840634357325053</v>
      </c>
      <c r="AC28" s="26">
        <f t="shared" si="35"/>
        <v>0</v>
      </c>
      <c r="AD28" s="26">
        <f t="shared" si="36"/>
        <v>0</v>
      </c>
      <c r="AE28" s="27">
        <f t="shared" si="37"/>
        <v>0</v>
      </c>
      <c r="AG28" s="13">
        <v>57</v>
      </c>
      <c r="AH28" s="14">
        <v>6</v>
      </c>
      <c r="AI28" s="14">
        <f>57+11</f>
        <v>68</v>
      </c>
      <c r="AJ28" s="14">
        <f>6+6</f>
        <v>12</v>
      </c>
      <c r="AK28" s="14">
        <v>57</v>
      </c>
      <c r="AL28" s="14">
        <v>6</v>
      </c>
      <c r="AM28" s="14">
        <f>-15-13</f>
        <v>-28</v>
      </c>
      <c r="AN28" s="14">
        <v>-3</v>
      </c>
      <c r="AO28" s="14">
        <v>0</v>
      </c>
      <c r="AP28" s="14">
        <v>0</v>
      </c>
      <c r="AQ28" s="14">
        <v>28</v>
      </c>
      <c r="AR28" s="15">
        <v>3</v>
      </c>
      <c r="AT28" s="19">
        <f>57+11</f>
        <v>68</v>
      </c>
      <c r="AU28" s="20">
        <f>6+6</f>
        <v>12</v>
      </c>
      <c r="AV28" s="20">
        <v>-15</v>
      </c>
      <c r="AW28" s="20">
        <v>-3</v>
      </c>
      <c r="AX28" s="20">
        <v>68</v>
      </c>
      <c r="AY28" s="20">
        <v>12</v>
      </c>
      <c r="AZ28" s="20">
        <v>15</v>
      </c>
      <c r="BA28" s="21">
        <v>3</v>
      </c>
    </row>
    <row r="29" spans="1:66" x14ac:dyDescent="0.3">
      <c r="A29" s="31" t="s">
        <v>101</v>
      </c>
      <c r="B29" s="30" t="s">
        <v>105</v>
      </c>
      <c r="C29" s="30" t="s">
        <v>108</v>
      </c>
      <c r="D29" s="30" t="s">
        <v>109</v>
      </c>
      <c r="E29" s="8" t="s">
        <v>66</v>
      </c>
      <c r="F29">
        <v>1.1080000000000001</v>
      </c>
      <c r="G29">
        <v>2</v>
      </c>
      <c r="H29" s="9">
        <v>18</v>
      </c>
      <c r="I29">
        <v>1</v>
      </c>
      <c r="J29">
        <v>2</v>
      </c>
      <c r="K29" s="9">
        <v>345</v>
      </c>
      <c r="L29">
        <v>20</v>
      </c>
      <c r="M29">
        <v>355</v>
      </c>
      <c r="N29">
        <v>170</v>
      </c>
      <c r="O29">
        <f t="shared" si="27"/>
        <v>10.840634357325053</v>
      </c>
      <c r="P29" s="13">
        <f>AG29+(AH29*(1/12))-O29</f>
        <v>49.159365642674949</v>
      </c>
      <c r="Q29" s="14">
        <f>AI29+(AJ29*(1/12))-O29</f>
        <v>49.159365642674949</v>
      </c>
      <c r="R29" s="14">
        <f>AK29+(AL29*(1/12))-O29</f>
        <v>49.159365642674949</v>
      </c>
      <c r="S29" s="14">
        <f t="shared" si="28"/>
        <v>-23.5</v>
      </c>
      <c r="T29" s="14">
        <f t="shared" si="29"/>
        <v>0</v>
      </c>
      <c r="U29" s="15">
        <f t="shared" si="30"/>
        <v>23.5</v>
      </c>
      <c r="V29" s="19">
        <f t="shared" si="31"/>
        <v>68.5</v>
      </c>
      <c r="W29" s="20">
        <f t="shared" si="32"/>
        <v>-13.5</v>
      </c>
      <c r="X29" s="20">
        <f t="shared" si="33"/>
        <v>68.5</v>
      </c>
      <c r="Y29" s="21">
        <f t="shared" si="34"/>
        <v>13.5</v>
      </c>
      <c r="Z29" s="25">
        <f>BC29+(BD29*(1/12))-O29</f>
        <v>-10.840634357325053</v>
      </c>
      <c r="AA29" s="26">
        <f>BE29+(BF29*(1/12))-O29</f>
        <v>-10.840634357325053</v>
      </c>
      <c r="AB29" s="26">
        <f>BG29+(BH29*(1/12))-O29</f>
        <v>-10.840634357325053</v>
      </c>
      <c r="AC29" s="26">
        <f t="shared" si="35"/>
        <v>0</v>
      </c>
      <c r="AD29" s="26">
        <f t="shared" si="36"/>
        <v>0</v>
      </c>
      <c r="AE29" s="27">
        <f t="shared" si="37"/>
        <v>0</v>
      </c>
      <c r="AG29" s="13">
        <v>60</v>
      </c>
      <c r="AH29" s="14">
        <v>0</v>
      </c>
      <c r="AI29" s="14">
        <v>60</v>
      </c>
      <c r="AJ29" s="14">
        <v>0</v>
      </c>
      <c r="AK29" s="14">
        <v>60</v>
      </c>
      <c r="AL29" s="14">
        <v>0</v>
      </c>
      <c r="AM29" s="14">
        <v>-23</v>
      </c>
      <c r="AN29" s="14">
        <v>-6</v>
      </c>
      <c r="AO29" s="14">
        <v>0</v>
      </c>
      <c r="AP29" s="14">
        <v>0</v>
      </c>
      <c r="AQ29" s="14">
        <v>23</v>
      </c>
      <c r="AR29" s="15">
        <v>6</v>
      </c>
      <c r="AT29" s="19">
        <f>60+8</f>
        <v>68</v>
      </c>
      <c r="AU29" s="20">
        <v>6</v>
      </c>
      <c r="AV29" s="20">
        <v>-13.5</v>
      </c>
      <c r="AW29" s="20">
        <v>0</v>
      </c>
      <c r="AX29" s="20">
        <f>60+8</f>
        <v>68</v>
      </c>
      <c r="AY29" s="20">
        <v>6</v>
      </c>
      <c r="AZ29" s="20">
        <v>13.5</v>
      </c>
      <c r="BA29" s="21">
        <v>0</v>
      </c>
    </row>
    <row r="30" spans="1:66" x14ac:dyDescent="0.3">
      <c r="A30" s="31" t="s">
        <v>102</v>
      </c>
      <c r="B30" s="30" t="s">
        <v>105</v>
      </c>
      <c r="C30" s="30" t="s">
        <v>87</v>
      </c>
      <c r="D30" s="30" t="s">
        <v>88</v>
      </c>
      <c r="E30" s="8" t="s">
        <v>66</v>
      </c>
      <c r="F30">
        <v>1.0629999999999999</v>
      </c>
      <c r="G30">
        <v>2</v>
      </c>
      <c r="H30" s="9">
        <v>18</v>
      </c>
      <c r="I30">
        <v>1</v>
      </c>
      <c r="J30">
        <v>2</v>
      </c>
      <c r="K30" s="9">
        <v>345</v>
      </c>
      <c r="L30">
        <v>20</v>
      </c>
      <c r="M30">
        <v>355</v>
      </c>
      <c r="N30">
        <v>170</v>
      </c>
      <c r="O30">
        <f t="shared" si="27"/>
        <v>10.840634357325053</v>
      </c>
      <c r="P30" s="13">
        <f>AG30+(AH30*(1/12))-O30</f>
        <v>51.159365642674949</v>
      </c>
      <c r="Q30" s="14">
        <f>AI30+(AJ30*(1/12))-O30</f>
        <v>51.159365642674949</v>
      </c>
      <c r="R30" s="14">
        <f>AK30+(AL30*(1/12))-O30</f>
        <v>51.159365642674949</v>
      </c>
      <c r="S30" s="14">
        <f t="shared" si="28"/>
        <v>-24</v>
      </c>
      <c r="T30" s="14">
        <f t="shared" si="29"/>
        <v>0</v>
      </c>
      <c r="U30" s="15">
        <f t="shared" si="30"/>
        <v>24</v>
      </c>
      <c r="V30" s="19">
        <f t="shared" si="31"/>
        <v>72.5</v>
      </c>
      <c r="W30" s="20">
        <f t="shared" si="32"/>
        <v>-26</v>
      </c>
      <c r="X30" s="20">
        <f t="shared" si="33"/>
        <v>72.5</v>
      </c>
      <c r="Y30" s="21">
        <f t="shared" si="34"/>
        <v>26</v>
      </c>
      <c r="Z30" s="25">
        <f>BC30+(BD30*(1/12))-O30</f>
        <v>-10.840634357325053</v>
      </c>
      <c r="AA30" s="26">
        <f>BE30+(BF30*(1/12))-O30</f>
        <v>-10.840634357325053</v>
      </c>
      <c r="AB30" s="26">
        <f>BG30+(BH30*(1/12))-O30</f>
        <v>-10.840634357325053</v>
      </c>
      <c r="AC30" s="26">
        <f t="shared" si="35"/>
        <v>0</v>
      </c>
      <c r="AD30" s="26">
        <f t="shared" si="36"/>
        <v>0</v>
      </c>
      <c r="AE30" s="27">
        <f t="shared" si="37"/>
        <v>0</v>
      </c>
      <c r="AG30" s="13">
        <v>62</v>
      </c>
      <c r="AH30" s="14">
        <v>0</v>
      </c>
      <c r="AI30" s="14">
        <v>62</v>
      </c>
      <c r="AJ30" s="14">
        <v>0</v>
      </c>
      <c r="AK30" s="14">
        <v>62</v>
      </c>
      <c r="AL30" s="14">
        <v>0</v>
      </c>
      <c r="AM30" s="14">
        <v>-24</v>
      </c>
      <c r="AN30" s="14">
        <v>0</v>
      </c>
      <c r="AO30" s="14">
        <v>0</v>
      </c>
      <c r="AP30" s="14">
        <v>0</v>
      </c>
      <c r="AQ30" s="14">
        <v>24</v>
      </c>
      <c r="AR30" s="15">
        <v>0</v>
      </c>
      <c r="AT30" s="19">
        <f>62+10</f>
        <v>72</v>
      </c>
      <c r="AU30" s="20">
        <v>6</v>
      </c>
      <c r="AV30" s="20">
        <v>-26</v>
      </c>
      <c r="AW30" s="20">
        <v>0</v>
      </c>
      <c r="AX30" s="20">
        <f>62+10</f>
        <v>72</v>
      </c>
      <c r="AY30" s="20">
        <v>6</v>
      </c>
      <c r="AZ30" s="20">
        <v>26</v>
      </c>
      <c r="BA30" s="21">
        <v>0</v>
      </c>
    </row>
    <row r="31" spans="1:66" x14ac:dyDescent="0.3">
      <c r="A31" s="8" t="s">
        <v>103</v>
      </c>
      <c r="B31" t="s">
        <v>105</v>
      </c>
      <c r="C31" t="s">
        <v>114</v>
      </c>
      <c r="D31" t="s">
        <v>219</v>
      </c>
      <c r="E31" s="8" t="s">
        <v>115</v>
      </c>
      <c r="F31">
        <v>1.216</v>
      </c>
      <c r="G31">
        <v>2</v>
      </c>
      <c r="H31" s="9">
        <v>16</v>
      </c>
      <c r="I31">
        <v>1</v>
      </c>
      <c r="J31">
        <v>2</v>
      </c>
      <c r="K31" s="9">
        <v>345</v>
      </c>
      <c r="L31">
        <v>20</v>
      </c>
      <c r="M31">
        <v>355</v>
      </c>
      <c r="N31">
        <v>170</v>
      </c>
      <c r="O31">
        <f t="shared" si="27"/>
        <v>10.840634357325053</v>
      </c>
      <c r="P31" s="13">
        <f>AG31+(AH31*(1/12))-O31</f>
        <v>52.659365642674949</v>
      </c>
      <c r="Q31" s="14">
        <f>AI31+(AJ31*(1/12))-O31</f>
        <v>52.659365642674949</v>
      </c>
      <c r="R31" s="14">
        <f>AK31+(AL31*(1/12))-O31</f>
        <v>52.659365642674949</v>
      </c>
      <c r="S31" s="14">
        <f t="shared" si="28"/>
        <v>-20</v>
      </c>
      <c r="T31" s="14">
        <f t="shared" si="29"/>
        <v>0</v>
      </c>
      <c r="U31" s="15">
        <f t="shared" si="30"/>
        <v>20</v>
      </c>
      <c r="V31" s="19">
        <f t="shared" si="31"/>
        <v>74.5</v>
      </c>
      <c r="W31" s="20">
        <f t="shared" si="32"/>
        <v>-9.5</v>
      </c>
      <c r="X31" s="20">
        <f t="shared" si="33"/>
        <v>74.5</v>
      </c>
      <c r="Y31" s="21">
        <f t="shared" si="34"/>
        <v>9.5</v>
      </c>
      <c r="Z31" s="25">
        <f>BC31+(BD31*(1/12))-O31</f>
        <v>-10.840634357325053</v>
      </c>
      <c r="AA31" s="26">
        <f>BE31+(BF31*(1/12))-O31</f>
        <v>-10.840634357325053</v>
      </c>
      <c r="AB31" s="26">
        <f>BG31+(BH31*(1/12))-O31</f>
        <v>-10.840634357325053</v>
      </c>
      <c r="AC31" s="26">
        <f t="shared" si="35"/>
        <v>0</v>
      </c>
      <c r="AD31" s="26">
        <f t="shared" si="36"/>
        <v>0</v>
      </c>
      <c r="AE31" s="27">
        <f t="shared" si="37"/>
        <v>0</v>
      </c>
      <c r="AG31" s="13">
        <v>63</v>
      </c>
      <c r="AH31" s="14">
        <v>6</v>
      </c>
      <c r="AI31" s="14">
        <v>63</v>
      </c>
      <c r="AJ31" s="14">
        <v>6</v>
      </c>
      <c r="AK31" s="14">
        <v>63</v>
      </c>
      <c r="AL31" s="14">
        <v>6</v>
      </c>
      <c r="AM31" s="14">
        <v>-19</v>
      </c>
      <c r="AN31" s="14">
        <v>-12</v>
      </c>
      <c r="AO31" s="14">
        <v>0</v>
      </c>
      <c r="AP31" s="14">
        <v>0</v>
      </c>
      <c r="AQ31" s="14">
        <v>19</v>
      </c>
      <c r="AR31" s="15">
        <v>12</v>
      </c>
      <c r="AT31" s="19">
        <f>63+11</f>
        <v>74</v>
      </c>
      <c r="AU31" s="20">
        <v>6</v>
      </c>
      <c r="AV31" s="20">
        <v>-9</v>
      </c>
      <c r="AW31" s="20">
        <v>-6</v>
      </c>
      <c r="AX31" s="20">
        <v>74</v>
      </c>
      <c r="AY31" s="20">
        <v>6</v>
      </c>
      <c r="AZ31" s="20">
        <v>9</v>
      </c>
      <c r="BA31" s="21">
        <v>6</v>
      </c>
    </row>
    <row r="32" spans="1:66" x14ac:dyDescent="0.3">
      <c r="A32" s="8" t="s">
        <v>104</v>
      </c>
      <c r="B32" t="s">
        <v>105</v>
      </c>
      <c r="C32" t="s">
        <v>118</v>
      </c>
      <c r="D32" t="s">
        <v>119</v>
      </c>
      <c r="E32" s="8" t="s">
        <v>66</v>
      </c>
      <c r="F32">
        <v>1.5449999999999999</v>
      </c>
      <c r="G32">
        <v>2</v>
      </c>
      <c r="H32" s="9">
        <v>18</v>
      </c>
      <c r="I32">
        <v>2</v>
      </c>
      <c r="J32">
        <v>2</v>
      </c>
      <c r="K32" s="9">
        <v>345</v>
      </c>
      <c r="L32">
        <v>20</v>
      </c>
      <c r="M32">
        <v>355</v>
      </c>
      <c r="N32">
        <v>170</v>
      </c>
      <c r="O32">
        <f t="shared" si="27"/>
        <v>10.840634357325053</v>
      </c>
      <c r="P32" s="13">
        <f>AG32+(AH32*(1/12))-O32</f>
        <v>96</v>
      </c>
      <c r="Q32" s="14">
        <f>AI32+(AJ32*(1/12))-O32</f>
        <v>70</v>
      </c>
      <c r="R32" s="14">
        <f>AK32+(AL32*(1/12))-O32</f>
        <v>70</v>
      </c>
      <c r="S32" s="14">
        <f t="shared" si="28"/>
        <v>-10</v>
      </c>
      <c r="T32" s="14">
        <f t="shared" si="29"/>
        <v>-32.75</v>
      </c>
      <c r="U32" s="15">
        <f t="shared" si="30"/>
        <v>-10</v>
      </c>
      <c r="V32" s="19">
        <f t="shared" si="31"/>
        <v>111</v>
      </c>
      <c r="W32" s="20">
        <f t="shared" si="32"/>
        <v>-27.25</v>
      </c>
      <c r="X32" s="20">
        <f t="shared" si="33"/>
        <v>111</v>
      </c>
      <c r="Y32" s="21">
        <f t="shared" si="34"/>
        <v>27.25</v>
      </c>
      <c r="Z32" s="25">
        <f>BC32+(BD32*(1/12))-O32</f>
        <v>96</v>
      </c>
      <c r="AA32" s="26">
        <f>BE32+(BF32*(1/12))-O32</f>
        <v>70</v>
      </c>
      <c r="AB32" s="26">
        <f>BG32+(BH32*(1/12))-O32</f>
        <v>70</v>
      </c>
      <c r="AC32" s="26">
        <f t="shared" si="35"/>
        <v>10</v>
      </c>
      <c r="AD32" s="26">
        <f t="shared" si="36"/>
        <v>10</v>
      </c>
      <c r="AE32" s="27">
        <f t="shared" si="37"/>
        <v>32.75</v>
      </c>
      <c r="AG32" s="13">
        <f>70+O32+26</f>
        <v>106.84063435732506</v>
      </c>
      <c r="AH32" s="14">
        <v>0</v>
      </c>
      <c r="AI32" s="14">
        <f>70+O32</f>
        <v>80.840634357325058</v>
      </c>
      <c r="AJ32" s="14">
        <v>0</v>
      </c>
      <c r="AK32" s="14">
        <f>70+O32</f>
        <v>80.840634357325058</v>
      </c>
      <c r="AL32" s="14">
        <v>0</v>
      </c>
      <c r="AM32" s="14">
        <v>-10</v>
      </c>
      <c r="AN32" s="14">
        <v>0</v>
      </c>
      <c r="AO32" s="14">
        <f>-10-10-12</f>
        <v>-32</v>
      </c>
      <c r="AP32" s="14">
        <v>-9</v>
      </c>
      <c r="AQ32" s="14">
        <v>-10</v>
      </c>
      <c r="AR32" s="15">
        <v>0</v>
      </c>
      <c r="AT32" s="19">
        <f>70+26+15</f>
        <v>111</v>
      </c>
      <c r="AU32" s="20">
        <v>0</v>
      </c>
      <c r="AV32" s="20">
        <v>-27</v>
      </c>
      <c r="AW32" s="20">
        <v>-3</v>
      </c>
      <c r="AX32" s="20">
        <f>70+26+15</f>
        <v>111</v>
      </c>
      <c r="AY32" s="20">
        <v>0</v>
      </c>
      <c r="AZ32" s="20">
        <v>27</v>
      </c>
      <c r="BA32" s="21">
        <v>3</v>
      </c>
      <c r="BC32" s="25">
        <f>70+26+O32</f>
        <v>106.84063435732506</v>
      </c>
      <c r="BD32" s="26">
        <v>0</v>
      </c>
      <c r="BE32" s="26">
        <f>70+O32</f>
        <v>80.840634357325058</v>
      </c>
      <c r="BF32" s="26">
        <v>0</v>
      </c>
      <c r="BG32" s="26">
        <f>70+O32</f>
        <v>80.840634357325058</v>
      </c>
      <c r="BH32" s="26">
        <v>0</v>
      </c>
      <c r="BI32" s="26">
        <v>10</v>
      </c>
      <c r="BJ32" s="26">
        <v>0</v>
      </c>
      <c r="BK32" s="26">
        <v>10</v>
      </c>
      <c r="BL32" s="26">
        <v>0</v>
      </c>
      <c r="BM32" s="26">
        <f>10+12+10</f>
        <v>32</v>
      </c>
      <c r="BN32" s="27">
        <v>9</v>
      </c>
    </row>
    <row r="33" spans="1:66" x14ac:dyDescent="0.3">
      <c r="A33" s="8" t="s">
        <v>124</v>
      </c>
      <c r="B33" t="s">
        <v>127</v>
      </c>
      <c r="C33" t="s">
        <v>130</v>
      </c>
      <c r="D33" t="s">
        <v>131</v>
      </c>
      <c r="E33" s="8" t="s">
        <v>66</v>
      </c>
      <c r="F33">
        <v>1.165</v>
      </c>
      <c r="G33">
        <v>2</v>
      </c>
      <c r="H33" s="9">
        <v>18</v>
      </c>
      <c r="I33">
        <v>1</v>
      </c>
      <c r="J33">
        <v>2</v>
      </c>
      <c r="K33" s="9">
        <v>345</v>
      </c>
      <c r="L33">
        <v>20</v>
      </c>
      <c r="M33">
        <v>355</v>
      </c>
      <c r="N33">
        <v>170</v>
      </c>
      <c r="O33">
        <f t="shared" ref="O33:O35" si="38">((K33*L33)/M33)*N33*(1/304.8)</f>
        <v>10.840634357325053</v>
      </c>
      <c r="P33" s="13">
        <f>AG33+(AH33*(1/12))-O33</f>
        <v>109.24269897600827</v>
      </c>
      <c r="Q33" s="14">
        <f>AI33+(AJ33*(1/12))-O33</f>
        <v>84.659365642674942</v>
      </c>
      <c r="R33" s="14">
        <f>AK33+(AL33*(1/12))-O33</f>
        <v>84.659365642674942</v>
      </c>
      <c r="S33" s="14">
        <f t="shared" si="28"/>
        <v>0</v>
      </c>
      <c r="T33" s="14">
        <f t="shared" si="29"/>
        <v>-15</v>
      </c>
      <c r="U33" s="15">
        <f t="shared" si="30"/>
        <v>15</v>
      </c>
      <c r="V33" s="19">
        <f t="shared" si="31"/>
        <v>120.08333333333333</v>
      </c>
      <c r="W33" s="20">
        <f t="shared" si="32"/>
        <v>-13.5</v>
      </c>
      <c r="X33" s="20">
        <f t="shared" si="33"/>
        <v>120.08333333333333</v>
      </c>
      <c r="Y33" s="21">
        <f t="shared" si="34"/>
        <v>13.5</v>
      </c>
      <c r="Z33" s="25">
        <f>BC33+(BD33*(1/12))-O33</f>
        <v>-10.840634357325053</v>
      </c>
      <c r="AA33" s="26">
        <f>BE33+(BF33*(1/12))-O33</f>
        <v>-10.840634357325053</v>
      </c>
      <c r="AB33" s="26">
        <f>BG33+(BH33*(1/12))-O33</f>
        <v>-10.840634357325053</v>
      </c>
      <c r="AC33" s="26">
        <f t="shared" si="35"/>
        <v>0</v>
      </c>
      <c r="AD33" s="26">
        <f t="shared" si="36"/>
        <v>0</v>
      </c>
      <c r="AE33" s="27">
        <f t="shared" si="37"/>
        <v>0</v>
      </c>
      <c r="AG33" s="13">
        <f>95+24</f>
        <v>119</v>
      </c>
      <c r="AH33" s="14">
        <f>6+7</f>
        <v>13</v>
      </c>
      <c r="AI33" s="14">
        <v>95</v>
      </c>
      <c r="AJ33" s="14">
        <v>6</v>
      </c>
      <c r="AK33" s="14">
        <v>95</v>
      </c>
      <c r="AL33" s="14">
        <v>6</v>
      </c>
      <c r="AM33" s="14">
        <v>0</v>
      </c>
      <c r="AN33" s="14">
        <v>0</v>
      </c>
      <c r="AO33" s="14">
        <v>-15</v>
      </c>
      <c r="AP33" s="14">
        <v>0</v>
      </c>
      <c r="AQ33" s="14">
        <v>15</v>
      </c>
      <c r="AR33" s="15">
        <v>0</v>
      </c>
      <c r="AT33" s="19">
        <f>95+24</f>
        <v>119</v>
      </c>
      <c r="AU33" s="20">
        <f>6+7</f>
        <v>13</v>
      </c>
      <c r="AV33" s="20">
        <v>-13.5</v>
      </c>
      <c r="AW33" s="20">
        <v>0</v>
      </c>
      <c r="AX33" s="20">
        <f>95+24</f>
        <v>119</v>
      </c>
      <c r="AY33" s="20">
        <f>6+7</f>
        <v>13</v>
      </c>
      <c r="AZ33" s="20">
        <v>13.5</v>
      </c>
      <c r="BA33" s="21">
        <v>0</v>
      </c>
    </row>
    <row r="34" spans="1:66" x14ac:dyDescent="0.3">
      <c r="A34" s="8" t="s">
        <v>125</v>
      </c>
      <c r="B34" t="s">
        <v>127</v>
      </c>
      <c r="C34" t="s">
        <v>135</v>
      </c>
      <c r="E34" s="8" t="s">
        <v>66</v>
      </c>
      <c r="F34">
        <v>1.3160000000000001</v>
      </c>
      <c r="G34">
        <v>2</v>
      </c>
      <c r="H34" s="9">
        <v>18</v>
      </c>
      <c r="I34">
        <v>1</v>
      </c>
      <c r="J34">
        <v>2</v>
      </c>
      <c r="K34" s="9">
        <v>345</v>
      </c>
      <c r="L34">
        <v>20</v>
      </c>
      <c r="M34">
        <v>355</v>
      </c>
      <c r="N34">
        <v>170</v>
      </c>
      <c r="O34">
        <f t="shared" si="38"/>
        <v>10.840634357325053</v>
      </c>
      <c r="P34" s="13">
        <f>AG34+(AH34*(1/12))-O34</f>
        <v>116.15936564267494</v>
      </c>
      <c r="Q34" s="14">
        <f>AI34+(AJ34*(1/12))-O34</f>
        <v>94.159365642674942</v>
      </c>
      <c r="R34" s="14">
        <f>AK34+(AL34*(1/12))-O34</f>
        <v>94.159365642674942</v>
      </c>
      <c r="S34" s="14">
        <f t="shared" ref="S34:S35" si="39">AM34+(AN34*(1/12))</f>
        <v>0</v>
      </c>
      <c r="T34" s="14">
        <f t="shared" ref="T34:T35" si="40">AO34+(AP34*(1/12))</f>
        <v>-13.5</v>
      </c>
      <c r="U34" s="15">
        <f t="shared" ref="U34:U35" si="41">AQ34+(AR34*(1/12))</f>
        <v>13.5</v>
      </c>
      <c r="V34" s="19">
        <f t="shared" ref="V34:V35" si="42">AT34+((1/12)*AU34)</f>
        <v>127</v>
      </c>
      <c r="W34" s="20">
        <f t="shared" ref="W34:W35" si="43">AV34+((1/12)*AW34)</f>
        <v>-10</v>
      </c>
      <c r="X34" s="20">
        <f t="shared" ref="X34:X35" si="44">AX34+((1/12)*AY34)</f>
        <v>127</v>
      </c>
      <c r="Y34" s="21">
        <f t="shared" ref="Y34:Y35" si="45">AZ34+((1/12)*BA34)</f>
        <v>10</v>
      </c>
      <c r="Z34" s="25">
        <f>BC34+(BD34*(1/12))-O34</f>
        <v>-10.840634357325053</v>
      </c>
      <c r="AA34" s="26">
        <f>BE34+(BF34*(1/12))-O34</f>
        <v>-10.840634357325053</v>
      </c>
      <c r="AB34" s="26">
        <f>BG34+(BH34*(1/12))-O34</f>
        <v>-10.840634357325053</v>
      </c>
      <c r="AC34" s="26">
        <f t="shared" ref="AC34:AC35" si="46">BI34+(BJ34*(1/12))</f>
        <v>0</v>
      </c>
      <c r="AD34" s="26">
        <f t="shared" ref="AD34:AD35" si="47">BK34+(BL34*(1/12))</f>
        <v>0</v>
      </c>
      <c r="AE34" s="27">
        <f t="shared" ref="AE34:AE35" si="48">BM34+(BN34*(1/12))</f>
        <v>0</v>
      </c>
      <c r="AG34" s="13">
        <f>105+22</f>
        <v>127</v>
      </c>
      <c r="AH34" s="14">
        <v>0</v>
      </c>
      <c r="AI34" s="14">
        <v>105</v>
      </c>
      <c r="AJ34" s="14">
        <v>0</v>
      </c>
      <c r="AK34" s="14">
        <v>105</v>
      </c>
      <c r="AL34" s="14">
        <v>0</v>
      </c>
      <c r="AM34" s="14">
        <v>0</v>
      </c>
      <c r="AN34" s="14">
        <v>0</v>
      </c>
      <c r="AO34" s="14">
        <v>-13</v>
      </c>
      <c r="AP34" s="14">
        <v>-6</v>
      </c>
      <c r="AQ34" s="14">
        <v>13</v>
      </c>
      <c r="AR34" s="15">
        <v>6</v>
      </c>
      <c r="AT34" s="19">
        <f>105+22</f>
        <v>127</v>
      </c>
      <c r="AU34" s="20">
        <v>0</v>
      </c>
      <c r="AV34" s="20">
        <v>-10</v>
      </c>
      <c r="AW34" s="20">
        <v>0</v>
      </c>
      <c r="AX34" s="20">
        <v>127</v>
      </c>
      <c r="AY34" s="20">
        <v>0</v>
      </c>
      <c r="AZ34" s="20">
        <v>10</v>
      </c>
      <c r="BA34" s="21">
        <v>0</v>
      </c>
    </row>
    <row r="35" spans="1:66" x14ac:dyDescent="0.3">
      <c r="A35" s="8" t="s">
        <v>126</v>
      </c>
      <c r="B35" t="s">
        <v>127</v>
      </c>
      <c r="C35" t="s">
        <v>132</v>
      </c>
      <c r="D35" t="s">
        <v>134</v>
      </c>
      <c r="E35" s="8" t="s">
        <v>66</v>
      </c>
      <c r="F35">
        <v>1.1080000000000001</v>
      </c>
      <c r="G35">
        <v>2</v>
      </c>
      <c r="H35" s="9">
        <v>18</v>
      </c>
      <c r="I35">
        <v>1</v>
      </c>
      <c r="J35">
        <v>2</v>
      </c>
      <c r="K35" s="9">
        <v>345</v>
      </c>
      <c r="L35">
        <v>20</v>
      </c>
      <c r="M35">
        <v>355</v>
      </c>
      <c r="N35">
        <v>170</v>
      </c>
      <c r="O35">
        <f t="shared" si="38"/>
        <v>10.840634357325053</v>
      </c>
      <c r="P35" s="13">
        <f>AG35+(AH35*(1/12))-O35</f>
        <v>116.15936564267494</v>
      </c>
      <c r="Q35" s="14">
        <f>AI35+(AJ35*(1/12))-O35</f>
        <v>94.159365642674942</v>
      </c>
      <c r="R35" s="14">
        <f>AK35+(AL35*(1/12))-O35</f>
        <v>94.159365642674942</v>
      </c>
      <c r="S35" s="14">
        <f t="shared" si="39"/>
        <v>0</v>
      </c>
      <c r="T35" s="14">
        <f t="shared" si="40"/>
        <v>-19.833333333333332</v>
      </c>
      <c r="U35" s="15">
        <f t="shared" si="41"/>
        <v>19.833333333333332</v>
      </c>
      <c r="V35" s="19">
        <f t="shared" si="42"/>
        <v>127</v>
      </c>
      <c r="W35" s="20">
        <f t="shared" si="43"/>
        <v>-9</v>
      </c>
      <c r="X35" s="20">
        <f t="shared" si="44"/>
        <v>127</v>
      </c>
      <c r="Y35" s="21">
        <f t="shared" si="45"/>
        <v>9</v>
      </c>
      <c r="Z35" s="25">
        <f>BC35+(BD35*(1/12))-O35</f>
        <v>-10.840634357325053</v>
      </c>
      <c r="AA35" s="26">
        <f>BE35+(BF35*(1/12))-O35</f>
        <v>-10.840634357325053</v>
      </c>
      <c r="AB35" s="26">
        <f>BG35+(BH35*(1/12))-O35</f>
        <v>-10.840634357325053</v>
      </c>
      <c r="AC35" s="26">
        <f t="shared" si="46"/>
        <v>0</v>
      </c>
      <c r="AD35" s="26">
        <f t="shared" si="47"/>
        <v>0</v>
      </c>
      <c r="AE35" s="27">
        <f t="shared" si="48"/>
        <v>0</v>
      </c>
      <c r="AG35" s="13">
        <f>105+22</f>
        <v>127</v>
      </c>
      <c r="AH35" s="14">
        <v>0</v>
      </c>
      <c r="AI35" s="14">
        <v>105</v>
      </c>
      <c r="AJ35" s="14">
        <v>0</v>
      </c>
      <c r="AK35" s="14">
        <v>105</v>
      </c>
      <c r="AL35" s="14">
        <v>0</v>
      </c>
      <c r="AM35" s="14">
        <v>0</v>
      </c>
      <c r="AN35" s="14">
        <v>0</v>
      </c>
      <c r="AO35" s="14">
        <v>-19.5</v>
      </c>
      <c r="AP35" s="14">
        <v>-4</v>
      </c>
      <c r="AQ35" s="14">
        <v>19.5</v>
      </c>
      <c r="AR35" s="15">
        <v>4</v>
      </c>
      <c r="AT35" s="19">
        <f>105+22</f>
        <v>127</v>
      </c>
      <c r="AU35" s="20">
        <v>0</v>
      </c>
      <c r="AV35" s="20">
        <v>-9</v>
      </c>
      <c r="AW35" s="20">
        <v>0</v>
      </c>
      <c r="AX35" s="20">
        <v>127</v>
      </c>
      <c r="AY35" s="20">
        <v>0</v>
      </c>
      <c r="AZ35" s="20">
        <v>9</v>
      </c>
      <c r="BA35" s="21">
        <v>0</v>
      </c>
    </row>
    <row r="36" spans="1:66" x14ac:dyDescent="0.3">
      <c r="A36" s="32" t="s">
        <v>137</v>
      </c>
      <c r="B36" s="33" t="s">
        <v>13</v>
      </c>
      <c r="G36">
        <v>3</v>
      </c>
      <c r="H36" s="9">
        <v>18</v>
      </c>
      <c r="I36">
        <v>1</v>
      </c>
      <c r="J36">
        <v>2</v>
      </c>
      <c r="K36" s="9">
        <v>500</v>
      </c>
      <c r="L36">
        <v>20</v>
      </c>
      <c r="M36">
        <v>355</v>
      </c>
      <c r="N36">
        <v>170</v>
      </c>
      <c r="O36">
        <f t="shared" ref="O36:O50" si="49">((K36*L36)/M36)*N36*(1/304.8)</f>
        <v>15.711064285978338</v>
      </c>
      <c r="P36" s="13">
        <f>AG36+(AH36*(1/12))-O36</f>
        <v>96.788935714021662</v>
      </c>
      <c r="Q36" s="14">
        <f>AI36+(AJ36*(1/12))-O36</f>
        <v>69.288935714021662</v>
      </c>
      <c r="R36" s="14">
        <f>AK36+(AL36*(1/12))-O36</f>
        <v>69.288935714021662</v>
      </c>
      <c r="S36" s="14">
        <f t="shared" ref="S36:S50" si="50">AM36+(AN36*(1/12))</f>
        <v>0</v>
      </c>
      <c r="T36" s="14">
        <f t="shared" ref="T36:T50" si="51">AO36+(AP36*(1/12))</f>
        <v>-20</v>
      </c>
      <c r="U36" s="15">
        <f t="shared" ref="U36:U50" si="52">AQ36+(AR36*(1/12))</f>
        <v>20</v>
      </c>
      <c r="V36" s="19">
        <f t="shared" ref="V36:V50" si="53">AT36+((1/12)*AU36)</f>
        <v>122.25</v>
      </c>
      <c r="W36" s="20">
        <f t="shared" ref="W36:W50" si="54">AV36+((1/12)*AW36)</f>
        <v>-13</v>
      </c>
      <c r="X36" s="20">
        <f t="shared" ref="X36:X50" si="55">AX36+((1/12)*AY36)</f>
        <v>122.25</v>
      </c>
      <c r="Y36" s="21">
        <f t="shared" ref="Y36:Y50" si="56">AZ36+((1/12)*BA36)</f>
        <v>13</v>
      </c>
      <c r="Z36" s="25">
        <f>BC36+(BD36*(1/12))-O36</f>
        <v>-15.711064285978338</v>
      </c>
      <c r="AA36" s="26">
        <f>BE36+(BF36*(1/12))-O36</f>
        <v>-15.711064285978338</v>
      </c>
      <c r="AB36" s="26">
        <f>BG36+(BH36*(1/12))-O36</f>
        <v>-15.711064285978338</v>
      </c>
      <c r="AC36" s="26">
        <f t="shared" ref="AC36:AC50" si="57">BI36+(BJ36*(1/12))</f>
        <v>0</v>
      </c>
      <c r="AD36" s="26">
        <f t="shared" ref="AD36:AD50" si="58">BK36+(BL36*(1/12))</f>
        <v>0</v>
      </c>
      <c r="AE36" s="27">
        <f t="shared" ref="AE36:AE50" si="59">BM36+(BN36*(1/12))</f>
        <v>0</v>
      </c>
      <c r="AG36" s="13">
        <f>85+27</f>
        <v>112</v>
      </c>
      <c r="AH36" s="14">
        <v>6</v>
      </c>
      <c r="AI36" s="14">
        <v>85</v>
      </c>
      <c r="AJ36" s="14">
        <v>0</v>
      </c>
      <c r="AK36" s="14">
        <v>85</v>
      </c>
      <c r="AL36" s="14">
        <v>0</v>
      </c>
      <c r="AM36" s="14">
        <v>0</v>
      </c>
      <c r="AN36" s="14">
        <v>0</v>
      </c>
      <c r="AO36" s="14">
        <v>-20</v>
      </c>
      <c r="AP36" s="14">
        <v>0</v>
      </c>
      <c r="AQ36" s="14">
        <v>20</v>
      </c>
      <c r="AR36" s="15">
        <v>0</v>
      </c>
      <c r="AT36" s="19">
        <f>85+27+9</f>
        <v>121</v>
      </c>
      <c r="AU36" s="20">
        <f>6+9</f>
        <v>15</v>
      </c>
      <c r="AV36" s="20">
        <v>-13</v>
      </c>
      <c r="AW36" s="20">
        <v>0</v>
      </c>
      <c r="AX36" s="20">
        <v>121</v>
      </c>
      <c r="AY36" s="20">
        <v>15</v>
      </c>
      <c r="AZ36" s="20">
        <v>13</v>
      </c>
      <c r="BA36" s="21">
        <v>0</v>
      </c>
    </row>
    <row r="37" spans="1:66" x14ac:dyDescent="0.3">
      <c r="A37" s="8" t="s">
        <v>138</v>
      </c>
      <c r="B37" t="s">
        <v>13</v>
      </c>
      <c r="C37" t="s">
        <v>181</v>
      </c>
      <c r="D37" s="34" t="s">
        <v>180</v>
      </c>
      <c r="E37" s="8" t="s">
        <v>66</v>
      </c>
      <c r="F37">
        <v>1.6020000000000001</v>
      </c>
      <c r="G37">
        <v>3</v>
      </c>
      <c r="H37" s="9">
        <v>18</v>
      </c>
      <c r="I37">
        <v>1</v>
      </c>
      <c r="J37">
        <v>2</v>
      </c>
      <c r="K37" s="9">
        <v>500</v>
      </c>
      <c r="L37">
        <v>20</v>
      </c>
      <c r="M37">
        <v>355</v>
      </c>
      <c r="N37">
        <v>170</v>
      </c>
      <c r="O37">
        <f t="shared" si="49"/>
        <v>15.711064285978338</v>
      </c>
      <c r="P37" s="13">
        <f>AG37+(AH37*(1/12))-O37</f>
        <v>98.288935714021662</v>
      </c>
      <c r="Q37" s="14">
        <f>AI37+(AJ37*(1/12))-O37</f>
        <v>69.288935714021662</v>
      </c>
      <c r="R37" s="14">
        <f>AK37+(AL37*(1/12))-O37</f>
        <v>69.288935714021662</v>
      </c>
      <c r="S37" s="14">
        <f t="shared" si="50"/>
        <v>0</v>
      </c>
      <c r="T37" s="14">
        <f t="shared" si="51"/>
        <v>-15.333333333333334</v>
      </c>
      <c r="U37" s="15">
        <f t="shared" si="52"/>
        <v>15.333333333333334</v>
      </c>
      <c r="V37" s="19">
        <f t="shared" si="53"/>
        <v>121</v>
      </c>
      <c r="W37" s="20">
        <f t="shared" si="54"/>
        <v>-12</v>
      </c>
      <c r="X37" s="20">
        <f t="shared" si="55"/>
        <v>121</v>
      </c>
      <c r="Y37" s="21">
        <f t="shared" si="56"/>
        <v>12</v>
      </c>
      <c r="Z37" s="25">
        <f>BC37+(BD37*(1/12))-O37</f>
        <v>-15.711064285978338</v>
      </c>
      <c r="AA37" s="26">
        <f>BE37+(BF37*(1/12))-O37</f>
        <v>-15.711064285978338</v>
      </c>
      <c r="AB37" s="26">
        <f>BG37+(BH37*(1/12))-O37</f>
        <v>-15.711064285978338</v>
      </c>
      <c r="AC37" s="26">
        <f t="shared" si="57"/>
        <v>0</v>
      </c>
      <c r="AD37" s="26">
        <f t="shared" si="58"/>
        <v>0</v>
      </c>
      <c r="AE37" s="27">
        <f t="shared" si="59"/>
        <v>0</v>
      </c>
      <c r="AG37" s="13">
        <f>85+29</f>
        <v>114</v>
      </c>
      <c r="AH37" s="14">
        <v>0</v>
      </c>
      <c r="AI37" s="14">
        <v>85</v>
      </c>
      <c r="AJ37" s="14">
        <v>0</v>
      </c>
      <c r="AK37" s="14">
        <v>85</v>
      </c>
      <c r="AL37" s="14">
        <v>0</v>
      </c>
      <c r="AM37" s="14">
        <v>0</v>
      </c>
      <c r="AN37" s="14">
        <v>0</v>
      </c>
      <c r="AO37" s="14">
        <v>-15</v>
      </c>
      <c r="AP37" s="14">
        <v>-4</v>
      </c>
      <c r="AQ37" s="14">
        <v>15</v>
      </c>
      <c r="AR37" s="15">
        <v>4</v>
      </c>
      <c r="AT37" s="19">
        <f>85+29+7</f>
        <v>121</v>
      </c>
      <c r="AU37" s="20">
        <v>0</v>
      </c>
      <c r="AV37" s="20">
        <v>-12</v>
      </c>
      <c r="AW37" s="20">
        <v>0</v>
      </c>
      <c r="AX37" s="20">
        <v>121</v>
      </c>
      <c r="AY37" s="20">
        <v>0</v>
      </c>
      <c r="AZ37" s="20">
        <v>12</v>
      </c>
      <c r="BA37" s="21">
        <v>0</v>
      </c>
    </row>
    <row r="38" spans="1:66" x14ac:dyDescent="0.3">
      <c r="A38" s="8" t="s">
        <v>139</v>
      </c>
      <c r="B38" t="s">
        <v>13</v>
      </c>
      <c r="I38">
        <v>1</v>
      </c>
      <c r="J38">
        <v>2</v>
      </c>
      <c r="K38" s="9">
        <v>500</v>
      </c>
      <c r="L38">
        <v>20</v>
      </c>
      <c r="M38">
        <v>355</v>
      </c>
      <c r="N38">
        <v>170</v>
      </c>
      <c r="O38">
        <f t="shared" si="49"/>
        <v>15.711064285978338</v>
      </c>
      <c r="P38" s="13">
        <f>AG38+(AH38*(1/12))-O38</f>
        <v>90.288935714021662</v>
      </c>
      <c r="Q38" s="14">
        <f>AI38+(AJ38*(1/12))-O38</f>
        <v>74.288935714021662</v>
      </c>
      <c r="R38" s="14">
        <f>AK38+(AL38*(1/12))-O38</f>
        <v>74.288935714021662</v>
      </c>
      <c r="S38" s="14">
        <f t="shared" si="50"/>
        <v>0</v>
      </c>
      <c r="T38" s="14">
        <f t="shared" si="51"/>
        <v>-29</v>
      </c>
      <c r="U38" s="15">
        <f t="shared" si="52"/>
        <v>29</v>
      </c>
      <c r="V38" s="19">
        <f t="shared" si="53"/>
        <v>106</v>
      </c>
      <c r="W38" s="20">
        <f t="shared" si="54"/>
        <v>-15</v>
      </c>
      <c r="X38" s="20">
        <f t="shared" si="55"/>
        <v>106</v>
      </c>
      <c r="Y38" s="21">
        <f t="shared" si="56"/>
        <v>15</v>
      </c>
      <c r="Z38" s="25">
        <f>BC38+(BD38*(1/12))-O38</f>
        <v>-15.711064285978338</v>
      </c>
      <c r="AA38" s="26">
        <f>BE38+(BF38*(1/12))-O38</f>
        <v>-15.711064285978338</v>
      </c>
      <c r="AB38" s="26">
        <f>BG38+(BH38*(1/12))-O38</f>
        <v>-15.711064285978338</v>
      </c>
      <c r="AC38" s="26">
        <f t="shared" si="57"/>
        <v>0</v>
      </c>
      <c r="AD38" s="26">
        <f t="shared" si="58"/>
        <v>0</v>
      </c>
      <c r="AE38" s="27">
        <f t="shared" si="59"/>
        <v>0</v>
      </c>
      <c r="AG38" s="13">
        <f>90+16</f>
        <v>106</v>
      </c>
      <c r="AH38" s="14">
        <v>0</v>
      </c>
      <c r="AI38" s="14">
        <v>90</v>
      </c>
      <c r="AJ38" s="14">
        <v>0</v>
      </c>
      <c r="AK38" s="14">
        <v>90</v>
      </c>
      <c r="AL38" s="14">
        <v>0</v>
      </c>
      <c r="AM38" s="14">
        <v>0</v>
      </c>
      <c r="AN38" s="14">
        <v>0</v>
      </c>
      <c r="AO38" s="14">
        <v>-29</v>
      </c>
      <c r="AP38" s="14">
        <v>0</v>
      </c>
      <c r="AQ38" s="14">
        <v>29</v>
      </c>
      <c r="AR38" s="15">
        <v>0</v>
      </c>
      <c r="AT38" s="19">
        <v>106</v>
      </c>
      <c r="AU38" s="20">
        <v>0</v>
      </c>
      <c r="AV38" s="20">
        <v>-15</v>
      </c>
      <c r="AW38" s="20">
        <v>0</v>
      </c>
      <c r="AX38" s="20">
        <v>106</v>
      </c>
      <c r="AY38" s="20">
        <v>0</v>
      </c>
      <c r="AZ38" s="20">
        <v>15</v>
      </c>
      <c r="BA38" s="21">
        <v>0</v>
      </c>
    </row>
    <row r="39" spans="1:66" x14ac:dyDescent="0.3">
      <c r="A39" s="8" t="s">
        <v>140</v>
      </c>
      <c r="B39" t="s">
        <v>13</v>
      </c>
      <c r="C39" t="s">
        <v>178</v>
      </c>
      <c r="D39" t="s">
        <v>179</v>
      </c>
      <c r="E39" s="8" t="s">
        <v>66</v>
      </c>
      <c r="F39">
        <v>1.8</v>
      </c>
      <c r="G39">
        <v>2</v>
      </c>
      <c r="H39" s="9">
        <v>18</v>
      </c>
      <c r="I39">
        <v>1</v>
      </c>
      <c r="J39">
        <v>2</v>
      </c>
      <c r="K39" s="9">
        <v>500</v>
      </c>
      <c r="L39">
        <v>20</v>
      </c>
      <c r="M39">
        <v>355</v>
      </c>
      <c r="N39">
        <v>170</v>
      </c>
      <c r="O39">
        <f t="shared" si="49"/>
        <v>15.711064285978338</v>
      </c>
      <c r="P39" s="13">
        <f>AG39+(AH39*(1/12))-O39</f>
        <v>85</v>
      </c>
      <c r="Q39" s="14">
        <f>AI39+(AJ39*(1/12))-O39</f>
        <v>69.288935714021662</v>
      </c>
      <c r="R39" s="14">
        <f>AK39+(AL39*(1/12))-O39</f>
        <v>69.288935714021662</v>
      </c>
      <c r="S39" s="14">
        <f t="shared" si="50"/>
        <v>0</v>
      </c>
      <c r="T39" s="14">
        <f t="shared" si="51"/>
        <v>-28</v>
      </c>
      <c r="U39" s="15">
        <f t="shared" si="52"/>
        <v>28</v>
      </c>
      <c r="V39" s="19">
        <f t="shared" si="53"/>
        <v>99</v>
      </c>
      <c r="W39" s="20">
        <f t="shared" si="54"/>
        <v>-26</v>
      </c>
      <c r="X39" s="20">
        <f t="shared" si="55"/>
        <v>99</v>
      </c>
      <c r="Y39" s="21">
        <f t="shared" si="56"/>
        <v>26</v>
      </c>
      <c r="Z39" s="25">
        <f>BC39+(BD39*(1/12))-O39</f>
        <v>-15.711064285978338</v>
      </c>
      <c r="AA39" s="26">
        <f>BE39+(BF39*(1/12))-O39</f>
        <v>-15.711064285978338</v>
      </c>
      <c r="AB39" s="26">
        <f>BG39+(BH39*(1/12))-O39</f>
        <v>-15.711064285978338</v>
      </c>
      <c r="AC39" s="26">
        <f t="shared" si="57"/>
        <v>0</v>
      </c>
      <c r="AD39" s="26">
        <f t="shared" si="58"/>
        <v>0</v>
      </c>
      <c r="AE39" s="27">
        <f t="shared" si="59"/>
        <v>0</v>
      </c>
      <c r="AG39" s="13">
        <f>85+O39</f>
        <v>100.71106428597834</v>
      </c>
      <c r="AH39" s="14">
        <v>0</v>
      </c>
      <c r="AI39" s="14">
        <v>85</v>
      </c>
      <c r="AJ39" s="14">
        <v>0</v>
      </c>
      <c r="AK39" s="14">
        <v>85</v>
      </c>
      <c r="AL39" s="14">
        <v>0</v>
      </c>
      <c r="AM39" s="14">
        <v>0</v>
      </c>
      <c r="AN39" s="14">
        <v>0</v>
      </c>
      <c r="AO39" s="14">
        <v>-28</v>
      </c>
      <c r="AP39" s="14">
        <v>0</v>
      </c>
      <c r="AQ39" s="14">
        <v>28</v>
      </c>
      <c r="AR39" s="15">
        <v>0</v>
      </c>
      <c r="AT39" s="19">
        <f>85+14</f>
        <v>99</v>
      </c>
      <c r="AU39" s="20">
        <v>0</v>
      </c>
      <c r="AV39" s="20">
        <v>-26</v>
      </c>
      <c r="AW39" s="20">
        <v>0</v>
      </c>
      <c r="AX39" s="20">
        <v>99</v>
      </c>
      <c r="AY39" s="20">
        <v>0</v>
      </c>
      <c r="AZ39" s="20">
        <v>26</v>
      </c>
      <c r="BA39" s="21">
        <v>0</v>
      </c>
    </row>
    <row r="40" spans="1:66" x14ac:dyDescent="0.3">
      <c r="A40" s="8" t="s">
        <v>141</v>
      </c>
      <c r="B40" t="s">
        <v>13</v>
      </c>
      <c r="C40" t="s">
        <v>182</v>
      </c>
      <c r="D40" t="s">
        <v>183</v>
      </c>
      <c r="E40" s="8" t="s">
        <v>66</v>
      </c>
      <c r="F40">
        <v>1.88</v>
      </c>
      <c r="G40">
        <v>2</v>
      </c>
      <c r="H40" s="9">
        <v>18</v>
      </c>
      <c r="I40">
        <v>1</v>
      </c>
      <c r="J40">
        <v>2</v>
      </c>
      <c r="K40" s="9">
        <v>500</v>
      </c>
      <c r="L40">
        <v>20</v>
      </c>
      <c r="M40">
        <v>355</v>
      </c>
      <c r="N40">
        <v>170</v>
      </c>
      <c r="O40">
        <f t="shared" si="49"/>
        <v>15.711064285978338</v>
      </c>
      <c r="P40" s="13">
        <f>AG40+(AH40*(1/12))-O40</f>
        <v>105</v>
      </c>
      <c r="Q40" s="14">
        <f>AI40+(AJ40*(1/12))-O40</f>
        <v>89.288935714021662</v>
      </c>
      <c r="R40" s="14">
        <f>AK40+(AL40*(1/12))-O40</f>
        <v>89.288935714021662</v>
      </c>
      <c r="S40" s="14">
        <f t="shared" si="50"/>
        <v>0</v>
      </c>
      <c r="T40" s="14">
        <f t="shared" si="51"/>
        <v>-30.25</v>
      </c>
      <c r="U40" s="15">
        <f t="shared" si="52"/>
        <v>30.25</v>
      </c>
      <c r="V40" s="19">
        <f t="shared" si="53"/>
        <v>122.5</v>
      </c>
      <c r="W40" s="20">
        <f t="shared" si="54"/>
        <v>-15.5</v>
      </c>
      <c r="X40" s="20">
        <f t="shared" si="55"/>
        <v>122.5</v>
      </c>
      <c r="Y40" s="21">
        <f t="shared" si="56"/>
        <v>15.5</v>
      </c>
      <c r="Z40" s="25">
        <f>BC40+(BD40*(1/12))-O40</f>
        <v>-15.711064285978338</v>
      </c>
      <c r="AA40" s="26">
        <f>BE40+(BF40*(1/12))-O40</f>
        <v>-15.711064285978338</v>
      </c>
      <c r="AB40" s="26">
        <f>BG40+(BH40*(1/12))-O40</f>
        <v>-15.711064285978338</v>
      </c>
      <c r="AC40" s="26">
        <f t="shared" si="57"/>
        <v>0</v>
      </c>
      <c r="AD40" s="26">
        <f t="shared" si="58"/>
        <v>0</v>
      </c>
      <c r="AE40" s="27">
        <f t="shared" si="59"/>
        <v>0</v>
      </c>
      <c r="AG40" s="13">
        <f>105+O40</f>
        <v>120.71106428597834</v>
      </c>
      <c r="AH40" s="14">
        <v>0</v>
      </c>
      <c r="AI40" s="14">
        <v>105</v>
      </c>
      <c r="AJ40" s="14">
        <v>0</v>
      </c>
      <c r="AK40" s="14">
        <v>105</v>
      </c>
      <c r="AL40" s="14">
        <v>0</v>
      </c>
      <c r="AM40" s="14">
        <v>0</v>
      </c>
      <c r="AN40" s="14">
        <v>0</v>
      </c>
      <c r="AO40" s="14">
        <v>-30</v>
      </c>
      <c r="AP40" s="14">
        <v>-3</v>
      </c>
      <c r="AQ40" s="14">
        <v>30</v>
      </c>
      <c r="AR40" s="15">
        <v>3</v>
      </c>
      <c r="AT40" s="19">
        <f>105+17</f>
        <v>122</v>
      </c>
      <c r="AU40" s="20">
        <v>6</v>
      </c>
      <c r="AV40" s="20">
        <v>-15.5</v>
      </c>
      <c r="AW40" s="20">
        <v>0</v>
      </c>
      <c r="AX40" s="20">
        <v>122</v>
      </c>
      <c r="AY40" s="20">
        <v>6</v>
      </c>
      <c r="AZ40" s="20">
        <v>15.5</v>
      </c>
      <c r="BA40" s="21">
        <v>0</v>
      </c>
    </row>
    <row r="41" spans="1:66" x14ac:dyDescent="0.3">
      <c r="A41" s="8" t="s">
        <v>142</v>
      </c>
      <c r="B41" t="s">
        <v>13</v>
      </c>
      <c r="I41">
        <v>1</v>
      </c>
      <c r="J41">
        <v>2</v>
      </c>
      <c r="K41" s="9">
        <v>500</v>
      </c>
      <c r="L41">
        <v>20</v>
      </c>
      <c r="M41">
        <v>355</v>
      </c>
      <c r="N41">
        <v>170</v>
      </c>
      <c r="O41">
        <f t="shared" si="49"/>
        <v>15.711064285978338</v>
      </c>
      <c r="P41" s="13">
        <f>AG41+(AH41*(1/12))-O41</f>
        <v>64.288935714021662</v>
      </c>
      <c r="Q41" s="14">
        <f>AI41+(AJ41*(1/12))-O41</f>
        <v>64.288935714021662</v>
      </c>
      <c r="R41" s="14">
        <f>AK41+(AL41*(1/12))-O41</f>
        <v>64.288935714021662</v>
      </c>
      <c r="S41" s="14">
        <f t="shared" si="50"/>
        <v>0</v>
      </c>
      <c r="T41" s="14">
        <f t="shared" si="51"/>
        <v>-35</v>
      </c>
      <c r="U41" s="15">
        <f t="shared" si="52"/>
        <v>35</v>
      </c>
      <c r="V41" s="19">
        <f t="shared" si="53"/>
        <v>95</v>
      </c>
      <c r="W41" s="20">
        <f t="shared" si="54"/>
        <v>-25</v>
      </c>
      <c r="X41" s="20">
        <f t="shared" si="55"/>
        <v>95</v>
      </c>
      <c r="Y41" s="21">
        <f t="shared" si="56"/>
        <v>25</v>
      </c>
      <c r="Z41" s="25">
        <f>BC41+(BD41*(1/12))-O41</f>
        <v>-15.711064285978338</v>
      </c>
      <c r="AA41" s="26">
        <f>BE41+(BF41*(1/12))-O41</f>
        <v>-15.711064285978338</v>
      </c>
      <c r="AB41" s="26">
        <f>BG41+(BH41*(1/12))-O41</f>
        <v>-15.711064285978338</v>
      </c>
      <c r="AC41" s="26">
        <f t="shared" si="57"/>
        <v>0</v>
      </c>
      <c r="AD41" s="26">
        <f t="shared" si="58"/>
        <v>0</v>
      </c>
      <c r="AE41" s="27">
        <f t="shared" si="59"/>
        <v>0</v>
      </c>
      <c r="AG41" s="13">
        <v>80</v>
      </c>
      <c r="AH41" s="14">
        <v>0</v>
      </c>
      <c r="AI41" s="14">
        <v>80</v>
      </c>
      <c r="AJ41" s="14">
        <v>0</v>
      </c>
      <c r="AK41" s="14">
        <v>80</v>
      </c>
      <c r="AL41" s="14">
        <v>0</v>
      </c>
      <c r="AM41" s="14">
        <v>0</v>
      </c>
      <c r="AN41" s="14">
        <v>0</v>
      </c>
      <c r="AO41" s="14">
        <v>-35</v>
      </c>
      <c r="AP41" s="14">
        <v>0</v>
      </c>
      <c r="AQ41" s="14">
        <v>35</v>
      </c>
      <c r="AR41" s="15">
        <v>0</v>
      </c>
      <c r="AT41" s="19">
        <f>80+15</f>
        <v>95</v>
      </c>
      <c r="AU41" s="20">
        <v>0</v>
      </c>
      <c r="AV41" s="20">
        <v>-25</v>
      </c>
      <c r="AW41" s="20">
        <v>0</v>
      </c>
      <c r="AX41" s="20">
        <v>95</v>
      </c>
      <c r="AY41" s="20">
        <v>0</v>
      </c>
      <c r="AZ41" s="20">
        <v>25</v>
      </c>
      <c r="BA41" s="21">
        <v>0</v>
      </c>
    </row>
    <row r="42" spans="1:66" x14ac:dyDescent="0.3">
      <c r="A42" s="8" t="s">
        <v>143</v>
      </c>
      <c r="B42" t="s">
        <v>13</v>
      </c>
      <c r="C42" t="s">
        <v>170</v>
      </c>
      <c r="D42" t="s">
        <v>171</v>
      </c>
      <c r="E42" s="8" t="s">
        <v>172</v>
      </c>
      <c r="F42" t="s">
        <v>173</v>
      </c>
      <c r="G42" t="s">
        <v>174</v>
      </c>
      <c r="H42" s="9">
        <v>18</v>
      </c>
      <c r="I42">
        <v>1</v>
      </c>
      <c r="J42">
        <v>2</v>
      </c>
      <c r="K42" s="9">
        <v>500</v>
      </c>
      <c r="L42">
        <v>20</v>
      </c>
      <c r="M42">
        <v>355</v>
      </c>
      <c r="N42">
        <v>170</v>
      </c>
      <c r="O42">
        <f t="shared" si="49"/>
        <v>15.711064285978338</v>
      </c>
      <c r="P42" s="13">
        <f>AG42+(AH42*(1/12))-O42</f>
        <v>94.288935714021662</v>
      </c>
      <c r="Q42" s="14">
        <f>AI42+(AJ42*(1/12))-O42</f>
        <v>94.288935714021662</v>
      </c>
      <c r="R42" s="14">
        <f>AK42+(AL42*(1/12))-O42</f>
        <v>94.288935714021662</v>
      </c>
      <c r="S42" s="14">
        <f t="shared" si="50"/>
        <v>0</v>
      </c>
      <c r="T42" s="14">
        <f t="shared" si="51"/>
        <v>-34</v>
      </c>
      <c r="U42" s="15">
        <f t="shared" si="52"/>
        <v>34</v>
      </c>
      <c r="V42" s="19">
        <f t="shared" si="53"/>
        <v>124</v>
      </c>
      <c r="W42" s="20">
        <f t="shared" si="54"/>
        <v>-31</v>
      </c>
      <c r="X42" s="20">
        <f t="shared" si="55"/>
        <v>124</v>
      </c>
      <c r="Y42" s="21">
        <f t="shared" si="56"/>
        <v>31</v>
      </c>
      <c r="Z42" s="25">
        <f>BC42+(BD42*(1/12))-O42</f>
        <v>-15.711064285978338</v>
      </c>
      <c r="AA42" s="26">
        <f>BE42+(BF42*(1/12))-O42</f>
        <v>-15.711064285978338</v>
      </c>
      <c r="AB42" s="26">
        <f>BG42+(BH42*(1/12))-O42</f>
        <v>-15.711064285978338</v>
      </c>
      <c r="AC42" s="26">
        <f t="shared" si="57"/>
        <v>0</v>
      </c>
      <c r="AD42" s="26">
        <f t="shared" si="58"/>
        <v>0</v>
      </c>
      <c r="AE42" s="27">
        <f t="shared" si="59"/>
        <v>0</v>
      </c>
      <c r="AG42" s="13">
        <v>110</v>
      </c>
      <c r="AH42" s="14">
        <v>0</v>
      </c>
      <c r="AI42" s="14">
        <v>110</v>
      </c>
      <c r="AJ42" s="14">
        <v>0</v>
      </c>
      <c r="AK42" s="14">
        <v>110</v>
      </c>
      <c r="AL42" s="14">
        <v>0</v>
      </c>
      <c r="AM42" s="14">
        <v>0</v>
      </c>
      <c r="AN42" s="14">
        <v>0</v>
      </c>
      <c r="AO42" s="14">
        <v>-34</v>
      </c>
      <c r="AP42" s="14">
        <v>0</v>
      </c>
      <c r="AQ42" s="14">
        <v>34</v>
      </c>
      <c r="AR42" s="15">
        <v>0</v>
      </c>
      <c r="AT42" s="19">
        <f>110+14</f>
        <v>124</v>
      </c>
      <c r="AU42" s="20">
        <v>0</v>
      </c>
      <c r="AV42" s="20">
        <v>-31</v>
      </c>
      <c r="AW42" s="20">
        <v>0</v>
      </c>
      <c r="AX42" s="20">
        <v>124</v>
      </c>
      <c r="AY42" s="20">
        <v>0</v>
      </c>
      <c r="AZ42" s="20">
        <v>31</v>
      </c>
      <c r="BA42" s="21">
        <v>0</v>
      </c>
    </row>
    <row r="43" spans="1:66" x14ac:dyDescent="0.3">
      <c r="A43" s="8" t="s">
        <v>144</v>
      </c>
      <c r="B43" t="s">
        <v>13</v>
      </c>
      <c r="I43">
        <v>1</v>
      </c>
      <c r="J43">
        <v>2</v>
      </c>
      <c r="K43" s="9">
        <v>500</v>
      </c>
      <c r="L43">
        <v>20</v>
      </c>
      <c r="M43">
        <v>355</v>
      </c>
      <c r="N43">
        <v>170</v>
      </c>
      <c r="O43">
        <f t="shared" si="49"/>
        <v>15.711064285978338</v>
      </c>
      <c r="P43" s="13">
        <f>AG43+(AH43*(1/12))-O43</f>
        <v>94.288935714021662</v>
      </c>
      <c r="Q43" s="14">
        <f>AI43+(AJ43*(1/12))-O43</f>
        <v>94.288935714021662</v>
      </c>
      <c r="R43" s="14">
        <f>AK43+(AL43*(1/12))-O43</f>
        <v>94.288935714021662</v>
      </c>
      <c r="S43" s="14">
        <f t="shared" si="50"/>
        <v>0</v>
      </c>
      <c r="T43" s="14">
        <f t="shared" si="51"/>
        <v>-33</v>
      </c>
      <c r="U43" s="15">
        <f t="shared" si="52"/>
        <v>33</v>
      </c>
      <c r="V43" s="19">
        <f t="shared" si="53"/>
        <v>129</v>
      </c>
      <c r="W43" s="20">
        <f t="shared" si="54"/>
        <v>-20</v>
      </c>
      <c r="X43" s="20">
        <f t="shared" si="55"/>
        <v>129</v>
      </c>
      <c r="Y43" s="21">
        <f t="shared" si="56"/>
        <v>20</v>
      </c>
      <c r="Z43" s="25">
        <f>BC43+(BD43*(1/12))-O43</f>
        <v>-15.711064285978338</v>
      </c>
      <c r="AA43" s="26">
        <f>BE43+(BF43*(1/12))-O43</f>
        <v>-15.711064285978338</v>
      </c>
      <c r="AB43" s="26">
        <f>BG43+(BH43*(1/12))-O43</f>
        <v>-15.711064285978338</v>
      </c>
      <c r="AC43" s="26">
        <f t="shared" si="57"/>
        <v>0</v>
      </c>
      <c r="AD43" s="26">
        <f t="shared" si="58"/>
        <v>0</v>
      </c>
      <c r="AE43" s="27">
        <f t="shared" si="59"/>
        <v>0</v>
      </c>
      <c r="AG43" s="13">
        <v>110</v>
      </c>
      <c r="AH43" s="14">
        <v>0</v>
      </c>
      <c r="AI43" s="14">
        <v>110</v>
      </c>
      <c r="AJ43" s="14">
        <v>0</v>
      </c>
      <c r="AK43" s="14">
        <v>110</v>
      </c>
      <c r="AL43" s="14">
        <v>0</v>
      </c>
      <c r="AM43" s="14">
        <v>0</v>
      </c>
      <c r="AN43" s="14">
        <v>0</v>
      </c>
      <c r="AO43" s="14">
        <v>-33</v>
      </c>
      <c r="AP43" s="14">
        <v>0</v>
      </c>
      <c r="AQ43" s="14">
        <v>33</v>
      </c>
      <c r="AR43" s="15">
        <v>0</v>
      </c>
      <c r="AT43" s="19">
        <f>110+19</f>
        <v>129</v>
      </c>
      <c r="AU43" s="20">
        <v>0</v>
      </c>
      <c r="AV43" s="20">
        <v>-20</v>
      </c>
      <c r="AW43" s="20">
        <v>0</v>
      </c>
      <c r="AX43" s="20">
        <v>129</v>
      </c>
      <c r="AY43" s="20">
        <v>0</v>
      </c>
      <c r="AZ43" s="20">
        <v>20</v>
      </c>
      <c r="BA43" s="21">
        <v>0</v>
      </c>
    </row>
    <row r="44" spans="1:66" x14ac:dyDescent="0.3">
      <c r="A44" s="8" t="s">
        <v>145</v>
      </c>
      <c r="B44" t="s">
        <v>13</v>
      </c>
      <c r="C44" t="s">
        <v>184</v>
      </c>
      <c r="D44" t="s">
        <v>185</v>
      </c>
      <c r="E44" s="8" t="s">
        <v>186</v>
      </c>
      <c r="F44" t="s">
        <v>187</v>
      </c>
      <c r="G44" t="s">
        <v>188</v>
      </c>
      <c r="H44" s="9">
        <v>18</v>
      </c>
      <c r="I44">
        <v>1</v>
      </c>
      <c r="J44">
        <v>2</v>
      </c>
      <c r="K44" s="9">
        <v>500</v>
      </c>
      <c r="L44">
        <v>20</v>
      </c>
      <c r="M44">
        <v>355</v>
      </c>
      <c r="N44">
        <v>170</v>
      </c>
      <c r="O44">
        <f t="shared" si="49"/>
        <v>15.711064285978338</v>
      </c>
      <c r="P44" s="13">
        <f>AG44+(AH44*(1/12))-O44</f>
        <v>79.288935714021662</v>
      </c>
      <c r="Q44" s="14">
        <f>AI44+(AJ44*(1/12))-O44</f>
        <v>79.288935714021662</v>
      </c>
      <c r="R44" s="14">
        <f>AK44+(AL44*(1/12))-O44</f>
        <v>79.288935714021662</v>
      </c>
      <c r="S44" s="14">
        <f t="shared" si="50"/>
        <v>0</v>
      </c>
      <c r="T44" s="14">
        <f t="shared" si="51"/>
        <v>-32</v>
      </c>
      <c r="U44" s="15">
        <f t="shared" si="52"/>
        <v>32</v>
      </c>
      <c r="V44" s="19">
        <f t="shared" si="53"/>
        <v>109</v>
      </c>
      <c r="W44" s="20">
        <f t="shared" si="54"/>
        <v>-24</v>
      </c>
      <c r="X44" s="20">
        <f t="shared" si="55"/>
        <v>109</v>
      </c>
      <c r="Y44" s="21">
        <f t="shared" si="56"/>
        <v>24</v>
      </c>
      <c r="Z44" s="25">
        <f>BC44+(BD44*(1/12))-O44</f>
        <v>-15.711064285978338</v>
      </c>
      <c r="AA44" s="26">
        <f>BE44+(BF44*(1/12))-O44</f>
        <v>-15.711064285978338</v>
      </c>
      <c r="AB44" s="26">
        <f>BG44+(BH44*(1/12))-O44</f>
        <v>-15.711064285978338</v>
      </c>
      <c r="AC44" s="26">
        <f t="shared" si="57"/>
        <v>0</v>
      </c>
      <c r="AD44" s="26">
        <f t="shared" si="58"/>
        <v>0</v>
      </c>
      <c r="AE44" s="27">
        <f t="shared" si="59"/>
        <v>0</v>
      </c>
      <c r="AG44" s="13">
        <v>95</v>
      </c>
      <c r="AH44" s="14">
        <v>0</v>
      </c>
      <c r="AI44" s="14">
        <v>95</v>
      </c>
      <c r="AJ44" s="14">
        <v>0</v>
      </c>
      <c r="AK44" s="14">
        <v>95</v>
      </c>
      <c r="AL44" s="14">
        <v>0</v>
      </c>
      <c r="AM44" s="14">
        <v>0</v>
      </c>
      <c r="AN44" s="14">
        <v>0</v>
      </c>
      <c r="AO44" s="14">
        <v>-32</v>
      </c>
      <c r="AP44" s="14">
        <v>0</v>
      </c>
      <c r="AQ44" s="14">
        <v>32</v>
      </c>
      <c r="AR44" s="15">
        <v>0</v>
      </c>
      <c r="AT44" s="19">
        <f>95+14</f>
        <v>109</v>
      </c>
      <c r="AU44" s="20">
        <v>0</v>
      </c>
      <c r="AV44" s="20">
        <v>-24</v>
      </c>
      <c r="AW44" s="20">
        <v>0</v>
      </c>
      <c r="AX44" s="20">
        <v>109</v>
      </c>
      <c r="AY44" s="20">
        <v>0</v>
      </c>
      <c r="AZ44" s="20">
        <v>24</v>
      </c>
      <c r="BA44" s="21">
        <v>0</v>
      </c>
    </row>
    <row r="45" spans="1:66" x14ac:dyDescent="0.3">
      <c r="A45" s="8" t="s">
        <v>136</v>
      </c>
      <c r="B45" t="s">
        <v>13</v>
      </c>
      <c r="I45">
        <v>1</v>
      </c>
      <c r="J45">
        <v>2</v>
      </c>
      <c r="K45" s="9">
        <v>500</v>
      </c>
      <c r="L45">
        <v>20</v>
      </c>
      <c r="M45">
        <v>355</v>
      </c>
      <c r="N45">
        <v>170</v>
      </c>
      <c r="O45">
        <f t="shared" si="49"/>
        <v>15.711064285978338</v>
      </c>
      <c r="P45" s="13">
        <f>AG45+(AH45*(1/12))-O45</f>
        <v>94.288935714021662</v>
      </c>
      <c r="Q45" s="14">
        <f>AI45+(AJ45*(1/12))-O45</f>
        <v>94.288935714021662</v>
      </c>
      <c r="R45" s="14">
        <f>AK45+(AL45*(1/12))-O45</f>
        <v>94.288935714021662</v>
      </c>
      <c r="S45" s="14">
        <f t="shared" si="50"/>
        <v>0</v>
      </c>
      <c r="T45" s="14">
        <f t="shared" si="51"/>
        <v>-35</v>
      </c>
      <c r="U45" s="15">
        <f t="shared" si="52"/>
        <v>35</v>
      </c>
      <c r="V45" s="19">
        <f t="shared" si="53"/>
        <v>137</v>
      </c>
      <c r="W45" s="20">
        <f t="shared" si="54"/>
        <v>-26</v>
      </c>
      <c r="X45" s="20">
        <f t="shared" si="55"/>
        <v>137</v>
      </c>
      <c r="Y45" s="21">
        <f t="shared" si="56"/>
        <v>26</v>
      </c>
      <c r="Z45" s="25">
        <f>BC45+(BD45*(1/12))-O45</f>
        <v>-15.711064285978338</v>
      </c>
      <c r="AA45" s="26">
        <f>BE45+(BF45*(1/12))-O45</f>
        <v>-15.711064285978338</v>
      </c>
      <c r="AB45" s="26">
        <f>BG45+(BH45*(1/12))-O45</f>
        <v>-15.711064285978338</v>
      </c>
      <c r="AC45" s="26">
        <f t="shared" si="57"/>
        <v>0</v>
      </c>
      <c r="AD45" s="26">
        <f t="shared" si="58"/>
        <v>0</v>
      </c>
      <c r="AE45" s="27">
        <f t="shared" si="59"/>
        <v>0</v>
      </c>
      <c r="AG45" s="13">
        <v>110</v>
      </c>
      <c r="AH45" s="14">
        <v>0</v>
      </c>
      <c r="AI45" s="14">
        <v>110</v>
      </c>
      <c r="AJ45" s="14">
        <v>0</v>
      </c>
      <c r="AK45" s="14">
        <v>110</v>
      </c>
      <c r="AL45" s="14">
        <v>0</v>
      </c>
      <c r="AM45" s="14">
        <v>0</v>
      </c>
      <c r="AN45" s="14">
        <v>0</v>
      </c>
      <c r="AO45" s="14">
        <v>-35</v>
      </c>
      <c r="AP45" s="14">
        <v>0</v>
      </c>
      <c r="AQ45" s="14">
        <v>35</v>
      </c>
      <c r="AR45" s="15">
        <v>0</v>
      </c>
      <c r="AT45" s="19">
        <f>110+27</f>
        <v>137</v>
      </c>
      <c r="AU45" s="20">
        <v>0</v>
      </c>
      <c r="AV45" s="20">
        <v>-26</v>
      </c>
      <c r="AW45" s="20">
        <v>0</v>
      </c>
      <c r="AX45" s="20">
        <v>137</v>
      </c>
      <c r="AY45" s="20">
        <v>0</v>
      </c>
      <c r="AZ45" s="20">
        <v>26</v>
      </c>
      <c r="BA45" s="21">
        <v>0</v>
      </c>
    </row>
    <row r="46" spans="1:66" x14ac:dyDescent="0.3">
      <c r="A46" s="8" t="s">
        <v>146</v>
      </c>
      <c r="B46" t="s">
        <v>13</v>
      </c>
      <c r="C46" t="s">
        <v>181</v>
      </c>
      <c r="D46" s="34" t="s">
        <v>180</v>
      </c>
      <c r="E46" s="8" t="s">
        <v>66</v>
      </c>
      <c r="F46">
        <v>1.302</v>
      </c>
      <c r="G46">
        <v>3</v>
      </c>
      <c r="H46" s="9">
        <v>18</v>
      </c>
      <c r="I46">
        <v>2</v>
      </c>
      <c r="J46">
        <v>1</v>
      </c>
      <c r="K46" s="9">
        <v>500</v>
      </c>
      <c r="L46">
        <v>20</v>
      </c>
      <c r="M46">
        <v>355</v>
      </c>
      <c r="N46">
        <v>170</v>
      </c>
      <c r="O46">
        <f t="shared" si="49"/>
        <v>15.711064285978338</v>
      </c>
      <c r="P46" s="13">
        <f>AG46+(AH46*(1/12))-O46</f>
        <v>69.288935714021662</v>
      </c>
      <c r="Q46" s="14">
        <f>AI46+(AJ46*(1/12))-O46</f>
        <v>100.28893571402166</v>
      </c>
      <c r="R46" s="14">
        <f>AK46+(AL46*(1/12))-O46</f>
        <v>131.28893571402165</v>
      </c>
      <c r="S46" s="14">
        <f t="shared" si="50"/>
        <v>-15</v>
      </c>
      <c r="T46" s="14">
        <f t="shared" si="51"/>
        <v>-25</v>
      </c>
      <c r="U46" s="15">
        <f t="shared" si="52"/>
        <v>-15</v>
      </c>
      <c r="V46" s="19">
        <f t="shared" si="53"/>
        <v>172</v>
      </c>
      <c r="W46" s="20">
        <f t="shared" si="54"/>
        <v>0</v>
      </c>
      <c r="X46" s="20">
        <f t="shared" si="55"/>
        <v>0</v>
      </c>
      <c r="Y46" s="21">
        <f t="shared" si="56"/>
        <v>0</v>
      </c>
      <c r="Z46" s="25">
        <f>BC46+(BD46*(1/12))-O46</f>
        <v>131.28893571402165</v>
      </c>
      <c r="AA46" s="26">
        <f>BE46+(BF46*(1/12))-O46</f>
        <v>100.28893571402166</v>
      </c>
      <c r="AB46" s="26">
        <f>BG46+(BH46*(1/12))-O46</f>
        <v>69.288935714021662</v>
      </c>
      <c r="AC46" s="26">
        <f t="shared" si="57"/>
        <v>15</v>
      </c>
      <c r="AD46" s="26">
        <f t="shared" si="58"/>
        <v>25</v>
      </c>
      <c r="AE46" s="27">
        <f t="shared" si="59"/>
        <v>15</v>
      </c>
      <c r="AG46" s="13">
        <v>85</v>
      </c>
      <c r="AH46" s="14">
        <v>0</v>
      </c>
      <c r="AI46" s="14">
        <f>85+31</f>
        <v>116</v>
      </c>
      <c r="AJ46" s="14">
        <v>0</v>
      </c>
      <c r="AK46" s="14">
        <f>85+31+31</f>
        <v>147</v>
      </c>
      <c r="AL46" s="14">
        <v>0</v>
      </c>
      <c r="AM46" s="14">
        <v>-15</v>
      </c>
      <c r="AN46" s="14">
        <v>0</v>
      </c>
      <c r="AO46" s="14">
        <v>-25</v>
      </c>
      <c r="AP46" s="14">
        <v>0</v>
      </c>
      <c r="AQ46" s="14">
        <v>-15</v>
      </c>
      <c r="AR46" s="15">
        <v>0</v>
      </c>
      <c r="AT46" s="19">
        <f>85+31+31+25</f>
        <v>172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1">
        <v>0</v>
      </c>
      <c r="BC46" s="25">
        <f>85+31+31</f>
        <v>147</v>
      </c>
      <c r="BD46" s="26">
        <v>0</v>
      </c>
      <c r="BE46" s="26">
        <f>85+31</f>
        <v>116</v>
      </c>
      <c r="BF46" s="26">
        <v>0</v>
      </c>
      <c r="BG46" s="26">
        <v>85</v>
      </c>
      <c r="BH46" s="26">
        <v>0</v>
      </c>
      <c r="BI46" s="26">
        <v>15</v>
      </c>
      <c r="BJ46" s="26">
        <v>0</v>
      </c>
      <c r="BK46" s="26">
        <v>25</v>
      </c>
      <c r="BL46" s="26">
        <v>0</v>
      </c>
      <c r="BM46" s="26">
        <v>15</v>
      </c>
      <c r="BN46" s="27">
        <v>0</v>
      </c>
    </row>
    <row r="47" spans="1:66" x14ac:dyDescent="0.3">
      <c r="A47" s="8" t="s">
        <v>147</v>
      </c>
      <c r="B47" t="s">
        <v>13</v>
      </c>
      <c r="C47" t="s">
        <v>181</v>
      </c>
      <c r="D47" s="34" t="s">
        <v>180</v>
      </c>
      <c r="E47" s="8" t="s">
        <v>66</v>
      </c>
      <c r="F47">
        <v>1.302</v>
      </c>
      <c r="G47">
        <v>3</v>
      </c>
      <c r="H47" s="9">
        <v>18</v>
      </c>
      <c r="I47">
        <v>2</v>
      </c>
      <c r="J47">
        <v>2</v>
      </c>
      <c r="K47" s="9">
        <v>500</v>
      </c>
      <c r="L47">
        <v>20</v>
      </c>
      <c r="M47">
        <v>355</v>
      </c>
      <c r="N47">
        <v>170</v>
      </c>
      <c r="O47">
        <f t="shared" si="49"/>
        <v>15.711064285978338</v>
      </c>
      <c r="P47" s="13">
        <f>AG47+(AH47*(1/12))-O47</f>
        <v>114.28893571402166</v>
      </c>
      <c r="Q47" s="14">
        <f>AI47+(AJ47*(1/12))-O47</f>
        <v>69.288935714021662</v>
      </c>
      <c r="R47" s="14">
        <f>AK47+(AL47*(1/12))-O47</f>
        <v>69.288935714021662</v>
      </c>
      <c r="S47" s="14">
        <f t="shared" si="50"/>
        <v>-27.75</v>
      </c>
      <c r="T47" s="14">
        <f t="shared" si="51"/>
        <v>-40.5</v>
      </c>
      <c r="U47" s="15">
        <f t="shared" si="52"/>
        <v>-15</v>
      </c>
      <c r="V47" s="19">
        <f t="shared" si="53"/>
        <v>150</v>
      </c>
      <c r="W47" s="20">
        <f t="shared" si="54"/>
        <v>-18.5</v>
      </c>
      <c r="X47" s="20">
        <f t="shared" si="55"/>
        <v>150</v>
      </c>
      <c r="Y47" s="21">
        <f t="shared" si="56"/>
        <v>18.5</v>
      </c>
      <c r="Z47" s="25">
        <f>BC47+(BD47*(1/12))-O47</f>
        <v>114.28893571402166</v>
      </c>
      <c r="AA47" s="26">
        <f>BE47+(BF47*(1/12))-O47</f>
        <v>69.288935714021662</v>
      </c>
      <c r="AB47" s="26">
        <f>BG47+(BH47*(1/12))-O47</f>
        <v>69.288935714021662</v>
      </c>
      <c r="AC47" s="26">
        <f t="shared" si="57"/>
        <v>27.75</v>
      </c>
      <c r="AD47" s="26">
        <f t="shared" si="58"/>
        <v>15</v>
      </c>
      <c r="AE47" s="27">
        <f t="shared" si="59"/>
        <v>40.5</v>
      </c>
      <c r="AG47" s="13">
        <f>85+45</f>
        <v>130</v>
      </c>
      <c r="AH47" s="14">
        <v>0</v>
      </c>
      <c r="AI47" s="14">
        <v>85</v>
      </c>
      <c r="AJ47" s="14">
        <v>0</v>
      </c>
      <c r="AK47" s="14">
        <v>85</v>
      </c>
      <c r="AL47" s="14">
        <v>0</v>
      </c>
      <c r="AM47" s="14">
        <v>-27</v>
      </c>
      <c r="AN47" s="14">
        <v>-9</v>
      </c>
      <c r="AO47" s="14">
        <f>-15-25</f>
        <v>-40</v>
      </c>
      <c r="AP47" s="14">
        <v>-6</v>
      </c>
      <c r="AQ47" s="14">
        <v>-15</v>
      </c>
      <c r="AR47" s="15">
        <v>0</v>
      </c>
      <c r="AT47" s="19">
        <f>85+45+20</f>
        <v>150</v>
      </c>
      <c r="AU47" s="20">
        <v>0</v>
      </c>
      <c r="AV47" s="20">
        <v>-18.5</v>
      </c>
      <c r="AW47" s="20">
        <v>0</v>
      </c>
      <c r="AX47" s="20">
        <v>150</v>
      </c>
      <c r="AY47" s="20">
        <v>0</v>
      </c>
      <c r="AZ47" s="20">
        <v>18.5</v>
      </c>
      <c r="BA47" s="21">
        <v>0</v>
      </c>
      <c r="BC47" s="25">
        <f>85+45</f>
        <v>130</v>
      </c>
      <c r="BD47" s="26">
        <v>0</v>
      </c>
      <c r="BE47" s="26">
        <v>85</v>
      </c>
      <c r="BF47" s="26">
        <v>0</v>
      </c>
      <c r="BG47" s="26">
        <v>85</v>
      </c>
      <c r="BH47" s="26">
        <v>0</v>
      </c>
      <c r="BI47" s="26">
        <v>27</v>
      </c>
      <c r="BJ47" s="26">
        <v>9</v>
      </c>
      <c r="BK47" s="26">
        <v>15</v>
      </c>
      <c r="BL47" s="26">
        <v>0</v>
      </c>
      <c r="BM47" s="26">
        <f>15+25</f>
        <v>40</v>
      </c>
      <c r="BN47" s="27">
        <v>6</v>
      </c>
    </row>
    <row r="48" spans="1:66" x14ac:dyDescent="0.3">
      <c r="A48" s="8" t="s">
        <v>148</v>
      </c>
      <c r="B48" t="s">
        <v>13</v>
      </c>
      <c r="I48">
        <v>2</v>
      </c>
      <c r="J48">
        <v>2</v>
      </c>
      <c r="K48" s="9">
        <v>500</v>
      </c>
      <c r="L48">
        <v>20</v>
      </c>
      <c r="M48">
        <v>355</v>
      </c>
      <c r="N48">
        <v>170</v>
      </c>
      <c r="O48">
        <f t="shared" si="49"/>
        <v>15.711064285978338</v>
      </c>
      <c r="P48" s="13">
        <f>AG48+(AH48*(1/12))-O48</f>
        <v>112.28893571402166</v>
      </c>
      <c r="Q48" s="14">
        <f>AI48+(AJ48*(1/12))-O48</f>
        <v>74.288935714021662</v>
      </c>
      <c r="R48" s="14">
        <f>AK48+(AL48*(1/12))-O48</f>
        <v>74.288935714021662</v>
      </c>
      <c r="S48" s="14">
        <f t="shared" si="50"/>
        <v>-18.5</v>
      </c>
      <c r="T48" s="14">
        <f t="shared" si="51"/>
        <v>-46.5</v>
      </c>
      <c r="U48" s="15">
        <f t="shared" si="52"/>
        <v>-18.5</v>
      </c>
      <c r="V48" s="19">
        <f t="shared" si="53"/>
        <v>140</v>
      </c>
      <c r="W48" s="20">
        <f t="shared" si="54"/>
        <v>-12.125</v>
      </c>
      <c r="X48" s="20">
        <f t="shared" si="55"/>
        <v>140</v>
      </c>
      <c r="Y48" s="21">
        <f t="shared" si="56"/>
        <v>15.125</v>
      </c>
      <c r="Z48" s="25">
        <f>BC48+(BD48*(1/12))-O48</f>
        <v>112.28893571402166</v>
      </c>
      <c r="AA48" s="26">
        <f>BE48+(BF48*(1/12))-O48</f>
        <v>74.288935714021662</v>
      </c>
      <c r="AB48" s="26">
        <f>BG48+(BH48*(1/12))-O48</f>
        <v>74.288935714021662</v>
      </c>
      <c r="AC48" s="26">
        <f t="shared" si="57"/>
        <v>18.5</v>
      </c>
      <c r="AD48" s="26">
        <f t="shared" si="58"/>
        <v>18.5</v>
      </c>
      <c r="AE48" s="27">
        <f t="shared" si="59"/>
        <v>46.5</v>
      </c>
      <c r="AG48" s="13">
        <f>90+38</f>
        <v>128</v>
      </c>
      <c r="AH48" s="14">
        <v>0</v>
      </c>
      <c r="AI48" s="14">
        <v>90</v>
      </c>
      <c r="AJ48" s="14">
        <v>0</v>
      </c>
      <c r="AK48" s="14">
        <v>90</v>
      </c>
      <c r="AL48" s="14">
        <v>0</v>
      </c>
      <c r="AM48" s="14">
        <v>-18</v>
      </c>
      <c r="AN48" s="14">
        <v>-6</v>
      </c>
      <c r="AO48" s="14">
        <f>-18-28</f>
        <v>-46</v>
      </c>
      <c r="AP48" s="14">
        <v>-6</v>
      </c>
      <c r="AQ48" s="14">
        <v>-18</v>
      </c>
      <c r="AR48" s="15">
        <v>-6</v>
      </c>
      <c r="AT48" s="19">
        <f>90+38+12</f>
        <v>140</v>
      </c>
      <c r="AU48" s="20">
        <v>0</v>
      </c>
      <c r="AV48" s="20">
        <v>-12</v>
      </c>
      <c r="AW48" s="20">
        <v>-1.5</v>
      </c>
      <c r="AX48" s="20">
        <v>140</v>
      </c>
      <c r="AY48" s="20">
        <v>0</v>
      </c>
      <c r="AZ48" s="20">
        <v>15</v>
      </c>
      <c r="BA48" s="21">
        <v>1.5</v>
      </c>
      <c r="BC48" s="25">
        <f>90+38</f>
        <v>128</v>
      </c>
      <c r="BD48" s="26">
        <v>0</v>
      </c>
      <c r="BE48" s="26">
        <v>90</v>
      </c>
      <c r="BF48" s="26">
        <v>0</v>
      </c>
      <c r="BG48" s="26">
        <v>90</v>
      </c>
      <c r="BH48" s="26">
        <v>0</v>
      </c>
      <c r="BI48" s="26">
        <v>18</v>
      </c>
      <c r="BJ48" s="26">
        <v>6</v>
      </c>
      <c r="BK48" s="26">
        <v>18</v>
      </c>
      <c r="BL48" s="26">
        <v>6</v>
      </c>
      <c r="BM48" s="26">
        <f>18+28</f>
        <v>46</v>
      </c>
      <c r="BN48" s="27">
        <v>6</v>
      </c>
    </row>
    <row r="49" spans="1:66" x14ac:dyDescent="0.3">
      <c r="A49" s="8" t="s">
        <v>149</v>
      </c>
      <c r="B49" t="s">
        <v>13</v>
      </c>
      <c r="I49">
        <v>1</v>
      </c>
      <c r="J49">
        <v>2</v>
      </c>
      <c r="K49" s="9">
        <v>500</v>
      </c>
      <c r="L49">
        <v>20</v>
      </c>
      <c r="M49">
        <v>355</v>
      </c>
      <c r="N49">
        <v>170</v>
      </c>
      <c r="O49">
        <f t="shared" si="49"/>
        <v>15.711064285978338</v>
      </c>
      <c r="P49" s="13">
        <f>AG49+(AH49*(1/12))-O49</f>
        <v>94.288935714021662</v>
      </c>
      <c r="Q49" s="14">
        <f>AI49+(AJ49*(1/12))-O49</f>
        <v>94.288935714021662</v>
      </c>
      <c r="R49" s="14">
        <f>AK49+(AL49*(1/12))-O49</f>
        <v>94.288935714021662</v>
      </c>
      <c r="S49" s="14">
        <f t="shared" si="50"/>
        <v>-42</v>
      </c>
      <c r="T49" s="14">
        <f t="shared" si="51"/>
        <v>0</v>
      </c>
      <c r="U49" s="15">
        <f t="shared" si="52"/>
        <v>42</v>
      </c>
      <c r="V49" s="19">
        <f t="shared" si="53"/>
        <v>128</v>
      </c>
      <c r="W49" s="20">
        <f t="shared" si="54"/>
        <v>-21.833333333333332</v>
      </c>
      <c r="X49" s="20">
        <f t="shared" si="55"/>
        <v>128</v>
      </c>
      <c r="Y49" s="21">
        <f t="shared" si="56"/>
        <v>21.833333333333332</v>
      </c>
      <c r="Z49" s="25">
        <f>BC49+(BD49*(1/12))-O49</f>
        <v>-15.711064285978338</v>
      </c>
      <c r="AA49" s="26">
        <f>BE49+(BF49*(1/12))-O49</f>
        <v>-15.711064285978338</v>
      </c>
      <c r="AB49" s="26">
        <f>BG49+(BH49*(1/12))-O49</f>
        <v>-15.711064285978338</v>
      </c>
      <c r="AC49" s="26">
        <f t="shared" si="57"/>
        <v>0</v>
      </c>
      <c r="AD49" s="26">
        <f t="shared" si="58"/>
        <v>0</v>
      </c>
      <c r="AE49" s="27">
        <f t="shared" si="59"/>
        <v>0</v>
      </c>
      <c r="AG49" s="13">
        <v>110</v>
      </c>
      <c r="AH49" s="14">
        <v>0</v>
      </c>
      <c r="AI49" s="14">
        <v>110</v>
      </c>
      <c r="AJ49" s="14">
        <v>0</v>
      </c>
      <c r="AK49" s="14">
        <v>110</v>
      </c>
      <c r="AL49" s="14">
        <v>0</v>
      </c>
      <c r="AM49" s="14">
        <v>-42</v>
      </c>
      <c r="AN49" s="14">
        <v>0</v>
      </c>
      <c r="AO49" s="14">
        <v>0</v>
      </c>
      <c r="AP49" s="14">
        <v>0</v>
      </c>
      <c r="AQ49" s="14">
        <v>42</v>
      </c>
      <c r="AR49" s="15">
        <v>0</v>
      </c>
      <c r="AT49" s="19">
        <f>110+18</f>
        <v>128</v>
      </c>
      <c r="AU49" s="20">
        <v>0</v>
      </c>
      <c r="AV49" s="20">
        <v>-21</v>
      </c>
      <c r="AW49" s="20">
        <v>-10</v>
      </c>
      <c r="AX49" s="20">
        <v>128</v>
      </c>
      <c r="AY49" s="20">
        <v>0</v>
      </c>
      <c r="AZ49" s="20">
        <v>21</v>
      </c>
      <c r="BA49" s="21">
        <v>10</v>
      </c>
    </row>
    <row r="50" spans="1:66" x14ac:dyDescent="0.3">
      <c r="A50" s="8" t="s">
        <v>150</v>
      </c>
      <c r="B50" t="s">
        <v>65</v>
      </c>
      <c r="I50">
        <v>1</v>
      </c>
      <c r="J50">
        <v>1</v>
      </c>
      <c r="K50" s="9">
        <v>500</v>
      </c>
      <c r="L50">
        <v>20</v>
      </c>
      <c r="M50">
        <v>355</v>
      </c>
      <c r="N50">
        <v>170</v>
      </c>
      <c r="O50">
        <f t="shared" si="49"/>
        <v>15.711064285978338</v>
      </c>
      <c r="P50" s="13">
        <f>AG50+(AH50*(1/12))-O50</f>
        <v>69.288935714021662</v>
      </c>
      <c r="Q50" s="14">
        <f>AI50+(AJ50*(1/12))-O50</f>
        <v>99.288935714021662</v>
      </c>
      <c r="R50" s="14">
        <f>AK50+(AL50*(1/12))-O50</f>
        <v>129.28893571402165</v>
      </c>
      <c r="S50" s="14">
        <f t="shared" si="50"/>
        <v>18</v>
      </c>
      <c r="T50" s="14">
        <f t="shared" si="51"/>
        <v>21</v>
      </c>
      <c r="U50" s="15">
        <f t="shared" si="52"/>
        <v>18</v>
      </c>
      <c r="V50" s="19">
        <f t="shared" si="53"/>
        <v>160</v>
      </c>
      <c r="W50" s="20">
        <f t="shared" si="54"/>
        <v>4</v>
      </c>
      <c r="X50" s="20">
        <f t="shared" si="55"/>
        <v>0</v>
      </c>
      <c r="Y50" s="21">
        <f t="shared" si="56"/>
        <v>0</v>
      </c>
      <c r="Z50" s="25">
        <f>BC50+(BD50*(1/12))-O50</f>
        <v>-15.711064285978338</v>
      </c>
      <c r="AA50" s="26">
        <f>BE50+(BF50*(1/12))-O50</f>
        <v>-15.711064285978338</v>
      </c>
      <c r="AB50" s="26">
        <f>BG50+(BH50*(1/12))-O50</f>
        <v>-15.711064285978338</v>
      </c>
      <c r="AC50" s="26">
        <f t="shared" si="57"/>
        <v>0</v>
      </c>
      <c r="AD50" s="26">
        <f t="shared" si="58"/>
        <v>0</v>
      </c>
      <c r="AE50" s="27">
        <f t="shared" si="59"/>
        <v>0</v>
      </c>
      <c r="AG50" s="13">
        <v>85</v>
      </c>
      <c r="AH50" s="14">
        <v>0</v>
      </c>
      <c r="AI50" s="14">
        <f>85+30</f>
        <v>115</v>
      </c>
      <c r="AJ50" s="14">
        <v>0</v>
      </c>
      <c r="AK50" s="14">
        <f>85+30+30</f>
        <v>145</v>
      </c>
      <c r="AL50" s="14">
        <v>0</v>
      </c>
      <c r="AM50" s="14">
        <v>18</v>
      </c>
      <c r="AN50" s="14">
        <v>0</v>
      </c>
      <c r="AO50" s="14">
        <v>21</v>
      </c>
      <c r="AP50" s="14">
        <v>0</v>
      </c>
      <c r="AQ50" s="14">
        <v>18</v>
      </c>
      <c r="AR50" s="15">
        <v>0</v>
      </c>
      <c r="AT50" s="19">
        <f>85+30+30+15</f>
        <v>160</v>
      </c>
      <c r="AU50" s="20">
        <v>0</v>
      </c>
      <c r="AV50" s="20">
        <v>4</v>
      </c>
      <c r="AW50" s="20">
        <v>0</v>
      </c>
      <c r="AX50" s="20">
        <v>0</v>
      </c>
      <c r="AY50" s="20">
        <v>0</v>
      </c>
      <c r="AZ50" s="20">
        <v>0</v>
      </c>
      <c r="BA50" s="21">
        <v>0</v>
      </c>
    </row>
    <row r="51" spans="1:66" x14ac:dyDescent="0.3">
      <c r="A51" s="8" t="s">
        <v>151</v>
      </c>
      <c r="B51" t="s">
        <v>65</v>
      </c>
      <c r="I51">
        <v>1</v>
      </c>
      <c r="J51">
        <v>2</v>
      </c>
      <c r="K51" s="9">
        <v>500</v>
      </c>
      <c r="L51">
        <v>20</v>
      </c>
      <c r="M51">
        <v>355</v>
      </c>
      <c r="N51">
        <v>170</v>
      </c>
      <c r="O51">
        <f t="shared" ref="O51:O56" si="60">((K51*L51)/M51)*N51*(1/304.8)</f>
        <v>15.711064285978338</v>
      </c>
      <c r="P51" s="13">
        <f>AG51+(AH51*(1/12))-O51</f>
        <v>60.705602380688333</v>
      </c>
      <c r="Q51" s="14">
        <f>AI51+(AJ51*(1/12))-O51</f>
        <v>73.288935714021662</v>
      </c>
      <c r="R51" s="14">
        <f>AK51+(AL51*(1/12))-O51</f>
        <v>85.705602380688333</v>
      </c>
      <c r="S51" s="14">
        <f t="shared" ref="S51:S56" si="61">AM51+(AN51*(1/12))</f>
        <v>18</v>
      </c>
      <c r="T51" s="14">
        <f t="shared" ref="T51:T56" si="62">AO51+(AP51*(1/12))</f>
        <v>-17</v>
      </c>
      <c r="U51" s="15">
        <f t="shared" ref="U51:U56" si="63">AQ51+(AR51*(1/12))</f>
        <v>18</v>
      </c>
      <c r="V51" s="19">
        <f t="shared" ref="V51:V56" si="64">AT51+((1/12)*AU51)</f>
        <v>120</v>
      </c>
      <c r="W51" s="20">
        <f t="shared" ref="W51:W56" si="65">AV51+((1/12)*AW51)</f>
        <v>-10</v>
      </c>
      <c r="X51" s="20">
        <f t="shared" ref="X51:X56" si="66">AX51+((1/12)*AY51)</f>
        <v>120</v>
      </c>
      <c r="Y51" s="21">
        <f t="shared" ref="Y51:Y56" si="67">AZ51+((1/12)*BA51)</f>
        <v>10</v>
      </c>
      <c r="Z51" s="25">
        <f>BC51+(BD51*(1/12))-O51</f>
        <v>-15.711064285978338</v>
      </c>
      <c r="AA51" s="26">
        <f>BE51+(BF51*(1/12))-O51</f>
        <v>-15.711064285978338</v>
      </c>
      <c r="AB51" s="26">
        <f>BG51+(BH51*(1/12))-O51</f>
        <v>-15.711064285978338</v>
      </c>
      <c r="AC51" s="26">
        <f t="shared" ref="AC51:AC56" si="68">BI51+(BJ51*(1/12))</f>
        <v>0</v>
      </c>
      <c r="AD51" s="26">
        <f t="shared" ref="AD51:AD56" si="69">BK51+(BL51*(1/12))</f>
        <v>0</v>
      </c>
      <c r="AE51" s="27">
        <f t="shared" ref="AE51:AE56" si="70">BM51+(BN51*(1/12))</f>
        <v>0</v>
      </c>
      <c r="AG51" s="13">
        <f>120-18-25</f>
        <v>77</v>
      </c>
      <c r="AH51" s="14">
        <v>-7</v>
      </c>
      <c r="AI51" s="14">
        <f>120-18-12</f>
        <v>90</v>
      </c>
      <c r="AJ51" s="14">
        <f>-7-5</f>
        <v>-12</v>
      </c>
      <c r="AK51" s="14">
        <f>120-18</f>
        <v>102</v>
      </c>
      <c r="AL51" s="14">
        <v>-7</v>
      </c>
      <c r="AM51" s="14">
        <v>18</v>
      </c>
      <c r="AN51" s="14">
        <v>0</v>
      </c>
      <c r="AO51" s="14">
        <v>-17</v>
      </c>
      <c r="AP51" s="14">
        <v>0</v>
      </c>
      <c r="AQ51" s="14">
        <v>18</v>
      </c>
      <c r="AR51" s="15">
        <v>0</v>
      </c>
      <c r="AT51" s="19">
        <v>120</v>
      </c>
      <c r="AU51" s="20">
        <v>0</v>
      </c>
      <c r="AV51" s="20">
        <v>-10</v>
      </c>
      <c r="AW51" s="20">
        <v>0</v>
      </c>
      <c r="AX51" s="20">
        <v>120</v>
      </c>
      <c r="AY51" s="20">
        <v>0</v>
      </c>
      <c r="AZ51" s="20">
        <v>10</v>
      </c>
      <c r="BA51" s="21">
        <v>0</v>
      </c>
    </row>
    <row r="52" spans="1:66" x14ac:dyDescent="0.3">
      <c r="A52" s="8" t="s">
        <v>152</v>
      </c>
      <c r="B52" t="s">
        <v>105</v>
      </c>
      <c r="C52" t="s">
        <v>176</v>
      </c>
      <c r="D52" t="s">
        <v>177</v>
      </c>
      <c r="E52" s="8" t="s">
        <v>172</v>
      </c>
      <c r="F52" t="s">
        <v>175</v>
      </c>
      <c r="G52">
        <v>3</v>
      </c>
      <c r="H52" s="9">
        <v>18</v>
      </c>
      <c r="I52">
        <v>1</v>
      </c>
      <c r="J52">
        <v>2</v>
      </c>
      <c r="K52" s="9">
        <v>500</v>
      </c>
      <c r="L52">
        <v>20</v>
      </c>
      <c r="M52">
        <v>355</v>
      </c>
      <c r="N52">
        <v>170</v>
      </c>
      <c r="O52">
        <f t="shared" si="60"/>
        <v>15.711064285978338</v>
      </c>
      <c r="P52" s="13">
        <f>AG52+(AH52*(1/12))-O52</f>
        <v>104.28893571402166</v>
      </c>
      <c r="Q52" s="14">
        <f>AI52+(AJ52*(1/12))-O52</f>
        <v>104.28893571402166</v>
      </c>
      <c r="R52" s="14">
        <f>AK52+(AL52*(1/12))-O52</f>
        <v>104.28893571402166</v>
      </c>
      <c r="S52" s="14">
        <f t="shared" si="61"/>
        <v>-35</v>
      </c>
      <c r="T52" s="14">
        <f t="shared" si="62"/>
        <v>0</v>
      </c>
      <c r="U52" s="15">
        <f t="shared" si="63"/>
        <v>35</v>
      </c>
      <c r="V52" s="19">
        <f t="shared" si="64"/>
        <v>129</v>
      </c>
      <c r="W52" s="20">
        <f t="shared" si="65"/>
        <v>-26</v>
      </c>
      <c r="X52" s="20">
        <f t="shared" si="66"/>
        <v>129</v>
      </c>
      <c r="Y52" s="21">
        <f t="shared" si="67"/>
        <v>26</v>
      </c>
      <c r="Z52" s="25">
        <f>BC52+(BD52*(1/12))-O52</f>
        <v>-15.711064285978338</v>
      </c>
      <c r="AA52" s="26">
        <f>BE52+(BF52*(1/12))-O52</f>
        <v>-15.711064285978338</v>
      </c>
      <c r="AB52" s="26">
        <f>BG52+(BH52*(1/12))-O52</f>
        <v>-15.711064285978338</v>
      </c>
      <c r="AC52" s="26">
        <f t="shared" si="68"/>
        <v>0</v>
      </c>
      <c r="AD52" s="26">
        <f t="shared" si="69"/>
        <v>0</v>
      </c>
      <c r="AE52" s="27">
        <f t="shared" si="70"/>
        <v>0</v>
      </c>
      <c r="AG52" s="13">
        <v>120</v>
      </c>
      <c r="AH52" s="14">
        <v>0</v>
      </c>
      <c r="AI52" s="14">
        <v>120</v>
      </c>
      <c r="AJ52" s="14">
        <v>0</v>
      </c>
      <c r="AK52" s="14">
        <v>120</v>
      </c>
      <c r="AL52" s="14">
        <v>0</v>
      </c>
      <c r="AM52" s="14">
        <v>-35</v>
      </c>
      <c r="AN52" s="14">
        <v>0</v>
      </c>
      <c r="AO52" s="14">
        <v>0</v>
      </c>
      <c r="AP52" s="14">
        <v>0</v>
      </c>
      <c r="AQ52" s="14">
        <v>35</v>
      </c>
      <c r="AR52" s="15">
        <v>0</v>
      </c>
      <c r="AT52" s="19">
        <f>120+9</f>
        <v>129</v>
      </c>
      <c r="AU52" s="20">
        <v>0</v>
      </c>
      <c r="AV52" s="20">
        <v>-26</v>
      </c>
      <c r="AW52" s="20">
        <v>0</v>
      </c>
      <c r="AX52" s="20">
        <f>120+9</f>
        <v>129</v>
      </c>
      <c r="AY52" s="20">
        <v>0</v>
      </c>
      <c r="AZ52" s="20">
        <v>26</v>
      </c>
      <c r="BA52" s="21">
        <v>0</v>
      </c>
    </row>
    <row r="53" spans="1:66" x14ac:dyDescent="0.3">
      <c r="A53" s="8" t="s">
        <v>153</v>
      </c>
      <c r="B53" t="s">
        <v>105</v>
      </c>
      <c r="I53">
        <v>2</v>
      </c>
      <c r="J53">
        <v>2</v>
      </c>
      <c r="K53" s="9">
        <v>500</v>
      </c>
      <c r="L53">
        <v>20</v>
      </c>
      <c r="M53">
        <v>355</v>
      </c>
      <c r="N53">
        <v>170</v>
      </c>
      <c r="O53">
        <f t="shared" si="60"/>
        <v>15.711064285978338</v>
      </c>
      <c r="P53" s="13">
        <f>AG53+(AH53*(1/12))-O53</f>
        <v>123.00000000000001</v>
      </c>
      <c r="Q53" s="14">
        <f>AI53+(AJ53*(1/12))-O53</f>
        <v>87</v>
      </c>
      <c r="R53" s="14">
        <f>AK53+(AL53*(1/12))-O53</f>
        <v>87</v>
      </c>
      <c r="S53" s="14">
        <f t="shared" si="61"/>
        <v>-30</v>
      </c>
      <c r="T53" s="14">
        <f t="shared" si="62"/>
        <v>-45</v>
      </c>
      <c r="U53" s="15">
        <f t="shared" si="63"/>
        <v>-15</v>
      </c>
      <c r="V53" s="19">
        <f t="shared" si="64"/>
        <v>149</v>
      </c>
      <c r="W53" s="20">
        <f t="shared" si="65"/>
        <v>-32</v>
      </c>
      <c r="X53" s="20">
        <f t="shared" si="66"/>
        <v>149</v>
      </c>
      <c r="Y53" s="21">
        <f t="shared" si="67"/>
        <v>32</v>
      </c>
      <c r="Z53" s="25">
        <f>BC53+(BD53*(1/12))-O53</f>
        <v>123.00000000000001</v>
      </c>
      <c r="AA53" s="26">
        <f>BE53+(BF53*(1/12))-O53</f>
        <v>87</v>
      </c>
      <c r="AB53" s="26">
        <f>BG53+(BH53*(1/12))-O53</f>
        <v>87</v>
      </c>
      <c r="AC53" s="26">
        <f t="shared" si="68"/>
        <v>15</v>
      </c>
      <c r="AD53" s="26">
        <f t="shared" si="69"/>
        <v>45</v>
      </c>
      <c r="AE53" s="27">
        <f t="shared" si="70"/>
        <v>15</v>
      </c>
      <c r="AG53" s="13">
        <f>100+23+O53</f>
        <v>138.71106428597835</v>
      </c>
      <c r="AH53" s="14">
        <v>0</v>
      </c>
      <c r="AI53" s="14">
        <f>100-13+O53</f>
        <v>102.71106428597834</v>
      </c>
      <c r="AJ53" s="14">
        <v>0</v>
      </c>
      <c r="AK53" s="14">
        <f>100-13+O53</f>
        <v>102.71106428597834</v>
      </c>
      <c r="AL53" s="14">
        <v>0</v>
      </c>
      <c r="AM53" s="14">
        <v>-30</v>
      </c>
      <c r="AN53" s="14">
        <v>0</v>
      </c>
      <c r="AO53" s="14">
        <f>-30-15</f>
        <v>-45</v>
      </c>
      <c r="AP53" s="14">
        <v>0</v>
      </c>
      <c r="AQ53" s="14">
        <v>-15</v>
      </c>
      <c r="AR53" s="15">
        <v>0</v>
      </c>
      <c r="AT53" s="19">
        <f>100+23+13+13</f>
        <v>149</v>
      </c>
      <c r="AU53" s="20">
        <v>0</v>
      </c>
      <c r="AV53" s="20">
        <v>-32</v>
      </c>
      <c r="AW53" s="20">
        <v>0</v>
      </c>
      <c r="AX53" s="20">
        <f>100+23+13+13</f>
        <v>149</v>
      </c>
      <c r="AY53" s="20">
        <v>0</v>
      </c>
      <c r="AZ53" s="20">
        <v>32</v>
      </c>
      <c r="BA53" s="21">
        <v>0</v>
      </c>
      <c r="BC53" s="25">
        <f>100+23+O53</f>
        <v>138.71106428597835</v>
      </c>
      <c r="BD53" s="26">
        <v>0</v>
      </c>
      <c r="BE53" s="26">
        <f>100-13+O53</f>
        <v>102.71106428597834</v>
      </c>
      <c r="BF53" s="26">
        <v>0</v>
      </c>
      <c r="BG53" s="26">
        <f>100-13+O53</f>
        <v>102.71106428597834</v>
      </c>
      <c r="BH53" s="26">
        <v>0</v>
      </c>
      <c r="BI53" s="26">
        <v>15</v>
      </c>
      <c r="BJ53" s="26">
        <v>0</v>
      </c>
      <c r="BK53" s="26">
        <v>45</v>
      </c>
      <c r="BL53" s="26">
        <v>0</v>
      </c>
      <c r="BM53" s="26">
        <v>15</v>
      </c>
      <c r="BN53" s="27">
        <v>0</v>
      </c>
    </row>
    <row r="54" spans="1:66" x14ac:dyDescent="0.3">
      <c r="A54" s="8" t="s">
        <v>154</v>
      </c>
      <c r="B54" t="s">
        <v>127</v>
      </c>
      <c r="I54">
        <v>1</v>
      </c>
      <c r="J54">
        <v>2</v>
      </c>
      <c r="K54" s="9">
        <v>500</v>
      </c>
      <c r="L54">
        <v>20</v>
      </c>
      <c r="M54">
        <v>355</v>
      </c>
      <c r="N54">
        <v>170</v>
      </c>
      <c r="O54">
        <f t="shared" si="60"/>
        <v>15.711064285978338</v>
      </c>
      <c r="P54" s="13">
        <f>AG54+(AH54*(1/12))-O54</f>
        <v>106.25</v>
      </c>
      <c r="Q54" s="14">
        <f>AI54+(AJ54*(1/12))-O54</f>
        <v>139.25</v>
      </c>
      <c r="R54" s="14">
        <f>AK54+(AL54*(1/12))-O54</f>
        <v>106.25</v>
      </c>
      <c r="S54" s="14">
        <f t="shared" si="61"/>
        <v>-21.5</v>
      </c>
      <c r="T54" s="14">
        <f t="shared" si="62"/>
        <v>0</v>
      </c>
      <c r="U54" s="15">
        <f t="shared" si="63"/>
        <v>21.5</v>
      </c>
      <c r="V54" s="19">
        <f t="shared" si="64"/>
        <v>153</v>
      </c>
      <c r="W54" s="20">
        <f t="shared" si="65"/>
        <v>-13.75</v>
      </c>
      <c r="X54" s="20">
        <f t="shared" si="66"/>
        <v>153</v>
      </c>
      <c r="Y54" s="21">
        <f t="shared" si="67"/>
        <v>13.75</v>
      </c>
      <c r="Z54" s="25">
        <f>BC54+(BD54*(1/12))-O54</f>
        <v>-15.711064285978338</v>
      </c>
      <c r="AA54" s="26">
        <f>BE54+(BF54*(1/12))-O54</f>
        <v>-15.711064285978338</v>
      </c>
      <c r="AB54" s="26">
        <f>BG54+(BH54*(1/12))-O54</f>
        <v>-15.711064285978338</v>
      </c>
      <c r="AC54" s="26">
        <f t="shared" si="68"/>
        <v>0</v>
      </c>
      <c r="AD54" s="26">
        <f t="shared" si="69"/>
        <v>0</v>
      </c>
      <c r="AE54" s="27">
        <f t="shared" si="70"/>
        <v>0</v>
      </c>
      <c r="AG54" s="13">
        <f>120-13+O54</f>
        <v>122.71106428597834</v>
      </c>
      <c r="AH54" s="14">
        <v>-9</v>
      </c>
      <c r="AI54" s="14">
        <f>120+33-13+O54</f>
        <v>155.71106428597835</v>
      </c>
      <c r="AJ54" s="14">
        <v>-9</v>
      </c>
      <c r="AK54" s="14">
        <f>120-13+O54</f>
        <v>122.71106428597834</v>
      </c>
      <c r="AL54" s="14">
        <v>-9</v>
      </c>
      <c r="AM54" s="14">
        <v>-21</v>
      </c>
      <c r="AN54" s="14">
        <v>-6</v>
      </c>
      <c r="AO54" s="14">
        <v>0</v>
      </c>
      <c r="AP54" s="14">
        <v>0</v>
      </c>
      <c r="AQ54" s="14">
        <v>21</v>
      </c>
      <c r="AR54" s="15">
        <v>6</v>
      </c>
      <c r="AT54" s="19">
        <f>120+33</f>
        <v>153</v>
      </c>
      <c r="AU54" s="20">
        <v>0</v>
      </c>
      <c r="AV54" s="20">
        <v>-13</v>
      </c>
      <c r="AW54" s="20">
        <v>-9</v>
      </c>
      <c r="AX54" s="20">
        <f>120+33</f>
        <v>153</v>
      </c>
      <c r="AY54" s="20">
        <v>0</v>
      </c>
      <c r="AZ54" s="20">
        <v>13</v>
      </c>
      <c r="BA54" s="21">
        <v>9</v>
      </c>
    </row>
    <row r="55" spans="1:66" x14ac:dyDescent="0.3">
      <c r="A55" s="8" t="s">
        <v>155</v>
      </c>
      <c r="B55" t="s">
        <v>127</v>
      </c>
      <c r="C55" t="s">
        <v>168</v>
      </c>
      <c r="D55" t="s">
        <v>169</v>
      </c>
      <c r="E55" s="8" t="s">
        <v>66</v>
      </c>
      <c r="F55">
        <v>1.165</v>
      </c>
      <c r="G55">
        <v>3</v>
      </c>
      <c r="H55" s="9">
        <v>18</v>
      </c>
      <c r="I55">
        <v>1</v>
      </c>
      <c r="J55">
        <v>2</v>
      </c>
      <c r="K55" s="9">
        <v>500</v>
      </c>
      <c r="L55">
        <v>20</v>
      </c>
      <c r="M55">
        <v>355</v>
      </c>
      <c r="N55">
        <v>170</v>
      </c>
      <c r="O55">
        <f t="shared" si="60"/>
        <v>15.711064285978338</v>
      </c>
      <c r="P55" s="13">
        <f>AG55+(AH55*(1/12))-O55</f>
        <v>118.50000000000001</v>
      </c>
      <c r="Q55" s="14">
        <f>AI55+(AJ55*(1/12))-O55</f>
        <v>88</v>
      </c>
      <c r="R55" s="14">
        <f>AK55+(AL55*(1/12))-O55</f>
        <v>88</v>
      </c>
      <c r="S55" s="14">
        <f t="shared" si="61"/>
        <v>0</v>
      </c>
      <c r="T55" s="14">
        <f t="shared" si="62"/>
        <v>-21.5</v>
      </c>
      <c r="U55" s="15">
        <f t="shared" si="63"/>
        <v>21.5</v>
      </c>
      <c r="V55" s="19">
        <f t="shared" si="64"/>
        <v>131.5</v>
      </c>
      <c r="W55" s="20">
        <f t="shared" si="65"/>
        <v>-20</v>
      </c>
      <c r="X55" s="20">
        <f t="shared" si="66"/>
        <v>131.5</v>
      </c>
      <c r="Y55" s="21">
        <f t="shared" si="67"/>
        <v>20</v>
      </c>
      <c r="Z55" s="25">
        <f>BC55+(BD55*(1/12))-O55</f>
        <v>-15.711064285978338</v>
      </c>
      <c r="AA55" s="26">
        <f>BE55+(BF55*(1/12))-O55</f>
        <v>-15.711064285978338</v>
      </c>
      <c r="AB55" s="26">
        <f>BG55+(BH55*(1/12))-O55</f>
        <v>-15.711064285978338</v>
      </c>
      <c r="AC55" s="26">
        <f t="shared" si="68"/>
        <v>0</v>
      </c>
      <c r="AD55" s="26">
        <f t="shared" si="69"/>
        <v>0</v>
      </c>
      <c r="AE55" s="27">
        <f t="shared" si="70"/>
        <v>0</v>
      </c>
      <c r="AG55" s="13">
        <f>77+11+30+O55</f>
        <v>133.71106428597835</v>
      </c>
      <c r="AH55" s="14">
        <v>6</v>
      </c>
      <c r="AI55" s="14">
        <f>77+11+O55</f>
        <v>103.71106428597834</v>
      </c>
      <c r="AJ55" s="14">
        <v>0</v>
      </c>
      <c r="AK55" s="14">
        <f>77+11+O55</f>
        <v>103.71106428597834</v>
      </c>
      <c r="AL55" s="14">
        <v>0</v>
      </c>
      <c r="AM55" s="14">
        <v>0</v>
      </c>
      <c r="AN55" s="14">
        <v>0</v>
      </c>
      <c r="AO55" s="14">
        <v>-21</v>
      </c>
      <c r="AP55" s="14">
        <v>-6</v>
      </c>
      <c r="AQ55" s="14">
        <v>21</v>
      </c>
      <c r="AR55" s="15">
        <v>6</v>
      </c>
      <c r="AT55" s="19">
        <f>77+11+30+13</f>
        <v>131</v>
      </c>
      <c r="AU55" s="20">
        <v>6</v>
      </c>
      <c r="AV55" s="20">
        <v>-20</v>
      </c>
      <c r="AW55" s="20">
        <v>0</v>
      </c>
      <c r="AX55" s="20">
        <f>77+11+30+13</f>
        <v>131</v>
      </c>
      <c r="AY55" s="20">
        <v>6</v>
      </c>
      <c r="AZ55" s="20">
        <v>20</v>
      </c>
      <c r="BA55" s="21">
        <v>0</v>
      </c>
    </row>
    <row r="56" spans="1:66" x14ac:dyDescent="0.3">
      <c r="A56" s="8" t="s">
        <v>156</v>
      </c>
      <c r="B56" t="s">
        <v>127</v>
      </c>
      <c r="C56" t="s">
        <v>166</v>
      </c>
      <c r="D56" t="s">
        <v>167</v>
      </c>
      <c r="E56" s="8" t="s">
        <v>66</v>
      </c>
      <c r="F56">
        <v>1.2529999999999999</v>
      </c>
      <c r="G56">
        <v>3</v>
      </c>
      <c r="H56" s="9">
        <v>18</v>
      </c>
      <c r="I56">
        <v>1</v>
      </c>
      <c r="J56">
        <v>2</v>
      </c>
      <c r="K56" s="9">
        <v>500</v>
      </c>
      <c r="L56">
        <v>20</v>
      </c>
      <c r="M56">
        <v>355</v>
      </c>
      <c r="N56">
        <v>170</v>
      </c>
      <c r="O56">
        <f t="shared" si="60"/>
        <v>15.711064285978338</v>
      </c>
      <c r="P56" s="13">
        <f>AG56+(AH56*(1/12))-O56</f>
        <v>151.25</v>
      </c>
      <c r="Q56" s="14">
        <f>AI56+(AJ56*(1/12))-O56</f>
        <v>126.00000000000001</v>
      </c>
      <c r="R56" s="14">
        <f>AK56+(AL56*(1/12))-O56</f>
        <v>126.00000000000001</v>
      </c>
      <c r="S56" s="14">
        <f t="shared" si="61"/>
        <v>0</v>
      </c>
      <c r="T56" s="14">
        <f t="shared" si="62"/>
        <v>-21</v>
      </c>
      <c r="U56" s="15">
        <f t="shared" si="63"/>
        <v>21</v>
      </c>
      <c r="V56" s="19">
        <f t="shared" si="64"/>
        <v>165.25</v>
      </c>
      <c r="W56" s="20">
        <f t="shared" si="65"/>
        <v>-17.5</v>
      </c>
      <c r="X56" s="20">
        <f t="shared" si="66"/>
        <v>165.25</v>
      </c>
      <c r="Y56" s="21">
        <f t="shared" si="67"/>
        <v>17.5</v>
      </c>
      <c r="Z56" s="25">
        <f>BC56+(BD56*(1/12))-O56</f>
        <v>-15.711064285978338</v>
      </c>
      <c r="AA56" s="26">
        <f>BE56+(BF56*(1/12))-O56</f>
        <v>-15.711064285978338</v>
      </c>
      <c r="AB56" s="26">
        <f>BG56+(BH56*(1/12))-O56</f>
        <v>-15.711064285978338</v>
      </c>
      <c r="AC56" s="26">
        <f t="shared" si="68"/>
        <v>0</v>
      </c>
      <c r="AD56" s="26">
        <f t="shared" si="69"/>
        <v>0</v>
      </c>
      <c r="AE56" s="27">
        <f t="shared" si="70"/>
        <v>0</v>
      </c>
      <c r="AG56" s="13">
        <f>15+80+31+14+7+18-14+O56</f>
        <v>166.71106428597835</v>
      </c>
      <c r="AH56" s="14">
        <v>3</v>
      </c>
      <c r="AI56" s="14">
        <f>15+80+31+O56</f>
        <v>141.71106428597835</v>
      </c>
      <c r="AJ56" s="14">
        <v>0</v>
      </c>
      <c r="AK56" s="14">
        <f>15+80+31+O56</f>
        <v>141.71106428597835</v>
      </c>
      <c r="AL56" s="14">
        <v>0</v>
      </c>
      <c r="AM56" s="14">
        <v>0</v>
      </c>
      <c r="AN56" s="14">
        <v>0</v>
      </c>
      <c r="AO56" s="14">
        <v>-21</v>
      </c>
      <c r="AP56" s="14">
        <v>0</v>
      </c>
      <c r="AQ56" s="14">
        <v>21</v>
      </c>
      <c r="AR56" s="15">
        <v>0</v>
      </c>
      <c r="AT56" s="19">
        <f>15+80+31+14+7+18</f>
        <v>165</v>
      </c>
      <c r="AU56" s="20">
        <v>3</v>
      </c>
      <c r="AV56" s="20">
        <v>-17</v>
      </c>
      <c r="AW56" s="20">
        <v>-6</v>
      </c>
      <c r="AX56" s="20">
        <f>15+80+31+14+7+18</f>
        <v>165</v>
      </c>
      <c r="AY56" s="20">
        <v>3</v>
      </c>
      <c r="AZ56" s="20">
        <v>17</v>
      </c>
      <c r="BA56" s="21">
        <v>6</v>
      </c>
    </row>
    <row r="57" spans="1:66" x14ac:dyDescent="0.3">
      <c r="A57" s="8" t="s">
        <v>157</v>
      </c>
      <c r="B57" t="s">
        <v>13</v>
      </c>
      <c r="I57">
        <v>1</v>
      </c>
      <c r="J57">
        <v>2</v>
      </c>
      <c r="K57" s="9">
        <v>735</v>
      </c>
      <c r="L57">
        <v>20</v>
      </c>
      <c r="M57">
        <v>355</v>
      </c>
      <c r="N57">
        <v>170</v>
      </c>
      <c r="O57">
        <f t="shared" ref="O57:O64" si="71">((K57*L57)/M57)*N57*(1/304.8)</f>
        <v>23.095264500388154</v>
      </c>
      <c r="P57" s="13">
        <f>AG57+(AH57*(1/12))-O57</f>
        <v>92</v>
      </c>
      <c r="Q57" s="14">
        <f>AI57+(AJ57*(1/12))-O57</f>
        <v>92</v>
      </c>
      <c r="R57" s="14">
        <f>AK57+(AL57*(1/12))-O57</f>
        <v>92</v>
      </c>
      <c r="S57" s="14">
        <f t="shared" ref="S57:S64" si="72">AM57+(AN57*(1/12))</f>
        <v>-44.5</v>
      </c>
      <c r="T57" s="14">
        <f t="shared" ref="T57:T64" si="73">AO57+(AP57*(1/12))</f>
        <v>0</v>
      </c>
      <c r="U57" s="15">
        <f t="shared" ref="U57:U64" si="74">AQ57+(AR57*(1/12))</f>
        <v>44.5</v>
      </c>
      <c r="V57" s="19">
        <f t="shared" ref="V57:V64" si="75">AT57+((1/12)*AU57)</f>
        <v>127</v>
      </c>
      <c r="W57" s="20">
        <f t="shared" ref="W57:W64" si="76">AV57+((1/12)*AW57)</f>
        <v>-36</v>
      </c>
      <c r="X57" s="20">
        <f t="shared" ref="X57:X64" si="77">AX57+((1/12)*AY57)</f>
        <v>127</v>
      </c>
      <c r="Y57" s="21">
        <f t="shared" ref="Y57:Y64" si="78">AZ57+((1/12)*BA57)</f>
        <v>36</v>
      </c>
      <c r="Z57" s="25">
        <f>BC57+(BD57*(1/12))-O57</f>
        <v>-23.095264500388154</v>
      </c>
      <c r="AA57" s="26">
        <f>BE57+(BF57*(1/12))-O57</f>
        <v>-23.095264500388154</v>
      </c>
      <c r="AB57" s="26">
        <f>BG57+(BH57*(1/12))-O57</f>
        <v>-23.095264500388154</v>
      </c>
      <c r="AC57" s="26">
        <f t="shared" ref="AC57:AC64" si="79">BI57+(BJ57*(1/12))</f>
        <v>0</v>
      </c>
      <c r="AD57" s="26">
        <f t="shared" ref="AD57:AD64" si="80">BK57+(BL57*(1/12))</f>
        <v>0</v>
      </c>
      <c r="AE57" s="27">
        <f t="shared" ref="AE57:AE64" si="81">BM57+(BN57*(1/12))</f>
        <v>0</v>
      </c>
      <c r="AG57" s="13">
        <f>110-18+O57</f>
        <v>115.09526450038815</v>
      </c>
      <c r="AH57" s="14">
        <v>0</v>
      </c>
      <c r="AI57" s="14">
        <f>110-18+O57</f>
        <v>115.09526450038815</v>
      </c>
      <c r="AJ57" s="14">
        <v>0</v>
      </c>
      <c r="AK57" s="14">
        <f>110-18+O57</f>
        <v>115.09526450038815</v>
      </c>
      <c r="AL57" s="14">
        <v>0</v>
      </c>
      <c r="AM57" s="14">
        <v>-44</v>
      </c>
      <c r="AN57" s="14">
        <v>-6</v>
      </c>
      <c r="AO57" s="14">
        <v>0</v>
      </c>
      <c r="AP57" s="14">
        <v>0</v>
      </c>
      <c r="AQ57" s="14">
        <v>44</v>
      </c>
      <c r="AR57" s="15">
        <v>6</v>
      </c>
      <c r="AT57" s="19">
        <f>110+17</f>
        <v>127</v>
      </c>
      <c r="AU57" s="20">
        <v>0</v>
      </c>
      <c r="AV57" s="20">
        <v>-36</v>
      </c>
      <c r="AW57" s="20">
        <v>0</v>
      </c>
      <c r="AX57" s="20">
        <v>127</v>
      </c>
      <c r="AY57" s="20">
        <v>0</v>
      </c>
      <c r="AZ57" s="20">
        <v>36</v>
      </c>
      <c r="BA57" s="21">
        <v>0</v>
      </c>
    </row>
    <row r="58" spans="1:66" x14ac:dyDescent="0.3">
      <c r="A58" s="8" t="s">
        <v>158</v>
      </c>
      <c r="B58" t="s">
        <v>13</v>
      </c>
      <c r="I58">
        <v>1</v>
      </c>
      <c r="J58">
        <v>2</v>
      </c>
      <c r="K58" s="9">
        <v>735</v>
      </c>
      <c r="L58">
        <v>20</v>
      </c>
      <c r="M58">
        <v>355</v>
      </c>
      <c r="N58">
        <v>170</v>
      </c>
      <c r="O58">
        <f t="shared" si="71"/>
        <v>23.095264500388154</v>
      </c>
      <c r="P58" s="13">
        <f>AG58+(AH58*(1/12))-O58</f>
        <v>86.904735499611846</v>
      </c>
      <c r="Q58" s="14">
        <f>AI58+(AJ58*(1/12))-O58</f>
        <v>86.904735499611846</v>
      </c>
      <c r="R58" s="14">
        <f>AK58+(AL58*(1/12))-O58</f>
        <v>86.904735499611846</v>
      </c>
      <c r="S58" s="14">
        <f t="shared" si="72"/>
        <v>-45</v>
      </c>
      <c r="T58" s="14">
        <f t="shared" si="73"/>
        <v>0</v>
      </c>
      <c r="U58" s="15">
        <f t="shared" si="74"/>
        <v>45</v>
      </c>
      <c r="V58" s="19">
        <f t="shared" si="75"/>
        <v>138.66666666666666</v>
      </c>
      <c r="W58" s="20">
        <f t="shared" si="76"/>
        <v>-50</v>
      </c>
      <c r="X58" s="20">
        <f t="shared" si="77"/>
        <v>138.66666666666666</v>
      </c>
      <c r="Y58" s="21">
        <f t="shared" si="78"/>
        <v>50</v>
      </c>
      <c r="Z58" s="25">
        <f>BC58+(BD58*(1/12))-O58</f>
        <v>-23.095264500388154</v>
      </c>
      <c r="AA58" s="26">
        <f>BE58+(BF58*(1/12))-O58</f>
        <v>-23.095264500388154</v>
      </c>
      <c r="AB58" s="26">
        <f>BG58+(BH58*(1/12))-O58</f>
        <v>-23.095264500388154</v>
      </c>
      <c r="AC58" s="26">
        <f t="shared" si="79"/>
        <v>0</v>
      </c>
      <c r="AD58" s="26">
        <f t="shared" si="80"/>
        <v>0</v>
      </c>
      <c r="AE58" s="27">
        <f t="shared" si="81"/>
        <v>0</v>
      </c>
      <c r="AG58" s="13">
        <v>110</v>
      </c>
      <c r="AH58" s="14">
        <v>0</v>
      </c>
      <c r="AI58" s="14">
        <v>110</v>
      </c>
      <c r="AJ58" s="14">
        <v>0</v>
      </c>
      <c r="AK58" s="14">
        <v>110</v>
      </c>
      <c r="AL58" s="14">
        <v>0</v>
      </c>
      <c r="AM58" s="14">
        <v>-45</v>
      </c>
      <c r="AN58" s="14">
        <v>0</v>
      </c>
      <c r="AO58" s="14">
        <v>0</v>
      </c>
      <c r="AP58" s="14">
        <v>0</v>
      </c>
      <c r="AQ58" s="14">
        <v>45</v>
      </c>
      <c r="AR58" s="15">
        <v>0</v>
      </c>
      <c r="AT58" s="19">
        <f>110+28</f>
        <v>138</v>
      </c>
      <c r="AU58" s="20">
        <v>8</v>
      </c>
      <c r="AV58" s="20">
        <v>-50</v>
      </c>
      <c r="AW58" s="20">
        <v>0</v>
      </c>
      <c r="AX58" s="20">
        <v>138</v>
      </c>
      <c r="AY58" s="20">
        <v>8</v>
      </c>
      <c r="AZ58" s="20">
        <v>50</v>
      </c>
      <c r="BA58" s="21">
        <v>0</v>
      </c>
    </row>
    <row r="59" spans="1:66" x14ac:dyDescent="0.3">
      <c r="A59" s="8" t="s">
        <v>159</v>
      </c>
      <c r="B59" t="s">
        <v>13</v>
      </c>
      <c r="I59">
        <v>1</v>
      </c>
      <c r="J59">
        <v>2</v>
      </c>
      <c r="K59" s="9">
        <v>735</v>
      </c>
      <c r="L59">
        <v>20</v>
      </c>
      <c r="M59">
        <v>355</v>
      </c>
      <c r="N59">
        <v>170</v>
      </c>
      <c r="O59">
        <f t="shared" si="71"/>
        <v>23.095264500388154</v>
      </c>
      <c r="P59" s="13">
        <f>AG59+(AH59*(1/12))-O59</f>
        <v>135</v>
      </c>
      <c r="Q59" s="14">
        <f>AI59+(AJ59*(1/12))-O59</f>
        <v>135</v>
      </c>
      <c r="R59" s="14">
        <f>AK59+(AL59*(1/12))-O59</f>
        <v>135</v>
      </c>
      <c r="S59" s="14">
        <f t="shared" si="72"/>
        <v>-41.833333333333336</v>
      </c>
      <c r="T59" s="14">
        <f t="shared" si="73"/>
        <v>0</v>
      </c>
      <c r="U59" s="15">
        <f t="shared" si="74"/>
        <v>41.833333333333336</v>
      </c>
      <c r="V59" s="19">
        <f t="shared" si="75"/>
        <v>175</v>
      </c>
      <c r="W59" s="20">
        <f t="shared" si="76"/>
        <v>-30</v>
      </c>
      <c r="X59" s="20">
        <f t="shared" si="77"/>
        <v>175</v>
      </c>
      <c r="Y59" s="21">
        <f t="shared" si="78"/>
        <v>30</v>
      </c>
      <c r="Z59" s="25">
        <f>BC59+(BD59*(1/12))-O59</f>
        <v>-23.095264500388154</v>
      </c>
      <c r="AA59" s="26">
        <f>BE59+(BF59*(1/12))-O59</f>
        <v>-23.095264500388154</v>
      </c>
      <c r="AB59" s="26">
        <f>BG59+(BH59*(1/12))-O59</f>
        <v>-23.095264500388154</v>
      </c>
      <c r="AC59" s="26">
        <f t="shared" si="79"/>
        <v>0</v>
      </c>
      <c r="AD59" s="26">
        <f t="shared" si="80"/>
        <v>0</v>
      </c>
      <c r="AE59" s="27">
        <f t="shared" si="81"/>
        <v>0</v>
      </c>
      <c r="AG59" s="13">
        <f>135+O59</f>
        <v>158.09526450038817</v>
      </c>
      <c r="AH59" s="14">
        <v>0</v>
      </c>
      <c r="AI59" s="14">
        <f>135+O59</f>
        <v>158.09526450038817</v>
      </c>
      <c r="AJ59" s="14">
        <v>0</v>
      </c>
      <c r="AK59" s="14">
        <f>135+O59</f>
        <v>158.09526450038817</v>
      </c>
      <c r="AL59" s="14">
        <v>0</v>
      </c>
      <c r="AM59" s="14">
        <v>-41</v>
      </c>
      <c r="AN59" s="14">
        <v>-10</v>
      </c>
      <c r="AO59" s="14">
        <v>0</v>
      </c>
      <c r="AP59" s="14">
        <v>0</v>
      </c>
      <c r="AQ59" s="14">
        <v>41</v>
      </c>
      <c r="AR59" s="15">
        <v>10</v>
      </c>
      <c r="AT59" s="19">
        <f>135+40</f>
        <v>175</v>
      </c>
      <c r="AU59" s="20">
        <v>0</v>
      </c>
      <c r="AV59" s="20">
        <v>-30</v>
      </c>
      <c r="AW59" s="20">
        <v>0</v>
      </c>
      <c r="AX59" s="20">
        <v>175</v>
      </c>
      <c r="AY59" s="20">
        <v>0</v>
      </c>
      <c r="AZ59" s="20">
        <v>30</v>
      </c>
      <c r="BA59" s="21">
        <v>0</v>
      </c>
    </row>
    <row r="60" spans="1:66" x14ac:dyDescent="0.3">
      <c r="A60" s="8" t="s">
        <v>160</v>
      </c>
      <c r="B60" t="s">
        <v>65</v>
      </c>
      <c r="I60">
        <v>1</v>
      </c>
      <c r="J60">
        <v>2</v>
      </c>
      <c r="K60" s="9">
        <v>735</v>
      </c>
      <c r="L60">
        <v>20</v>
      </c>
      <c r="M60">
        <v>355</v>
      </c>
      <c r="N60">
        <v>170</v>
      </c>
      <c r="O60">
        <f t="shared" si="71"/>
        <v>23.095264500388154</v>
      </c>
      <c r="P60" s="13">
        <f>AG60+(AH60*(1/12))-O60</f>
        <v>100.90473549961185</v>
      </c>
      <c r="Q60" s="14">
        <f>AI60+(AJ60*(1/12))-O60</f>
        <v>100.90473549961185</v>
      </c>
      <c r="R60" s="14">
        <f>AK60+(AL60*(1/12))-O60</f>
        <v>100.90473549961185</v>
      </c>
      <c r="S60" s="14">
        <f t="shared" si="72"/>
        <v>-39.333333333333336</v>
      </c>
      <c r="T60" s="14">
        <f t="shared" si="73"/>
        <v>0</v>
      </c>
      <c r="U60" s="15">
        <f t="shared" si="74"/>
        <v>39.333333333333336</v>
      </c>
      <c r="V60" s="19">
        <f t="shared" si="75"/>
        <v>145</v>
      </c>
      <c r="W60" s="20">
        <f t="shared" si="76"/>
        <v>-66</v>
      </c>
      <c r="X60" s="20">
        <f t="shared" si="77"/>
        <v>145</v>
      </c>
      <c r="Y60" s="21">
        <f t="shared" si="78"/>
        <v>66</v>
      </c>
      <c r="Z60" s="25">
        <f>BC60+(BD60*(1/12))-O60</f>
        <v>-23.095264500388154</v>
      </c>
      <c r="AA60" s="26">
        <f>BE60+(BF60*(1/12))-O60</f>
        <v>-23.095264500388154</v>
      </c>
      <c r="AB60" s="26">
        <f>BG60+(BH60*(1/12))-O60</f>
        <v>-23.095264500388154</v>
      </c>
      <c r="AC60" s="26">
        <f t="shared" si="79"/>
        <v>0</v>
      </c>
      <c r="AD60" s="26">
        <f t="shared" si="80"/>
        <v>0</v>
      </c>
      <c r="AE60" s="27">
        <f t="shared" si="81"/>
        <v>0</v>
      </c>
      <c r="AG60" s="13">
        <f>145-21</f>
        <v>124</v>
      </c>
      <c r="AH60" s="14">
        <v>0</v>
      </c>
      <c r="AI60" s="14">
        <v>124</v>
      </c>
      <c r="AJ60" s="14">
        <v>0</v>
      </c>
      <c r="AK60" s="14">
        <v>124</v>
      </c>
      <c r="AL60" s="14">
        <v>0</v>
      </c>
      <c r="AM60" s="14">
        <v>-39</v>
      </c>
      <c r="AN60" s="14">
        <v>-4</v>
      </c>
      <c r="AO60" s="14">
        <v>0</v>
      </c>
      <c r="AP60" s="14">
        <v>0</v>
      </c>
      <c r="AQ60" s="14">
        <v>39</v>
      </c>
      <c r="AR60" s="15">
        <v>4</v>
      </c>
      <c r="AT60" s="19">
        <v>145</v>
      </c>
      <c r="AU60" s="20">
        <v>0</v>
      </c>
      <c r="AV60" s="20">
        <v>-66</v>
      </c>
      <c r="AW60" s="20">
        <v>0</v>
      </c>
      <c r="AX60" s="20">
        <v>145</v>
      </c>
      <c r="AY60" s="20">
        <v>0</v>
      </c>
      <c r="AZ60" s="20">
        <v>66</v>
      </c>
      <c r="BA60" s="21">
        <v>0</v>
      </c>
    </row>
    <row r="61" spans="1:66" x14ac:dyDescent="0.3">
      <c r="A61" s="8" t="s">
        <v>161</v>
      </c>
      <c r="B61" t="s">
        <v>105</v>
      </c>
      <c r="I61">
        <v>1</v>
      </c>
      <c r="J61">
        <v>2</v>
      </c>
      <c r="K61" s="9">
        <v>735</v>
      </c>
      <c r="L61">
        <v>20</v>
      </c>
      <c r="M61">
        <v>355</v>
      </c>
      <c r="N61">
        <v>170</v>
      </c>
      <c r="O61">
        <f t="shared" si="71"/>
        <v>23.095264500388154</v>
      </c>
      <c r="P61" s="13">
        <f>AG61+(AH61*(1/12))-O61</f>
        <v>131</v>
      </c>
      <c r="Q61" s="14">
        <f>AI61+(AJ61*(1/12))-O61</f>
        <v>131</v>
      </c>
      <c r="R61" s="14">
        <f>AK61+(AL61*(1/12))-O61</f>
        <v>131</v>
      </c>
      <c r="S61" s="14">
        <f t="shared" si="72"/>
        <v>-50</v>
      </c>
      <c r="T61" s="14">
        <f t="shared" si="73"/>
        <v>0</v>
      </c>
      <c r="U61" s="15">
        <f t="shared" si="74"/>
        <v>50</v>
      </c>
      <c r="V61" s="19">
        <f t="shared" si="75"/>
        <v>175</v>
      </c>
      <c r="W61" s="20">
        <f t="shared" si="76"/>
        <v>-30</v>
      </c>
      <c r="X61" s="20">
        <f t="shared" si="77"/>
        <v>175</v>
      </c>
      <c r="Y61" s="21">
        <f t="shared" si="78"/>
        <v>30</v>
      </c>
      <c r="Z61" s="25">
        <f>BC61+(BD61*(1/12))-O61</f>
        <v>-23.095264500388154</v>
      </c>
      <c r="AA61" s="26">
        <f>BE61+(BF61*(1/12))-O61</f>
        <v>-23.095264500388154</v>
      </c>
      <c r="AB61" s="26">
        <f>BG61+(BH61*(1/12))-O61</f>
        <v>-23.095264500388154</v>
      </c>
      <c r="AC61" s="26">
        <f t="shared" si="79"/>
        <v>0</v>
      </c>
      <c r="AD61" s="26">
        <f t="shared" si="80"/>
        <v>0</v>
      </c>
      <c r="AE61" s="27">
        <f t="shared" si="81"/>
        <v>0</v>
      </c>
      <c r="AG61" s="13">
        <f>175-44+O61</f>
        <v>154.09526450038817</v>
      </c>
      <c r="AH61" s="14">
        <v>0</v>
      </c>
      <c r="AI61" s="14">
        <f>175-44+O61</f>
        <v>154.09526450038817</v>
      </c>
      <c r="AJ61" s="14">
        <v>0</v>
      </c>
      <c r="AK61" s="14">
        <f>175-44+O61</f>
        <v>154.09526450038817</v>
      </c>
      <c r="AL61" s="14">
        <v>0</v>
      </c>
      <c r="AM61" s="14">
        <v>-50</v>
      </c>
      <c r="AN61" s="14">
        <v>0</v>
      </c>
      <c r="AO61" s="14">
        <v>0</v>
      </c>
      <c r="AP61" s="14">
        <v>0</v>
      </c>
      <c r="AQ61" s="14">
        <v>50</v>
      </c>
      <c r="AR61" s="15">
        <v>0</v>
      </c>
      <c r="AT61" s="19">
        <v>175</v>
      </c>
      <c r="AU61" s="20">
        <v>0</v>
      </c>
      <c r="AV61" s="20">
        <v>-30</v>
      </c>
      <c r="AW61" s="20">
        <v>0</v>
      </c>
      <c r="AX61" s="20">
        <v>175</v>
      </c>
      <c r="AY61" s="20">
        <v>0</v>
      </c>
      <c r="AZ61" s="20">
        <v>30</v>
      </c>
      <c r="BA61" s="21">
        <v>0</v>
      </c>
    </row>
    <row r="62" spans="1:66" x14ac:dyDescent="0.3">
      <c r="A62" s="8" t="s">
        <v>162</v>
      </c>
      <c r="B62" t="s">
        <v>165</v>
      </c>
      <c r="I62">
        <v>1</v>
      </c>
      <c r="J62">
        <v>2</v>
      </c>
      <c r="K62" s="9">
        <v>735</v>
      </c>
      <c r="L62">
        <v>20</v>
      </c>
      <c r="M62">
        <v>355</v>
      </c>
      <c r="N62">
        <v>170</v>
      </c>
      <c r="O62">
        <f t="shared" si="71"/>
        <v>23.095264500388154</v>
      </c>
      <c r="P62" s="13">
        <f>AG62+(AH62*(1/12))-O62</f>
        <v>110.00000000000001</v>
      </c>
      <c r="Q62" s="14">
        <f>AI62+(AJ62*(1/12))-O62</f>
        <v>110.00000000000001</v>
      </c>
      <c r="R62" s="14">
        <f>AK62+(AL62*(1/12))-O62</f>
        <v>110.00000000000001</v>
      </c>
      <c r="S62" s="14">
        <f t="shared" si="72"/>
        <v>-39.333333333333336</v>
      </c>
      <c r="T62" s="14">
        <f t="shared" si="73"/>
        <v>0</v>
      </c>
      <c r="U62" s="15">
        <f t="shared" si="74"/>
        <v>39.333333333333336</v>
      </c>
      <c r="V62" s="19">
        <f t="shared" si="75"/>
        <v>150</v>
      </c>
      <c r="W62" s="20">
        <f t="shared" si="76"/>
        <v>-30</v>
      </c>
      <c r="X62" s="20">
        <f t="shared" si="77"/>
        <v>150</v>
      </c>
      <c r="Y62" s="21">
        <f t="shared" si="78"/>
        <v>30</v>
      </c>
      <c r="Z62" s="25">
        <f>BC62+(BD62*(1/12))-O62</f>
        <v>-23.095264500388154</v>
      </c>
      <c r="AA62" s="26">
        <f>BE62+(BF62*(1/12))-O62</f>
        <v>-23.095264500388154</v>
      </c>
      <c r="AB62" s="26">
        <f>BG62+(BH62*(1/12))-O62</f>
        <v>-23.095264500388154</v>
      </c>
      <c r="AC62" s="26">
        <f t="shared" si="79"/>
        <v>0</v>
      </c>
      <c r="AD62" s="26">
        <f t="shared" si="80"/>
        <v>0</v>
      </c>
      <c r="AE62" s="27">
        <f t="shared" si="81"/>
        <v>0</v>
      </c>
      <c r="AG62" s="13">
        <f>110+O62</f>
        <v>133.09526450038817</v>
      </c>
      <c r="AH62" s="14">
        <v>0</v>
      </c>
      <c r="AI62" s="14">
        <f>110+O62</f>
        <v>133.09526450038817</v>
      </c>
      <c r="AJ62" s="14">
        <v>0</v>
      </c>
      <c r="AK62" s="14">
        <f>110+O62</f>
        <v>133.09526450038817</v>
      </c>
      <c r="AL62" s="14">
        <v>0</v>
      </c>
      <c r="AM62" s="14">
        <v>-39</v>
      </c>
      <c r="AN62" s="14">
        <v>-4</v>
      </c>
      <c r="AO62" s="14">
        <v>0</v>
      </c>
      <c r="AP62" s="14">
        <v>0</v>
      </c>
      <c r="AQ62" s="14">
        <v>39</v>
      </c>
      <c r="AR62" s="15">
        <v>4</v>
      </c>
      <c r="AT62" s="19">
        <v>150</v>
      </c>
      <c r="AU62" s="20">
        <v>0</v>
      </c>
      <c r="AV62" s="20">
        <v>-30</v>
      </c>
      <c r="AW62" s="20">
        <v>0</v>
      </c>
      <c r="AX62" s="20">
        <v>150</v>
      </c>
      <c r="AY62" s="20">
        <v>0</v>
      </c>
      <c r="AZ62" s="20">
        <v>30</v>
      </c>
      <c r="BA62" s="21">
        <v>0</v>
      </c>
    </row>
    <row r="63" spans="1:66" x14ac:dyDescent="0.3">
      <c r="A63" s="8" t="s">
        <v>163</v>
      </c>
      <c r="K63" s="9">
        <v>735</v>
      </c>
      <c r="L63">
        <v>20</v>
      </c>
      <c r="M63">
        <v>355</v>
      </c>
      <c r="N63">
        <v>170</v>
      </c>
      <c r="O63">
        <f t="shared" si="71"/>
        <v>23.095264500388154</v>
      </c>
      <c r="P63" s="13">
        <f>AG63+(AH63*(1/12))-O63</f>
        <v>-23.095264500388154</v>
      </c>
      <c r="Q63" s="14">
        <f>AI63+(AJ63*(1/12))-O63</f>
        <v>-23.095264500388154</v>
      </c>
      <c r="R63" s="14">
        <f>AK63+(AL63*(1/12))-O63</f>
        <v>-23.095264500388154</v>
      </c>
      <c r="S63" s="14">
        <f t="shared" si="72"/>
        <v>0</v>
      </c>
      <c r="T63" s="14">
        <f t="shared" si="73"/>
        <v>0</v>
      </c>
      <c r="U63" s="15">
        <f t="shared" si="74"/>
        <v>0</v>
      </c>
      <c r="V63" s="19">
        <f t="shared" si="75"/>
        <v>0</v>
      </c>
      <c r="W63" s="20">
        <f t="shared" si="76"/>
        <v>0</v>
      </c>
      <c r="X63" s="20">
        <f t="shared" si="77"/>
        <v>0</v>
      </c>
      <c r="Y63" s="21">
        <f t="shared" si="78"/>
        <v>0</v>
      </c>
      <c r="Z63" s="25">
        <f>BC63+(BD63*(1/12))-O63</f>
        <v>-23.095264500388154</v>
      </c>
      <c r="AA63" s="26">
        <f>BE63+(BF63*(1/12))-O63</f>
        <v>-23.095264500388154</v>
      </c>
      <c r="AB63" s="26">
        <f>BG63+(BH63*(1/12))-O63</f>
        <v>-23.095264500388154</v>
      </c>
      <c r="AC63" s="26">
        <f t="shared" si="79"/>
        <v>0</v>
      </c>
      <c r="AD63" s="26">
        <f t="shared" si="80"/>
        <v>0</v>
      </c>
      <c r="AE63" s="27">
        <f t="shared" si="81"/>
        <v>0</v>
      </c>
    </row>
    <row r="64" spans="1:66" x14ac:dyDescent="0.3">
      <c r="A64" s="8" t="s">
        <v>164</v>
      </c>
      <c r="K64" s="9">
        <v>735</v>
      </c>
      <c r="L64">
        <v>20</v>
      </c>
      <c r="M64">
        <v>355</v>
      </c>
      <c r="N64">
        <v>170</v>
      </c>
      <c r="O64">
        <f t="shared" si="71"/>
        <v>23.095264500388154</v>
      </c>
      <c r="P64" s="13">
        <f>AG64+(AH64*(1/12))-O64</f>
        <v>-23.095264500388154</v>
      </c>
      <c r="Q64" s="14">
        <f>AI64+(AJ64*(1/12))-O64</f>
        <v>-23.095264500388154</v>
      </c>
      <c r="R64" s="14">
        <f>AK64+(AL64*(1/12))-O64</f>
        <v>-23.095264500388154</v>
      </c>
      <c r="S64" s="14">
        <f t="shared" si="72"/>
        <v>0</v>
      </c>
      <c r="T64" s="14">
        <f t="shared" si="73"/>
        <v>0</v>
      </c>
      <c r="U64" s="15">
        <f t="shared" si="74"/>
        <v>0</v>
      </c>
      <c r="V64" s="19">
        <f t="shared" si="75"/>
        <v>0</v>
      </c>
      <c r="W64" s="20">
        <f t="shared" si="76"/>
        <v>0</v>
      </c>
      <c r="X64" s="20">
        <f t="shared" si="77"/>
        <v>0</v>
      </c>
      <c r="Y64" s="21">
        <f t="shared" si="78"/>
        <v>0</v>
      </c>
      <c r="Z64" s="25">
        <f>BC64+(BD64*(1/12))-O64</f>
        <v>-23.095264500388154</v>
      </c>
      <c r="AA64" s="26">
        <f>BE64+(BF64*(1/12))-O64</f>
        <v>-23.095264500388154</v>
      </c>
      <c r="AB64" s="26">
        <f>BG64+(BH64*(1/12))-O64</f>
        <v>-23.095264500388154</v>
      </c>
      <c r="AC64" s="26">
        <f t="shared" si="79"/>
        <v>0</v>
      </c>
      <c r="AD64" s="26">
        <f t="shared" si="80"/>
        <v>0</v>
      </c>
      <c r="AE64" s="27">
        <f t="shared" si="81"/>
        <v>0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E831-63AE-439F-B63C-033675B2FBBA}">
  <dimension ref="A1:J56"/>
  <sheetViews>
    <sheetView tabSelected="1" workbookViewId="0">
      <selection activeCell="K11" sqref="K11"/>
    </sheetView>
  </sheetViews>
  <sheetFormatPr defaultRowHeight="14.4" x14ac:dyDescent="0.3"/>
  <cols>
    <col min="2" max="2" width="14.6640625" bestFit="1" customWidth="1"/>
    <col min="3" max="3" width="11.109375" style="42" bestFit="1" customWidth="1"/>
    <col min="4" max="4" width="34.6640625" customWidth="1"/>
    <col min="5" max="5" width="11.77734375" customWidth="1"/>
  </cols>
  <sheetData>
    <row r="1" spans="1:10" ht="57.6" customHeight="1" x14ac:dyDescent="0.3">
      <c r="A1" s="2" t="s">
        <v>221</v>
      </c>
      <c r="B1" s="2" t="s">
        <v>222</v>
      </c>
      <c r="C1" s="38" t="s">
        <v>359</v>
      </c>
      <c r="D1" s="2" t="s">
        <v>360</v>
      </c>
      <c r="E1" s="2" t="s">
        <v>223</v>
      </c>
    </row>
    <row r="2" spans="1:10" x14ac:dyDescent="0.3">
      <c r="A2" s="36">
        <v>1</v>
      </c>
      <c r="B2" s="41" t="s">
        <v>167</v>
      </c>
      <c r="C2" s="40" t="s">
        <v>309</v>
      </c>
      <c r="D2" s="35" t="s">
        <v>224</v>
      </c>
      <c r="E2" s="35">
        <v>4</v>
      </c>
    </row>
    <row r="3" spans="1:10" x14ac:dyDescent="0.3">
      <c r="A3" s="36">
        <v>2</v>
      </c>
      <c r="B3" s="41" t="s">
        <v>225</v>
      </c>
      <c r="C3" s="40" t="s">
        <v>310</v>
      </c>
      <c r="D3" s="35" t="s">
        <v>226</v>
      </c>
      <c r="E3" s="35">
        <v>0</v>
      </c>
    </row>
    <row r="4" spans="1:10" ht="28.8" x14ac:dyDescent="0.3">
      <c r="A4" s="36">
        <v>3</v>
      </c>
      <c r="B4" s="41" t="s">
        <v>131</v>
      </c>
      <c r="C4" s="40" t="s">
        <v>311</v>
      </c>
      <c r="D4" s="35" t="s">
        <v>227</v>
      </c>
      <c r="E4" s="35">
        <v>5</v>
      </c>
    </row>
    <row r="5" spans="1:10" ht="28.8" x14ac:dyDescent="0.3">
      <c r="A5" s="36">
        <v>4</v>
      </c>
      <c r="B5" s="41" t="s">
        <v>169</v>
      </c>
      <c r="C5" s="40" t="s">
        <v>312</v>
      </c>
      <c r="D5" s="35" t="s">
        <v>228</v>
      </c>
      <c r="E5" s="35">
        <v>6</v>
      </c>
    </row>
    <row r="6" spans="1:10" x14ac:dyDescent="0.3">
      <c r="A6" s="36">
        <v>5</v>
      </c>
      <c r="B6" s="41" t="s">
        <v>229</v>
      </c>
      <c r="C6" s="40" t="s">
        <v>313</v>
      </c>
      <c r="D6" s="35" t="s">
        <v>230</v>
      </c>
      <c r="E6" s="35">
        <v>3</v>
      </c>
    </row>
    <row r="7" spans="1:10" ht="28.8" x14ac:dyDescent="0.3">
      <c r="A7" s="36">
        <v>6</v>
      </c>
      <c r="B7" s="41" t="s">
        <v>231</v>
      </c>
      <c r="C7" s="40" t="s">
        <v>314</v>
      </c>
      <c r="D7" s="35" t="s">
        <v>232</v>
      </c>
      <c r="E7" s="35">
        <v>7</v>
      </c>
    </row>
    <row r="8" spans="1:10" x14ac:dyDescent="0.3">
      <c r="A8" s="36">
        <v>7</v>
      </c>
      <c r="B8" s="41" t="s">
        <v>233</v>
      </c>
      <c r="C8" s="40" t="s">
        <v>315</v>
      </c>
      <c r="D8" s="35" t="s">
        <v>234</v>
      </c>
      <c r="E8" s="35">
        <v>3</v>
      </c>
    </row>
    <row r="9" spans="1:10" x14ac:dyDescent="0.3">
      <c r="A9" s="36">
        <v>8</v>
      </c>
      <c r="B9" s="41" t="s">
        <v>235</v>
      </c>
      <c r="C9" s="40" t="s">
        <v>316</v>
      </c>
      <c r="D9" s="35" t="s">
        <v>236</v>
      </c>
      <c r="E9" s="35">
        <v>3</v>
      </c>
    </row>
    <row r="10" spans="1:10" x14ac:dyDescent="0.3">
      <c r="A10" s="36">
        <v>9</v>
      </c>
      <c r="B10" s="41" t="s">
        <v>237</v>
      </c>
      <c r="C10" s="40" t="s">
        <v>317</v>
      </c>
      <c r="D10" s="35" t="s">
        <v>238</v>
      </c>
      <c r="E10" s="35">
        <v>2</v>
      </c>
      <c r="H10" s="39"/>
      <c r="I10" s="39"/>
      <c r="J10" s="39"/>
    </row>
    <row r="11" spans="1:10" ht="28.8" x14ac:dyDescent="0.3">
      <c r="A11" s="36">
        <v>10</v>
      </c>
      <c r="B11" s="41" t="s">
        <v>239</v>
      </c>
      <c r="C11" s="40" t="s">
        <v>318</v>
      </c>
      <c r="D11" s="35" t="s">
        <v>240</v>
      </c>
      <c r="E11" s="35">
        <v>5</v>
      </c>
    </row>
    <row r="12" spans="1:10" x14ac:dyDescent="0.3">
      <c r="A12" s="36">
        <v>11</v>
      </c>
      <c r="B12" s="41" t="s">
        <v>241</v>
      </c>
      <c r="C12" s="40" t="s">
        <v>319</v>
      </c>
      <c r="D12" s="35" t="s">
        <v>226</v>
      </c>
      <c r="E12" s="35">
        <v>0</v>
      </c>
    </row>
    <row r="13" spans="1:10" ht="28.8" x14ac:dyDescent="0.3">
      <c r="A13" s="36">
        <v>12</v>
      </c>
      <c r="B13" s="41" t="s">
        <v>242</v>
      </c>
      <c r="C13" s="40" t="s">
        <v>320</v>
      </c>
      <c r="D13" s="35" t="s">
        <v>243</v>
      </c>
      <c r="E13" s="35">
        <v>6</v>
      </c>
    </row>
    <row r="14" spans="1:10" ht="28.8" x14ac:dyDescent="0.3">
      <c r="A14" s="36">
        <v>13</v>
      </c>
      <c r="B14" s="41" t="s">
        <v>76</v>
      </c>
      <c r="C14" s="40" t="s">
        <v>321</v>
      </c>
      <c r="D14" s="35" t="s">
        <v>244</v>
      </c>
      <c r="E14" s="35">
        <v>6</v>
      </c>
    </row>
    <row r="15" spans="1:10" x14ac:dyDescent="0.3">
      <c r="A15" s="36">
        <v>14</v>
      </c>
      <c r="B15" s="41" t="s">
        <v>74</v>
      </c>
      <c r="C15" s="40" t="s">
        <v>322</v>
      </c>
      <c r="D15" s="35" t="s">
        <v>245</v>
      </c>
      <c r="E15" s="35">
        <v>4</v>
      </c>
    </row>
    <row r="16" spans="1:10" ht="41.4" customHeight="1" x14ac:dyDescent="0.3">
      <c r="A16" s="36">
        <v>15</v>
      </c>
      <c r="B16" s="41" t="s">
        <v>80</v>
      </c>
      <c r="C16" s="40" t="s">
        <v>323</v>
      </c>
      <c r="D16" s="35" t="s">
        <v>246</v>
      </c>
      <c r="E16" s="35">
        <v>6</v>
      </c>
    </row>
    <row r="17" spans="1:5" ht="29.4" customHeight="1" x14ac:dyDescent="0.3">
      <c r="A17" s="36">
        <v>16</v>
      </c>
      <c r="B17" s="41" t="s">
        <v>247</v>
      </c>
      <c r="C17" s="40" t="s">
        <v>324</v>
      </c>
      <c r="D17" s="35" t="s">
        <v>248</v>
      </c>
      <c r="E17" s="35">
        <v>4</v>
      </c>
    </row>
    <row r="18" spans="1:5" ht="28.8" x14ac:dyDescent="0.3">
      <c r="A18" s="36">
        <v>17</v>
      </c>
      <c r="B18" s="41" t="s">
        <v>249</v>
      </c>
      <c r="C18" s="40" t="s">
        <v>325</v>
      </c>
      <c r="D18" s="35" t="s">
        <v>250</v>
      </c>
      <c r="E18" s="35">
        <v>7</v>
      </c>
    </row>
    <row r="19" spans="1:5" x14ac:dyDescent="0.3">
      <c r="A19" s="36">
        <v>18</v>
      </c>
      <c r="B19" s="41" t="s">
        <v>251</v>
      </c>
      <c r="C19" s="40" t="s">
        <v>326</v>
      </c>
      <c r="D19" s="35" t="s">
        <v>252</v>
      </c>
      <c r="E19" s="35">
        <v>3</v>
      </c>
    </row>
    <row r="20" spans="1:5" x14ac:dyDescent="0.3">
      <c r="A20" s="36">
        <v>19</v>
      </c>
      <c r="B20" s="41" t="s">
        <v>253</v>
      </c>
      <c r="C20" s="40" t="s">
        <v>327</v>
      </c>
      <c r="D20" s="35" t="s">
        <v>254</v>
      </c>
      <c r="E20" s="35">
        <v>1</v>
      </c>
    </row>
    <row r="21" spans="1:5" ht="28.8" x14ac:dyDescent="0.3">
      <c r="A21" s="36">
        <v>20</v>
      </c>
      <c r="B21" s="41" t="s">
        <v>255</v>
      </c>
      <c r="C21" s="40" t="s">
        <v>328</v>
      </c>
      <c r="D21" s="35" t="s">
        <v>256</v>
      </c>
      <c r="E21" s="35">
        <v>4</v>
      </c>
    </row>
    <row r="22" spans="1:5" ht="28.8" x14ac:dyDescent="0.3">
      <c r="A22" s="36">
        <v>21</v>
      </c>
      <c r="B22" s="41" t="s">
        <v>257</v>
      </c>
      <c r="C22" s="40" t="s">
        <v>329</v>
      </c>
      <c r="D22" s="35" t="s">
        <v>258</v>
      </c>
      <c r="E22" s="35">
        <v>5</v>
      </c>
    </row>
    <row r="23" spans="1:5" ht="28.8" x14ac:dyDescent="0.3">
      <c r="A23" s="36">
        <v>22</v>
      </c>
      <c r="B23" s="41" t="s">
        <v>70</v>
      </c>
      <c r="C23" s="40" t="s">
        <v>330</v>
      </c>
      <c r="D23" s="35" t="s">
        <v>259</v>
      </c>
      <c r="E23" s="35">
        <v>5</v>
      </c>
    </row>
    <row r="24" spans="1:5" ht="28.8" x14ac:dyDescent="0.3">
      <c r="A24" s="36">
        <v>23</v>
      </c>
      <c r="B24" s="41" t="s">
        <v>260</v>
      </c>
      <c r="C24" s="40" t="s">
        <v>331</v>
      </c>
      <c r="D24" s="35" t="s">
        <v>261</v>
      </c>
      <c r="E24" s="35">
        <v>5</v>
      </c>
    </row>
    <row r="25" spans="1:5" ht="28.8" x14ac:dyDescent="0.3">
      <c r="A25" s="36">
        <v>24</v>
      </c>
      <c r="B25" s="41" t="s">
        <v>262</v>
      </c>
      <c r="C25" s="40" t="s">
        <v>332</v>
      </c>
      <c r="D25" s="35" t="s">
        <v>263</v>
      </c>
      <c r="E25" s="35">
        <v>4</v>
      </c>
    </row>
    <row r="26" spans="1:5" ht="28.8" x14ac:dyDescent="0.3">
      <c r="A26" s="36">
        <v>25</v>
      </c>
      <c r="B26" s="41" t="s">
        <v>264</v>
      </c>
      <c r="C26" s="40" t="s">
        <v>333</v>
      </c>
      <c r="D26" s="35" t="s">
        <v>265</v>
      </c>
      <c r="E26" s="35">
        <v>8</v>
      </c>
    </row>
    <row r="27" spans="1:5" ht="28.8" x14ac:dyDescent="0.3">
      <c r="A27" s="36">
        <v>26</v>
      </c>
      <c r="B27" s="41" t="s">
        <v>266</v>
      </c>
      <c r="C27" s="40" t="s">
        <v>334</v>
      </c>
      <c r="D27" s="35" t="s">
        <v>267</v>
      </c>
      <c r="E27" s="35">
        <v>4</v>
      </c>
    </row>
    <row r="28" spans="1:5" ht="28.8" x14ac:dyDescent="0.3">
      <c r="A28" s="36">
        <v>27</v>
      </c>
      <c r="B28" s="41" t="s">
        <v>268</v>
      </c>
      <c r="C28" s="40" t="s">
        <v>335</v>
      </c>
      <c r="D28" s="35" t="s">
        <v>269</v>
      </c>
      <c r="E28" s="35">
        <v>6</v>
      </c>
    </row>
    <row r="29" spans="1:5" x14ac:dyDescent="0.3">
      <c r="A29" s="36">
        <v>28</v>
      </c>
      <c r="B29" s="41" t="s">
        <v>270</v>
      </c>
      <c r="C29" s="40" t="s">
        <v>336</v>
      </c>
      <c r="D29" s="35" t="s">
        <v>271</v>
      </c>
      <c r="E29" s="35">
        <v>5</v>
      </c>
    </row>
    <row r="30" spans="1:5" ht="25.8" customHeight="1" x14ac:dyDescent="0.3">
      <c r="A30" s="36">
        <v>29</v>
      </c>
      <c r="B30" s="41" t="s">
        <v>254</v>
      </c>
      <c r="C30" s="40" t="s">
        <v>337</v>
      </c>
      <c r="D30" s="35" t="s">
        <v>272</v>
      </c>
      <c r="E30" s="35">
        <v>3</v>
      </c>
    </row>
    <row r="31" spans="1:5" ht="28.8" customHeight="1" x14ac:dyDescent="0.3">
      <c r="A31" s="36">
        <v>30</v>
      </c>
      <c r="B31" s="41" t="s">
        <v>273</v>
      </c>
      <c r="C31" s="40" t="s">
        <v>338</v>
      </c>
      <c r="D31" s="35" t="s">
        <v>274</v>
      </c>
      <c r="E31" s="35">
        <v>3</v>
      </c>
    </row>
    <row r="32" spans="1:5" ht="28.8" x14ac:dyDescent="0.3">
      <c r="A32" s="36">
        <v>31</v>
      </c>
      <c r="B32" s="41" t="s">
        <v>109</v>
      </c>
      <c r="C32" s="40" t="s">
        <v>339</v>
      </c>
      <c r="D32" s="35" t="s">
        <v>275</v>
      </c>
      <c r="E32" s="35">
        <v>5</v>
      </c>
    </row>
    <row r="33" spans="1:5" ht="43.2" x14ac:dyDescent="0.3">
      <c r="A33" s="36">
        <v>32</v>
      </c>
      <c r="B33" s="41" t="s">
        <v>68</v>
      </c>
      <c r="C33" s="40" t="s">
        <v>340</v>
      </c>
      <c r="D33" s="35" t="s">
        <v>276</v>
      </c>
      <c r="E33" s="35">
        <v>6</v>
      </c>
    </row>
    <row r="34" spans="1:5" ht="28.8" x14ac:dyDescent="0.3">
      <c r="A34" s="36">
        <v>33</v>
      </c>
      <c r="B34" s="41" t="s">
        <v>183</v>
      </c>
      <c r="C34" s="40" t="s">
        <v>341</v>
      </c>
      <c r="D34" s="35" t="s">
        <v>277</v>
      </c>
      <c r="E34" s="35">
        <v>4</v>
      </c>
    </row>
    <row r="35" spans="1:5" x14ac:dyDescent="0.3">
      <c r="A35" s="36">
        <v>34</v>
      </c>
      <c r="B35" s="41" t="s">
        <v>278</v>
      </c>
      <c r="C35" s="40" t="s">
        <v>342</v>
      </c>
      <c r="D35" s="35" t="s">
        <v>279</v>
      </c>
      <c r="E35" s="35">
        <v>3</v>
      </c>
    </row>
    <row r="36" spans="1:5" ht="28.8" x14ac:dyDescent="0.3">
      <c r="A36" s="36">
        <v>35</v>
      </c>
      <c r="B36" s="41" t="s">
        <v>56</v>
      </c>
      <c r="C36" s="40" t="s">
        <v>343</v>
      </c>
      <c r="D36" s="35" t="s">
        <v>280</v>
      </c>
      <c r="E36" s="35">
        <v>5</v>
      </c>
    </row>
    <row r="37" spans="1:5" ht="28.8" x14ac:dyDescent="0.3">
      <c r="A37" s="36">
        <v>36</v>
      </c>
      <c r="B37" s="41" t="s">
        <v>281</v>
      </c>
      <c r="C37" s="40" t="s">
        <v>344</v>
      </c>
      <c r="D37" s="35" t="s">
        <v>282</v>
      </c>
      <c r="E37" s="35">
        <v>6</v>
      </c>
    </row>
    <row r="38" spans="1:5" x14ac:dyDescent="0.3">
      <c r="A38" s="36">
        <v>37</v>
      </c>
      <c r="B38" s="41" t="s">
        <v>283</v>
      </c>
      <c r="C38" s="40" t="s">
        <v>345</v>
      </c>
      <c r="D38" s="35" t="s">
        <v>284</v>
      </c>
      <c r="E38" s="35">
        <v>4</v>
      </c>
    </row>
    <row r="39" spans="1:5" ht="28.8" x14ac:dyDescent="0.3">
      <c r="A39" s="36">
        <v>38</v>
      </c>
      <c r="B39" s="41" t="s">
        <v>285</v>
      </c>
      <c r="C39" s="40" t="s">
        <v>346</v>
      </c>
      <c r="D39" s="35" t="s">
        <v>286</v>
      </c>
      <c r="E39" s="35">
        <v>6</v>
      </c>
    </row>
    <row r="40" spans="1:5" ht="60" customHeight="1" x14ac:dyDescent="0.3">
      <c r="A40" s="36">
        <v>39</v>
      </c>
      <c r="B40" s="41" t="s">
        <v>287</v>
      </c>
      <c r="C40" s="40" t="s">
        <v>347</v>
      </c>
      <c r="D40" s="35" t="s">
        <v>288</v>
      </c>
      <c r="E40" s="35">
        <v>3</v>
      </c>
    </row>
    <row r="41" spans="1:5" ht="28.8" customHeight="1" x14ac:dyDescent="0.3">
      <c r="A41" s="36">
        <v>40</v>
      </c>
      <c r="B41" s="41" t="s">
        <v>289</v>
      </c>
      <c r="C41" s="40" t="s">
        <v>348</v>
      </c>
      <c r="D41" s="35" t="s">
        <v>290</v>
      </c>
      <c r="E41" s="35">
        <v>2</v>
      </c>
    </row>
    <row r="42" spans="1:5" ht="28.8" x14ac:dyDescent="0.3">
      <c r="A42" s="36">
        <v>41</v>
      </c>
      <c r="B42" s="41" t="s">
        <v>291</v>
      </c>
      <c r="C42" s="40" t="s">
        <v>349</v>
      </c>
      <c r="D42" s="35" t="s">
        <v>292</v>
      </c>
      <c r="E42" s="35">
        <v>6</v>
      </c>
    </row>
    <row r="43" spans="1:5" ht="62.4" customHeight="1" x14ac:dyDescent="0.3">
      <c r="A43" s="36">
        <v>42</v>
      </c>
      <c r="B43" s="41" t="s">
        <v>293</v>
      </c>
      <c r="C43" s="40" t="s">
        <v>350</v>
      </c>
      <c r="D43" s="35" t="s">
        <v>294</v>
      </c>
      <c r="E43" s="35">
        <v>8</v>
      </c>
    </row>
    <row r="44" spans="1:5" ht="28.8" x14ac:dyDescent="0.3">
      <c r="A44" s="36">
        <v>43</v>
      </c>
      <c r="B44" s="41" t="s">
        <v>86</v>
      </c>
      <c r="C44" s="40" t="s">
        <v>351</v>
      </c>
      <c r="D44" s="35" t="s">
        <v>295</v>
      </c>
      <c r="E44" s="35">
        <v>4</v>
      </c>
    </row>
    <row r="45" spans="1:5" ht="28.8" x14ac:dyDescent="0.3">
      <c r="A45" s="36">
        <v>44</v>
      </c>
      <c r="B45" s="41" t="s">
        <v>90</v>
      </c>
      <c r="C45" s="40" t="s">
        <v>352</v>
      </c>
      <c r="D45" s="35" t="s">
        <v>296</v>
      </c>
      <c r="E45" s="35">
        <v>6</v>
      </c>
    </row>
    <row r="46" spans="1:5" ht="28.8" x14ac:dyDescent="0.3">
      <c r="A46" s="36">
        <v>45</v>
      </c>
      <c r="B46" s="41" t="s">
        <v>297</v>
      </c>
      <c r="C46" s="40" t="s">
        <v>353</v>
      </c>
      <c r="D46" s="35" t="s">
        <v>298</v>
      </c>
      <c r="E46" s="35">
        <v>3</v>
      </c>
    </row>
    <row r="47" spans="1:5" ht="28.8" x14ac:dyDescent="0.3">
      <c r="A47" s="36">
        <v>46</v>
      </c>
      <c r="B47" s="41" t="s">
        <v>299</v>
      </c>
      <c r="C47" s="40" t="s">
        <v>354</v>
      </c>
      <c r="D47" s="35" t="s">
        <v>300</v>
      </c>
      <c r="E47" s="35">
        <v>5</v>
      </c>
    </row>
    <row r="48" spans="1:5" x14ac:dyDescent="0.3">
      <c r="A48" s="36">
        <v>47</v>
      </c>
      <c r="B48" s="41" t="s">
        <v>301</v>
      </c>
      <c r="C48" s="40" t="s">
        <v>355</v>
      </c>
      <c r="D48" s="35" t="s">
        <v>302</v>
      </c>
      <c r="E48" s="35">
        <v>2</v>
      </c>
    </row>
    <row r="49" spans="1:5" ht="28.8" x14ac:dyDescent="0.3">
      <c r="A49" s="36">
        <v>48</v>
      </c>
      <c r="B49" s="41" t="s">
        <v>303</v>
      </c>
      <c r="C49" s="40" t="s">
        <v>356</v>
      </c>
      <c r="D49" s="35" t="s">
        <v>304</v>
      </c>
      <c r="E49" s="35">
        <v>5</v>
      </c>
    </row>
    <row r="50" spans="1:5" x14ac:dyDescent="0.3">
      <c r="A50" s="36">
        <v>49</v>
      </c>
      <c r="B50" s="41" t="s">
        <v>305</v>
      </c>
      <c r="C50" s="40" t="s">
        <v>357</v>
      </c>
      <c r="D50" s="35" t="s">
        <v>306</v>
      </c>
      <c r="E50" s="35">
        <v>4</v>
      </c>
    </row>
    <row r="51" spans="1:5" ht="28.8" x14ac:dyDescent="0.3">
      <c r="A51" s="36">
        <v>50</v>
      </c>
      <c r="B51" s="41" t="s">
        <v>307</v>
      </c>
      <c r="C51" s="40" t="s">
        <v>358</v>
      </c>
      <c r="D51" s="35" t="s">
        <v>308</v>
      </c>
      <c r="E51" s="35">
        <v>6</v>
      </c>
    </row>
    <row r="56" spans="1:5" ht="17.399999999999999" x14ac:dyDescent="0.3">
      <c r="A56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810F-D31B-4600-97F6-2276CA570BE3}">
  <dimension ref="A1:Q35"/>
  <sheetViews>
    <sheetView workbookViewId="0">
      <selection activeCell="Q10" sqref="Q10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s="30" t="s">
        <v>49</v>
      </c>
    </row>
    <row r="4" spans="1:1" x14ac:dyDescent="0.3">
      <c r="A4" s="29" t="s">
        <v>47</v>
      </c>
    </row>
    <row r="5" spans="1:1" x14ac:dyDescent="0.3">
      <c r="A5" t="s">
        <v>48</v>
      </c>
    </row>
    <row r="35" spans="13:17" x14ac:dyDescent="0.3">
      <c r="M35" t="s">
        <v>50</v>
      </c>
      <c r="O35" t="s">
        <v>51</v>
      </c>
      <c r="Q35" s="28" t="s">
        <v>52</v>
      </c>
    </row>
  </sheetData>
  <hyperlinks>
    <hyperlink ref="Q35" r:id="rId1" display="https://web.engr.oregonstate.edu/~webbky/ESE470_files/Section 4 Transmission Lines.pdf" xr:uid="{A0554B2B-A454-43B6-BF7E-B5447737D43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TL_Geometry</vt:lpstr>
      <vt:lpstr>Neighboring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Sebastian de Jesus</dc:creator>
  <cp:lastModifiedBy>Machado, Sebastian de Jesus</cp:lastModifiedBy>
  <cp:lastPrinted>2024-08-21T17:08:44Z</cp:lastPrinted>
  <dcterms:created xsi:type="dcterms:W3CDTF">2024-08-12T13:58:26Z</dcterms:created>
  <dcterms:modified xsi:type="dcterms:W3CDTF">2024-09-05T23:41:39Z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2024-08-12T14:12:11Z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dc3b1c0b-492c-41c9-8e57-728dd5a12494</vt:lpwstr>
  </property>
  <property fmtid="{D5CDD505-2E9C-101B-9397-08002B2CF9AE}" pid="8" name="MSIP_Label_95965d95-ecc0-4720-b759-1f33c42ed7da_ContentBits">
    <vt:lpwstr>0</vt:lpwstr>
  </property>
</Properties>
</file>