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smachado\Documents\Coding\julia_start\julia_start\src\data\"/>
    </mc:Choice>
  </mc:AlternateContent>
  <xr:revisionPtr revIDLastSave="0" documentId="13_ncr:1_{75369E05-219A-4668-9DB0-7F6FCDF00DDC}" xr6:coauthVersionLast="47" xr6:coauthVersionMax="47" xr10:uidLastSave="{00000000-0000-0000-0000-000000000000}"/>
  <bookViews>
    <workbookView xWindow="-28920" yWindow="-2850" windowWidth="29040" windowHeight="15720" xr2:uid="{00000000-000D-0000-FFFF-FFFF00000000}"/>
  </bookViews>
  <sheets>
    <sheet name="TL_Geometry" sheetId="1" r:id="rId1"/>
    <sheet name="TL_data_set" sheetId="2" r:id="rId2"/>
    <sheet name="Neighboring" sheetId="3" r:id="rId3"/>
    <sheet name="Sheet1" sheetId="4" r:id="rId4"/>
    <sheet name="Sources" sheetId="5" r:id="rId5"/>
    <sheet name="TL_Geometry (2)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4" i="6" l="1"/>
  <c r="Z64" i="6"/>
  <c r="Y64" i="6"/>
  <c r="U64" i="6"/>
  <c r="T64" i="6"/>
  <c r="S64" i="6"/>
  <c r="R64" i="6"/>
  <c r="Q64" i="6"/>
  <c r="P64" i="6"/>
  <c r="O64" i="6"/>
  <c r="K64" i="6"/>
  <c r="X64" i="6" s="1"/>
  <c r="AA63" i="6"/>
  <c r="Z63" i="6"/>
  <c r="Y63" i="6"/>
  <c r="X63" i="6"/>
  <c r="U63" i="6"/>
  <c r="T63" i="6"/>
  <c r="S63" i="6"/>
  <c r="R63" i="6"/>
  <c r="Q63" i="6"/>
  <c r="P63" i="6"/>
  <c r="O63" i="6"/>
  <c r="K63" i="6"/>
  <c r="V63" i="6" s="1"/>
  <c r="AA62" i="6"/>
  <c r="Z62" i="6"/>
  <c r="Y62" i="6"/>
  <c r="U62" i="6"/>
  <c r="T62" i="6"/>
  <c r="S62" i="6"/>
  <c r="R62" i="6"/>
  <c r="Q62" i="6"/>
  <c r="P62" i="6"/>
  <c r="O62" i="6"/>
  <c r="K62" i="6"/>
  <c r="AC62" i="6" s="1"/>
  <c r="L62" i="6" s="1"/>
  <c r="AG61" i="6"/>
  <c r="N61" i="6" s="1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K61" i="6"/>
  <c r="AE61" i="6" s="1"/>
  <c r="M61" i="6" s="1"/>
  <c r="AC60" i="6"/>
  <c r="L60" i="6" s="1"/>
  <c r="AA60" i="6"/>
  <c r="Z60" i="6"/>
  <c r="Y60" i="6"/>
  <c r="X60" i="6"/>
  <c r="W60" i="6"/>
  <c r="U60" i="6"/>
  <c r="T60" i="6"/>
  <c r="S60" i="6"/>
  <c r="R60" i="6"/>
  <c r="Q60" i="6"/>
  <c r="P60" i="6"/>
  <c r="O60" i="6"/>
  <c r="M60" i="6"/>
  <c r="K60" i="6"/>
  <c r="N60" i="6" s="1"/>
  <c r="AP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K59" i="6"/>
  <c r="AE59" i="6" s="1"/>
  <c r="M59" i="6" s="1"/>
  <c r="AP58" i="6"/>
  <c r="AA58" i="6"/>
  <c r="Z58" i="6"/>
  <c r="Y58" i="6"/>
  <c r="U58" i="6"/>
  <c r="T58" i="6"/>
  <c r="S58" i="6"/>
  <c r="R58" i="6"/>
  <c r="Q58" i="6"/>
  <c r="P58" i="6"/>
  <c r="O58" i="6"/>
  <c r="K58" i="6"/>
  <c r="M58" i="6" s="1"/>
  <c r="AP57" i="6"/>
  <c r="R57" i="6" s="1"/>
  <c r="AA57" i="6"/>
  <c r="Z57" i="6"/>
  <c r="Y57" i="6"/>
  <c r="U57" i="6"/>
  <c r="T57" i="6"/>
  <c r="S57" i="6"/>
  <c r="Q57" i="6"/>
  <c r="P57" i="6"/>
  <c r="O57" i="6"/>
  <c r="K57" i="6"/>
  <c r="AG57" i="6" s="1"/>
  <c r="N57" i="6" s="1"/>
  <c r="AT56" i="6"/>
  <c r="T56" i="6" s="1"/>
  <c r="AP56" i="6"/>
  <c r="R56" i="6" s="1"/>
  <c r="AA56" i="6"/>
  <c r="Z56" i="6"/>
  <c r="Y56" i="6"/>
  <c r="U56" i="6"/>
  <c r="S56" i="6"/>
  <c r="Q56" i="6"/>
  <c r="P56" i="6"/>
  <c r="O56" i="6"/>
  <c r="K56" i="6"/>
  <c r="AG56" i="6" s="1"/>
  <c r="N56" i="6" s="1"/>
  <c r="AT55" i="6"/>
  <c r="T55" i="6" s="1"/>
  <c r="AP55" i="6"/>
  <c r="R55" i="6" s="1"/>
  <c r="AA55" i="6"/>
  <c r="Z55" i="6"/>
  <c r="Y55" i="6"/>
  <c r="U55" i="6"/>
  <c r="S55" i="6"/>
  <c r="Q55" i="6"/>
  <c r="P55" i="6"/>
  <c r="O55" i="6"/>
  <c r="K55" i="6"/>
  <c r="AG55" i="6" s="1"/>
  <c r="N55" i="6" s="1"/>
  <c r="AT54" i="6"/>
  <c r="T54" i="6" s="1"/>
  <c r="AP54" i="6"/>
  <c r="R54" i="6" s="1"/>
  <c r="AA54" i="6"/>
  <c r="Z54" i="6"/>
  <c r="Y54" i="6"/>
  <c r="U54" i="6"/>
  <c r="S54" i="6"/>
  <c r="Q54" i="6"/>
  <c r="P54" i="6"/>
  <c r="O54" i="6"/>
  <c r="K54" i="6"/>
  <c r="AG54" i="6" s="1"/>
  <c r="N54" i="6" s="1"/>
  <c r="AT53" i="6"/>
  <c r="T53" i="6" s="1"/>
  <c r="AP53" i="6"/>
  <c r="R53" i="6" s="1"/>
  <c r="AK53" i="6"/>
  <c r="P53" i="6" s="1"/>
  <c r="AA53" i="6"/>
  <c r="Z53" i="6"/>
  <c r="Y53" i="6"/>
  <c r="U53" i="6"/>
  <c r="S53" i="6"/>
  <c r="Q53" i="6"/>
  <c r="O53" i="6"/>
  <c r="K53" i="6"/>
  <c r="AY53" i="6" s="1"/>
  <c r="V53" i="6" s="1"/>
  <c r="AT52" i="6"/>
  <c r="AP52" i="6"/>
  <c r="AA52" i="6"/>
  <c r="Z52" i="6"/>
  <c r="Y52" i="6"/>
  <c r="U52" i="6"/>
  <c r="T52" i="6"/>
  <c r="S52" i="6"/>
  <c r="R52" i="6"/>
  <c r="Q52" i="6"/>
  <c r="P52" i="6"/>
  <c r="O52" i="6"/>
  <c r="K52" i="6"/>
  <c r="N52" i="6" s="1"/>
  <c r="AG51" i="6"/>
  <c r="AF51" i="6"/>
  <c r="AE51" i="6"/>
  <c r="AC51" i="6"/>
  <c r="AA51" i="6"/>
  <c r="Z51" i="6"/>
  <c r="Y51" i="6"/>
  <c r="U51" i="6"/>
  <c r="T51" i="6"/>
  <c r="S51" i="6"/>
  <c r="R51" i="6"/>
  <c r="Q51" i="6"/>
  <c r="P51" i="6"/>
  <c r="O51" i="6"/>
  <c r="K51" i="6"/>
  <c r="V51" i="6" s="1"/>
  <c r="AP50" i="6"/>
  <c r="R50" i="6" s="1"/>
  <c r="AG50" i="6"/>
  <c r="AE50" i="6"/>
  <c r="AA50" i="6"/>
  <c r="Z50" i="6"/>
  <c r="Y50" i="6"/>
  <c r="U50" i="6"/>
  <c r="T50" i="6"/>
  <c r="S50" i="6"/>
  <c r="Q50" i="6"/>
  <c r="P50" i="6"/>
  <c r="O50" i="6"/>
  <c r="K50" i="6"/>
  <c r="V50" i="6" s="1"/>
  <c r="AP49" i="6"/>
  <c r="R49" i="6" s="1"/>
  <c r="AA49" i="6"/>
  <c r="Z49" i="6"/>
  <c r="Y49" i="6"/>
  <c r="U49" i="6"/>
  <c r="T49" i="6"/>
  <c r="S49" i="6"/>
  <c r="Q49" i="6"/>
  <c r="P49" i="6"/>
  <c r="O49" i="6"/>
  <c r="K49" i="6"/>
  <c r="X49" i="6" s="1"/>
  <c r="BI48" i="6"/>
  <c r="AA48" i="6" s="1"/>
  <c r="AY48" i="6"/>
  <c r="AP48" i="6"/>
  <c r="R48" i="6" s="1"/>
  <c r="AK48" i="6"/>
  <c r="P48" i="6" s="1"/>
  <c r="AC48" i="6"/>
  <c r="Z48" i="6"/>
  <c r="Y48" i="6"/>
  <c r="U48" i="6"/>
  <c r="T48" i="6"/>
  <c r="S48" i="6"/>
  <c r="Q48" i="6"/>
  <c r="O48" i="6"/>
  <c r="K48" i="6"/>
  <c r="X48" i="6" s="1"/>
  <c r="BI47" i="6"/>
  <c r="AY47" i="6"/>
  <c r="V47" i="6" s="1"/>
  <c r="AP47" i="6"/>
  <c r="R47" i="6" s="1"/>
  <c r="AK47" i="6"/>
  <c r="P47" i="6" s="1"/>
  <c r="AC47" i="6"/>
  <c r="L47" i="6" s="1"/>
  <c r="AA47" i="6"/>
  <c r="Z47" i="6"/>
  <c r="Y47" i="6"/>
  <c r="U47" i="6"/>
  <c r="T47" i="6"/>
  <c r="S47" i="6"/>
  <c r="Q47" i="6"/>
  <c r="O47" i="6"/>
  <c r="K47" i="6"/>
  <c r="X47" i="6" s="1"/>
  <c r="BA46" i="6"/>
  <c r="AY46" i="6"/>
  <c r="AP46" i="6"/>
  <c r="R46" i="6" s="1"/>
  <c r="AG46" i="6"/>
  <c r="N46" i="6" s="1"/>
  <c r="AE46" i="6"/>
  <c r="M46" i="6" s="1"/>
  <c r="AA46" i="6"/>
  <c r="Z46" i="6"/>
  <c r="Y46" i="6"/>
  <c r="U46" i="6"/>
  <c r="T46" i="6"/>
  <c r="S46" i="6"/>
  <c r="Q46" i="6"/>
  <c r="P46" i="6"/>
  <c r="O46" i="6"/>
  <c r="K46" i="6"/>
  <c r="X46" i="6" s="1"/>
  <c r="AP45" i="6"/>
  <c r="R45" i="6" s="1"/>
  <c r="AA45" i="6"/>
  <c r="Z45" i="6"/>
  <c r="Y45" i="6"/>
  <c r="X45" i="6"/>
  <c r="W45" i="6"/>
  <c r="U45" i="6"/>
  <c r="T45" i="6"/>
  <c r="S45" i="6"/>
  <c r="Q45" i="6"/>
  <c r="P45" i="6"/>
  <c r="O45" i="6"/>
  <c r="K45" i="6"/>
  <c r="L45" i="6" s="1"/>
  <c r="AP44" i="6"/>
  <c r="R44" i="6" s="1"/>
  <c r="AA44" i="6"/>
  <c r="Z44" i="6"/>
  <c r="Y44" i="6"/>
  <c r="X44" i="6"/>
  <c r="W44" i="6"/>
  <c r="V44" i="6"/>
  <c r="U44" i="6"/>
  <c r="T44" i="6"/>
  <c r="S44" i="6"/>
  <c r="Q44" i="6"/>
  <c r="P44" i="6"/>
  <c r="O44" i="6"/>
  <c r="K44" i="6"/>
  <c r="M44" i="6" s="1"/>
  <c r="AP43" i="6"/>
  <c r="AA43" i="6"/>
  <c r="Z43" i="6"/>
  <c r="Y43" i="6"/>
  <c r="X43" i="6"/>
  <c r="W43" i="6"/>
  <c r="U43" i="6"/>
  <c r="T43" i="6"/>
  <c r="S43" i="6"/>
  <c r="R43" i="6"/>
  <c r="Q43" i="6"/>
  <c r="P43" i="6"/>
  <c r="O43" i="6"/>
  <c r="K43" i="6"/>
  <c r="L43" i="6" s="1"/>
  <c r="AP42" i="6"/>
  <c r="R42" i="6" s="1"/>
  <c r="AA42" i="6"/>
  <c r="Z42" i="6"/>
  <c r="Y42" i="6"/>
  <c r="U42" i="6"/>
  <c r="T42" i="6"/>
  <c r="S42" i="6"/>
  <c r="Q42" i="6"/>
  <c r="P42" i="6"/>
  <c r="O42" i="6"/>
  <c r="K42" i="6"/>
  <c r="V42" i="6" s="1"/>
  <c r="AP41" i="6"/>
  <c r="R41" i="6" s="1"/>
  <c r="AA41" i="6"/>
  <c r="Z41" i="6"/>
  <c r="Y41" i="6"/>
  <c r="U41" i="6"/>
  <c r="T41" i="6"/>
  <c r="S41" i="6"/>
  <c r="Q41" i="6"/>
  <c r="P41" i="6"/>
  <c r="O41" i="6"/>
  <c r="K41" i="6"/>
  <c r="X41" i="6" s="1"/>
  <c r="AP40" i="6"/>
  <c r="R40" i="6" s="1"/>
  <c r="AA40" i="6"/>
  <c r="Z40" i="6"/>
  <c r="Y40" i="6"/>
  <c r="U40" i="6"/>
  <c r="T40" i="6"/>
  <c r="S40" i="6"/>
  <c r="Q40" i="6"/>
  <c r="P40" i="6"/>
  <c r="O40" i="6"/>
  <c r="K40" i="6"/>
  <c r="W40" i="6" s="1"/>
  <c r="AP39" i="6"/>
  <c r="R39" i="6" s="1"/>
  <c r="AA39" i="6"/>
  <c r="Z39" i="6"/>
  <c r="Y39" i="6"/>
  <c r="X39" i="6"/>
  <c r="W39" i="6"/>
  <c r="V39" i="6"/>
  <c r="U39" i="6"/>
  <c r="T39" i="6"/>
  <c r="S39" i="6"/>
  <c r="Q39" i="6"/>
  <c r="P39" i="6"/>
  <c r="O39" i="6"/>
  <c r="K39" i="6"/>
  <c r="N39" i="6" s="1"/>
  <c r="AC38" i="6"/>
  <c r="AA38" i="6"/>
  <c r="Z38" i="6"/>
  <c r="Y38" i="6"/>
  <c r="U38" i="6"/>
  <c r="T38" i="6"/>
  <c r="S38" i="6"/>
  <c r="R38" i="6"/>
  <c r="Q38" i="6"/>
  <c r="P38" i="6"/>
  <c r="O38" i="6"/>
  <c r="K38" i="6"/>
  <c r="M38" i="6" s="1"/>
  <c r="AP37" i="6"/>
  <c r="R37" i="6" s="1"/>
  <c r="AC37" i="6"/>
  <c r="AA37" i="6"/>
  <c r="Z37" i="6"/>
  <c r="Y37" i="6"/>
  <c r="X37" i="6"/>
  <c r="W37" i="6"/>
  <c r="V37" i="6"/>
  <c r="U37" i="6"/>
  <c r="T37" i="6"/>
  <c r="S37" i="6"/>
  <c r="Q37" i="6"/>
  <c r="P37" i="6"/>
  <c r="O37" i="6"/>
  <c r="N37" i="6"/>
  <c r="K37" i="6"/>
  <c r="M37" i="6" s="1"/>
  <c r="AQ36" i="6"/>
  <c r="AP36" i="6"/>
  <c r="AC36" i="6"/>
  <c r="AA36" i="6"/>
  <c r="Z36" i="6"/>
  <c r="Y36" i="6"/>
  <c r="U36" i="6"/>
  <c r="T36" i="6"/>
  <c r="S36" i="6"/>
  <c r="R36" i="6"/>
  <c r="Q36" i="6"/>
  <c r="P36" i="6"/>
  <c r="O36" i="6"/>
  <c r="N36" i="6"/>
  <c r="M36" i="6"/>
  <c r="L36" i="6"/>
  <c r="K36" i="6"/>
  <c r="X36" i="6" s="1"/>
  <c r="AP35" i="6"/>
  <c r="R35" i="6" s="1"/>
  <c r="AC35" i="6"/>
  <c r="AA35" i="6"/>
  <c r="Z35" i="6"/>
  <c r="Y35" i="6"/>
  <c r="U35" i="6"/>
  <c r="T35" i="6"/>
  <c r="S35" i="6"/>
  <c r="Q35" i="6"/>
  <c r="P35" i="6"/>
  <c r="O35" i="6"/>
  <c r="K35" i="6"/>
  <c r="W35" i="6" s="1"/>
  <c r="AP34" i="6"/>
  <c r="R34" i="6" s="1"/>
  <c r="AC34" i="6"/>
  <c r="L34" i="6" s="1"/>
  <c r="AA34" i="6"/>
  <c r="Z34" i="6"/>
  <c r="Y34" i="6"/>
  <c r="U34" i="6"/>
  <c r="T34" i="6"/>
  <c r="S34" i="6"/>
  <c r="Q34" i="6"/>
  <c r="P34" i="6"/>
  <c r="O34" i="6"/>
  <c r="K34" i="6"/>
  <c r="X34" i="6" s="1"/>
  <c r="AU33" i="6"/>
  <c r="AT33" i="6"/>
  <c r="T33" i="6" s="1"/>
  <c r="AQ33" i="6"/>
  <c r="AP33" i="6"/>
  <c r="R33" i="6" s="1"/>
  <c r="AD33" i="6"/>
  <c r="L33" i="6" s="1"/>
  <c r="AC33" i="6"/>
  <c r="AA33" i="6"/>
  <c r="Z33" i="6"/>
  <c r="Y33" i="6"/>
  <c r="U33" i="6"/>
  <c r="S33" i="6"/>
  <c r="Q33" i="6"/>
  <c r="P33" i="6"/>
  <c r="O33" i="6"/>
  <c r="K33" i="6"/>
  <c r="M33" i="6" s="1"/>
  <c r="BI32" i="6"/>
  <c r="AA32" i="6" s="1"/>
  <c r="BC32" i="6"/>
  <c r="X32" i="6" s="1"/>
  <c r="BA32" i="6"/>
  <c r="W32" i="6" s="1"/>
  <c r="AT32" i="6"/>
  <c r="AP32" i="6"/>
  <c r="R32" i="6" s="1"/>
  <c r="AK32" i="6"/>
  <c r="P32" i="6" s="1"/>
  <c r="Z32" i="6"/>
  <c r="Y32" i="6"/>
  <c r="U32" i="6"/>
  <c r="T32" i="6"/>
  <c r="S32" i="6"/>
  <c r="Q32" i="6"/>
  <c r="O32" i="6"/>
  <c r="K32" i="6"/>
  <c r="AG32" i="6" s="1"/>
  <c r="N32" i="6" s="1"/>
  <c r="AP31" i="6"/>
  <c r="AA31" i="6"/>
  <c r="Z31" i="6"/>
  <c r="Y31" i="6"/>
  <c r="U31" i="6"/>
  <c r="T31" i="6"/>
  <c r="S31" i="6"/>
  <c r="R31" i="6"/>
  <c r="Q31" i="6"/>
  <c r="P31" i="6"/>
  <c r="O31" i="6"/>
  <c r="K31" i="6"/>
  <c r="W31" i="6" s="1"/>
  <c r="AT30" i="6"/>
  <c r="T30" i="6" s="1"/>
  <c r="AP30" i="6"/>
  <c r="R30" i="6" s="1"/>
  <c r="AA30" i="6"/>
  <c r="Z30" i="6"/>
  <c r="Y30" i="6"/>
  <c r="U30" i="6"/>
  <c r="S30" i="6"/>
  <c r="Q30" i="6"/>
  <c r="P30" i="6"/>
  <c r="O30" i="6"/>
  <c r="K30" i="6"/>
  <c r="X30" i="6" s="1"/>
  <c r="AT29" i="6"/>
  <c r="T29" i="6" s="1"/>
  <c r="AP29" i="6"/>
  <c r="R29" i="6" s="1"/>
  <c r="AA29" i="6"/>
  <c r="Z29" i="6"/>
  <c r="Y29" i="6"/>
  <c r="X29" i="6"/>
  <c r="U29" i="6"/>
  <c r="S29" i="6"/>
  <c r="Q29" i="6"/>
  <c r="P29" i="6"/>
  <c r="O29" i="6"/>
  <c r="K29" i="6"/>
  <c r="W29" i="6" s="1"/>
  <c r="AQ28" i="6"/>
  <c r="AP28" i="6"/>
  <c r="R28" i="6" s="1"/>
  <c r="AI28" i="6"/>
  <c r="O28" i="6" s="1"/>
  <c r="AF28" i="6"/>
  <c r="AE28" i="6"/>
  <c r="AA28" i="6"/>
  <c r="Z28" i="6"/>
  <c r="Y28" i="6"/>
  <c r="X28" i="6"/>
  <c r="U28" i="6"/>
  <c r="T28" i="6"/>
  <c r="S28" i="6"/>
  <c r="Q28" i="6"/>
  <c r="P28" i="6"/>
  <c r="K28" i="6"/>
  <c r="W28" i="6" s="1"/>
  <c r="AQ27" i="6"/>
  <c r="AP27" i="6"/>
  <c r="R27" i="6" s="1"/>
  <c r="AJ27" i="6"/>
  <c r="AI27" i="6"/>
  <c r="O27" i="6" s="1"/>
  <c r="AF27" i="6"/>
  <c r="AE27" i="6"/>
  <c r="M27" i="6" s="1"/>
  <c r="AA27" i="6"/>
  <c r="Z27" i="6"/>
  <c r="Y27" i="6"/>
  <c r="U27" i="6"/>
  <c r="T27" i="6"/>
  <c r="S27" i="6"/>
  <c r="Q27" i="6"/>
  <c r="P27" i="6"/>
  <c r="K27" i="6"/>
  <c r="X27" i="6" s="1"/>
  <c r="AP26" i="6"/>
  <c r="R26" i="6" s="1"/>
  <c r="AA26" i="6"/>
  <c r="Z26" i="6"/>
  <c r="Y26" i="6"/>
  <c r="X26" i="6"/>
  <c r="U26" i="6"/>
  <c r="T26" i="6"/>
  <c r="S26" i="6"/>
  <c r="Q26" i="6"/>
  <c r="P26" i="6"/>
  <c r="O26" i="6"/>
  <c r="K26" i="6"/>
  <c r="M26" i="6" s="1"/>
  <c r="AQ25" i="6"/>
  <c r="AP25" i="6"/>
  <c r="AA25" i="6"/>
  <c r="Z25" i="6"/>
  <c r="Y25" i="6"/>
  <c r="U25" i="6"/>
  <c r="T25" i="6"/>
  <c r="S25" i="6"/>
  <c r="R25" i="6"/>
  <c r="Q25" i="6"/>
  <c r="P25" i="6"/>
  <c r="O25" i="6"/>
  <c r="K25" i="6"/>
  <c r="N25" i="6" s="1"/>
  <c r="AA24" i="6"/>
  <c r="Z24" i="6"/>
  <c r="Y24" i="6"/>
  <c r="U24" i="6"/>
  <c r="T24" i="6"/>
  <c r="S24" i="6"/>
  <c r="R24" i="6"/>
  <c r="Q24" i="6"/>
  <c r="P24" i="6"/>
  <c r="O24" i="6"/>
  <c r="K24" i="6"/>
  <c r="L24" i="6" s="1"/>
  <c r="AS23" i="6"/>
  <c r="AR23" i="6"/>
  <c r="S23" i="6" s="1"/>
  <c r="AP23" i="6"/>
  <c r="R23" i="6" s="1"/>
  <c r="AI23" i="6"/>
  <c r="O23" i="6" s="1"/>
  <c r="AA23" i="6"/>
  <c r="Z23" i="6"/>
  <c r="Y23" i="6"/>
  <c r="W23" i="6"/>
  <c r="U23" i="6"/>
  <c r="T23" i="6"/>
  <c r="Q23" i="6"/>
  <c r="P23" i="6"/>
  <c r="K23" i="6"/>
  <c r="N23" i="6" s="1"/>
  <c r="BI22" i="6"/>
  <c r="AA22" i="6" s="1"/>
  <c r="BG22" i="6"/>
  <c r="Z22" i="6" s="1"/>
  <c r="AY22" i="6"/>
  <c r="V22" i="6" s="1"/>
  <c r="AK22" i="6"/>
  <c r="P22" i="6" s="1"/>
  <c r="AC22" i="6"/>
  <c r="L22" i="6" s="1"/>
  <c r="Y22" i="6"/>
  <c r="X22" i="6"/>
  <c r="W22" i="6"/>
  <c r="U22" i="6"/>
  <c r="T22" i="6"/>
  <c r="S22" i="6"/>
  <c r="R22" i="6"/>
  <c r="Q22" i="6"/>
  <c r="O22" i="6"/>
  <c r="N22" i="6"/>
  <c r="K22" i="6"/>
  <c r="M22" i="6" s="1"/>
  <c r="BI21" i="6"/>
  <c r="AA21" i="6" s="1"/>
  <c r="AY21" i="6"/>
  <c r="AP21" i="6"/>
  <c r="R21" i="6" s="1"/>
  <c r="AK21" i="6"/>
  <c r="P21" i="6" s="1"/>
  <c r="AC21" i="6"/>
  <c r="L21" i="6" s="1"/>
  <c r="Z21" i="6"/>
  <c r="Y21" i="6"/>
  <c r="X21" i="6"/>
  <c r="W21" i="6"/>
  <c r="V21" i="6"/>
  <c r="U21" i="6"/>
  <c r="T21" i="6"/>
  <c r="S21" i="6"/>
  <c r="Q21" i="6"/>
  <c r="O21" i="6"/>
  <c r="N21" i="6"/>
  <c r="M21" i="6"/>
  <c r="K21" i="6"/>
  <c r="BA20" i="6"/>
  <c r="AZ20" i="6"/>
  <c r="AY20" i="6"/>
  <c r="V20" i="6" s="1"/>
  <c r="AQ20" i="6"/>
  <c r="AP20" i="6"/>
  <c r="AH20" i="6"/>
  <c r="AG20" i="6"/>
  <c r="N20" i="6" s="1"/>
  <c r="AE20" i="6"/>
  <c r="M20" i="6" s="1"/>
  <c r="AA20" i="6"/>
  <c r="Z20" i="6"/>
  <c r="Y20" i="6"/>
  <c r="X20" i="6"/>
  <c r="W20" i="6"/>
  <c r="U20" i="6"/>
  <c r="T20" i="6"/>
  <c r="S20" i="6"/>
  <c r="R20" i="6"/>
  <c r="Q20" i="6"/>
  <c r="P20" i="6"/>
  <c r="O20" i="6"/>
  <c r="K20" i="6"/>
  <c r="L20" i="6" s="1"/>
  <c r="AC19" i="6"/>
  <c r="L19" i="6" s="1"/>
  <c r="AA19" i="6"/>
  <c r="Z19" i="6"/>
  <c r="Y19" i="6"/>
  <c r="U19" i="6"/>
  <c r="T19" i="6"/>
  <c r="S19" i="6"/>
  <c r="R19" i="6"/>
  <c r="Q19" i="6"/>
  <c r="P19" i="6"/>
  <c r="O19" i="6"/>
  <c r="K19" i="6"/>
  <c r="BC19" i="6" s="1"/>
  <c r="X19" i="6" s="1"/>
  <c r="BA18" i="6"/>
  <c r="AY18" i="6"/>
  <c r="AT18" i="6"/>
  <c r="T18" i="6" s="1"/>
  <c r="AP18" i="6"/>
  <c r="AG18" i="6"/>
  <c r="AE18" i="6"/>
  <c r="AA18" i="6"/>
  <c r="Z18" i="6"/>
  <c r="Y18" i="6"/>
  <c r="X18" i="6"/>
  <c r="W18" i="6"/>
  <c r="V18" i="6"/>
  <c r="U18" i="6"/>
  <c r="S18" i="6"/>
  <c r="R18" i="6"/>
  <c r="Q18" i="6"/>
  <c r="P18" i="6"/>
  <c r="O18" i="6"/>
  <c r="K18" i="6"/>
  <c r="L18" i="6" s="1"/>
  <c r="BA17" i="6"/>
  <c r="AY17" i="6"/>
  <c r="AT17" i="6"/>
  <c r="T17" i="6" s="1"/>
  <c r="AP17" i="6"/>
  <c r="R17" i="6" s="1"/>
  <c r="AG17" i="6"/>
  <c r="AE17" i="6"/>
  <c r="AA17" i="6"/>
  <c r="Z17" i="6"/>
  <c r="Y17" i="6"/>
  <c r="X17" i="6"/>
  <c r="W17" i="6"/>
  <c r="V17" i="6"/>
  <c r="U17" i="6"/>
  <c r="S17" i="6"/>
  <c r="Q17" i="6"/>
  <c r="P17" i="6"/>
  <c r="O17" i="6"/>
  <c r="K17" i="6"/>
  <c r="L17" i="6" s="1"/>
  <c r="BC16" i="6"/>
  <c r="X16" i="6" s="1"/>
  <c r="BA16" i="6"/>
  <c r="W16" i="6" s="1"/>
  <c r="AY16" i="6"/>
  <c r="V16" i="6" s="1"/>
  <c r="AG16" i="6"/>
  <c r="N16" i="6" s="1"/>
  <c r="AE16" i="6"/>
  <c r="M16" i="6" s="1"/>
  <c r="AC16" i="6"/>
  <c r="L16" i="6" s="1"/>
  <c r="AA16" i="6"/>
  <c r="Z16" i="6"/>
  <c r="Y16" i="6"/>
  <c r="U16" i="6"/>
  <c r="T16" i="6"/>
  <c r="S16" i="6"/>
  <c r="R16" i="6"/>
  <c r="Q16" i="6"/>
  <c r="P16" i="6"/>
  <c r="O16" i="6"/>
  <c r="K16" i="6"/>
  <c r="AP15" i="6"/>
  <c r="R15" i="6" s="1"/>
  <c r="AG15" i="6"/>
  <c r="AE15" i="6"/>
  <c r="AA15" i="6"/>
  <c r="Z15" i="6"/>
  <c r="Y15" i="6"/>
  <c r="U15" i="6"/>
  <c r="T15" i="6"/>
  <c r="S15" i="6"/>
  <c r="Q15" i="6"/>
  <c r="P15" i="6"/>
  <c r="O15" i="6"/>
  <c r="K15" i="6"/>
  <c r="L15" i="6" s="1"/>
  <c r="BG14" i="6"/>
  <c r="BE14" i="6"/>
  <c r="AY14" i="6"/>
  <c r="V14" i="6" s="1"/>
  <c r="AV14" i="6"/>
  <c r="U14" i="6" s="1"/>
  <c r="AT14" i="6"/>
  <c r="T14" i="6" s="1"/>
  <c r="AR14" i="6"/>
  <c r="S14" i="6" s="1"/>
  <c r="AP14" i="6"/>
  <c r="R14" i="6" s="1"/>
  <c r="AI14" i="6"/>
  <c r="O14" i="6" s="1"/>
  <c r="AC14" i="6"/>
  <c r="L14" i="6" s="1"/>
  <c r="AA14" i="6"/>
  <c r="Z14" i="6"/>
  <c r="Y14" i="6"/>
  <c r="X14" i="6"/>
  <c r="K14" i="6"/>
  <c r="N14" i="6" s="1"/>
  <c r="BJ13" i="6"/>
  <c r="BI13" i="6"/>
  <c r="AY13" i="6"/>
  <c r="AT13" i="6"/>
  <c r="T13" i="6" s="1"/>
  <c r="AP13" i="6"/>
  <c r="R13" i="6" s="1"/>
  <c r="AL13" i="6"/>
  <c r="AK13" i="6"/>
  <c r="AC13" i="6"/>
  <c r="AA13" i="6"/>
  <c r="Z13" i="6"/>
  <c r="Y13" i="6"/>
  <c r="U13" i="6"/>
  <c r="S13" i="6"/>
  <c r="Q13" i="6"/>
  <c r="O13" i="6"/>
  <c r="K13" i="6"/>
  <c r="X13" i="6" s="1"/>
  <c r="BI12" i="6"/>
  <c r="AA12" i="6" s="1"/>
  <c r="AY12" i="6"/>
  <c r="V12" i="6" s="1"/>
  <c r="AT12" i="6"/>
  <c r="T12" i="6" s="1"/>
  <c r="AP12" i="6"/>
  <c r="R12" i="6" s="1"/>
  <c r="AK12" i="6"/>
  <c r="P12" i="6" s="1"/>
  <c r="AC12" i="6"/>
  <c r="Z12" i="6"/>
  <c r="Y12" i="6"/>
  <c r="U12" i="6"/>
  <c r="S12" i="6"/>
  <c r="Q12" i="6"/>
  <c r="O12" i="6"/>
  <c r="K12" i="6"/>
  <c r="X12" i="6" s="1"/>
  <c r="BA11" i="6"/>
  <c r="W11" i="6" s="1"/>
  <c r="AY11" i="6"/>
  <c r="V11" i="6" s="1"/>
  <c r="AT11" i="6"/>
  <c r="T11" i="6" s="1"/>
  <c r="AP11" i="6"/>
  <c r="R11" i="6" s="1"/>
  <c r="AG11" i="6"/>
  <c r="N11" i="6" s="1"/>
  <c r="AE11" i="6"/>
  <c r="M11" i="6" s="1"/>
  <c r="AA11" i="6"/>
  <c r="Z11" i="6"/>
  <c r="Y11" i="6"/>
  <c r="U11" i="6"/>
  <c r="S11" i="6"/>
  <c r="Q11" i="6"/>
  <c r="P11" i="6"/>
  <c r="O11" i="6"/>
  <c r="K11" i="6"/>
  <c r="X11" i="6" s="1"/>
  <c r="BA10" i="6"/>
  <c r="AY10" i="6"/>
  <c r="AT10" i="6"/>
  <c r="T10" i="6" s="1"/>
  <c r="AP10" i="6"/>
  <c r="R10" i="6" s="1"/>
  <c r="AG10" i="6"/>
  <c r="N10" i="6" s="1"/>
  <c r="AE10" i="6"/>
  <c r="AA10" i="6"/>
  <c r="Z10" i="6"/>
  <c r="Y10" i="6"/>
  <c r="U10" i="6"/>
  <c r="S10" i="6"/>
  <c r="Q10" i="6"/>
  <c r="P10" i="6"/>
  <c r="O10" i="6"/>
  <c r="K10" i="6"/>
  <c r="L10" i="6" s="1"/>
  <c r="BC9" i="6"/>
  <c r="X9" i="6" s="1"/>
  <c r="BA9" i="6"/>
  <c r="W9" i="6" s="1"/>
  <c r="AY9" i="6"/>
  <c r="V9" i="6" s="1"/>
  <c r="AT9" i="6"/>
  <c r="T9" i="6" s="1"/>
  <c r="AP9" i="6"/>
  <c r="AG9" i="6"/>
  <c r="AE9" i="6"/>
  <c r="AA9" i="6"/>
  <c r="Z9" i="6"/>
  <c r="Y9" i="6"/>
  <c r="U9" i="6"/>
  <c r="S9" i="6"/>
  <c r="R9" i="6"/>
  <c r="Q9" i="6"/>
  <c r="P9" i="6"/>
  <c r="O9" i="6"/>
  <c r="K9" i="6"/>
  <c r="N9" i="6" s="1"/>
  <c r="BA8" i="6"/>
  <c r="AY8" i="6"/>
  <c r="AT8" i="6"/>
  <c r="T8" i="6" s="1"/>
  <c r="AP8" i="6"/>
  <c r="R8" i="6" s="1"/>
  <c r="AG8" i="6"/>
  <c r="AE8" i="6"/>
  <c r="AA8" i="6"/>
  <c r="Z8" i="6"/>
  <c r="Y8" i="6"/>
  <c r="U8" i="6"/>
  <c r="S8" i="6"/>
  <c r="Q8" i="6"/>
  <c r="P8" i="6"/>
  <c r="O8" i="6"/>
  <c r="K8" i="6"/>
  <c r="X8" i="6" s="1"/>
  <c r="BD7" i="6"/>
  <c r="BC7" i="6"/>
  <c r="BB7" i="6"/>
  <c r="BA7" i="6"/>
  <c r="W7" i="6" s="1"/>
  <c r="AZ7" i="6"/>
  <c r="AY7" i="6"/>
  <c r="V7" i="6" s="1"/>
  <c r="AU7" i="6"/>
  <c r="AT7" i="6"/>
  <c r="T7" i="6" s="1"/>
  <c r="AQ7" i="6"/>
  <c r="AP7" i="6"/>
  <c r="R7" i="6" s="1"/>
  <c r="AA7" i="6"/>
  <c r="Z7" i="6"/>
  <c r="Y7" i="6"/>
  <c r="U7" i="6"/>
  <c r="S7" i="6"/>
  <c r="Q7" i="6"/>
  <c r="P7" i="6"/>
  <c r="O7" i="6"/>
  <c r="K7" i="6"/>
  <c r="N7" i="6" s="1"/>
  <c r="AV6" i="6"/>
  <c r="U6" i="6" s="1"/>
  <c r="AT6" i="6"/>
  <c r="T6" i="6" s="1"/>
  <c r="AR6" i="6"/>
  <c r="S6" i="6" s="1"/>
  <c r="AP6" i="6"/>
  <c r="R6" i="6" s="1"/>
  <c r="AA6" i="6"/>
  <c r="Z6" i="6"/>
  <c r="Y6" i="6"/>
  <c r="Q6" i="6"/>
  <c r="P6" i="6"/>
  <c r="O6" i="6"/>
  <c r="K6" i="6"/>
  <c r="M6" i="6" s="1"/>
  <c r="AT5" i="6"/>
  <c r="AP5" i="6"/>
  <c r="AA5" i="6"/>
  <c r="Z5" i="6"/>
  <c r="Y5" i="6"/>
  <c r="U5" i="6"/>
  <c r="T5" i="6"/>
  <c r="S5" i="6"/>
  <c r="R5" i="6"/>
  <c r="Q5" i="6"/>
  <c r="P5" i="6"/>
  <c r="O5" i="6"/>
  <c r="K5" i="6"/>
  <c r="W5" i="6" s="1"/>
  <c r="AA4" i="6"/>
  <c r="Z4" i="6"/>
  <c r="Y4" i="6"/>
  <c r="U4" i="6"/>
  <c r="T4" i="6"/>
  <c r="S4" i="6"/>
  <c r="R4" i="6"/>
  <c r="Q4" i="6"/>
  <c r="P4" i="6"/>
  <c r="O4" i="6"/>
  <c r="K4" i="6"/>
  <c r="X4" i="6" s="1"/>
  <c r="AT3" i="6"/>
  <c r="T3" i="6" s="1"/>
  <c r="AP3" i="6"/>
  <c r="R3" i="6" s="1"/>
  <c r="AA3" i="6"/>
  <c r="Z3" i="6"/>
  <c r="Y3" i="6"/>
  <c r="U3" i="6"/>
  <c r="S3" i="6"/>
  <c r="Q3" i="6"/>
  <c r="P3" i="6"/>
  <c r="O3" i="6"/>
  <c r="K3" i="6"/>
  <c r="X3" i="6" s="1"/>
  <c r="AW2" i="6"/>
  <c r="AV2" i="6"/>
  <c r="U2" i="6" s="1"/>
  <c r="AT2" i="6"/>
  <c r="T2" i="6" s="1"/>
  <c r="AS2" i="6"/>
  <c r="AR2" i="6"/>
  <c r="S2" i="6" s="1"/>
  <c r="AP2" i="6"/>
  <c r="R2" i="6" s="1"/>
  <c r="AA2" i="6"/>
  <c r="Z2" i="6"/>
  <c r="Y2" i="6"/>
  <c r="Q2" i="6"/>
  <c r="P2" i="6"/>
  <c r="O2" i="6"/>
  <c r="L2" i="6"/>
  <c r="K2" i="6"/>
  <c r="X2" i="6" s="1"/>
  <c r="AA64" i="1"/>
  <c r="Z64" i="1"/>
  <c r="Y64" i="1"/>
  <c r="X64" i="1"/>
  <c r="U64" i="1"/>
  <c r="T64" i="1"/>
  <c r="S64" i="1"/>
  <c r="R64" i="1"/>
  <c r="Q64" i="1"/>
  <c r="P64" i="1"/>
  <c r="O64" i="1"/>
  <c r="K64" i="1"/>
  <c r="N64" i="1" s="1"/>
  <c r="AA63" i="1"/>
  <c r="Z63" i="1"/>
  <c r="Y63" i="1"/>
  <c r="U63" i="1"/>
  <c r="T63" i="1"/>
  <c r="S63" i="1"/>
  <c r="R63" i="1"/>
  <c r="Q63" i="1"/>
  <c r="P63" i="1"/>
  <c r="O63" i="1"/>
  <c r="K63" i="1"/>
  <c r="V63" i="1" s="1"/>
  <c r="AA62" i="1"/>
  <c r="Z62" i="1"/>
  <c r="Y62" i="1"/>
  <c r="X62" i="1"/>
  <c r="V62" i="1"/>
  <c r="U62" i="1"/>
  <c r="T62" i="1"/>
  <c r="S62" i="1"/>
  <c r="R62" i="1"/>
  <c r="Q62" i="1"/>
  <c r="P62" i="1"/>
  <c r="O62" i="1"/>
  <c r="K62" i="1"/>
  <c r="AG62" i="1" s="1"/>
  <c r="N62" i="1" s="1"/>
  <c r="AA61" i="1"/>
  <c r="Z61" i="1"/>
  <c r="Y61" i="1"/>
  <c r="U61" i="1"/>
  <c r="T61" i="1"/>
  <c r="S61" i="1"/>
  <c r="R61" i="1"/>
  <c r="Q61" i="1"/>
  <c r="P61" i="1"/>
  <c r="O61" i="1"/>
  <c r="K61" i="1"/>
  <c r="AG61" i="1" s="1"/>
  <c r="N61" i="1" s="1"/>
  <c r="AC60" i="1"/>
  <c r="AA60" i="1"/>
  <c r="Z60" i="1"/>
  <c r="Y60" i="1"/>
  <c r="U60" i="1"/>
  <c r="T60" i="1"/>
  <c r="S60" i="1"/>
  <c r="R60" i="1"/>
  <c r="Q60" i="1"/>
  <c r="P60" i="1"/>
  <c r="O60" i="1"/>
  <c r="K60" i="1"/>
  <c r="N60" i="1" s="1"/>
  <c r="AP59" i="1"/>
  <c r="R59" i="1" s="1"/>
  <c r="AG59" i="1"/>
  <c r="N59" i="1" s="1"/>
  <c r="AE59" i="1"/>
  <c r="M59" i="1" s="1"/>
  <c r="AC59" i="1"/>
  <c r="L59" i="1" s="1"/>
  <c r="AA59" i="1"/>
  <c r="Z59" i="1"/>
  <c r="Y59" i="1"/>
  <c r="X59" i="1"/>
  <c r="U59" i="1"/>
  <c r="T59" i="1"/>
  <c r="S59" i="1"/>
  <c r="Q59" i="1"/>
  <c r="P59" i="1"/>
  <c r="O59" i="1"/>
  <c r="K59" i="1"/>
  <c r="W59" i="1" s="1"/>
  <c r="AP58" i="1"/>
  <c r="R58" i="1" s="1"/>
  <c r="AA58" i="1"/>
  <c r="Z58" i="1"/>
  <c r="Y58" i="1"/>
  <c r="U58" i="1"/>
  <c r="T58" i="1"/>
  <c r="S58" i="1"/>
  <c r="Q58" i="1"/>
  <c r="P58" i="1"/>
  <c r="O58" i="1"/>
  <c r="K58" i="1"/>
  <c r="V58" i="1" s="1"/>
  <c r="AP57" i="1"/>
  <c r="R57" i="1" s="1"/>
  <c r="AE57" i="1"/>
  <c r="M57" i="1" s="1"/>
  <c r="AA57" i="1"/>
  <c r="Z57" i="1"/>
  <c r="Y57" i="1"/>
  <c r="X57" i="1"/>
  <c r="U57" i="1"/>
  <c r="T57" i="1"/>
  <c r="S57" i="1"/>
  <c r="Q57" i="1"/>
  <c r="P57" i="1"/>
  <c r="O57" i="1"/>
  <c r="K57" i="1"/>
  <c r="AG57" i="1" s="1"/>
  <c r="N57" i="1" s="1"/>
  <c r="AT56" i="1"/>
  <c r="T56" i="1" s="1"/>
  <c r="AP56" i="1"/>
  <c r="R56" i="1" s="1"/>
  <c r="AE56" i="1"/>
  <c r="M56" i="1" s="1"/>
  <c r="AC56" i="1"/>
  <c r="L56" i="1" s="1"/>
  <c r="AA56" i="1"/>
  <c r="Z56" i="1"/>
  <c r="Y56" i="1"/>
  <c r="X56" i="1"/>
  <c r="W56" i="1"/>
  <c r="V56" i="1"/>
  <c r="U56" i="1"/>
  <c r="S56" i="1"/>
  <c r="Q56" i="1"/>
  <c r="P56" i="1"/>
  <c r="O56" i="1"/>
  <c r="K56" i="1"/>
  <c r="AG56" i="1" s="1"/>
  <c r="N56" i="1" s="1"/>
  <c r="AT55" i="1"/>
  <c r="AP55" i="1"/>
  <c r="R55" i="1" s="1"/>
  <c r="AE55" i="1"/>
  <c r="M55" i="1" s="1"/>
  <c r="AA55" i="1"/>
  <c r="Z55" i="1"/>
  <c r="Y55" i="1"/>
  <c r="X55" i="1"/>
  <c r="W55" i="1"/>
  <c r="V55" i="1"/>
  <c r="U55" i="1"/>
  <c r="T55" i="1"/>
  <c r="S55" i="1"/>
  <c r="Q55" i="1"/>
  <c r="P55" i="1"/>
  <c r="O55" i="1"/>
  <c r="K55" i="1"/>
  <c r="AG55" i="1" s="1"/>
  <c r="N55" i="1" s="1"/>
  <c r="AT54" i="1"/>
  <c r="AP54" i="1"/>
  <c r="R54" i="1" s="1"/>
  <c r="AA54" i="1"/>
  <c r="Z54" i="1"/>
  <c r="Y54" i="1"/>
  <c r="U54" i="1"/>
  <c r="T54" i="1"/>
  <c r="S54" i="1"/>
  <c r="Q54" i="1"/>
  <c r="P54" i="1"/>
  <c r="O54" i="1"/>
  <c r="K54" i="1"/>
  <c r="AG54" i="1" s="1"/>
  <c r="N54" i="1" s="1"/>
  <c r="AT53" i="1"/>
  <c r="T53" i="1" s="1"/>
  <c r="AP53" i="1"/>
  <c r="R53" i="1" s="1"/>
  <c r="AK53" i="1"/>
  <c r="P53" i="1" s="1"/>
  <c r="AA53" i="1"/>
  <c r="Z53" i="1"/>
  <c r="Y53" i="1"/>
  <c r="U53" i="1"/>
  <c r="S53" i="1"/>
  <c r="Q53" i="1"/>
  <c r="O53" i="1"/>
  <c r="K53" i="1"/>
  <c r="AY53" i="1" s="1"/>
  <c r="V53" i="1" s="1"/>
  <c r="AT52" i="1"/>
  <c r="T52" i="1" s="1"/>
  <c r="AP52" i="1"/>
  <c r="R52" i="1" s="1"/>
  <c r="AA52" i="1"/>
  <c r="Z52" i="1"/>
  <c r="Y52" i="1"/>
  <c r="X52" i="1"/>
  <c r="W52" i="1"/>
  <c r="U52" i="1"/>
  <c r="S52" i="1"/>
  <c r="Q52" i="1"/>
  <c r="P52" i="1"/>
  <c r="O52" i="1"/>
  <c r="K52" i="1"/>
  <c r="V52" i="1" s="1"/>
  <c r="AG51" i="1"/>
  <c r="N51" i="1" s="1"/>
  <c r="AF51" i="1"/>
  <c r="AE51" i="1"/>
  <c r="AC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K51" i="1"/>
  <c r="AP50" i="1"/>
  <c r="AG50" i="1"/>
  <c r="AE50" i="1"/>
  <c r="AA50" i="1"/>
  <c r="Z50" i="1"/>
  <c r="Y50" i="1"/>
  <c r="U50" i="1"/>
  <c r="T50" i="1"/>
  <c r="S50" i="1"/>
  <c r="R50" i="1"/>
  <c r="Q50" i="1"/>
  <c r="P50" i="1"/>
  <c r="O50" i="1"/>
  <c r="K50" i="1"/>
  <c r="L50" i="1" s="1"/>
  <c r="AP49" i="1"/>
  <c r="R49" i="1" s="1"/>
  <c r="AA49" i="1"/>
  <c r="Z49" i="1"/>
  <c r="Y49" i="1"/>
  <c r="U49" i="1"/>
  <c r="T49" i="1"/>
  <c r="S49" i="1"/>
  <c r="Q49" i="1"/>
  <c r="P49" i="1"/>
  <c r="O49" i="1"/>
  <c r="K49" i="1"/>
  <c r="X49" i="1" s="1"/>
  <c r="BI48" i="1"/>
  <c r="AA48" i="1" s="1"/>
  <c r="AY48" i="1"/>
  <c r="V48" i="1" s="1"/>
  <c r="AP48" i="1"/>
  <c r="R48" i="1" s="1"/>
  <c r="AK48" i="1"/>
  <c r="P48" i="1" s="1"/>
  <c r="AC48" i="1"/>
  <c r="L48" i="1" s="1"/>
  <c r="Z48" i="1"/>
  <c r="Y48" i="1"/>
  <c r="W48" i="1"/>
  <c r="U48" i="1"/>
  <c r="T48" i="1"/>
  <c r="S48" i="1"/>
  <c r="Q48" i="1"/>
  <c r="O48" i="1"/>
  <c r="N48" i="1"/>
  <c r="K48" i="1"/>
  <c r="X48" i="1" s="1"/>
  <c r="BI47" i="1"/>
  <c r="AA47" i="1" s="1"/>
  <c r="AY47" i="1"/>
  <c r="AP47" i="1"/>
  <c r="R47" i="1" s="1"/>
  <c r="AK47" i="1"/>
  <c r="P47" i="1" s="1"/>
  <c r="AC47" i="1"/>
  <c r="L47" i="1" s="1"/>
  <c r="Z47" i="1"/>
  <c r="Y47" i="1"/>
  <c r="W47" i="1"/>
  <c r="V47" i="1"/>
  <c r="U47" i="1"/>
  <c r="T47" i="1"/>
  <c r="S47" i="1"/>
  <c r="Q47" i="1"/>
  <c r="O47" i="1"/>
  <c r="K47" i="1"/>
  <c r="X47" i="1" s="1"/>
  <c r="BA46" i="1"/>
  <c r="AY46" i="1"/>
  <c r="AP46" i="1"/>
  <c r="AG46" i="1"/>
  <c r="N46" i="1" s="1"/>
  <c r="AE46" i="1"/>
  <c r="M46" i="1" s="1"/>
  <c r="AA46" i="1"/>
  <c r="Z46" i="1"/>
  <c r="Y46" i="1"/>
  <c r="W46" i="1"/>
  <c r="V46" i="1"/>
  <c r="U46" i="1"/>
  <c r="T46" i="1"/>
  <c r="S46" i="1"/>
  <c r="R46" i="1"/>
  <c r="Q46" i="1"/>
  <c r="P46" i="1"/>
  <c r="O46" i="1"/>
  <c r="K46" i="1"/>
  <c r="X46" i="1" s="1"/>
  <c r="AP45" i="1"/>
  <c r="AA45" i="1"/>
  <c r="Z45" i="1"/>
  <c r="Y45" i="1"/>
  <c r="X45" i="1"/>
  <c r="V45" i="1"/>
  <c r="U45" i="1"/>
  <c r="T45" i="1"/>
  <c r="S45" i="1"/>
  <c r="R45" i="1"/>
  <c r="Q45" i="1"/>
  <c r="P45" i="1"/>
  <c r="O45" i="1"/>
  <c r="N45" i="1"/>
  <c r="M45" i="1"/>
  <c r="K45" i="1"/>
  <c r="W45" i="1" s="1"/>
  <c r="AP44" i="1"/>
  <c r="R44" i="1" s="1"/>
  <c r="AA44" i="1"/>
  <c r="Z44" i="1"/>
  <c r="Y44" i="1"/>
  <c r="U44" i="1"/>
  <c r="T44" i="1"/>
  <c r="S44" i="1"/>
  <c r="Q44" i="1"/>
  <c r="P44" i="1"/>
  <c r="O44" i="1"/>
  <c r="K44" i="1"/>
  <c r="N44" i="1" s="1"/>
  <c r="AP43" i="1"/>
  <c r="R43" i="1" s="1"/>
  <c r="AA43" i="1"/>
  <c r="Z43" i="1"/>
  <c r="Y43" i="1"/>
  <c r="X43" i="1"/>
  <c r="W43" i="1"/>
  <c r="U43" i="1"/>
  <c r="T43" i="1"/>
  <c r="S43" i="1"/>
  <c r="Q43" i="1"/>
  <c r="P43" i="1"/>
  <c r="O43" i="1"/>
  <c r="M43" i="1"/>
  <c r="K43" i="1"/>
  <c r="L43" i="1" s="1"/>
  <c r="AP42" i="1"/>
  <c r="R42" i="1" s="1"/>
  <c r="AA42" i="1"/>
  <c r="Z42" i="1"/>
  <c r="Y42" i="1"/>
  <c r="V42" i="1"/>
  <c r="U42" i="1"/>
  <c r="T42" i="1"/>
  <c r="S42" i="1"/>
  <c r="Q42" i="1"/>
  <c r="P42" i="1"/>
  <c r="O42" i="1"/>
  <c r="M42" i="1"/>
  <c r="K42" i="1"/>
  <c r="N42" i="1" s="1"/>
  <c r="AP41" i="1"/>
  <c r="R41" i="1" s="1"/>
  <c r="AA41" i="1"/>
  <c r="Z41" i="1"/>
  <c r="Y41" i="1"/>
  <c r="U41" i="1"/>
  <c r="T41" i="1"/>
  <c r="S41" i="1"/>
  <c r="Q41" i="1"/>
  <c r="P41" i="1"/>
  <c r="O41" i="1"/>
  <c r="K41" i="1"/>
  <c r="M41" i="1" s="1"/>
  <c r="AP40" i="1"/>
  <c r="R40" i="1" s="1"/>
  <c r="AA40" i="1"/>
  <c r="Z40" i="1"/>
  <c r="Y40" i="1"/>
  <c r="X40" i="1"/>
  <c r="V40" i="1"/>
  <c r="U40" i="1"/>
  <c r="T40" i="1"/>
  <c r="S40" i="1"/>
  <c r="Q40" i="1"/>
  <c r="P40" i="1"/>
  <c r="O40" i="1"/>
  <c r="N40" i="1"/>
  <c r="K40" i="1"/>
  <c r="W40" i="1" s="1"/>
  <c r="AP39" i="1"/>
  <c r="R39" i="1" s="1"/>
  <c r="AA39" i="1"/>
  <c r="Z39" i="1"/>
  <c r="Y39" i="1"/>
  <c r="X39" i="1"/>
  <c r="V39" i="1"/>
  <c r="U39" i="1"/>
  <c r="T39" i="1"/>
  <c r="S39" i="1"/>
  <c r="Q39" i="1"/>
  <c r="P39" i="1"/>
  <c r="O39" i="1"/>
  <c r="N39" i="1"/>
  <c r="K39" i="1"/>
  <c r="AC39" i="1" s="1"/>
  <c r="L39" i="1" s="1"/>
  <c r="AC38" i="1"/>
  <c r="AA38" i="1"/>
  <c r="Z38" i="1"/>
  <c r="Y38" i="1"/>
  <c r="U38" i="1"/>
  <c r="T38" i="1"/>
  <c r="S38" i="1"/>
  <c r="R38" i="1"/>
  <c r="Q38" i="1"/>
  <c r="P38" i="1"/>
  <c r="O38" i="1"/>
  <c r="K38" i="1"/>
  <c r="N38" i="1" s="1"/>
  <c r="AP37" i="1"/>
  <c r="R37" i="1" s="1"/>
  <c r="AC37" i="1"/>
  <c r="L37" i="1" s="1"/>
  <c r="AA37" i="1"/>
  <c r="Z37" i="1"/>
  <c r="Y37" i="1"/>
  <c r="U37" i="1"/>
  <c r="T37" i="1"/>
  <c r="S37" i="1"/>
  <c r="Q37" i="1"/>
  <c r="P37" i="1"/>
  <c r="O37" i="1"/>
  <c r="K37" i="1"/>
  <c r="M37" i="1" s="1"/>
  <c r="AQ36" i="1"/>
  <c r="AP36" i="1"/>
  <c r="AC36" i="1"/>
  <c r="AA36" i="1"/>
  <c r="Z36" i="1"/>
  <c r="Y36" i="1"/>
  <c r="X36" i="1"/>
  <c r="W36" i="1"/>
  <c r="V36" i="1"/>
  <c r="U36" i="1"/>
  <c r="T36" i="1"/>
  <c r="S36" i="1"/>
  <c r="Q36" i="1"/>
  <c r="P36" i="1"/>
  <c r="O36" i="1"/>
  <c r="K36" i="1"/>
  <c r="N36" i="1" s="1"/>
  <c r="AP35" i="1"/>
  <c r="R35" i="1" s="1"/>
  <c r="AC35" i="1"/>
  <c r="AA35" i="1"/>
  <c r="Z35" i="1"/>
  <c r="Y35" i="1"/>
  <c r="U35" i="1"/>
  <c r="T35" i="1"/>
  <c r="S35" i="1"/>
  <c r="Q35" i="1"/>
  <c r="P35" i="1"/>
  <c r="O35" i="1"/>
  <c r="M35" i="1"/>
  <c r="K35" i="1"/>
  <c r="N35" i="1" s="1"/>
  <c r="AP34" i="1"/>
  <c r="R34" i="1" s="1"/>
  <c r="AC34" i="1"/>
  <c r="AA34" i="1"/>
  <c r="Z34" i="1"/>
  <c r="Y34" i="1"/>
  <c r="U34" i="1"/>
  <c r="T34" i="1"/>
  <c r="S34" i="1"/>
  <c r="Q34" i="1"/>
  <c r="P34" i="1"/>
  <c r="O34" i="1"/>
  <c r="K34" i="1"/>
  <c r="N34" i="1" s="1"/>
  <c r="AU33" i="1"/>
  <c r="AT33" i="1"/>
  <c r="T33" i="1" s="1"/>
  <c r="AQ33" i="1"/>
  <c r="AP33" i="1"/>
  <c r="R33" i="1" s="1"/>
  <c r="AD33" i="1"/>
  <c r="L33" i="1" s="1"/>
  <c r="AC33" i="1"/>
  <c r="AA33" i="1"/>
  <c r="Z33" i="1"/>
  <c r="Y33" i="1"/>
  <c r="V33" i="1"/>
  <c r="U33" i="1"/>
  <c r="S33" i="1"/>
  <c r="Q33" i="1"/>
  <c r="P33" i="1"/>
  <c r="O33" i="1"/>
  <c r="K33" i="1"/>
  <c r="M33" i="1" s="1"/>
  <c r="BI32" i="1"/>
  <c r="AA32" i="1" s="1"/>
  <c r="BA32" i="1"/>
  <c r="W32" i="1" s="1"/>
  <c r="AY32" i="1"/>
  <c r="V32" i="1" s="1"/>
  <c r="AT32" i="1"/>
  <c r="T32" i="1" s="1"/>
  <c r="AP32" i="1"/>
  <c r="R32" i="1" s="1"/>
  <c r="AK32" i="1"/>
  <c r="P32" i="1" s="1"/>
  <c r="AG32" i="1"/>
  <c r="N32" i="1" s="1"/>
  <c r="AE32" i="1"/>
  <c r="M32" i="1" s="1"/>
  <c r="AC32" i="1"/>
  <c r="L32" i="1" s="1"/>
  <c r="Z32" i="1"/>
  <c r="Y32" i="1"/>
  <c r="U32" i="1"/>
  <c r="S32" i="1"/>
  <c r="Q32" i="1"/>
  <c r="O32" i="1"/>
  <c r="K32" i="1"/>
  <c r="BC32" i="1" s="1"/>
  <c r="X32" i="1" s="1"/>
  <c r="AP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K31" i="1"/>
  <c r="N31" i="1" s="1"/>
  <c r="AT30" i="1"/>
  <c r="T30" i="1" s="1"/>
  <c r="AP30" i="1"/>
  <c r="AA30" i="1"/>
  <c r="Z30" i="1"/>
  <c r="Y30" i="1"/>
  <c r="U30" i="1"/>
  <c r="S30" i="1"/>
  <c r="R30" i="1"/>
  <c r="Q30" i="1"/>
  <c r="P30" i="1"/>
  <c r="O30" i="1"/>
  <c r="N30" i="1"/>
  <c r="L30" i="1"/>
  <c r="K30" i="1"/>
  <c r="M30" i="1" s="1"/>
  <c r="AT29" i="1"/>
  <c r="AP29" i="1"/>
  <c r="R29" i="1" s="1"/>
  <c r="AA29" i="1"/>
  <c r="Z29" i="1"/>
  <c r="Y29" i="1"/>
  <c r="U29" i="1"/>
  <c r="T29" i="1"/>
  <c r="S29" i="1"/>
  <c r="Q29" i="1"/>
  <c r="P29" i="1"/>
  <c r="O29" i="1"/>
  <c r="K29" i="1"/>
  <c r="W29" i="1" s="1"/>
  <c r="AQ28" i="1"/>
  <c r="AP28" i="1"/>
  <c r="R28" i="1" s="1"/>
  <c r="AI28" i="1"/>
  <c r="O28" i="1" s="1"/>
  <c r="AF28" i="1"/>
  <c r="AE28" i="1"/>
  <c r="M28" i="1" s="1"/>
  <c r="AA28" i="1"/>
  <c r="Z28" i="1"/>
  <c r="Y28" i="1"/>
  <c r="U28" i="1"/>
  <c r="T28" i="1"/>
  <c r="S28" i="1"/>
  <c r="Q28" i="1"/>
  <c r="P28" i="1"/>
  <c r="K28" i="1"/>
  <c r="W28" i="1" s="1"/>
  <c r="AQ27" i="1"/>
  <c r="AP27" i="1"/>
  <c r="R27" i="1" s="1"/>
  <c r="AJ27" i="1"/>
  <c r="AI27" i="1"/>
  <c r="O27" i="1" s="1"/>
  <c r="AF27" i="1"/>
  <c r="AE27" i="1"/>
  <c r="M27" i="1" s="1"/>
  <c r="AA27" i="1"/>
  <c r="Z27" i="1"/>
  <c r="Y27" i="1"/>
  <c r="U27" i="1"/>
  <c r="T27" i="1"/>
  <c r="S27" i="1"/>
  <c r="Q27" i="1"/>
  <c r="P27" i="1"/>
  <c r="K27" i="1"/>
  <c r="X27" i="1" s="1"/>
  <c r="AP26" i="1"/>
  <c r="R26" i="1" s="1"/>
  <c r="AA26" i="1"/>
  <c r="Z26" i="1"/>
  <c r="Y26" i="1"/>
  <c r="X26" i="1"/>
  <c r="V26" i="1"/>
  <c r="U26" i="1"/>
  <c r="T26" i="1"/>
  <c r="S26" i="1"/>
  <c r="Q26" i="1"/>
  <c r="P26" i="1"/>
  <c r="O26" i="1"/>
  <c r="M26" i="1"/>
  <c r="L26" i="1"/>
  <c r="K26" i="1"/>
  <c r="W26" i="1" s="1"/>
  <c r="AQ25" i="1"/>
  <c r="AP25" i="1"/>
  <c r="R25" i="1" s="1"/>
  <c r="AA25" i="1"/>
  <c r="Z25" i="1"/>
  <c r="Y25" i="1"/>
  <c r="U25" i="1"/>
  <c r="T25" i="1"/>
  <c r="S25" i="1"/>
  <c r="Q25" i="1"/>
  <c r="P25" i="1"/>
  <c r="O25" i="1"/>
  <c r="K25" i="1"/>
  <c r="N25" i="1" s="1"/>
  <c r="AA24" i="1"/>
  <c r="Z24" i="1"/>
  <c r="Y24" i="1"/>
  <c r="U24" i="1"/>
  <c r="T24" i="1"/>
  <c r="S24" i="1"/>
  <c r="R24" i="1"/>
  <c r="Q24" i="1"/>
  <c r="P24" i="1"/>
  <c r="O24" i="1"/>
  <c r="K24" i="1"/>
  <c r="L24" i="1" s="1"/>
  <c r="AS23" i="1"/>
  <c r="AR23" i="1"/>
  <c r="S23" i="1" s="1"/>
  <c r="AP23" i="1"/>
  <c r="R23" i="1" s="1"/>
  <c r="AI23" i="1"/>
  <c r="O23" i="1" s="1"/>
  <c r="AA23" i="1"/>
  <c r="Z23" i="1"/>
  <c r="Y23" i="1"/>
  <c r="X23" i="1"/>
  <c r="W23" i="1"/>
  <c r="V23" i="1"/>
  <c r="U23" i="1"/>
  <c r="T23" i="1"/>
  <c r="Q23" i="1"/>
  <c r="P23" i="1"/>
  <c r="M23" i="1"/>
  <c r="L23" i="1"/>
  <c r="K23" i="1"/>
  <c r="N23" i="1" s="1"/>
  <c r="BI22" i="1"/>
  <c r="BG22" i="1"/>
  <c r="AY22" i="1"/>
  <c r="V22" i="1" s="1"/>
  <c r="AK22" i="1"/>
  <c r="P22" i="1" s="1"/>
  <c r="AC22" i="1"/>
  <c r="L22" i="1" s="1"/>
  <c r="AA22" i="1"/>
  <c r="Z22" i="1"/>
  <c r="Y22" i="1"/>
  <c r="X22" i="1"/>
  <c r="W22" i="1"/>
  <c r="U22" i="1"/>
  <c r="T22" i="1"/>
  <c r="S22" i="1"/>
  <c r="R22" i="1"/>
  <c r="Q22" i="1"/>
  <c r="O22" i="1"/>
  <c r="K22" i="1"/>
  <c r="N22" i="1" s="1"/>
  <c r="BI21" i="1"/>
  <c r="AA21" i="1" s="1"/>
  <c r="AY21" i="1"/>
  <c r="AP21" i="1"/>
  <c r="R21" i="1" s="1"/>
  <c r="AK21" i="1"/>
  <c r="P21" i="1" s="1"/>
  <c r="AC21" i="1"/>
  <c r="Z21" i="1"/>
  <c r="Y21" i="1"/>
  <c r="X21" i="1"/>
  <c r="W21" i="1"/>
  <c r="V21" i="1"/>
  <c r="U21" i="1"/>
  <c r="T21" i="1"/>
  <c r="S21" i="1"/>
  <c r="Q21" i="1"/>
  <c r="O21" i="1"/>
  <c r="K21" i="1"/>
  <c r="N21" i="1" s="1"/>
  <c r="BA20" i="1"/>
  <c r="AZ20" i="1"/>
  <c r="AY20" i="1"/>
  <c r="AQ20" i="1"/>
  <c r="AP20" i="1"/>
  <c r="R20" i="1" s="1"/>
  <c r="AH20" i="1"/>
  <c r="AG20" i="1"/>
  <c r="AE20" i="1"/>
  <c r="AA20" i="1"/>
  <c r="Z20" i="1"/>
  <c r="Y20" i="1"/>
  <c r="U20" i="1"/>
  <c r="T20" i="1"/>
  <c r="S20" i="1"/>
  <c r="Q20" i="1"/>
  <c r="P20" i="1"/>
  <c r="O20" i="1"/>
  <c r="K20" i="1"/>
  <c r="X20" i="1" s="1"/>
  <c r="AA19" i="1"/>
  <c r="Z19" i="1"/>
  <c r="Y19" i="1"/>
  <c r="U19" i="1"/>
  <c r="T19" i="1"/>
  <c r="S19" i="1"/>
  <c r="R19" i="1"/>
  <c r="Q19" i="1"/>
  <c r="P19" i="1"/>
  <c r="O19" i="1"/>
  <c r="K19" i="1"/>
  <c r="AC19" i="1" s="1"/>
  <c r="L19" i="1" s="1"/>
  <c r="BA18" i="1"/>
  <c r="W18" i="1" s="1"/>
  <c r="AY18" i="1"/>
  <c r="V18" i="1" s="1"/>
  <c r="AT18" i="1"/>
  <c r="T18" i="1" s="1"/>
  <c r="AP18" i="1"/>
  <c r="R18" i="1" s="1"/>
  <c r="AG18" i="1"/>
  <c r="AE18" i="1"/>
  <c r="AA18" i="1"/>
  <c r="Z18" i="1"/>
  <c r="Y18" i="1"/>
  <c r="U18" i="1"/>
  <c r="S18" i="1"/>
  <c r="Q18" i="1"/>
  <c r="P18" i="1"/>
  <c r="O18" i="1"/>
  <c r="K18" i="1"/>
  <c r="BA17" i="1"/>
  <c r="AY17" i="1"/>
  <c r="AT17" i="1"/>
  <c r="T17" i="1" s="1"/>
  <c r="AP17" i="1"/>
  <c r="R17" i="1" s="1"/>
  <c r="AG17" i="1"/>
  <c r="AE17" i="1"/>
  <c r="M17" i="1" s="1"/>
  <c r="AA17" i="1"/>
  <c r="Z17" i="1"/>
  <c r="Y17" i="1"/>
  <c r="U17" i="1"/>
  <c r="S17" i="1"/>
  <c r="Q17" i="1"/>
  <c r="P17" i="1"/>
  <c r="O17" i="1"/>
  <c r="K17" i="1"/>
  <c r="BC16" i="1"/>
  <c r="BA16" i="1"/>
  <c r="AY16" i="1"/>
  <c r="AG16" i="1"/>
  <c r="AE16" i="1"/>
  <c r="AC16" i="1"/>
  <c r="AA16" i="1"/>
  <c r="Z16" i="1"/>
  <c r="Y16" i="1"/>
  <c r="U16" i="1"/>
  <c r="T16" i="1"/>
  <c r="S16" i="1"/>
  <c r="R16" i="1"/>
  <c r="Q16" i="1"/>
  <c r="P16" i="1"/>
  <c r="O16" i="1"/>
  <c r="K16" i="1"/>
  <c r="N16" i="1" s="1"/>
  <c r="AP15" i="1"/>
  <c r="R15" i="1" s="1"/>
  <c r="AG15" i="1"/>
  <c r="AE15" i="1"/>
  <c r="AA15" i="1"/>
  <c r="Z15" i="1"/>
  <c r="Y15" i="1"/>
  <c r="U15" i="1"/>
  <c r="T15" i="1"/>
  <c r="S15" i="1"/>
  <c r="Q15" i="1"/>
  <c r="P15" i="1"/>
  <c r="O15" i="1"/>
  <c r="K15" i="1"/>
  <c r="BG14" i="1"/>
  <c r="Z14" i="1" s="1"/>
  <c r="BE14" i="1"/>
  <c r="Y14" i="1" s="1"/>
  <c r="AY14" i="1"/>
  <c r="V14" i="1" s="1"/>
  <c r="AV14" i="1"/>
  <c r="U14" i="1" s="1"/>
  <c r="AT14" i="1"/>
  <c r="T14" i="1" s="1"/>
  <c r="AR14" i="1"/>
  <c r="S14" i="1" s="1"/>
  <c r="AP14" i="1"/>
  <c r="R14" i="1" s="1"/>
  <c r="AK14" i="1"/>
  <c r="P14" i="1" s="1"/>
  <c r="AI14" i="1"/>
  <c r="AM14" i="1" s="1"/>
  <c r="Q14" i="1" s="1"/>
  <c r="AC14" i="1"/>
  <c r="AA14" i="1"/>
  <c r="K14" i="1"/>
  <c r="M14" i="1" s="1"/>
  <c r="BJ13" i="1"/>
  <c r="AA13" i="1" s="1"/>
  <c r="BI13" i="1"/>
  <c r="AY13" i="1"/>
  <c r="AT13" i="1"/>
  <c r="AP13" i="1"/>
  <c r="R13" i="1" s="1"/>
  <c r="AL13" i="1"/>
  <c r="AK13" i="1"/>
  <c r="P13" i="1" s="1"/>
  <c r="AC13" i="1"/>
  <c r="Z13" i="1"/>
  <c r="Y13" i="1"/>
  <c r="X13" i="1"/>
  <c r="W13" i="1"/>
  <c r="V13" i="1"/>
  <c r="U13" i="1"/>
  <c r="T13" i="1"/>
  <c r="S13" i="1"/>
  <c r="Q13" i="1"/>
  <c r="O13" i="1"/>
  <c r="K13" i="1"/>
  <c r="M13" i="1" s="1"/>
  <c r="BI12" i="1"/>
  <c r="AY12" i="1"/>
  <c r="AT12" i="1"/>
  <c r="AP12" i="1"/>
  <c r="AK12" i="1"/>
  <c r="AC12" i="1"/>
  <c r="L12" i="1" s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K12" i="1"/>
  <c r="M12" i="1" s="1"/>
  <c r="BA11" i="1"/>
  <c r="AY11" i="1"/>
  <c r="AT11" i="1"/>
  <c r="AP11" i="1"/>
  <c r="AG11" i="1"/>
  <c r="N11" i="1" s="1"/>
  <c r="AE11" i="1"/>
  <c r="M11" i="1" s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K11" i="1"/>
  <c r="L11" i="1" s="1"/>
  <c r="BA10" i="1"/>
  <c r="AY10" i="1"/>
  <c r="AT10" i="1"/>
  <c r="AP10" i="1"/>
  <c r="AG10" i="1"/>
  <c r="AE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K10" i="1"/>
  <c r="L10" i="1" s="1"/>
  <c r="BC9" i="1"/>
  <c r="BA9" i="1"/>
  <c r="AY9" i="1"/>
  <c r="AT9" i="1"/>
  <c r="AP9" i="1"/>
  <c r="AG9" i="1"/>
  <c r="N9" i="1" s="1"/>
  <c r="AE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K9" i="1"/>
  <c r="L9" i="1" s="1"/>
  <c r="BA8" i="1"/>
  <c r="AY8" i="1"/>
  <c r="AT8" i="1"/>
  <c r="AP8" i="1"/>
  <c r="R8" i="1" s="1"/>
  <c r="AG8" i="1"/>
  <c r="AE8" i="1"/>
  <c r="AA8" i="1"/>
  <c r="Z8" i="1"/>
  <c r="Y8" i="1"/>
  <c r="U8" i="1"/>
  <c r="T8" i="1"/>
  <c r="S8" i="1"/>
  <c r="Q8" i="1"/>
  <c r="P8" i="1"/>
  <c r="O8" i="1"/>
  <c r="K8" i="1"/>
  <c r="L8" i="1" s="1"/>
  <c r="BD7" i="1"/>
  <c r="BC7" i="1"/>
  <c r="BB7" i="1"/>
  <c r="BA7" i="1"/>
  <c r="AZ7" i="1"/>
  <c r="AY7" i="1"/>
  <c r="AU7" i="1"/>
  <c r="AT7" i="1"/>
  <c r="T7" i="1" s="1"/>
  <c r="AQ7" i="1"/>
  <c r="AP7" i="1"/>
  <c r="R7" i="1" s="1"/>
  <c r="AA7" i="1"/>
  <c r="Z7" i="1"/>
  <c r="Y7" i="1"/>
  <c r="U7" i="1"/>
  <c r="S7" i="1"/>
  <c r="Q7" i="1"/>
  <c r="P7" i="1"/>
  <c r="O7" i="1"/>
  <c r="K7" i="1"/>
  <c r="N7" i="1" s="1"/>
  <c r="AV6" i="1"/>
  <c r="U6" i="1" s="1"/>
  <c r="AT6" i="1"/>
  <c r="T6" i="1" s="1"/>
  <c r="AR6" i="1"/>
  <c r="S6" i="1" s="1"/>
  <c r="AP6" i="1"/>
  <c r="R6" i="1" s="1"/>
  <c r="AA6" i="1"/>
  <c r="Z6" i="1"/>
  <c r="Y6" i="1"/>
  <c r="Q6" i="1"/>
  <c r="P6" i="1"/>
  <c r="O6" i="1"/>
  <c r="K6" i="1"/>
  <c r="M6" i="1" s="1"/>
  <c r="AT5" i="1"/>
  <c r="T5" i="1" s="1"/>
  <c r="AP5" i="1"/>
  <c r="R5" i="1" s="1"/>
  <c r="AA5" i="1"/>
  <c r="Z5" i="1"/>
  <c r="Y5" i="1"/>
  <c r="X5" i="1"/>
  <c r="V5" i="1"/>
  <c r="U5" i="1"/>
  <c r="S5" i="1"/>
  <c r="Q5" i="1"/>
  <c r="P5" i="1"/>
  <c r="O5" i="1"/>
  <c r="K5" i="1"/>
  <c r="W5" i="1" s="1"/>
  <c r="AA4" i="1"/>
  <c r="Z4" i="1"/>
  <c r="Y4" i="1"/>
  <c r="U4" i="1"/>
  <c r="T4" i="1"/>
  <c r="S4" i="1"/>
  <c r="R4" i="1"/>
  <c r="Q4" i="1"/>
  <c r="P4" i="1"/>
  <c r="O4" i="1"/>
  <c r="K4" i="1"/>
  <c r="N4" i="1" s="1"/>
  <c r="AT3" i="1"/>
  <c r="T3" i="1" s="1"/>
  <c r="AP3" i="1"/>
  <c r="R3" i="1" s="1"/>
  <c r="AA3" i="1"/>
  <c r="Z3" i="1"/>
  <c r="Y3" i="1"/>
  <c r="X3" i="1"/>
  <c r="W3" i="1"/>
  <c r="V3" i="1"/>
  <c r="U3" i="1"/>
  <c r="S3" i="1"/>
  <c r="Q3" i="1"/>
  <c r="P3" i="1"/>
  <c r="O3" i="1"/>
  <c r="N3" i="1"/>
  <c r="M3" i="1"/>
  <c r="K3" i="1"/>
  <c r="L3" i="1" s="1"/>
  <c r="AW2" i="1"/>
  <c r="AV2" i="1"/>
  <c r="U2" i="1" s="1"/>
  <c r="AT2" i="1"/>
  <c r="T2" i="1" s="1"/>
  <c r="AS2" i="1"/>
  <c r="AR2" i="1"/>
  <c r="S2" i="1" s="1"/>
  <c r="AP2" i="1"/>
  <c r="R2" i="1" s="1"/>
  <c r="AA2" i="1"/>
  <c r="Z2" i="1"/>
  <c r="Y2" i="1"/>
  <c r="X2" i="1"/>
  <c r="W2" i="1"/>
  <c r="V2" i="1"/>
  <c r="Q2" i="1"/>
  <c r="P2" i="1"/>
  <c r="O2" i="1"/>
  <c r="N2" i="1"/>
  <c r="K2" i="1"/>
  <c r="L2" i="1" s="1"/>
  <c r="M24" i="1" l="1"/>
  <c r="M4" i="1"/>
  <c r="W8" i="1"/>
  <c r="N24" i="1"/>
  <c r="L27" i="1"/>
  <c r="M29" i="1"/>
  <c r="L49" i="1"/>
  <c r="X8" i="1"/>
  <c r="L21" i="1"/>
  <c r="N15" i="1"/>
  <c r="V17" i="1"/>
  <c r="M20" i="1"/>
  <c r="N27" i="1"/>
  <c r="N33" i="1"/>
  <c r="V35" i="1"/>
  <c r="L36" i="1"/>
  <c r="X42" i="1"/>
  <c r="N49" i="1"/>
  <c r="V50" i="1"/>
  <c r="V54" i="1"/>
  <c r="W58" i="1"/>
  <c r="M2" i="1"/>
  <c r="M10" i="1"/>
  <c r="W17" i="1"/>
  <c r="N20" i="1"/>
  <c r="V30" i="1"/>
  <c r="W35" i="1"/>
  <c r="R36" i="1"/>
  <c r="M40" i="1"/>
  <c r="M48" i="1"/>
  <c r="W50" i="1"/>
  <c r="L51" i="1"/>
  <c r="W54" i="1"/>
  <c r="AC55" i="1"/>
  <c r="L55" i="1" s="1"/>
  <c r="X58" i="1"/>
  <c r="L28" i="1"/>
  <c r="M34" i="1"/>
  <c r="W42" i="1"/>
  <c r="M49" i="1"/>
  <c r="M9" i="1"/>
  <c r="N10" i="1"/>
  <c r="M18" i="1"/>
  <c r="W30" i="1"/>
  <c r="X35" i="1"/>
  <c r="X50" i="1"/>
  <c r="M51" i="1"/>
  <c r="X54" i="1"/>
  <c r="N14" i="1"/>
  <c r="V20" i="1"/>
  <c r="M22" i="1"/>
  <c r="N26" i="1"/>
  <c r="W41" i="1"/>
  <c r="L46" i="1"/>
  <c r="N47" i="1"/>
  <c r="L41" i="1"/>
  <c r="L29" i="1"/>
  <c r="M8" i="1"/>
  <c r="M16" i="1"/>
  <c r="N8" i="1"/>
  <c r="L13" i="1"/>
  <c r="V41" i="1"/>
  <c r="M47" i="1"/>
  <c r="V4" i="1"/>
  <c r="N13" i="1"/>
  <c r="O14" i="1"/>
  <c r="W16" i="1"/>
  <c r="AE19" i="1"/>
  <c r="M19" i="1" s="1"/>
  <c r="V24" i="1"/>
  <c r="V29" i="1"/>
  <c r="V34" i="1"/>
  <c r="L35" i="1"/>
  <c r="X41" i="1"/>
  <c r="M50" i="1"/>
  <c r="AC54" i="1"/>
  <c r="L54" i="1" s="1"/>
  <c r="V57" i="1"/>
  <c r="W4" i="1"/>
  <c r="X6" i="1"/>
  <c r="V7" i="1"/>
  <c r="V8" i="1"/>
  <c r="X16" i="1"/>
  <c r="AG19" i="1"/>
  <c r="N19" i="1" s="1"/>
  <c r="W20" i="1"/>
  <c r="W24" i="1"/>
  <c r="X29" i="1"/>
  <c r="W34" i="1"/>
  <c r="M39" i="1"/>
  <c r="N43" i="1"/>
  <c r="N50" i="1"/>
  <c r="AC53" i="1"/>
  <c r="L53" i="1" s="1"/>
  <c r="AE54" i="1"/>
  <c r="M54" i="1" s="1"/>
  <c r="W57" i="1"/>
  <c r="L7" i="1"/>
  <c r="X30" i="1"/>
  <c r="N17" i="1"/>
  <c r="X24" i="1"/>
  <c r="V28" i="1"/>
  <c r="V49" i="1"/>
  <c r="AE53" i="1"/>
  <c r="M53" i="1" s="1"/>
  <c r="W7" i="1"/>
  <c r="BA19" i="1"/>
  <c r="W19" i="1" s="1"/>
  <c r="M21" i="1"/>
  <c r="W27" i="1"/>
  <c r="X28" i="1"/>
  <c r="W33" i="1"/>
  <c r="M36" i="1"/>
  <c r="W49" i="1"/>
  <c r="AG53" i="1"/>
  <c r="N53" i="1" s="1"/>
  <c r="X4" i="1"/>
  <c r="AY19" i="1"/>
  <c r="V19" i="1" s="1"/>
  <c r="V27" i="1"/>
  <c r="X34" i="1"/>
  <c r="BC19" i="1"/>
  <c r="X19" i="1" s="1"/>
  <c r="X33" i="1"/>
  <c r="X37" i="1"/>
  <c r="L45" i="1"/>
  <c r="L60" i="1"/>
  <c r="V64" i="1"/>
  <c r="N41" i="1"/>
  <c r="X7" i="1"/>
  <c r="L20" i="1"/>
  <c r="L34" i="1"/>
  <c r="L42" i="1"/>
  <c r="AC57" i="1"/>
  <c r="L57" i="1" s="1"/>
  <c r="W64" i="1"/>
  <c r="BA53" i="1"/>
  <c r="W53" i="1" s="1"/>
  <c r="BC53" i="1"/>
  <c r="X53" i="1" s="1"/>
  <c r="N63" i="1"/>
  <c r="W15" i="6"/>
  <c r="M43" i="6"/>
  <c r="V24" i="6"/>
  <c r="N43" i="6"/>
  <c r="N50" i="6"/>
  <c r="BA53" i="6"/>
  <c r="W53" i="6" s="1"/>
  <c r="V6" i="6"/>
  <c r="L48" i="6"/>
  <c r="W6" i="6"/>
  <c r="X15" i="6"/>
  <c r="X6" i="6"/>
  <c r="N38" i="6"/>
  <c r="V48" i="6"/>
  <c r="M15" i="6"/>
  <c r="W24" i="6"/>
  <c r="V8" i="6"/>
  <c r="N15" i="6"/>
  <c r="V23" i="6"/>
  <c r="X24" i="6"/>
  <c r="BC53" i="6"/>
  <c r="X53" i="6" s="1"/>
  <c r="W63" i="6"/>
  <c r="X23" i="6"/>
  <c r="AY32" i="6"/>
  <c r="V32" i="6" s="1"/>
  <c r="AC39" i="6"/>
  <c r="L39" i="6" s="1"/>
  <c r="V62" i="6"/>
  <c r="W62" i="6"/>
  <c r="W8" i="6"/>
  <c r="V38" i="6"/>
  <c r="L7" i="6"/>
  <c r="L13" i="6"/>
  <c r="V26" i="6"/>
  <c r="W38" i="6"/>
  <c r="X62" i="6"/>
  <c r="M7" i="6"/>
  <c r="X7" i="6"/>
  <c r="P13" i="6"/>
  <c r="W26" i="6"/>
  <c r="X38" i="6"/>
  <c r="V43" i="6"/>
  <c r="AE62" i="6"/>
  <c r="M62" i="6" s="1"/>
  <c r="V10" i="6"/>
  <c r="AY19" i="6"/>
  <c r="V19" i="6" s="1"/>
  <c r="V25" i="6"/>
  <c r="L63" i="6"/>
  <c r="L12" i="6"/>
  <c r="M18" i="6"/>
  <c r="M23" i="6"/>
  <c r="V36" i="6"/>
  <c r="V46" i="6"/>
  <c r="M63" i="6"/>
  <c r="N6" i="6"/>
  <c r="V13" i="6"/>
  <c r="AE19" i="6"/>
  <c r="M19" i="6" s="1"/>
  <c r="L38" i="6"/>
  <c r="AG62" i="6"/>
  <c r="N62" i="6" s="1"/>
  <c r="W10" i="6"/>
  <c r="AG19" i="6"/>
  <c r="N19" i="6" s="1"/>
  <c r="M24" i="6"/>
  <c r="X40" i="6"/>
  <c r="L23" i="6"/>
  <c r="N24" i="6"/>
  <c r="W25" i="6"/>
  <c r="M14" i="6"/>
  <c r="M17" i="6"/>
  <c r="N18" i="6"/>
  <c r="X25" i="6"/>
  <c r="W36" i="6"/>
  <c r="L44" i="6"/>
  <c r="W46" i="6"/>
  <c r="AC61" i="6"/>
  <c r="L61" i="6" s="1"/>
  <c r="N63" i="6"/>
  <c r="W14" i="6"/>
  <c r="V15" i="6"/>
  <c r="N17" i="6"/>
  <c r="M28" i="6"/>
  <c r="L37" i="6"/>
  <c r="AC40" i="6"/>
  <c r="L40" i="6" s="1"/>
  <c r="N44" i="6"/>
  <c r="V45" i="6"/>
  <c r="N51" i="6"/>
  <c r="V60" i="6"/>
  <c r="L64" i="6"/>
  <c r="L58" i="6"/>
  <c r="L4" i="6"/>
  <c r="L11" i="6"/>
  <c r="M4" i="6"/>
  <c r="AK14" i="6"/>
  <c r="P14" i="6" s="1"/>
  <c r="L30" i="6"/>
  <c r="N33" i="6"/>
  <c r="M34" i="6"/>
  <c r="L41" i="6"/>
  <c r="M64" i="6"/>
  <c r="M5" i="6"/>
  <c r="M35" i="6"/>
  <c r="N35" i="6"/>
  <c r="N42" i="6"/>
  <c r="N31" i="6"/>
  <c r="L3" i="6"/>
  <c r="M13" i="6"/>
  <c r="L46" i="6"/>
  <c r="L49" i="6"/>
  <c r="M8" i="6"/>
  <c r="M9" i="6"/>
  <c r="M42" i="6"/>
  <c r="L50" i="6"/>
  <c r="M10" i="6"/>
  <c r="N64" i="6"/>
  <c r="N30" i="6"/>
  <c r="N41" i="6"/>
  <c r="N2" i="6"/>
  <c r="M3" i="6"/>
  <c r="N13" i="6"/>
  <c r="L28" i="6"/>
  <c r="L29" i="6"/>
  <c r="M47" i="6"/>
  <c r="M48" i="6"/>
  <c r="M49" i="6"/>
  <c r="L5" i="6"/>
  <c r="N5" i="6"/>
  <c r="N58" i="6"/>
  <c r="M31" i="6"/>
  <c r="N12" i="6"/>
  <c r="L27" i="6"/>
  <c r="N3" i="6"/>
  <c r="V5" i="6"/>
  <c r="N27" i="6"/>
  <c r="M29" i="6"/>
  <c r="M40" i="6"/>
  <c r="N47" i="6"/>
  <c r="N48" i="6"/>
  <c r="N49" i="6"/>
  <c r="L52" i="6"/>
  <c r="N4" i="6"/>
  <c r="V31" i="6"/>
  <c r="W54" i="6"/>
  <c r="W55" i="6"/>
  <c r="W56" i="6"/>
  <c r="W57" i="6"/>
  <c r="X58" i="6"/>
  <c r="AC59" i="6"/>
  <c r="L59" i="6" s="1"/>
  <c r="L8" i="6"/>
  <c r="L35" i="6"/>
  <c r="N8" i="6"/>
  <c r="L31" i="6"/>
  <c r="M50" i="6"/>
  <c r="AM14" i="6"/>
  <c r="Q14" i="6" s="1"/>
  <c r="M2" i="6"/>
  <c r="N28" i="6"/>
  <c r="X5" i="6"/>
  <c r="V56" i="6"/>
  <c r="W42" i="6"/>
  <c r="W51" i="6"/>
  <c r="N26" i="6"/>
  <c r="X35" i="6"/>
  <c r="X42" i="6"/>
  <c r="X55" i="6"/>
  <c r="V4" i="6"/>
  <c r="BA19" i="6"/>
  <c r="W19" i="6" s="1"/>
  <c r="L25" i="6"/>
  <c r="X31" i="6"/>
  <c r="AC32" i="6"/>
  <c r="L32" i="6" s="1"/>
  <c r="W33" i="6"/>
  <c r="V34" i="6"/>
  <c r="W50" i="6"/>
  <c r="AE53" i="6"/>
  <c r="M53" i="6" s="1"/>
  <c r="AG59" i="6"/>
  <c r="N59" i="6" s="1"/>
  <c r="V64" i="6"/>
  <c r="L9" i="6"/>
  <c r="M52" i="6"/>
  <c r="N40" i="6"/>
  <c r="V52" i="6"/>
  <c r="W52" i="6"/>
  <c r="V54" i="6"/>
  <c r="V57" i="6"/>
  <c r="M45" i="6"/>
  <c r="N45" i="6"/>
  <c r="X51" i="6"/>
  <c r="AC53" i="6"/>
  <c r="L53" i="6" s="1"/>
  <c r="X56" i="6"/>
  <c r="W4" i="6"/>
  <c r="X10" i="6"/>
  <c r="M25" i="6"/>
  <c r="V30" i="6"/>
  <c r="AE32" i="6"/>
  <c r="M32" i="6" s="1"/>
  <c r="X33" i="6"/>
  <c r="W34" i="6"/>
  <c r="V41" i="6"/>
  <c r="X50" i="6"/>
  <c r="AG53" i="6"/>
  <c r="N53" i="6" s="1"/>
  <c r="W64" i="6"/>
  <c r="L42" i="6"/>
  <c r="L51" i="6"/>
  <c r="M51" i="6"/>
  <c r="M12" i="6"/>
  <c r="N34" i="6"/>
  <c r="V58" i="6"/>
  <c r="L26" i="6"/>
  <c r="V35" i="6"/>
  <c r="V55" i="6"/>
  <c r="W58" i="6"/>
  <c r="M39" i="6"/>
  <c r="X52" i="6"/>
  <c r="V33" i="6"/>
  <c r="X54" i="6"/>
  <c r="X57" i="6"/>
  <c r="V2" i="6"/>
  <c r="W12" i="6"/>
  <c r="W30" i="6"/>
  <c r="W41" i="6"/>
  <c r="M30" i="6"/>
  <c r="M41" i="6"/>
  <c r="N29" i="6"/>
  <c r="W2" i="6"/>
  <c r="V3" i="6"/>
  <c r="W13" i="6"/>
  <c r="V27" i="6"/>
  <c r="V49" i="6"/>
  <c r="AC54" i="6"/>
  <c r="L54" i="6" s="1"/>
  <c r="AC55" i="6"/>
  <c r="L55" i="6" s="1"/>
  <c r="AC56" i="6"/>
  <c r="L56" i="6" s="1"/>
  <c r="AC57" i="6"/>
  <c r="L57" i="6" s="1"/>
  <c r="W3" i="6"/>
  <c r="L6" i="6"/>
  <c r="W27" i="6"/>
  <c r="V28" i="6"/>
  <c r="V29" i="6"/>
  <c r="V40" i="6"/>
  <c r="W47" i="6"/>
  <c r="W48" i="6"/>
  <c r="W49" i="6"/>
  <c r="AE54" i="6"/>
  <c r="M54" i="6" s="1"/>
  <c r="AE55" i="6"/>
  <c r="M55" i="6" s="1"/>
  <c r="AE56" i="6"/>
  <c r="M56" i="6" s="1"/>
  <c r="AE57" i="6"/>
  <c r="M57" i="6" s="1"/>
  <c r="W63" i="1"/>
  <c r="L17" i="1"/>
  <c r="L25" i="1"/>
  <c r="W14" i="1"/>
  <c r="X63" i="1"/>
  <c r="M5" i="1"/>
  <c r="W39" i="1"/>
  <c r="L52" i="1"/>
  <c r="L58" i="1"/>
  <c r="W62" i="1"/>
  <c r="N18" i="1"/>
  <c r="N6" i="1"/>
  <c r="V16" i="1"/>
  <c r="M52" i="1"/>
  <c r="V25" i="1"/>
  <c r="L31" i="1"/>
  <c r="AC40" i="1"/>
  <c r="L40" i="1" s="1"/>
  <c r="N52" i="1"/>
  <c r="N58" i="1"/>
  <c r="W61" i="1"/>
  <c r="M25" i="1"/>
  <c r="N37" i="1"/>
  <c r="N5" i="1"/>
  <c r="M58" i="1"/>
  <c r="V61" i="1"/>
  <c r="V15" i="1"/>
  <c r="W25" i="1"/>
  <c r="M31" i="1"/>
  <c r="V38" i="1"/>
  <c r="V44" i="1"/>
  <c r="X61" i="1"/>
  <c r="L15" i="1"/>
  <c r="L18" i="1"/>
  <c r="L4" i="1"/>
  <c r="W15" i="1"/>
  <c r="X17" i="1"/>
  <c r="X25" i="1"/>
  <c r="W38" i="1"/>
  <c r="W44" i="1"/>
  <c r="L64" i="1"/>
  <c r="X18" i="1"/>
  <c r="X38" i="1"/>
  <c r="X44" i="1"/>
  <c r="V60" i="1"/>
  <c r="AC62" i="1"/>
  <c r="L62" i="1" s="1"/>
  <c r="M64" i="1"/>
  <c r="L16" i="1"/>
  <c r="L5" i="1"/>
  <c r="X14" i="1"/>
  <c r="X15" i="1"/>
  <c r="V6" i="1"/>
  <c r="V37" i="1"/>
  <c r="V59" i="1"/>
  <c r="W60" i="1"/>
  <c r="AE62" i="1"/>
  <c r="M62" i="1" s="1"/>
  <c r="L44" i="1"/>
  <c r="W6" i="1"/>
  <c r="W37" i="1"/>
  <c r="V43" i="1"/>
  <c r="X60" i="1"/>
  <c r="AC61" i="1"/>
  <c r="L61" i="1" s="1"/>
  <c r="AE61" i="1"/>
  <c r="M61" i="1" s="1"/>
  <c r="L14" i="1"/>
  <c r="L63" i="1"/>
  <c r="N28" i="1"/>
  <c r="N29" i="1"/>
  <c r="M63" i="1"/>
  <c r="L38" i="1"/>
  <c r="M15" i="1"/>
  <c r="M38" i="1"/>
  <c r="M44" i="1"/>
  <c r="M60" i="1"/>
  <c r="L6" i="1"/>
  <c r="M7" i="1"/>
</calcChain>
</file>

<file path=xl/sharedStrings.xml><?xml version="1.0" encoding="utf-8"?>
<sst xmlns="http://schemas.openxmlformats.org/spreadsheetml/2006/main" count="715" uniqueCount="355">
  <si>
    <t>Sources</t>
  </si>
  <si>
    <t>Insulators string distance:IEC 60071-2 Insulation co-ordination application guite part 2 (creepage distance). AND IEC 60305 IEC Insulators classes</t>
  </si>
  <si>
    <t>EPRI Transmission reference book</t>
  </si>
  <si>
    <t>Stevenson, Grainger</t>
  </si>
  <si>
    <t>typical bundling</t>
  </si>
  <si>
    <t>Oregon state U</t>
  </si>
  <si>
    <t>Section 4 Transmission Lines.pdf (oregonstate.edu)</t>
  </si>
  <si>
    <t>number</t>
  </si>
  <si>
    <t>state</t>
  </si>
  <si>
    <t>abreviation</t>
  </si>
  <si>
    <t>bordering_states</t>
  </si>
  <si>
    <t>n_bordering_states</t>
  </si>
  <si>
    <t>Alabama</t>
  </si>
  <si>
    <t>AL</t>
  </si>
  <si>
    <t>Mississippi, Tennessee, Florida, Georgia</t>
  </si>
  <si>
    <t>Alaska</t>
  </si>
  <si>
    <t>AK</t>
  </si>
  <si>
    <t>None</t>
  </si>
  <si>
    <t>Arizona</t>
  </si>
  <si>
    <t>AZ</t>
  </si>
  <si>
    <t>Nevada, New Mexico, Utah, California, Colorado</t>
  </si>
  <si>
    <t>Arkansas</t>
  </si>
  <si>
    <t>AR</t>
  </si>
  <si>
    <t>Oklahoma, Tennessee, Texas, Louisiana, Mississippi, Missouri</t>
  </si>
  <si>
    <t>California</t>
  </si>
  <si>
    <t>CA</t>
  </si>
  <si>
    <t>Oregon, Arizona, Nevada</t>
  </si>
  <si>
    <t>Colorado</t>
  </si>
  <si>
    <t>CO</t>
  </si>
  <si>
    <t>New Mexico, Oklahoma, Utah, Wyoming, Arizona, Kansas, Nebraska</t>
  </si>
  <si>
    <t>Connecticut</t>
  </si>
  <si>
    <t>CT</t>
  </si>
  <si>
    <t>New York, Rhode Island, Massachusetts</t>
  </si>
  <si>
    <t>Delaware</t>
  </si>
  <si>
    <t>DE</t>
  </si>
  <si>
    <t>New Jersey, Pennsylvania, Maryland</t>
  </si>
  <si>
    <t>Florida</t>
  </si>
  <si>
    <t>FL</t>
  </si>
  <si>
    <t>Georgia, Alabama</t>
  </si>
  <si>
    <t>Georgia</t>
  </si>
  <si>
    <t>GA</t>
  </si>
  <si>
    <t>North Carolina, South Carolina, Tennessee, Alabama, Florida</t>
  </si>
  <si>
    <t>Hawaii</t>
  </si>
  <si>
    <t>HI</t>
  </si>
  <si>
    <t>Idaho</t>
  </si>
  <si>
    <t>ID</t>
  </si>
  <si>
    <t>Utah, Washington, Wyoming, Montana, Nevada, Oregon</t>
  </si>
  <si>
    <t>Illinois</t>
  </si>
  <si>
    <t>IL</t>
  </si>
  <si>
    <t>Kentucky, Missouri, Wisconsin, Indiana, Iowa, Michigan (water border only)</t>
  </si>
  <si>
    <t>Indiana</t>
  </si>
  <si>
    <t>IN</t>
  </si>
  <si>
    <t>Michigan, Ohio, Illinois, Kentucky</t>
  </si>
  <si>
    <t>Iowa</t>
  </si>
  <si>
    <t>IA</t>
  </si>
  <si>
    <t>Nebraska, South Dakota, Wisconsin, Illinois, Minnesota, Missouri</t>
  </si>
  <si>
    <t>Kansas</t>
  </si>
  <si>
    <t>KS</t>
  </si>
  <si>
    <t>Nebraska, Oklahoma, Colorado, Missouri</t>
  </si>
  <si>
    <t>Kentucky</t>
  </si>
  <si>
    <t>KY</t>
  </si>
  <si>
    <t>Tennessee, Virginia, West Virginia, Illinois, Indiana, Missouri, Ohio</t>
  </si>
  <si>
    <t>Louisiana</t>
  </si>
  <si>
    <t>LA</t>
  </si>
  <si>
    <t>Texas, Arkansas, Mississippi</t>
  </si>
  <si>
    <t>Maine</t>
  </si>
  <si>
    <t>ME</t>
  </si>
  <si>
    <t>New Hampshire</t>
  </si>
  <si>
    <t>Maryland</t>
  </si>
  <si>
    <t>MD</t>
  </si>
  <si>
    <t>Virginia, West Virginia, Delaware, Pennsylvania</t>
  </si>
  <si>
    <t>Massachusetts</t>
  </si>
  <si>
    <t>MA</t>
  </si>
  <si>
    <t>New York, Rhode Island, Vermont, Connecticut, New Hampshire</t>
  </si>
  <si>
    <t>Michigan</t>
  </si>
  <si>
    <t>MI</t>
  </si>
  <si>
    <t>Ohio, Wisconsin, Illinois, Indiana, Minnesota (water border)</t>
  </si>
  <si>
    <t>Minnesota</t>
  </si>
  <si>
    <t>MN</t>
  </si>
  <si>
    <t>North Dakota, South Dakota, Wisconsin, Iowa, Michigan (water border)</t>
  </si>
  <si>
    <t>Mississippi</t>
  </si>
  <si>
    <t>MS</t>
  </si>
  <si>
    <t>Louisiana, Tennessee, Alabama, Arkansas</t>
  </si>
  <si>
    <t>Missouri</t>
  </si>
  <si>
    <t>MO</t>
  </si>
  <si>
    <t>Nebraska, Oklahoma, Tennessee, Arkansas, Illinois, Iowa, Kansas, Kentucky</t>
  </si>
  <si>
    <t>Montana</t>
  </si>
  <si>
    <t>MT</t>
  </si>
  <si>
    <t>South Dakota, Wyoming, Idaho, North Dakota</t>
  </si>
  <si>
    <t>Nebraska</t>
  </si>
  <si>
    <t>NE</t>
  </si>
  <si>
    <t>Missouri, South Dakota, Wyoming, Colorado, Iowa, Kansas,</t>
  </si>
  <si>
    <t>Nevada</t>
  </si>
  <si>
    <t>NV</t>
  </si>
  <si>
    <t>Idaho, Oregon, Utah, Arizona, California</t>
  </si>
  <si>
    <t>NH</t>
  </si>
  <si>
    <t>Vermont, Maine, Massachusetts</t>
  </si>
  <si>
    <t>New Jersey</t>
  </si>
  <si>
    <t>NJ</t>
  </si>
  <si>
    <t>Pennsylvania, Delaware, New York</t>
  </si>
  <si>
    <t>New Mexico</t>
  </si>
  <si>
    <t>NM</t>
  </si>
  <si>
    <t>Oklahoma, Texas, Utah, Arizona, Colorado</t>
  </si>
  <si>
    <t>New York</t>
  </si>
  <si>
    <t>NY</t>
  </si>
  <si>
    <t>Pennsylvania, Rhode Island (water border), Vermont, Connecticut, Massachusetts, New Jersey</t>
  </si>
  <si>
    <t>North Carolina</t>
  </si>
  <si>
    <t>NC</t>
  </si>
  <si>
    <t>Tennessee, Virginia, Georgia, South Carolina</t>
  </si>
  <si>
    <t>North Dakota</t>
  </si>
  <si>
    <t>ND</t>
  </si>
  <si>
    <t>South Dakota, Minnesota, Montana</t>
  </si>
  <si>
    <t>Ohio</t>
  </si>
  <si>
    <t>OH</t>
  </si>
  <si>
    <t>Michigan, Pennsylvania, West Virginia, Indiana, Kentucky</t>
  </si>
  <si>
    <t>Oklahoma</t>
  </si>
  <si>
    <t>OK</t>
  </si>
  <si>
    <t>Missouri, New Mexico, Texas, Arkansas, Colorado, Kansas</t>
  </si>
  <si>
    <t>Oregon</t>
  </si>
  <si>
    <t>OR</t>
  </si>
  <si>
    <t>Nevada, Washington, California, Idaho</t>
  </si>
  <si>
    <t>Pennsylvania</t>
  </si>
  <si>
    <t>PA</t>
  </si>
  <si>
    <t>New York, Ohio, West Virginia, Delaware, Maryland, New Jersey</t>
  </si>
  <si>
    <t>Rhode Island</t>
  </si>
  <si>
    <t>RI</t>
  </si>
  <si>
    <t>Massachusetts, New York (water border), Connecticut</t>
  </si>
  <si>
    <t>South Carolina</t>
  </si>
  <si>
    <t>SC</t>
  </si>
  <si>
    <t>North Carolina, Georgia,</t>
  </si>
  <si>
    <t>South Dakota</t>
  </si>
  <si>
    <t>SD</t>
  </si>
  <si>
    <t>Nebraska, North Dakota, Wyoming, Iowa, Minnesota, Montana</t>
  </si>
  <si>
    <t>Tennessee</t>
  </si>
  <si>
    <t>TN</t>
  </si>
  <si>
    <t>Mississippi, Missouri, North Carolina, Virginia, Alabama, Arkansas, Georgia, Kentucky</t>
  </si>
  <si>
    <t>Texas</t>
  </si>
  <si>
    <t>TX</t>
  </si>
  <si>
    <t>New Mexico, Oklahoma, Arkansas, Louisiana</t>
  </si>
  <si>
    <t>Utah</t>
  </si>
  <si>
    <t>UT</t>
  </si>
  <si>
    <t>Nevada, New Mexico, Wyoming, Arizona, Colorado, Idaho</t>
  </si>
  <si>
    <t>Vermont</t>
  </si>
  <si>
    <t>VT</t>
  </si>
  <si>
    <t>New Hampshire, New York, Massachusetts</t>
  </si>
  <si>
    <t>Virginia</t>
  </si>
  <si>
    <t>VA</t>
  </si>
  <si>
    <t>North Carolina, Tennessee, West Virginia, Kentucky, Maryland</t>
  </si>
  <si>
    <t>Washington</t>
  </si>
  <si>
    <t>WA</t>
  </si>
  <si>
    <t>Oregon, Idaho</t>
  </si>
  <si>
    <t>West Virginia</t>
  </si>
  <si>
    <t>WV</t>
  </si>
  <si>
    <t>Pennsylvania, Virginia, Kentucky, Maryland, Ohio</t>
  </si>
  <si>
    <t>Wisconsin</t>
  </si>
  <si>
    <t>WI</t>
  </si>
  <si>
    <t>Michigan, Minnesota, Illinois, Iowa</t>
  </si>
  <si>
    <t>Wyoming</t>
  </si>
  <si>
    <t>WY</t>
  </si>
  <si>
    <t>Nebraska, South Dakota, Utah, Colorado, Idaho, Montana</t>
  </si>
  <si>
    <t>code</t>
  </si>
  <si>
    <t>structure_type</t>
  </si>
  <si>
    <t>company</t>
  </si>
  <si>
    <t>miles</t>
  </si>
  <si>
    <t>conductor_type</t>
  </si>
  <si>
    <t>conductor_name</t>
  </si>
  <si>
    <t>conductor_diameter_inch</t>
  </si>
  <si>
    <t>conductor_stranding</t>
  </si>
  <si>
    <t>bundling</t>
  </si>
  <si>
    <t>bundling_spacing_inch</t>
  </si>
  <si>
    <t>ground_Type</t>
  </si>
  <si>
    <t>ground_diameter_inch</t>
  </si>
  <si>
    <t>n_circuits</t>
  </si>
  <si>
    <t>n_ground_w</t>
  </si>
  <si>
    <t>voltage_kv</t>
  </si>
  <si>
    <t>Creep_Dist_mm_kv</t>
  </si>
  <si>
    <t>Insul_Creep_Dist_mm</t>
  </si>
  <si>
    <t>Insul_Spac_mm</t>
  </si>
  <si>
    <t>L_Ins_String_ft</t>
  </si>
  <si>
    <r>
      <t>ha</t>
    </r>
    <r>
      <rPr>
        <b/>
        <sz val="11"/>
        <color rgb="FF000000"/>
        <rFont val="Aptos Narrow"/>
        <family val="2"/>
      </rPr>
      <t>1t_</t>
    </r>
    <r>
      <rPr>
        <b/>
        <sz val="11"/>
        <color rgb="FF000000"/>
        <rFont val="Aptos Narrow"/>
        <family val="2"/>
      </rPr>
      <t>ft</t>
    </r>
  </si>
  <si>
    <r>
      <t>hb</t>
    </r>
    <r>
      <rPr>
        <b/>
        <sz val="11"/>
        <color rgb="FF000000"/>
        <rFont val="Aptos Narrow"/>
        <family val="2"/>
      </rPr>
      <t>1t</t>
    </r>
    <r>
      <rPr>
        <b/>
        <sz val="11"/>
        <color rgb="FF000000"/>
        <rFont val="Aptos Narrow"/>
        <family val="2"/>
      </rPr>
      <t>_ft</t>
    </r>
  </si>
  <si>
    <r>
      <t>hc</t>
    </r>
    <r>
      <rPr>
        <b/>
        <sz val="11"/>
        <color rgb="FF000000"/>
        <rFont val="Aptos Narrow"/>
        <family val="2"/>
      </rPr>
      <t>1t_ft</t>
    </r>
  </si>
  <si>
    <r>
      <t>Sa</t>
    </r>
    <r>
      <rPr>
        <b/>
        <sz val="11"/>
        <color rgb="FF000000"/>
        <rFont val="Aptos Narrow"/>
        <family val="2"/>
      </rPr>
      <t>1t_ft</t>
    </r>
  </si>
  <si>
    <r>
      <t>Sb</t>
    </r>
    <r>
      <rPr>
        <b/>
        <sz val="11"/>
        <color rgb="FF000000"/>
        <rFont val="Aptos Narrow"/>
        <family val="2"/>
      </rPr>
      <t>1t_ft</t>
    </r>
  </si>
  <si>
    <r>
      <t>Sc</t>
    </r>
    <r>
      <rPr>
        <b/>
        <sz val="11"/>
        <color rgb="FF000000"/>
        <rFont val="Aptos Narrow"/>
        <family val="2"/>
      </rPr>
      <t>1t_ft</t>
    </r>
  </si>
  <si>
    <r>
      <t>hg1</t>
    </r>
    <r>
      <rPr>
        <b/>
        <sz val="11"/>
        <color rgb="FF000000"/>
        <rFont val="Aptos Narrow"/>
        <family val="2"/>
      </rPr>
      <t>1t_ft</t>
    </r>
  </si>
  <si>
    <r>
      <t>Sg1</t>
    </r>
    <r>
      <rPr>
        <b/>
        <sz val="11"/>
        <color rgb="FF000000"/>
        <rFont val="Aptos Narrow"/>
        <family val="2"/>
      </rPr>
      <t>1t_ft</t>
    </r>
  </si>
  <si>
    <r>
      <t>hg2</t>
    </r>
    <r>
      <rPr>
        <b/>
        <sz val="11"/>
        <color rgb="FF000000"/>
        <rFont val="Aptos Narrow"/>
        <family val="2"/>
      </rPr>
      <t>1t_ft</t>
    </r>
  </si>
  <si>
    <r>
      <t>Sg2</t>
    </r>
    <r>
      <rPr>
        <b/>
        <sz val="11"/>
        <color rgb="FF000000"/>
        <rFont val="Aptos Narrow"/>
        <family val="2"/>
      </rPr>
      <t>1t_ft</t>
    </r>
  </si>
  <si>
    <r>
      <t>ha</t>
    </r>
    <r>
      <rPr>
        <b/>
        <sz val="11"/>
        <color rgb="FF000000"/>
        <rFont val="Aptos Narrow"/>
        <family val="2"/>
      </rPr>
      <t>2t_ft</t>
    </r>
  </si>
  <si>
    <r>
      <t>hb</t>
    </r>
    <r>
      <rPr>
        <b/>
        <sz val="11"/>
        <color rgb="FF000000"/>
        <rFont val="Aptos Narrow"/>
        <family val="2"/>
      </rPr>
      <t>2t_ft</t>
    </r>
  </si>
  <si>
    <r>
      <t>hc</t>
    </r>
    <r>
      <rPr>
        <b/>
        <sz val="11"/>
        <color rgb="FF000000"/>
        <rFont val="Aptos Narrow"/>
        <family val="2"/>
      </rPr>
      <t>2t_ft</t>
    </r>
  </si>
  <si>
    <r>
      <t>Sa</t>
    </r>
    <r>
      <rPr>
        <b/>
        <sz val="11"/>
        <color rgb="FF000000"/>
        <rFont val="Aptos Narrow"/>
        <family val="2"/>
      </rPr>
      <t>2t_ft</t>
    </r>
  </si>
  <si>
    <r>
      <t>Sb</t>
    </r>
    <r>
      <rPr>
        <b/>
        <sz val="11"/>
        <color rgb="FF000000"/>
        <rFont val="Aptos Narrow"/>
        <family val="2"/>
      </rPr>
      <t>2t_ft</t>
    </r>
  </si>
  <si>
    <r>
      <t>Sc</t>
    </r>
    <r>
      <rPr>
        <b/>
        <sz val="11"/>
        <color rgb="FF000000"/>
        <rFont val="Aptos Narrow"/>
        <family val="2"/>
      </rPr>
      <t>2t_ft</t>
    </r>
  </si>
  <si>
    <r>
      <t>h</t>
    </r>
    <r>
      <rPr>
        <b/>
        <sz val="11"/>
        <color rgb="FF000000"/>
        <rFont val="Aptos Narrow"/>
        <family val="2"/>
      </rPr>
      <t>a1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</si>
  <si>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a1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</si>
  <si>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b1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</si>
  <si>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b1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</si>
  <si>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c1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</si>
  <si>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c1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</si>
  <si>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a1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</si>
  <si>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a1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</si>
  <si>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b1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</si>
  <si>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b1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</si>
  <si>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c1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</si>
  <si>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c1</t>
    </r>
    <r>
      <rPr>
        <b/>
        <sz val="11"/>
        <color rgb="FF000000"/>
        <rFont val="Aptos Narrow"/>
        <family val="2"/>
      </rPr>
      <t xml:space="preserve"> (inch)</t>
    </r>
  </si>
  <si>
    <r>
      <t>hg1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(ft)</t>
    </r>
  </si>
  <si>
    <r>
      <t>hg1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(inch)</t>
    </r>
  </si>
  <si>
    <r>
      <t>Sg1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(ft)</t>
    </r>
  </si>
  <si>
    <r>
      <t>Sg1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(inch)</t>
    </r>
  </si>
  <si>
    <r>
      <t>hg2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(ft)</t>
    </r>
  </si>
  <si>
    <r>
      <t>hg2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(inch)</t>
    </r>
  </si>
  <si>
    <r>
      <t>Sg2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(ft)</t>
    </r>
  </si>
  <si>
    <r>
      <t>Sg2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</si>
  <si>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a2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</si>
  <si>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a2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</si>
  <si>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b2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</si>
  <si>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b2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</si>
  <si>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c2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</si>
  <si>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c2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</si>
  <si>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a2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</si>
  <si>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a2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</si>
  <si>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b2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</si>
  <si>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b2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</si>
  <si>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c2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</si>
  <si>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c2</t>
    </r>
    <r>
      <rPr>
        <b/>
        <sz val="11"/>
        <color rgb="FF000000"/>
        <rFont val="Aptos Narrow"/>
        <family val="2"/>
      </rPr>
      <t xml:space="preserve"> (inch)</t>
    </r>
  </si>
  <si>
    <t>3L1</t>
  </si>
  <si>
    <t>Lattice</t>
  </si>
  <si>
    <t>Iowa Public Service Co</t>
  </si>
  <si>
    <t>3L2</t>
  </si>
  <si>
    <t>Indianapolis Power and Light Company, Western Power Area Administration</t>
  </si>
  <si>
    <t>Indiana, Colorado</t>
  </si>
  <si>
    <t>3L3</t>
  </si>
  <si>
    <t>Consumers Power Company</t>
  </si>
  <si>
    <t>3L4</t>
  </si>
  <si>
    <t>Pennsylvania Electric Co</t>
  </si>
  <si>
    <t>Pensylvania</t>
  </si>
  <si>
    <t>3L5</t>
  </si>
  <si>
    <t>Northern Indiana Public Service</t>
  </si>
  <si>
    <t>3L6</t>
  </si>
  <si>
    <t>Cleveland electric iluminating</t>
  </si>
  <si>
    <t>3L7</t>
  </si>
  <si>
    <t>Consolidated Edison Co</t>
  </si>
  <si>
    <t>3L8</t>
  </si>
  <si>
    <t>Oklahoma Gas &amp; Electric Co, American Electric Power Co</t>
  </si>
  <si>
    <t>Oklahoma, Ohio</t>
  </si>
  <si>
    <t>3L9</t>
  </si>
  <si>
    <t>Consumers Power Company, Indianapolis Power and Light Company</t>
  </si>
  <si>
    <t>Michigan, Indiana</t>
  </si>
  <si>
    <t>3L10</t>
  </si>
  <si>
    <t>Detroit Edison</t>
  </si>
  <si>
    <t>3L13</t>
  </si>
  <si>
    <t>Union electric company</t>
  </si>
  <si>
    <t>Missouri, Nebraska, Minnesota</t>
  </si>
  <si>
    <t>3L14</t>
  </si>
  <si>
    <t>Texas electric service &amp; Light Co</t>
  </si>
  <si>
    <t>3L15</t>
  </si>
  <si>
    <t>Commonwealth Edison Company</t>
  </si>
  <si>
    <t>Chicago</t>
  </si>
  <si>
    <t>3P1</t>
  </si>
  <si>
    <t>Pole</t>
  </si>
  <si>
    <t>Dayton Power &amp; Light company</t>
  </si>
  <si>
    <t>3P2</t>
  </si>
  <si>
    <t>Cleveland electric iluminating, Indianapolis Power and Light Company, Northeast Utilities</t>
  </si>
  <si>
    <t>Ohio, Indiana, New Hampshire, Massachusets, Connecticut</t>
  </si>
  <si>
    <t>3P3</t>
  </si>
  <si>
    <t>Northern States Power Company, Wisconsin Electric Power Co</t>
  </si>
  <si>
    <t>Minnesota, Wisconsin</t>
  </si>
  <si>
    <t>3P4</t>
  </si>
  <si>
    <t>Consolidated Edison Co, Houston Lightning Company, SouthWestern electric company</t>
  </si>
  <si>
    <t>New York, Texas, Arkansas, Lousiana, Texas</t>
  </si>
  <si>
    <t>3P5</t>
  </si>
  <si>
    <t>Utah Power and Light Company</t>
  </si>
  <si>
    <t>3P6</t>
  </si>
  <si>
    <t>3P7</t>
  </si>
  <si>
    <t>Illinois Power Company</t>
  </si>
  <si>
    <t>3P8</t>
  </si>
  <si>
    <t>3H1</t>
  </si>
  <si>
    <t>H frame</t>
  </si>
  <si>
    <t>Public Service Company of New Hampshire</t>
  </si>
  <si>
    <t>New Englad</t>
  </si>
  <si>
    <t>3H2</t>
  </si>
  <si>
    <t>3H3</t>
  </si>
  <si>
    <t>Niagara Mohawk Power Corporation, Illinois Power Company, Central Maine Power Co</t>
  </si>
  <si>
    <t>New York, Illinois, Maine, New Englad</t>
  </si>
  <si>
    <t>3H4</t>
  </si>
  <si>
    <t>Public Service Company of New Hampshire, Northeast Utilities, New York State Electric &amp; Gas, Vermont Electric Company, Wisconsin Public Service Corp</t>
  </si>
  <si>
    <t>New Hampshire, Massachusets, Connecticut, New York, Vermont, Wisconsin</t>
  </si>
  <si>
    <t>3H5</t>
  </si>
  <si>
    <t>El paso electric company</t>
  </si>
  <si>
    <t>Texas, New Mexico</t>
  </si>
  <si>
    <t>3H6</t>
  </si>
  <si>
    <t>Northern States Power Company, Wisconsin Electric Power Co, Kansas Gas &amp; Electric Co</t>
  </si>
  <si>
    <t>Minnesota, Wisconsin, Kansas</t>
  </si>
  <si>
    <t>3H7</t>
  </si>
  <si>
    <t>Public Service Company of New Mexico</t>
  </si>
  <si>
    <t>3H8</t>
  </si>
  <si>
    <t>3H9</t>
  </si>
  <si>
    <t>New Englad Electric System</t>
  </si>
  <si>
    <t>New Englad, New Hampshire, Massachusets</t>
  </si>
  <si>
    <t>3H10</t>
  </si>
  <si>
    <t>Boston Edison Company</t>
  </si>
  <si>
    <t>Massachusets</t>
  </si>
  <si>
    <t>3Y1</t>
  </si>
  <si>
    <t>Y</t>
  </si>
  <si>
    <t>Tucson Gas &amp; Electric Co</t>
  </si>
  <si>
    <t>3Y2</t>
  </si>
  <si>
    <t>Pacific Power Light corp</t>
  </si>
  <si>
    <t>3Y3</t>
  </si>
  <si>
    <t>SouthWestern electric company</t>
  </si>
  <si>
    <t>Arkansas, Lousiana, Texas</t>
  </si>
  <si>
    <t>5L1</t>
  </si>
  <si>
    <t>5L2</t>
  </si>
  <si>
    <t>Bonneville Power Administration</t>
  </si>
  <si>
    <r>
      <t>Washington</t>
    </r>
    <r>
      <rPr>
        <sz val="10"/>
        <color rgb="FF202122"/>
        <rFont val="Arial"/>
        <family val="2"/>
      </rPr>
      <t>, </t>
    </r>
    <r>
      <rPr>
        <sz val="10"/>
        <color rgb="FF000000"/>
        <rFont val="Arial"/>
        <family val="2"/>
      </rPr>
      <t>Oregon</t>
    </r>
    <r>
      <rPr>
        <sz val="10"/>
        <color rgb="FF202122"/>
        <rFont val="Arial"/>
        <family val="2"/>
      </rPr>
      <t>, </t>
    </r>
    <r>
      <rPr>
        <sz val="10"/>
        <color rgb="FF000000"/>
        <rFont val="Arial"/>
        <family val="2"/>
      </rPr>
      <t>Idaho</t>
    </r>
    <r>
      <rPr>
        <sz val="10"/>
        <color rgb="FF202122"/>
        <rFont val="Arial"/>
        <family val="2"/>
      </rPr>
      <t>, </t>
    </r>
    <r>
      <rPr>
        <sz val="10"/>
        <color rgb="FF000000"/>
        <rFont val="Arial"/>
        <family val="2"/>
      </rPr>
      <t>Montana</t>
    </r>
    <r>
      <rPr>
        <sz val="10"/>
        <color rgb="FF202122"/>
        <rFont val="Arial"/>
        <family val="2"/>
      </rPr>
      <t>, </t>
    </r>
    <r>
      <rPr>
        <sz val="10"/>
        <color rgb="FF000000"/>
        <rFont val="Arial"/>
        <family val="2"/>
      </rPr>
      <t>Wyoming</t>
    </r>
    <r>
      <rPr>
        <sz val="10"/>
        <color rgb="FF202122"/>
        <rFont val="Arial"/>
        <family val="2"/>
      </rPr>
      <t>, </t>
    </r>
    <r>
      <rPr>
        <sz val="10"/>
        <color rgb="FF000000"/>
        <rFont val="Arial"/>
        <family val="2"/>
      </rPr>
      <t>Utah</t>
    </r>
    <r>
      <rPr>
        <sz val="10"/>
        <color rgb="FF202122"/>
        <rFont val="Arial"/>
        <family val="2"/>
      </rPr>
      <t>, </t>
    </r>
    <r>
      <rPr>
        <sz val="10"/>
        <color rgb="FF000000"/>
        <rFont val="Arial"/>
        <family val="2"/>
      </rPr>
      <t>Nevada</t>
    </r>
    <r>
      <rPr>
        <sz val="10"/>
        <color rgb="FF202122"/>
        <rFont val="Arial"/>
        <family val="2"/>
      </rPr>
      <t>, and </t>
    </r>
    <r>
      <rPr>
        <sz val="10"/>
        <color rgb="FF000000"/>
        <rFont val="Arial"/>
        <family val="2"/>
      </rPr>
      <t>California</t>
    </r>
  </si>
  <si>
    <t>5L3</t>
  </si>
  <si>
    <t>5L4</t>
  </si>
  <si>
    <t>Basin Electric Power Co-op</t>
  </si>
  <si>
    <t>California, North Dakota, South Dakota, Colorado, Montana, New Mexico, Wyoming, Minnesota, Iowa</t>
  </si>
  <si>
    <t>5L5</t>
  </si>
  <si>
    <t>Carolina Power &amp; Light Co</t>
  </si>
  <si>
    <t>5L6</t>
  </si>
  <si>
    <t>5L7</t>
  </si>
  <si>
    <t xml:space="preserve">Alabama Power Company, Baltimore Gas and Electric Company </t>
  </si>
  <si>
    <t>Alabama, Maryland,</t>
  </si>
  <si>
    <t>5L8</t>
  </si>
  <si>
    <t>5L9</t>
  </si>
  <si>
    <t>American Electric Power Co, Arizona Public Service Co, Duke Power Company</t>
  </si>
  <si>
    <t>Virginia, Arizona, South Carolina</t>
  </si>
  <si>
    <t>5L10</t>
  </si>
  <si>
    <t>5L11</t>
  </si>
  <si>
    <t>5L12</t>
  </si>
  <si>
    <t>5L13</t>
  </si>
  <si>
    <t>5L14</t>
  </si>
  <si>
    <t>5P1</t>
  </si>
  <si>
    <t>5P2</t>
  </si>
  <si>
    <t>5H1</t>
  </si>
  <si>
    <t xml:space="preserve">Baltimore Gas and Electric Company, Baltimore Gas and Electric Company </t>
  </si>
  <si>
    <t>Maryland, Maryland</t>
  </si>
  <si>
    <t>5H2</t>
  </si>
  <si>
    <t>5Y1</t>
  </si>
  <si>
    <t>5Y2</t>
  </si>
  <si>
    <t>Arkansas Power &amp; Light Co.</t>
  </si>
  <si>
    <t>5Y3</t>
  </si>
  <si>
    <t>Alabama Power Company</t>
  </si>
  <si>
    <t>7L1</t>
  </si>
  <si>
    <t>7L2</t>
  </si>
  <si>
    <t>7L3</t>
  </si>
  <si>
    <t>7P1</t>
  </si>
  <si>
    <t>7H1</t>
  </si>
  <si>
    <t>7V1</t>
  </si>
  <si>
    <t>V frame</t>
  </si>
  <si>
    <t>DC1</t>
  </si>
  <si>
    <t>DC2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</si>
</sst>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0"/>
      <color rgb="FF202122"/>
      <name val="Arial"/>
      <family val="2"/>
    </font>
    <font>
      <sz val="11"/>
      <color theme="1"/>
      <name val="Calibri"/>
      <family val="2"/>
    </font>
    <font>
      <sz val="10"/>
      <color rgb="FF202122"/>
      <name val="Arial"/>
      <family val="2"/>
    </font>
    <font>
      <sz val="14"/>
      <color rgb="FF000000"/>
      <name val="Verdana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D9F2D0"/>
      </patternFill>
    </fill>
    <fill>
      <patternFill patternType="solid">
        <fgColor rgb="FFDCEAF7"/>
      </patternFill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0" xfId="0" applyAlignment="1">
      <alignment wrapText="1"/>
    </xf>
    <xf numFmtId="3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left" wrapText="1"/>
    </xf>
    <xf numFmtId="3" fontId="3" fillId="0" borderId="2" xfId="0" applyNumberFormat="1" applyFont="1" applyBorder="1" applyAlignment="1">
      <alignment horizontal="right" wrapText="1"/>
    </xf>
    <xf numFmtId="0" fontId="6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3" fontId="1" fillId="0" borderId="2" xfId="0" applyNumberFormat="1" applyFont="1" applyBorder="1" applyAlignment="1">
      <alignment horizontal="right" wrapText="1"/>
    </xf>
    <xf numFmtId="0" fontId="6" fillId="0" borderId="2" xfId="0" applyFont="1" applyBorder="1" applyAlignment="1">
      <alignment horizontal="left" wrapText="1"/>
    </xf>
    <xf numFmtId="3" fontId="5" fillId="0" borderId="2" xfId="0" applyNumberFormat="1" applyFont="1" applyBorder="1" applyAlignment="1">
      <alignment horizontal="right" wrapText="1"/>
    </xf>
    <xf numFmtId="3" fontId="7" fillId="0" borderId="2" xfId="0" applyNumberFormat="1" applyFont="1" applyBorder="1" applyAlignment="1">
      <alignment horizontal="left" wrapText="1"/>
    </xf>
    <xf numFmtId="3" fontId="0" fillId="0" borderId="0" xfId="0" applyNumberFormat="1" applyAlignment="1">
      <alignment horizontal="left" wrapText="1"/>
    </xf>
    <xf numFmtId="3" fontId="0" fillId="0" borderId="0" xfId="0" applyNumberFormat="1" applyAlignment="1">
      <alignment wrapText="1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3" fontId="3" fillId="0" borderId="4" xfId="0" applyNumberFormat="1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wrapText="1"/>
    </xf>
    <xf numFmtId="3" fontId="3" fillId="3" borderId="5" xfId="0" applyNumberFormat="1" applyFont="1" applyFill="1" applyBorder="1" applyAlignment="1">
      <alignment horizontal="center" wrapText="1"/>
    </xf>
    <xf numFmtId="3" fontId="3" fillId="3" borderId="1" xfId="0" applyNumberFormat="1" applyFont="1" applyFill="1" applyBorder="1" applyAlignment="1">
      <alignment horizontal="center" wrapText="1"/>
    </xf>
    <xf numFmtId="3" fontId="3" fillId="3" borderId="6" xfId="0" applyNumberFormat="1" applyFont="1" applyFill="1" applyBorder="1" applyAlignment="1">
      <alignment horizontal="center" wrapText="1"/>
    </xf>
    <xf numFmtId="3" fontId="3" fillId="4" borderId="5" xfId="0" applyNumberFormat="1" applyFont="1" applyFill="1" applyBorder="1" applyAlignment="1">
      <alignment horizontal="center" wrapText="1"/>
    </xf>
    <xf numFmtId="3" fontId="3" fillId="4" borderId="1" xfId="0" applyNumberFormat="1" applyFont="1" applyFill="1" applyBorder="1" applyAlignment="1">
      <alignment horizontal="center" wrapText="1"/>
    </xf>
    <xf numFmtId="3" fontId="3" fillId="4" borderId="6" xfId="0" applyNumberFormat="1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3" fontId="3" fillId="5" borderId="5" xfId="0" applyNumberFormat="1" applyFont="1" applyFill="1" applyBorder="1" applyAlignment="1">
      <alignment horizontal="center" wrapText="1"/>
    </xf>
    <xf numFmtId="3" fontId="3" fillId="5" borderId="1" xfId="0" applyNumberFormat="1" applyFont="1" applyFill="1" applyBorder="1" applyAlignment="1">
      <alignment horizontal="center" wrapText="1"/>
    </xf>
    <xf numFmtId="3" fontId="3" fillId="5" borderId="6" xfId="0" applyNumberFormat="1" applyFont="1" applyFill="1" applyBorder="1" applyAlignment="1">
      <alignment horizontal="center" wrapText="1"/>
    </xf>
    <xf numFmtId="0" fontId="1" fillId="0" borderId="3" xfId="0" applyFont="1" applyBorder="1" applyAlignment="1">
      <alignment horizontal="left"/>
    </xf>
    <xf numFmtId="4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4" fontId="1" fillId="3" borderId="5" xfId="0" applyNumberFormat="1" applyFont="1" applyFill="1" applyBorder="1" applyAlignment="1">
      <alignment horizontal="right" wrapText="1"/>
    </xf>
    <xf numFmtId="4" fontId="1" fillId="3" borderId="1" xfId="0" applyNumberFormat="1" applyFont="1" applyFill="1" applyBorder="1" applyAlignment="1">
      <alignment horizontal="right" wrapText="1"/>
    </xf>
    <xf numFmtId="3" fontId="1" fillId="3" borderId="1" xfId="0" applyNumberFormat="1" applyFont="1" applyFill="1" applyBorder="1" applyAlignment="1">
      <alignment horizontal="right" wrapText="1"/>
    </xf>
    <xf numFmtId="4" fontId="1" fillId="3" borderId="6" xfId="0" applyNumberFormat="1" applyFont="1" applyFill="1" applyBorder="1" applyAlignment="1">
      <alignment horizontal="right" wrapText="1"/>
    </xf>
    <xf numFmtId="4" fontId="1" fillId="4" borderId="5" xfId="0" applyNumberFormat="1" applyFont="1" applyFill="1" applyBorder="1" applyAlignment="1">
      <alignment horizontal="right" wrapText="1"/>
    </xf>
    <xf numFmtId="4" fontId="1" fillId="4" borderId="1" xfId="0" applyNumberFormat="1" applyFont="1" applyFill="1" applyBorder="1" applyAlignment="1">
      <alignment horizontal="right" wrapText="1"/>
    </xf>
    <xf numFmtId="4" fontId="1" fillId="4" borderId="6" xfId="0" applyNumberFormat="1" applyFont="1" applyFill="1" applyBorder="1" applyAlignment="1">
      <alignment horizontal="right" wrapText="1"/>
    </xf>
    <xf numFmtId="4" fontId="1" fillId="5" borderId="5" xfId="0" applyNumberFormat="1" applyFont="1" applyFill="1" applyBorder="1" applyAlignment="1">
      <alignment horizontal="right" wrapText="1"/>
    </xf>
    <xf numFmtId="4" fontId="1" fillId="5" borderId="1" xfId="0" applyNumberFormat="1" applyFont="1" applyFill="1" applyBorder="1" applyAlignment="1">
      <alignment horizontal="right" wrapText="1"/>
    </xf>
    <xf numFmtId="3" fontId="1" fillId="5" borderId="1" xfId="0" applyNumberFormat="1" applyFont="1" applyFill="1" applyBorder="1" applyAlignment="1">
      <alignment horizontal="right" wrapText="1"/>
    </xf>
    <xf numFmtId="3" fontId="1" fillId="5" borderId="6" xfId="0" applyNumberFormat="1" applyFont="1" applyFill="1" applyBorder="1" applyAlignment="1">
      <alignment horizontal="right" wrapText="1"/>
    </xf>
    <xf numFmtId="3" fontId="1" fillId="3" borderId="5" xfId="0" applyNumberFormat="1" applyFont="1" applyFill="1" applyBorder="1" applyAlignment="1">
      <alignment horizontal="right" wrapText="1"/>
    </xf>
    <xf numFmtId="3" fontId="1" fillId="3" borderId="6" xfId="0" applyNumberFormat="1" applyFont="1" applyFill="1" applyBorder="1" applyAlignment="1">
      <alignment horizontal="right" wrapText="1"/>
    </xf>
    <xf numFmtId="3" fontId="1" fillId="4" borderId="5" xfId="0" applyNumberFormat="1" applyFont="1" applyFill="1" applyBorder="1" applyAlignment="1">
      <alignment horizontal="right" wrapText="1"/>
    </xf>
    <xf numFmtId="3" fontId="1" fillId="4" borderId="1" xfId="0" applyNumberFormat="1" applyFont="1" applyFill="1" applyBorder="1" applyAlignment="1">
      <alignment horizontal="right" wrapText="1"/>
    </xf>
    <xf numFmtId="3" fontId="1" fillId="5" borderId="5" xfId="0" applyNumberFormat="1" applyFont="1" applyFill="1" applyBorder="1" applyAlignment="1">
      <alignment horizontal="right" wrapText="1"/>
    </xf>
    <xf numFmtId="3" fontId="1" fillId="4" borderId="6" xfId="0" applyNumberFormat="1" applyFont="1" applyFill="1" applyBorder="1" applyAlignment="1">
      <alignment horizontal="right" wrapText="1"/>
    </xf>
    <xf numFmtId="4" fontId="5" fillId="0" borderId="2" xfId="0" applyNumberFormat="1" applyFont="1" applyBorder="1" applyAlignment="1">
      <alignment horizontal="right" wrapText="1"/>
    </xf>
    <xf numFmtId="4" fontId="1" fillId="5" borderId="6" xfId="0" applyNumberFormat="1" applyFont="1" applyFill="1" applyBorder="1" applyAlignment="1">
      <alignment horizontal="right" wrapText="1"/>
    </xf>
    <xf numFmtId="0" fontId="1" fillId="2" borderId="5" xfId="0" applyFont="1" applyFill="1" applyBorder="1" applyAlignment="1">
      <alignment horizontal="left"/>
    </xf>
    <xf numFmtId="0" fontId="1" fillId="6" borderId="5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3" fontId="5" fillId="0" borderId="2" xfId="0" applyNumberFormat="1" applyFont="1" applyBorder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S64"/>
  <sheetViews>
    <sheetView tabSelected="1" workbookViewId="0">
      <pane ySplit="1" topLeftCell="A2" activePane="bottomLeft" state="frozen"/>
      <selection pane="bottomLeft" activeCell="E1" sqref="E1:H1048576"/>
    </sheetView>
  </sheetViews>
  <sheetFormatPr defaultRowHeight="14.4" x14ac:dyDescent="0.3"/>
  <cols>
    <col min="1" max="1" width="5.33203125" style="1" bestFit="1" customWidth="1"/>
    <col min="2" max="3" width="6.44140625" bestFit="1" customWidth="1"/>
    <col min="4" max="4" width="43.109375" bestFit="1" customWidth="1"/>
    <col min="5" max="5" width="12" style="70" bestFit="1" customWidth="1"/>
    <col min="6" max="6" width="9" style="70" bestFit="1" customWidth="1"/>
    <col min="7" max="7" width="7.5546875" style="71" bestFit="1" customWidth="1"/>
    <col min="8" max="10" width="6.5546875" style="71" bestFit="1" customWidth="1"/>
    <col min="11" max="11" width="7" style="72" bestFit="1" customWidth="1"/>
    <col min="12" max="27" width="5.33203125" style="73" bestFit="1" customWidth="1"/>
    <col min="28" max="28" width="0.6640625" style="5" bestFit="1" customWidth="1"/>
    <col min="29" max="38" width="5.33203125" style="18" bestFit="1" customWidth="1"/>
    <col min="39" max="39" width="5.6640625" style="18" bestFit="1" customWidth="1"/>
    <col min="40" max="40" width="5.33203125" style="18" bestFit="1" customWidth="1"/>
    <col min="41" max="41" width="1.33203125" style="5" bestFit="1" customWidth="1"/>
    <col min="42" max="43" width="5.33203125" style="18" bestFit="1" customWidth="1"/>
    <col min="44" max="44" width="5.6640625" style="18" bestFit="1" customWidth="1"/>
    <col min="45" max="49" width="5.33203125" style="18" bestFit="1" customWidth="1"/>
    <col min="50" max="50" width="1.88671875" style="5" bestFit="1" customWidth="1"/>
    <col min="51" max="62" width="5.33203125" style="18" bestFit="1" customWidth="1"/>
    <col min="63" max="63" width="1.33203125" style="5" bestFit="1" customWidth="1"/>
    <col min="64" max="71" width="5.33203125" style="5" bestFit="1" customWidth="1"/>
  </cols>
  <sheetData>
    <row r="1" spans="1:71" ht="18.75" customHeight="1" x14ac:dyDescent="0.3">
      <c r="A1" s="19" t="s">
        <v>160</v>
      </c>
      <c r="B1" s="20" t="s">
        <v>161</v>
      </c>
      <c r="C1" s="20" t="s">
        <v>162</v>
      </c>
      <c r="D1" s="20" t="s">
        <v>8</v>
      </c>
      <c r="E1" s="6" t="s">
        <v>172</v>
      </c>
      <c r="F1" s="6" t="s">
        <v>173</v>
      </c>
      <c r="G1" s="22" t="s">
        <v>174</v>
      </c>
      <c r="H1" s="6" t="s">
        <v>175</v>
      </c>
      <c r="I1" s="6" t="s">
        <v>176</v>
      </c>
      <c r="J1" s="6" t="s">
        <v>177</v>
      </c>
      <c r="K1" s="7" t="s">
        <v>178</v>
      </c>
      <c r="L1" s="23" t="s">
        <v>179</v>
      </c>
      <c r="M1" s="24" t="s">
        <v>180</v>
      </c>
      <c r="N1" s="24" t="s">
        <v>181</v>
      </c>
      <c r="O1" s="24" t="s">
        <v>182</v>
      </c>
      <c r="P1" s="24" t="s">
        <v>183</v>
      </c>
      <c r="Q1" s="25" t="s">
        <v>184</v>
      </c>
      <c r="R1" s="26" t="s">
        <v>185</v>
      </c>
      <c r="S1" s="27" t="s">
        <v>186</v>
      </c>
      <c r="T1" s="27" t="s">
        <v>187</v>
      </c>
      <c r="U1" s="28" t="s">
        <v>188</v>
      </c>
      <c r="V1" s="29" t="s">
        <v>189</v>
      </c>
      <c r="W1" s="30" t="s">
        <v>190</v>
      </c>
      <c r="X1" s="30" t="s">
        <v>191</v>
      </c>
      <c r="Y1" s="30" t="s">
        <v>192</v>
      </c>
      <c r="Z1" s="30" t="s">
        <v>193</v>
      </c>
      <c r="AA1" s="31" t="s">
        <v>194</v>
      </c>
      <c r="AB1" s="7"/>
      <c r="AC1" s="32" t="s">
        <v>195</v>
      </c>
      <c r="AD1" s="33" t="s">
        <v>196</v>
      </c>
      <c r="AE1" s="33" t="s">
        <v>197</v>
      </c>
      <c r="AF1" s="33" t="s">
        <v>198</v>
      </c>
      <c r="AG1" s="33" t="s">
        <v>199</v>
      </c>
      <c r="AH1" s="33" t="s">
        <v>200</v>
      </c>
      <c r="AI1" s="33" t="s">
        <v>201</v>
      </c>
      <c r="AJ1" s="33" t="s">
        <v>202</v>
      </c>
      <c r="AK1" s="33" t="s">
        <v>203</v>
      </c>
      <c r="AL1" s="33" t="s">
        <v>204</v>
      </c>
      <c r="AM1" s="33" t="s">
        <v>205</v>
      </c>
      <c r="AN1" s="34" t="s">
        <v>206</v>
      </c>
      <c r="AO1" s="7"/>
      <c r="AP1" s="35" t="s">
        <v>207</v>
      </c>
      <c r="AQ1" s="36" t="s">
        <v>208</v>
      </c>
      <c r="AR1" s="36" t="s">
        <v>209</v>
      </c>
      <c r="AS1" s="36" t="s">
        <v>210</v>
      </c>
      <c r="AT1" s="36" t="s">
        <v>211</v>
      </c>
      <c r="AU1" s="36" t="s">
        <v>212</v>
      </c>
      <c r="AV1" s="36" t="s">
        <v>213</v>
      </c>
      <c r="AW1" s="37" t="s">
        <v>214</v>
      </c>
      <c r="AX1" s="38"/>
      <c r="AY1" s="39" t="s">
        <v>215</v>
      </c>
      <c r="AZ1" s="40" t="s">
        <v>216</v>
      </c>
      <c r="BA1" s="40" t="s">
        <v>217</v>
      </c>
      <c r="BB1" s="40" t="s">
        <v>218</v>
      </c>
      <c r="BC1" s="40" t="s">
        <v>219</v>
      </c>
      <c r="BD1" s="40" t="s">
        <v>220</v>
      </c>
      <c r="BE1" s="40" t="s">
        <v>221</v>
      </c>
      <c r="BF1" s="40" t="s">
        <v>222</v>
      </c>
      <c r="BG1" s="40" t="s">
        <v>223</v>
      </c>
      <c r="BH1" s="40" t="s">
        <v>224</v>
      </c>
      <c r="BI1" s="40" t="s">
        <v>225</v>
      </c>
      <c r="BJ1" s="41" t="s">
        <v>226</v>
      </c>
      <c r="BK1" s="7"/>
      <c r="BL1" s="7"/>
      <c r="BM1" s="7"/>
      <c r="BN1" s="7"/>
      <c r="BO1" s="7"/>
      <c r="BP1" s="7"/>
      <c r="BQ1" s="7"/>
      <c r="BR1" s="7"/>
      <c r="BS1" s="7"/>
    </row>
    <row r="2" spans="1:71" ht="18.75" customHeight="1" x14ac:dyDescent="0.3">
      <c r="A2" s="42" t="s">
        <v>227</v>
      </c>
      <c r="B2" t="s">
        <v>228</v>
      </c>
      <c r="C2" t="s">
        <v>229</v>
      </c>
      <c r="D2" t="s">
        <v>53</v>
      </c>
      <c r="E2" s="44">
        <v>1</v>
      </c>
      <c r="F2" s="44">
        <v>2</v>
      </c>
      <c r="G2" s="45">
        <v>345</v>
      </c>
      <c r="H2" s="44">
        <v>20</v>
      </c>
      <c r="I2" s="44">
        <v>355</v>
      </c>
      <c r="J2" s="44">
        <v>170</v>
      </c>
      <c r="K2" s="43">
        <f t="shared" ref="K2:K33" si="0">((G2*H2)/I2)*J2*(1/304.8)</f>
        <v>10.840634357325053</v>
      </c>
      <c r="L2" s="46">
        <f t="shared" ref="L2:L33" si="1">AC2+(AD2*(1/12))-K2</f>
        <v>69.159365642674942</v>
      </c>
      <c r="M2" s="47">
        <f t="shared" ref="M2:M33" si="2">AE2+(AF2*(1/12))-K2</f>
        <v>69.159365642674942</v>
      </c>
      <c r="N2" s="47">
        <f t="shared" ref="N2:N33" si="3">AG2+(AH2*(1/12))-K2</f>
        <v>69.159365642674942</v>
      </c>
      <c r="O2" s="47">
        <f t="shared" ref="O2:O33" si="4">AI2+(AJ2*(1/12))</f>
        <v>-23.75</v>
      </c>
      <c r="P2" s="48">
        <f t="shared" ref="P2:P33" si="5">AK2+(AL2*(1/12))</f>
        <v>0</v>
      </c>
      <c r="Q2" s="49">
        <f t="shared" ref="Q2:Q33" si="6">AM2+(AN2*(1/12))</f>
        <v>23.75</v>
      </c>
      <c r="R2" s="50">
        <f t="shared" ref="R2:R33" si="7">AP2+((1/12)*AQ2)</f>
        <v>87.5</v>
      </c>
      <c r="S2" s="51">
        <f t="shared" ref="S2:S33" si="8">AR2+((1/12)*AS2)</f>
        <v>-17.8125</v>
      </c>
      <c r="T2" s="51">
        <f t="shared" ref="T2:T33" si="9">AT2+((1/12)*AU2)</f>
        <v>87.5</v>
      </c>
      <c r="U2" s="52">
        <f t="shared" ref="U2:U33" si="10">AV2+((1/12)*AW2)</f>
        <v>17.8125</v>
      </c>
      <c r="V2" s="53">
        <f t="shared" ref="V2:V33" si="11">AY2+(AZ2*(1/12))-K2</f>
        <v>-10.840634357325053</v>
      </c>
      <c r="W2" s="54">
        <f t="shared" ref="W2:W33" si="12">BA2+(BB2*(1/12))-K2</f>
        <v>-10.840634357325053</v>
      </c>
      <c r="X2" s="54">
        <f t="shared" ref="X2:X33" si="13">BC2+(BD2*(1/12))-K2</f>
        <v>-10.840634357325053</v>
      </c>
      <c r="Y2" s="55">
        <f t="shared" ref="Y2:Y33" si="14">BE2+(BF2*(1/12))</f>
        <v>0</v>
      </c>
      <c r="Z2" s="55">
        <f t="shared" ref="Z2:Z33" si="15">BG2+(BH2*(1/12))</f>
        <v>0</v>
      </c>
      <c r="AA2" s="56">
        <f t="shared" ref="AA2:AA33" si="16">BI2+(BJ2*(1/12))</f>
        <v>0</v>
      </c>
      <c r="AB2" s="9"/>
      <c r="AC2" s="57">
        <v>80</v>
      </c>
      <c r="AD2" s="48">
        <v>0</v>
      </c>
      <c r="AE2" s="48">
        <v>80</v>
      </c>
      <c r="AF2" s="48">
        <v>0</v>
      </c>
      <c r="AG2" s="48">
        <v>80</v>
      </c>
      <c r="AH2" s="48">
        <v>0</v>
      </c>
      <c r="AI2" s="48">
        <v>-23</v>
      </c>
      <c r="AJ2" s="48">
        <v>-9</v>
      </c>
      <c r="AK2" s="48">
        <v>0</v>
      </c>
      <c r="AL2" s="48">
        <v>0</v>
      </c>
      <c r="AM2" s="48">
        <v>23</v>
      </c>
      <c r="AN2" s="58">
        <v>9</v>
      </c>
      <c r="AO2" s="9"/>
      <c r="AP2" s="59">
        <f>80+7</f>
        <v>87</v>
      </c>
      <c r="AQ2" s="60">
        <v>6</v>
      </c>
      <c r="AR2" s="51">
        <f>(3/4)*AI2</f>
        <v>-17.25</v>
      </c>
      <c r="AS2" s="51">
        <f>(3/4)*AJ2</f>
        <v>-6.75</v>
      </c>
      <c r="AT2" s="60">
        <f>80+7</f>
        <v>87</v>
      </c>
      <c r="AU2" s="60">
        <v>6</v>
      </c>
      <c r="AV2" s="51">
        <f>(3/4)*AM2</f>
        <v>17.25</v>
      </c>
      <c r="AW2" s="52">
        <f>(3/4)*AN2</f>
        <v>6.75</v>
      </c>
      <c r="AX2" s="9"/>
      <c r="AY2" s="61">
        <v>0</v>
      </c>
      <c r="AZ2" s="55">
        <v>0</v>
      </c>
      <c r="BA2" s="55">
        <v>0</v>
      </c>
      <c r="BB2" s="55">
        <v>0</v>
      </c>
      <c r="BC2" s="55">
        <v>0</v>
      </c>
      <c r="BD2" s="55">
        <v>0</v>
      </c>
      <c r="BE2" s="55">
        <v>0</v>
      </c>
      <c r="BF2" s="55">
        <v>0</v>
      </c>
      <c r="BG2" s="55">
        <v>0</v>
      </c>
      <c r="BH2" s="55">
        <v>0</v>
      </c>
      <c r="BI2" s="55">
        <v>0</v>
      </c>
      <c r="BJ2" s="56">
        <v>0</v>
      </c>
      <c r="BK2" s="9"/>
      <c r="BL2" s="9"/>
      <c r="BM2" s="9"/>
      <c r="BN2" s="9"/>
      <c r="BO2" s="9"/>
      <c r="BP2" s="9"/>
      <c r="BQ2" s="9"/>
      <c r="BR2" s="9"/>
      <c r="BS2" s="9"/>
    </row>
    <row r="3" spans="1:71" ht="18.75" customHeight="1" x14ac:dyDescent="0.3">
      <c r="A3" s="42" t="s">
        <v>230</v>
      </c>
      <c r="B3" t="s">
        <v>228</v>
      </c>
      <c r="C3" t="s">
        <v>231</v>
      </c>
      <c r="D3" t="s">
        <v>232</v>
      </c>
      <c r="E3" s="44">
        <v>1</v>
      </c>
      <c r="F3" s="44">
        <v>2</v>
      </c>
      <c r="G3" s="45">
        <v>345</v>
      </c>
      <c r="H3" s="44">
        <v>20</v>
      </c>
      <c r="I3" s="44">
        <v>355</v>
      </c>
      <c r="J3" s="44">
        <v>170</v>
      </c>
      <c r="K3" s="43">
        <f t="shared" si="0"/>
        <v>10.840634357325053</v>
      </c>
      <c r="L3" s="46">
        <f t="shared" si="1"/>
        <v>69.159365642674942</v>
      </c>
      <c r="M3" s="47">
        <f t="shared" si="2"/>
        <v>69.159365642674942</v>
      </c>
      <c r="N3" s="47">
        <f t="shared" si="3"/>
        <v>69.159365642674942</v>
      </c>
      <c r="O3" s="48">
        <f t="shared" si="4"/>
        <v>-32</v>
      </c>
      <c r="P3" s="48">
        <f t="shared" si="5"/>
        <v>0</v>
      </c>
      <c r="Q3" s="58">
        <f t="shared" si="6"/>
        <v>32</v>
      </c>
      <c r="R3" s="50">
        <f t="shared" si="7"/>
        <v>96.5</v>
      </c>
      <c r="S3" s="51">
        <f t="shared" si="8"/>
        <v>-21.5</v>
      </c>
      <c r="T3" s="51">
        <f t="shared" si="9"/>
        <v>96.5</v>
      </c>
      <c r="U3" s="52">
        <f t="shared" si="10"/>
        <v>21.5</v>
      </c>
      <c r="V3" s="53">
        <f t="shared" si="11"/>
        <v>-10.840634357325053</v>
      </c>
      <c r="W3" s="54">
        <f t="shared" si="12"/>
        <v>-10.840634357325053</v>
      </c>
      <c r="X3" s="54">
        <f t="shared" si="13"/>
        <v>-10.840634357325053</v>
      </c>
      <c r="Y3" s="55">
        <f t="shared" si="14"/>
        <v>0</v>
      </c>
      <c r="Z3" s="55">
        <f t="shared" si="15"/>
        <v>0</v>
      </c>
      <c r="AA3" s="56">
        <f t="shared" si="16"/>
        <v>0</v>
      </c>
      <c r="AB3" s="9"/>
      <c r="AC3" s="57">
        <v>80</v>
      </c>
      <c r="AD3" s="48">
        <v>0</v>
      </c>
      <c r="AE3" s="48">
        <v>80</v>
      </c>
      <c r="AF3" s="48">
        <v>0</v>
      </c>
      <c r="AG3" s="48">
        <v>80</v>
      </c>
      <c r="AH3" s="48">
        <v>0</v>
      </c>
      <c r="AI3" s="48">
        <v>-32</v>
      </c>
      <c r="AJ3" s="48">
        <v>0</v>
      </c>
      <c r="AK3" s="48">
        <v>0</v>
      </c>
      <c r="AL3" s="48">
        <v>0</v>
      </c>
      <c r="AM3" s="48">
        <v>32</v>
      </c>
      <c r="AN3" s="58">
        <v>0</v>
      </c>
      <c r="AO3" s="9"/>
      <c r="AP3" s="59">
        <f>80+16</f>
        <v>96</v>
      </c>
      <c r="AQ3" s="60">
        <v>6</v>
      </c>
      <c r="AR3" s="59">
        <v>-21</v>
      </c>
      <c r="AS3" s="60">
        <v>-6</v>
      </c>
      <c r="AT3" s="59">
        <f>80+16</f>
        <v>96</v>
      </c>
      <c r="AU3" s="60">
        <v>6</v>
      </c>
      <c r="AV3" s="60">
        <v>21</v>
      </c>
      <c r="AW3" s="62">
        <v>6</v>
      </c>
      <c r="AX3" s="9"/>
      <c r="AY3" s="61">
        <v>0</v>
      </c>
      <c r="AZ3" s="55">
        <v>0</v>
      </c>
      <c r="BA3" s="55">
        <v>0</v>
      </c>
      <c r="BB3" s="55">
        <v>0</v>
      </c>
      <c r="BC3" s="55">
        <v>0</v>
      </c>
      <c r="BD3" s="55">
        <v>0</v>
      </c>
      <c r="BE3" s="55">
        <v>0</v>
      </c>
      <c r="BF3" s="55">
        <v>0</v>
      </c>
      <c r="BG3" s="55">
        <v>0</v>
      </c>
      <c r="BH3" s="55">
        <v>0</v>
      </c>
      <c r="BI3" s="55">
        <v>0</v>
      </c>
      <c r="BJ3" s="56">
        <v>0</v>
      </c>
      <c r="BK3" s="9"/>
      <c r="BL3" s="9"/>
      <c r="BM3" s="9"/>
      <c r="BN3" s="9"/>
      <c r="BO3" s="9"/>
      <c r="BP3" s="9"/>
      <c r="BQ3" s="9"/>
      <c r="BR3" s="9"/>
      <c r="BS3" s="9"/>
    </row>
    <row r="4" spans="1:71" ht="18.75" customHeight="1" x14ac:dyDescent="0.3">
      <c r="A4" s="42" t="s">
        <v>233</v>
      </c>
      <c r="B4" t="s">
        <v>228</v>
      </c>
      <c r="C4" t="s">
        <v>234</v>
      </c>
      <c r="D4" t="s">
        <v>74</v>
      </c>
      <c r="E4" s="44">
        <v>1</v>
      </c>
      <c r="F4" s="44">
        <v>2</v>
      </c>
      <c r="G4" s="45">
        <v>345</v>
      </c>
      <c r="H4" s="44">
        <v>20</v>
      </c>
      <c r="I4" s="44">
        <v>355</v>
      </c>
      <c r="J4" s="44">
        <v>170</v>
      </c>
      <c r="K4" s="43">
        <f t="shared" si="0"/>
        <v>10.840634357325053</v>
      </c>
      <c r="L4" s="46">
        <f t="shared" si="1"/>
        <v>59.159365642674949</v>
      </c>
      <c r="M4" s="47">
        <f t="shared" si="2"/>
        <v>59.159365642674949</v>
      </c>
      <c r="N4" s="47">
        <f t="shared" si="3"/>
        <v>59.159365642674949</v>
      </c>
      <c r="O4" s="47">
        <f t="shared" si="4"/>
        <v>-24.5</v>
      </c>
      <c r="P4" s="48">
        <f t="shared" si="5"/>
        <v>0</v>
      </c>
      <c r="Q4" s="49">
        <f t="shared" si="6"/>
        <v>24.5</v>
      </c>
      <c r="R4" s="50">
        <f t="shared" si="7"/>
        <v>87.5</v>
      </c>
      <c r="S4" s="51">
        <f t="shared" si="8"/>
        <v>-16.5</v>
      </c>
      <c r="T4" s="51">
        <f t="shared" si="9"/>
        <v>87.5</v>
      </c>
      <c r="U4" s="52">
        <f t="shared" si="10"/>
        <v>16.5</v>
      </c>
      <c r="V4" s="53">
        <f t="shared" si="11"/>
        <v>-10.840634357325053</v>
      </c>
      <c r="W4" s="54">
        <f t="shared" si="12"/>
        <v>-10.840634357325053</v>
      </c>
      <c r="X4" s="54">
        <f t="shared" si="13"/>
        <v>-10.840634357325053</v>
      </c>
      <c r="Y4" s="55">
        <f t="shared" si="14"/>
        <v>0</v>
      </c>
      <c r="Z4" s="55">
        <f t="shared" si="15"/>
        <v>0</v>
      </c>
      <c r="AA4" s="56">
        <f t="shared" si="16"/>
        <v>0</v>
      </c>
      <c r="AB4" s="9"/>
      <c r="AC4" s="57">
        <v>70</v>
      </c>
      <c r="AD4" s="48">
        <v>0</v>
      </c>
      <c r="AE4" s="48">
        <v>70</v>
      </c>
      <c r="AF4" s="48">
        <v>0</v>
      </c>
      <c r="AG4" s="48">
        <v>70</v>
      </c>
      <c r="AH4" s="48">
        <v>0</v>
      </c>
      <c r="AI4" s="48">
        <v>-24</v>
      </c>
      <c r="AJ4" s="48">
        <v>-6</v>
      </c>
      <c r="AK4" s="48">
        <v>0</v>
      </c>
      <c r="AL4" s="48">
        <v>0</v>
      </c>
      <c r="AM4" s="48">
        <v>24</v>
      </c>
      <c r="AN4" s="58">
        <v>6</v>
      </c>
      <c r="AO4" s="9"/>
      <c r="AP4" s="59">
        <v>87</v>
      </c>
      <c r="AQ4" s="60">
        <v>6</v>
      </c>
      <c r="AR4" s="60">
        <v>-16</v>
      </c>
      <c r="AS4" s="60">
        <v>-6</v>
      </c>
      <c r="AT4" s="60">
        <v>87</v>
      </c>
      <c r="AU4" s="60">
        <v>6</v>
      </c>
      <c r="AV4" s="60">
        <v>16</v>
      </c>
      <c r="AW4" s="62">
        <v>6</v>
      </c>
      <c r="AX4" s="9"/>
      <c r="AY4" s="63"/>
      <c r="AZ4" s="15"/>
      <c r="BA4" s="63"/>
      <c r="BB4" s="15"/>
      <c r="BC4" s="63"/>
      <c r="BD4" s="15"/>
      <c r="BE4" s="15"/>
      <c r="BF4" s="15"/>
      <c r="BG4" s="15"/>
      <c r="BH4" s="15"/>
      <c r="BI4" s="15"/>
      <c r="BJ4" s="15"/>
      <c r="BK4" s="9"/>
      <c r="BL4" s="9"/>
      <c r="BM4" s="9"/>
      <c r="BN4" s="9"/>
      <c r="BO4" s="9"/>
      <c r="BP4" s="9"/>
      <c r="BQ4" s="9"/>
      <c r="BR4" s="9"/>
      <c r="BS4" s="9"/>
    </row>
    <row r="5" spans="1:71" ht="18.75" customHeight="1" x14ac:dyDescent="0.3">
      <c r="A5" s="42" t="s">
        <v>235</v>
      </c>
      <c r="B5" t="s">
        <v>228</v>
      </c>
      <c r="C5" t="s">
        <v>236</v>
      </c>
      <c r="D5" t="s">
        <v>237</v>
      </c>
      <c r="E5" s="44">
        <v>1</v>
      </c>
      <c r="F5" s="44">
        <v>2</v>
      </c>
      <c r="G5" s="45">
        <v>345</v>
      </c>
      <c r="H5" s="44">
        <v>20</v>
      </c>
      <c r="I5" s="44">
        <v>355</v>
      </c>
      <c r="J5" s="44">
        <v>170</v>
      </c>
      <c r="K5" s="43">
        <f t="shared" si="0"/>
        <v>10.840634357325053</v>
      </c>
      <c r="L5" s="46">
        <f t="shared" si="1"/>
        <v>44.159365642674949</v>
      </c>
      <c r="M5" s="47">
        <f t="shared" si="2"/>
        <v>44.159365642674949</v>
      </c>
      <c r="N5" s="47">
        <f t="shared" si="3"/>
        <v>44.159365642674949</v>
      </c>
      <c r="O5" s="47">
        <f t="shared" si="4"/>
        <v>-22.666666666666668</v>
      </c>
      <c r="P5" s="48">
        <f t="shared" si="5"/>
        <v>0</v>
      </c>
      <c r="Q5" s="49">
        <f t="shared" si="6"/>
        <v>22.666666666666668</v>
      </c>
      <c r="R5" s="59">
        <f t="shared" si="7"/>
        <v>73</v>
      </c>
      <c r="S5" s="51">
        <f t="shared" si="8"/>
        <v>-18.583333333333332</v>
      </c>
      <c r="T5" s="60">
        <f t="shared" si="9"/>
        <v>73</v>
      </c>
      <c r="U5" s="52">
        <f t="shared" si="10"/>
        <v>18.583333333333332</v>
      </c>
      <c r="V5" s="53">
        <f t="shared" si="11"/>
        <v>-10.840634357325053</v>
      </c>
      <c r="W5" s="54">
        <f t="shared" si="12"/>
        <v>-10.840634357325053</v>
      </c>
      <c r="X5" s="54">
        <f t="shared" si="13"/>
        <v>-10.840634357325053</v>
      </c>
      <c r="Y5" s="55">
        <f t="shared" si="14"/>
        <v>0</v>
      </c>
      <c r="Z5" s="55">
        <f t="shared" si="15"/>
        <v>0</v>
      </c>
      <c r="AA5" s="56">
        <f t="shared" si="16"/>
        <v>0</v>
      </c>
      <c r="AB5" s="9"/>
      <c r="AC5" s="57">
        <v>55</v>
      </c>
      <c r="AD5" s="48">
        <v>0</v>
      </c>
      <c r="AE5" s="48">
        <v>55</v>
      </c>
      <c r="AF5" s="48">
        <v>0</v>
      </c>
      <c r="AG5" s="48">
        <v>55</v>
      </c>
      <c r="AH5" s="48">
        <v>0</v>
      </c>
      <c r="AI5" s="48">
        <v>-22</v>
      </c>
      <c r="AJ5" s="48">
        <v>-8</v>
      </c>
      <c r="AK5" s="48">
        <v>0</v>
      </c>
      <c r="AL5" s="48">
        <v>0</v>
      </c>
      <c r="AM5" s="48">
        <v>22</v>
      </c>
      <c r="AN5" s="58">
        <v>8</v>
      </c>
      <c r="AO5" s="9"/>
      <c r="AP5" s="59">
        <f>55+9+7+2</f>
        <v>73</v>
      </c>
      <c r="AQ5" s="60">
        <v>0</v>
      </c>
      <c r="AR5" s="60">
        <v>-18</v>
      </c>
      <c r="AS5" s="60">
        <v>-7</v>
      </c>
      <c r="AT5" s="59">
        <f>55+9+7+2</f>
        <v>73</v>
      </c>
      <c r="AU5" s="60">
        <v>0</v>
      </c>
      <c r="AV5" s="60">
        <v>18</v>
      </c>
      <c r="AW5" s="62">
        <v>7</v>
      </c>
      <c r="AX5" s="9"/>
      <c r="AY5" s="63"/>
      <c r="AZ5" s="15"/>
      <c r="BA5" s="63"/>
      <c r="BB5" s="15"/>
      <c r="BC5" s="63"/>
      <c r="BD5" s="15"/>
      <c r="BE5" s="15"/>
      <c r="BF5" s="15"/>
      <c r="BG5" s="15"/>
      <c r="BH5" s="15"/>
      <c r="BI5" s="15"/>
      <c r="BJ5" s="15"/>
      <c r="BK5" s="9"/>
      <c r="BL5" s="9"/>
      <c r="BM5" s="9"/>
      <c r="BN5" s="9"/>
      <c r="BO5" s="9"/>
      <c r="BP5" s="9"/>
      <c r="BQ5" s="9"/>
      <c r="BR5" s="9"/>
      <c r="BS5" s="9"/>
    </row>
    <row r="6" spans="1:71" ht="18.75" customHeight="1" x14ac:dyDescent="0.3">
      <c r="A6" s="42" t="s">
        <v>238</v>
      </c>
      <c r="B6" t="s">
        <v>228</v>
      </c>
      <c r="C6" t="s">
        <v>239</v>
      </c>
      <c r="D6" t="s">
        <v>50</v>
      </c>
      <c r="E6" s="44">
        <v>2</v>
      </c>
      <c r="F6" s="44">
        <v>2</v>
      </c>
      <c r="G6" s="45">
        <v>345</v>
      </c>
      <c r="H6" s="44">
        <v>20</v>
      </c>
      <c r="I6" s="44">
        <v>355</v>
      </c>
      <c r="J6" s="44">
        <v>170</v>
      </c>
      <c r="K6" s="43">
        <f t="shared" si="0"/>
        <v>10.840634357325053</v>
      </c>
      <c r="L6" s="46">
        <f t="shared" si="1"/>
        <v>79.159365642674942</v>
      </c>
      <c r="M6" s="47">
        <f t="shared" si="2"/>
        <v>79.159365642674942</v>
      </c>
      <c r="N6" s="47">
        <f t="shared" si="3"/>
        <v>79.159365642674942</v>
      </c>
      <c r="O6" s="48">
        <f t="shared" si="4"/>
        <v>-24</v>
      </c>
      <c r="P6" s="48">
        <f t="shared" si="5"/>
        <v>0</v>
      </c>
      <c r="Q6" s="58">
        <f t="shared" si="6"/>
        <v>24</v>
      </c>
      <c r="R6" s="59">
        <f t="shared" si="7"/>
        <v>102</v>
      </c>
      <c r="S6" s="51">
        <f t="shared" si="8"/>
        <v>-21.6</v>
      </c>
      <c r="T6" s="60">
        <f t="shared" si="9"/>
        <v>102</v>
      </c>
      <c r="U6" s="52">
        <f t="shared" si="10"/>
        <v>21.6</v>
      </c>
      <c r="V6" s="53">
        <f t="shared" si="11"/>
        <v>-10.840634357325053</v>
      </c>
      <c r="W6" s="54">
        <f t="shared" si="12"/>
        <v>-10.840634357325053</v>
      </c>
      <c r="X6" s="54">
        <f t="shared" si="13"/>
        <v>-10.840634357325053</v>
      </c>
      <c r="Y6" s="55">
        <f t="shared" si="14"/>
        <v>0</v>
      </c>
      <c r="Z6" s="55">
        <f t="shared" si="15"/>
        <v>0</v>
      </c>
      <c r="AA6" s="56">
        <f t="shared" si="16"/>
        <v>0</v>
      </c>
      <c r="AB6" s="9"/>
      <c r="AC6" s="57">
        <v>90</v>
      </c>
      <c r="AD6" s="48">
        <v>0</v>
      </c>
      <c r="AE6" s="48">
        <v>90</v>
      </c>
      <c r="AF6" s="48">
        <v>0</v>
      </c>
      <c r="AG6" s="48">
        <v>90</v>
      </c>
      <c r="AH6" s="48">
        <v>0</v>
      </c>
      <c r="AI6" s="48">
        <v>-24</v>
      </c>
      <c r="AJ6" s="48">
        <v>0</v>
      </c>
      <c r="AK6" s="48">
        <v>0</v>
      </c>
      <c r="AL6" s="48">
        <v>0</v>
      </c>
      <c r="AM6" s="48">
        <v>24</v>
      </c>
      <c r="AN6" s="58">
        <v>0</v>
      </c>
      <c r="AO6" s="9"/>
      <c r="AP6" s="59">
        <f>90+12</f>
        <v>102</v>
      </c>
      <c r="AQ6" s="60">
        <v>0</v>
      </c>
      <c r="AR6" s="51">
        <f>AI6*0.9</f>
        <v>-21.6</v>
      </c>
      <c r="AS6" s="60">
        <v>0</v>
      </c>
      <c r="AT6" s="59">
        <f>90+12</f>
        <v>102</v>
      </c>
      <c r="AU6" s="60">
        <v>0</v>
      </c>
      <c r="AV6" s="51">
        <f>AM6*0.9</f>
        <v>21.6</v>
      </c>
      <c r="AW6" s="62">
        <v>0</v>
      </c>
      <c r="AX6" s="9"/>
      <c r="AY6" s="63"/>
      <c r="AZ6" s="15"/>
      <c r="BA6" s="63"/>
      <c r="BB6" s="15"/>
      <c r="BC6" s="63"/>
      <c r="BD6" s="15"/>
      <c r="BE6" s="15"/>
      <c r="BF6" s="15"/>
      <c r="BG6" s="15"/>
      <c r="BH6" s="15"/>
      <c r="BI6" s="15"/>
      <c r="BJ6" s="15"/>
      <c r="BK6" s="9"/>
      <c r="BL6" s="9"/>
      <c r="BM6" s="9"/>
      <c r="BN6" s="9"/>
      <c r="BO6" s="9"/>
      <c r="BP6" s="9"/>
      <c r="BQ6" s="9"/>
      <c r="BR6" s="9"/>
      <c r="BS6" s="9"/>
    </row>
    <row r="7" spans="1:71" ht="18.75" customHeight="1" x14ac:dyDescent="0.3">
      <c r="A7" s="42" t="s">
        <v>240</v>
      </c>
      <c r="B7" t="s">
        <v>228</v>
      </c>
      <c r="C7" t="s">
        <v>241</v>
      </c>
      <c r="D7" t="s">
        <v>112</v>
      </c>
      <c r="E7" s="44">
        <v>2</v>
      </c>
      <c r="F7" s="44">
        <v>2</v>
      </c>
      <c r="G7" s="45">
        <v>345</v>
      </c>
      <c r="H7" s="44">
        <v>20</v>
      </c>
      <c r="I7" s="44">
        <v>355</v>
      </c>
      <c r="J7" s="44">
        <v>170</v>
      </c>
      <c r="K7" s="43">
        <f t="shared" si="0"/>
        <v>10.840634357325053</v>
      </c>
      <c r="L7" s="46">
        <f t="shared" si="1"/>
        <v>43.659365642674949</v>
      </c>
      <c r="M7" s="47">
        <f t="shared" si="2"/>
        <v>43.659365642674949</v>
      </c>
      <c r="N7" s="47">
        <f t="shared" si="3"/>
        <v>43.659365642674949</v>
      </c>
      <c r="O7" s="48">
        <f t="shared" si="4"/>
        <v>-23</v>
      </c>
      <c r="P7" s="48">
        <f t="shared" si="5"/>
        <v>0</v>
      </c>
      <c r="Q7" s="58">
        <f t="shared" si="6"/>
        <v>23</v>
      </c>
      <c r="R7" s="50">
        <f t="shared" si="7"/>
        <v>94.5</v>
      </c>
      <c r="S7" s="51">
        <f t="shared" si="8"/>
        <v>-20.5</v>
      </c>
      <c r="T7" s="51">
        <f t="shared" si="9"/>
        <v>94.5</v>
      </c>
      <c r="U7" s="52">
        <f t="shared" si="10"/>
        <v>20.5</v>
      </c>
      <c r="V7" s="53">
        <f t="shared" si="11"/>
        <v>72.159365642674942</v>
      </c>
      <c r="W7" s="54">
        <f t="shared" si="12"/>
        <v>72.159365642674942</v>
      </c>
      <c r="X7" s="54">
        <f t="shared" si="13"/>
        <v>72.159365642674942</v>
      </c>
      <c r="Y7" s="55">
        <f t="shared" si="14"/>
        <v>23</v>
      </c>
      <c r="Z7" s="55">
        <f t="shared" si="15"/>
        <v>0</v>
      </c>
      <c r="AA7" s="56">
        <f t="shared" si="16"/>
        <v>-23</v>
      </c>
      <c r="AB7" s="9"/>
      <c r="AC7" s="57">
        <v>54</v>
      </c>
      <c r="AD7" s="48">
        <v>6</v>
      </c>
      <c r="AE7" s="48">
        <v>54</v>
      </c>
      <c r="AF7" s="48">
        <v>6</v>
      </c>
      <c r="AG7" s="48">
        <v>54</v>
      </c>
      <c r="AH7" s="48">
        <v>6</v>
      </c>
      <c r="AI7" s="48">
        <v>-23</v>
      </c>
      <c r="AJ7" s="48">
        <v>0</v>
      </c>
      <c r="AK7" s="48">
        <v>0</v>
      </c>
      <c r="AL7" s="48">
        <v>0</v>
      </c>
      <c r="AM7" s="48">
        <v>23</v>
      </c>
      <c r="AN7" s="58">
        <v>0</v>
      </c>
      <c r="AO7" s="9"/>
      <c r="AP7" s="59">
        <f>54+28+11</f>
        <v>93</v>
      </c>
      <c r="AQ7" s="60">
        <f>6+6+6</f>
        <v>18</v>
      </c>
      <c r="AR7" s="60">
        <v>-20</v>
      </c>
      <c r="AS7" s="60">
        <v>-6</v>
      </c>
      <c r="AT7" s="59">
        <f>54+28+11</f>
        <v>93</v>
      </c>
      <c r="AU7" s="60">
        <f>6+6+6</f>
        <v>18</v>
      </c>
      <c r="AV7" s="60">
        <v>20</v>
      </c>
      <c r="AW7" s="62">
        <v>6</v>
      </c>
      <c r="AX7" s="9"/>
      <c r="AY7" s="61">
        <f>54+28</f>
        <v>82</v>
      </c>
      <c r="AZ7" s="55">
        <f>6+6</f>
        <v>12</v>
      </c>
      <c r="BA7" s="61">
        <f>54+28</f>
        <v>82</v>
      </c>
      <c r="BB7" s="55">
        <f>6+6</f>
        <v>12</v>
      </c>
      <c r="BC7" s="61">
        <f>54+28</f>
        <v>82</v>
      </c>
      <c r="BD7" s="55">
        <f>6+6</f>
        <v>12</v>
      </c>
      <c r="BE7" s="55">
        <v>23</v>
      </c>
      <c r="BF7" s="55">
        <v>0</v>
      </c>
      <c r="BG7" s="55">
        <v>0</v>
      </c>
      <c r="BH7" s="55">
        <v>0</v>
      </c>
      <c r="BI7" s="55">
        <v>-23</v>
      </c>
      <c r="BJ7" s="56">
        <v>0</v>
      </c>
      <c r="BK7" s="9"/>
      <c r="BL7" s="9"/>
      <c r="BM7" s="9"/>
      <c r="BN7" s="9"/>
      <c r="BO7" s="9"/>
      <c r="BP7" s="9"/>
      <c r="BQ7" s="9"/>
      <c r="BR7" s="9"/>
      <c r="BS7" s="9"/>
    </row>
    <row r="8" spans="1:71" ht="18.75" customHeight="1" x14ac:dyDescent="0.3">
      <c r="A8" s="42" t="s">
        <v>242</v>
      </c>
      <c r="B8" t="s">
        <v>228</v>
      </c>
      <c r="C8" t="s">
        <v>243</v>
      </c>
      <c r="D8" t="s">
        <v>103</v>
      </c>
      <c r="E8" s="44">
        <v>2</v>
      </c>
      <c r="F8" s="44">
        <v>2</v>
      </c>
      <c r="G8" s="45">
        <v>345</v>
      </c>
      <c r="H8" s="44">
        <v>20</v>
      </c>
      <c r="I8" s="44">
        <v>355</v>
      </c>
      <c r="J8" s="44">
        <v>170</v>
      </c>
      <c r="K8" s="43">
        <f t="shared" si="0"/>
        <v>10.840634357325053</v>
      </c>
      <c r="L8" s="46">
        <f t="shared" si="1"/>
        <v>41.826032309341613</v>
      </c>
      <c r="M8" s="47">
        <f t="shared" si="2"/>
        <v>64.826032309341613</v>
      </c>
      <c r="N8" s="47">
        <f t="shared" si="3"/>
        <v>87.826032309341613</v>
      </c>
      <c r="O8" s="48">
        <f t="shared" si="4"/>
        <v>-19</v>
      </c>
      <c r="P8" s="47">
        <f t="shared" si="5"/>
        <v>-17.5</v>
      </c>
      <c r="Q8" s="49">
        <f t="shared" si="6"/>
        <v>-15.333333333333334</v>
      </c>
      <c r="R8" s="50">
        <f t="shared" si="7"/>
        <v>104.66666666666667</v>
      </c>
      <c r="S8" s="60">
        <f t="shared" si="8"/>
        <v>-12</v>
      </c>
      <c r="T8" s="51">
        <f t="shared" si="9"/>
        <v>104.66666666666667</v>
      </c>
      <c r="U8" s="62">
        <f t="shared" si="10"/>
        <v>12</v>
      </c>
      <c r="V8" s="53">
        <f t="shared" si="11"/>
        <v>87.826032309341613</v>
      </c>
      <c r="W8" s="54">
        <f t="shared" si="12"/>
        <v>64.826032309341613</v>
      </c>
      <c r="X8" s="54">
        <f t="shared" si="13"/>
        <v>41.826032309341613</v>
      </c>
      <c r="Y8" s="54">
        <f t="shared" si="14"/>
        <v>15.333333333333334</v>
      </c>
      <c r="Z8" s="54">
        <f t="shared" si="15"/>
        <v>17.5</v>
      </c>
      <c r="AA8" s="56">
        <f t="shared" si="16"/>
        <v>19</v>
      </c>
      <c r="AB8" s="9"/>
      <c r="AC8" s="57">
        <v>52</v>
      </c>
      <c r="AD8" s="48">
        <v>8</v>
      </c>
      <c r="AE8" s="48">
        <f>52+23</f>
        <v>75</v>
      </c>
      <c r="AF8" s="48">
        <v>8</v>
      </c>
      <c r="AG8" s="48">
        <f>52+23+23</f>
        <v>98</v>
      </c>
      <c r="AH8" s="48">
        <v>8</v>
      </c>
      <c r="AI8" s="48">
        <v>-19</v>
      </c>
      <c r="AJ8" s="48">
        <v>0</v>
      </c>
      <c r="AK8" s="48">
        <v>-17</v>
      </c>
      <c r="AL8" s="48">
        <v>-6</v>
      </c>
      <c r="AM8" s="48">
        <v>-15</v>
      </c>
      <c r="AN8" s="58">
        <v>-4</v>
      </c>
      <c r="AO8" s="9"/>
      <c r="AP8" s="59">
        <f>52+23+23+6</f>
        <v>104</v>
      </c>
      <c r="AQ8" s="60">
        <v>8</v>
      </c>
      <c r="AR8" s="60">
        <v>-12</v>
      </c>
      <c r="AS8" s="60">
        <v>0</v>
      </c>
      <c r="AT8" s="60">
        <f>52+23+23+6</f>
        <v>104</v>
      </c>
      <c r="AU8" s="60">
        <v>8</v>
      </c>
      <c r="AV8" s="60">
        <v>12</v>
      </c>
      <c r="AW8" s="62">
        <v>0</v>
      </c>
      <c r="AX8" s="9"/>
      <c r="AY8" s="61">
        <f>52+23+23</f>
        <v>98</v>
      </c>
      <c r="AZ8" s="55">
        <v>8</v>
      </c>
      <c r="BA8" s="55">
        <f>52+23</f>
        <v>75</v>
      </c>
      <c r="BB8" s="55">
        <v>8</v>
      </c>
      <c r="BC8" s="55">
        <v>52</v>
      </c>
      <c r="BD8" s="55">
        <v>8</v>
      </c>
      <c r="BE8" s="55">
        <v>15</v>
      </c>
      <c r="BF8" s="55">
        <v>4</v>
      </c>
      <c r="BG8" s="55">
        <v>17</v>
      </c>
      <c r="BH8" s="55">
        <v>6</v>
      </c>
      <c r="BI8" s="55">
        <v>19</v>
      </c>
      <c r="BJ8" s="56">
        <v>0</v>
      </c>
      <c r="BK8" s="9"/>
      <c r="BL8" s="9"/>
      <c r="BM8" s="9"/>
      <c r="BN8" s="9"/>
      <c r="BO8" s="9"/>
      <c r="BP8" s="9"/>
      <c r="BQ8" s="9"/>
      <c r="BR8" s="9"/>
      <c r="BS8" s="9"/>
    </row>
    <row r="9" spans="1:71" ht="18.75" customHeight="1" x14ac:dyDescent="0.3">
      <c r="A9" s="42" t="s">
        <v>244</v>
      </c>
      <c r="B9" t="s">
        <v>228</v>
      </c>
      <c r="C9" t="s">
        <v>245</v>
      </c>
      <c r="D9" t="s">
        <v>246</v>
      </c>
      <c r="E9" s="44">
        <v>2</v>
      </c>
      <c r="F9" s="44">
        <v>2</v>
      </c>
      <c r="G9" s="45">
        <v>345</v>
      </c>
      <c r="H9" s="44">
        <v>20</v>
      </c>
      <c r="I9" s="44">
        <v>355</v>
      </c>
      <c r="J9" s="44">
        <v>170</v>
      </c>
      <c r="K9" s="43">
        <f t="shared" si="0"/>
        <v>10.840634357325053</v>
      </c>
      <c r="L9" s="46">
        <f t="shared" si="1"/>
        <v>69.159365642674942</v>
      </c>
      <c r="M9" s="47">
        <f t="shared" si="2"/>
        <v>93.159365642674942</v>
      </c>
      <c r="N9" s="47">
        <f t="shared" si="3"/>
        <v>117.15936564267494</v>
      </c>
      <c r="O9" s="48">
        <f t="shared" si="4"/>
        <v>-22</v>
      </c>
      <c r="P9" s="48">
        <f t="shared" si="5"/>
        <v>-37</v>
      </c>
      <c r="Q9" s="58">
        <f t="shared" si="6"/>
        <v>-22</v>
      </c>
      <c r="R9" s="59">
        <f t="shared" si="7"/>
        <v>142</v>
      </c>
      <c r="S9" s="60">
        <f t="shared" si="8"/>
        <v>-11</v>
      </c>
      <c r="T9" s="60">
        <f t="shared" si="9"/>
        <v>142</v>
      </c>
      <c r="U9" s="62">
        <f t="shared" si="10"/>
        <v>11</v>
      </c>
      <c r="V9" s="53">
        <f t="shared" si="11"/>
        <v>117.15936564267494</v>
      </c>
      <c r="W9" s="54">
        <f t="shared" si="12"/>
        <v>93.159365642674942</v>
      </c>
      <c r="X9" s="54">
        <f t="shared" si="13"/>
        <v>69.159365642674942</v>
      </c>
      <c r="Y9" s="55">
        <f t="shared" si="14"/>
        <v>22</v>
      </c>
      <c r="Z9" s="55">
        <f t="shared" si="15"/>
        <v>37</v>
      </c>
      <c r="AA9" s="56">
        <f t="shared" si="16"/>
        <v>22</v>
      </c>
      <c r="AB9" s="9"/>
      <c r="AC9" s="57">
        <v>80</v>
      </c>
      <c r="AD9" s="48">
        <v>0</v>
      </c>
      <c r="AE9" s="48">
        <f>80+24</f>
        <v>104</v>
      </c>
      <c r="AF9" s="48">
        <v>0</v>
      </c>
      <c r="AG9" s="48">
        <f>80+24+24</f>
        <v>128</v>
      </c>
      <c r="AH9" s="48">
        <v>0</v>
      </c>
      <c r="AI9" s="48">
        <v>-22</v>
      </c>
      <c r="AJ9" s="48">
        <v>0</v>
      </c>
      <c r="AK9" s="48">
        <v>-37</v>
      </c>
      <c r="AL9" s="48">
        <v>0</v>
      </c>
      <c r="AM9" s="48">
        <v>-22</v>
      </c>
      <c r="AN9" s="58">
        <v>0</v>
      </c>
      <c r="AO9" s="9"/>
      <c r="AP9" s="59">
        <f>80+24+24+14</f>
        <v>142</v>
      </c>
      <c r="AQ9" s="60">
        <v>0</v>
      </c>
      <c r="AR9" s="60">
        <v>-11</v>
      </c>
      <c r="AS9" s="60">
        <v>0</v>
      </c>
      <c r="AT9" s="60">
        <f>80+24+24+14</f>
        <v>142</v>
      </c>
      <c r="AU9" s="60">
        <v>0</v>
      </c>
      <c r="AV9" s="60">
        <v>11</v>
      </c>
      <c r="AW9" s="62">
        <v>0</v>
      </c>
      <c r="AX9" s="9"/>
      <c r="AY9" s="61">
        <f>80+24+24</f>
        <v>128</v>
      </c>
      <c r="AZ9" s="55">
        <v>0</v>
      </c>
      <c r="BA9" s="55">
        <f>80+24</f>
        <v>104</v>
      </c>
      <c r="BB9" s="55">
        <v>0</v>
      </c>
      <c r="BC9" s="55">
        <f>80</f>
        <v>80</v>
      </c>
      <c r="BD9" s="55">
        <v>0</v>
      </c>
      <c r="BE9" s="55">
        <v>22</v>
      </c>
      <c r="BF9" s="55">
        <v>0</v>
      </c>
      <c r="BG9" s="55">
        <v>37</v>
      </c>
      <c r="BH9" s="55">
        <v>0</v>
      </c>
      <c r="BI9" s="55">
        <v>22</v>
      </c>
      <c r="BJ9" s="56">
        <v>0</v>
      </c>
      <c r="BK9" s="9"/>
      <c r="BL9" s="9"/>
      <c r="BM9" s="9"/>
      <c r="BN9" s="9"/>
      <c r="BO9" s="9"/>
      <c r="BP9" s="9"/>
      <c r="BQ9" s="9"/>
      <c r="BR9" s="9"/>
      <c r="BS9" s="9"/>
    </row>
    <row r="10" spans="1:71" ht="18.75" customHeight="1" x14ac:dyDescent="0.3">
      <c r="A10" s="42" t="s">
        <v>247</v>
      </c>
      <c r="B10" t="s">
        <v>228</v>
      </c>
      <c r="C10" t="s">
        <v>248</v>
      </c>
      <c r="D10" t="s">
        <v>249</v>
      </c>
      <c r="E10" s="44">
        <v>2</v>
      </c>
      <c r="F10" s="44">
        <v>2</v>
      </c>
      <c r="G10" s="45">
        <v>345</v>
      </c>
      <c r="H10" s="44">
        <v>20</v>
      </c>
      <c r="I10" s="44">
        <v>355</v>
      </c>
      <c r="J10" s="44">
        <v>170</v>
      </c>
      <c r="K10" s="43">
        <f t="shared" si="0"/>
        <v>10.840634357325053</v>
      </c>
      <c r="L10" s="46">
        <f t="shared" si="1"/>
        <v>69.159365642674942</v>
      </c>
      <c r="M10" s="47">
        <f t="shared" si="2"/>
        <v>89.159365642674942</v>
      </c>
      <c r="N10" s="47">
        <f t="shared" si="3"/>
        <v>111.15936564267494</v>
      </c>
      <c r="O10" s="48">
        <f t="shared" si="4"/>
        <v>-18</v>
      </c>
      <c r="P10" s="48">
        <f t="shared" si="5"/>
        <v>-29</v>
      </c>
      <c r="Q10" s="58">
        <f t="shared" si="6"/>
        <v>-17</v>
      </c>
      <c r="R10" s="59">
        <f t="shared" si="7"/>
        <v>137</v>
      </c>
      <c r="S10" s="60">
        <f t="shared" si="8"/>
        <v>-24</v>
      </c>
      <c r="T10" s="60">
        <f t="shared" si="9"/>
        <v>137</v>
      </c>
      <c r="U10" s="62">
        <f t="shared" si="10"/>
        <v>24</v>
      </c>
      <c r="V10" s="53">
        <f t="shared" si="11"/>
        <v>111.15936564267494</v>
      </c>
      <c r="W10" s="54">
        <f t="shared" si="12"/>
        <v>89.159365642674942</v>
      </c>
      <c r="X10" s="54">
        <f t="shared" si="13"/>
        <v>69.159365642674942</v>
      </c>
      <c r="Y10" s="55">
        <f t="shared" si="14"/>
        <v>17</v>
      </c>
      <c r="Z10" s="55">
        <f t="shared" si="15"/>
        <v>29</v>
      </c>
      <c r="AA10" s="56">
        <f t="shared" si="16"/>
        <v>18</v>
      </c>
      <c r="AB10" s="9"/>
      <c r="AC10" s="57">
        <v>80</v>
      </c>
      <c r="AD10" s="48">
        <v>0</v>
      </c>
      <c r="AE10" s="48">
        <f>80+20</f>
        <v>100</v>
      </c>
      <c r="AF10" s="48">
        <v>0</v>
      </c>
      <c r="AG10" s="48">
        <f>80+20+22</f>
        <v>122</v>
      </c>
      <c r="AH10" s="48">
        <v>0</v>
      </c>
      <c r="AI10" s="48">
        <v>-18</v>
      </c>
      <c r="AJ10" s="48">
        <v>0</v>
      </c>
      <c r="AK10" s="48">
        <v>-29</v>
      </c>
      <c r="AL10" s="48">
        <v>0</v>
      </c>
      <c r="AM10" s="48">
        <v>-17</v>
      </c>
      <c r="AN10" s="58">
        <v>0</v>
      </c>
      <c r="AO10" s="9"/>
      <c r="AP10" s="59">
        <f>80+20+22+15</f>
        <v>137</v>
      </c>
      <c r="AQ10" s="60">
        <v>0</v>
      </c>
      <c r="AR10" s="60">
        <v>-24</v>
      </c>
      <c r="AS10" s="60">
        <v>0</v>
      </c>
      <c r="AT10" s="60">
        <f>80+20+22+15</f>
        <v>137</v>
      </c>
      <c r="AU10" s="60">
        <v>0</v>
      </c>
      <c r="AV10" s="60">
        <v>24</v>
      </c>
      <c r="AW10" s="62">
        <v>0</v>
      </c>
      <c r="AX10" s="9"/>
      <c r="AY10" s="61">
        <f>80+20+22</f>
        <v>122</v>
      </c>
      <c r="AZ10" s="55">
        <v>0</v>
      </c>
      <c r="BA10" s="55">
        <f>80+20</f>
        <v>100</v>
      </c>
      <c r="BB10" s="55">
        <v>0</v>
      </c>
      <c r="BC10" s="55">
        <v>80</v>
      </c>
      <c r="BD10" s="55">
        <v>0</v>
      </c>
      <c r="BE10" s="55">
        <v>17</v>
      </c>
      <c r="BF10" s="55">
        <v>0</v>
      </c>
      <c r="BG10" s="55">
        <v>29</v>
      </c>
      <c r="BH10" s="55">
        <v>0</v>
      </c>
      <c r="BI10" s="55">
        <v>18</v>
      </c>
      <c r="BJ10" s="56">
        <v>0</v>
      </c>
      <c r="BK10" s="9"/>
      <c r="BL10" s="9"/>
      <c r="BM10" s="9"/>
      <c r="BN10" s="9"/>
      <c r="BO10" s="9"/>
      <c r="BP10" s="9"/>
      <c r="BQ10" s="9"/>
      <c r="BR10" s="9"/>
      <c r="BS10" s="9"/>
    </row>
    <row r="11" spans="1:71" ht="18.75" customHeight="1" x14ac:dyDescent="0.3">
      <c r="A11" s="42" t="s">
        <v>250</v>
      </c>
      <c r="B11" t="s">
        <v>228</v>
      </c>
      <c r="C11" t="s">
        <v>251</v>
      </c>
      <c r="D11" t="s">
        <v>74</v>
      </c>
      <c r="E11" s="44">
        <v>2</v>
      </c>
      <c r="F11" s="44">
        <v>2</v>
      </c>
      <c r="G11" s="45">
        <v>345</v>
      </c>
      <c r="H11" s="44">
        <v>20</v>
      </c>
      <c r="I11" s="44">
        <v>355</v>
      </c>
      <c r="J11" s="44">
        <v>170</v>
      </c>
      <c r="K11" s="43">
        <f t="shared" si="0"/>
        <v>10.840634357325053</v>
      </c>
      <c r="L11" s="46">
        <f t="shared" si="1"/>
        <v>53.159365642674949</v>
      </c>
      <c r="M11" s="47">
        <f t="shared" si="2"/>
        <v>74.659365642674942</v>
      </c>
      <c r="N11" s="47">
        <f t="shared" si="3"/>
        <v>98.659365642674942</v>
      </c>
      <c r="O11" s="47">
        <f t="shared" si="4"/>
        <v>-20.5</v>
      </c>
      <c r="P11" s="48">
        <f t="shared" si="5"/>
        <v>-27</v>
      </c>
      <c r="Q11" s="49">
        <f t="shared" si="6"/>
        <v>-18.5</v>
      </c>
      <c r="R11" s="50">
        <f t="shared" si="7"/>
        <v>119.5</v>
      </c>
      <c r="S11" s="51">
        <f t="shared" si="8"/>
        <v>-25.75</v>
      </c>
      <c r="T11" s="51">
        <f t="shared" si="9"/>
        <v>119.5</v>
      </c>
      <c r="U11" s="52">
        <f t="shared" si="10"/>
        <v>25.75</v>
      </c>
      <c r="V11" s="53">
        <f t="shared" si="11"/>
        <v>98.659365642674942</v>
      </c>
      <c r="W11" s="54">
        <f t="shared" si="12"/>
        <v>74.659365642674942</v>
      </c>
      <c r="X11" s="54">
        <f t="shared" si="13"/>
        <v>53.159365642674949</v>
      </c>
      <c r="Y11" s="54">
        <f t="shared" si="14"/>
        <v>18.5</v>
      </c>
      <c r="Z11" s="55">
        <f t="shared" si="15"/>
        <v>27</v>
      </c>
      <c r="AA11" s="64">
        <f t="shared" si="16"/>
        <v>20.5</v>
      </c>
      <c r="AB11" s="9"/>
      <c r="AC11" s="57">
        <v>64</v>
      </c>
      <c r="AD11" s="48">
        <v>0</v>
      </c>
      <c r="AE11" s="48">
        <f>64+21</f>
        <v>85</v>
      </c>
      <c r="AF11" s="48">
        <v>6</v>
      </c>
      <c r="AG11" s="48">
        <f>64+21+24</f>
        <v>109</v>
      </c>
      <c r="AH11" s="48">
        <v>6</v>
      </c>
      <c r="AI11" s="48">
        <v>-20</v>
      </c>
      <c r="AJ11" s="48">
        <v>-6</v>
      </c>
      <c r="AK11" s="48">
        <v>-27</v>
      </c>
      <c r="AL11" s="48">
        <v>0</v>
      </c>
      <c r="AM11" s="48">
        <v>-18</v>
      </c>
      <c r="AN11" s="58">
        <v>-6</v>
      </c>
      <c r="AO11" s="9"/>
      <c r="AP11" s="59">
        <f>64+21+24+10</f>
        <v>119</v>
      </c>
      <c r="AQ11" s="60">
        <v>6</v>
      </c>
      <c r="AR11" s="60">
        <v>-25</v>
      </c>
      <c r="AS11" s="60">
        <v>-9</v>
      </c>
      <c r="AT11" s="60">
        <f>64+21+24+10</f>
        <v>119</v>
      </c>
      <c r="AU11" s="60">
        <v>6</v>
      </c>
      <c r="AV11" s="60">
        <v>25</v>
      </c>
      <c r="AW11" s="62">
        <v>9</v>
      </c>
      <c r="AX11" s="9"/>
      <c r="AY11" s="61">
        <f>64+21+24</f>
        <v>109</v>
      </c>
      <c r="AZ11" s="55">
        <v>6</v>
      </c>
      <c r="BA11" s="55">
        <f>64+21</f>
        <v>85</v>
      </c>
      <c r="BB11" s="55">
        <v>6</v>
      </c>
      <c r="BC11" s="55">
        <v>64</v>
      </c>
      <c r="BD11" s="55">
        <v>0</v>
      </c>
      <c r="BE11" s="55">
        <v>18</v>
      </c>
      <c r="BF11" s="55">
        <v>6</v>
      </c>
      <c r="BG11" s="55">
        <v>27</v>
      </c>
      <c r="BH11" s="55">
        <v>0</v>
      </c>
      <c r="BI11" s="55">
        <v>20</v>
      </c>
      <c r="BJ11" s="56">
        <v>6</v>
      </c>
      <c r="BK11" s="9"/>
      <c r="BL11" s="9"/>
      <c r="BM11" s="9"/>
      <c r="BN11" s="9"/>
      <c r="BO11" s="9"/>
      <c r="BP11" s="9"/>
      <c r="BQ11" s="9"/>
      <c r="BR11" s="9"/>
      <c r="BS11" s="9"/>
    </row>
    <row r="12" spans="1:71" ht="18.75" customHeight="1" x14ac:dyDescent="0.3">
      <c r="A12" s="42" t="s">
        <v>252</v>
      </c>
      <c r="B12" t="s">
        <v>228</v>
      </c>
      <c r="C12" t="s">
        <v>253</v>
      </c>
      <c r="D12" t="s">
        <v>254</v>
      </c>
      <c r="E12" s="44">
        <v>2</v>
      </c>
      <c r="F12" s="44">
        <v>2</v>
      </c>
      <c r="G12" s="45">
        <v>345</v>
      </c>
      <c r="H12" s="44">
        <v>20</v>
      </c>
      <c r="I12" s="44">
        <v>355</v>
      </c>
      <c r="J12" s="44">
        <v>170</v>
      </c>
      <c r="K12" s="43">
        <f t="shared" si="0"/>
        <v>10.840634357325053</v>
      </c>
      <c r="L12" s="46">
        <f t="shared" si="1"/>
        <v>91.159365642674942</v>
      </c>
      <c r="M12" s="47">
        <f t="shared" si="2"/>
        <v>65.159365642674942</v>
      </c>
      <c r="N12" s="47">
        <f t="shared" si="3"/>
        <v>65.159365642674942</v>
      </c>
      <c r="O12" s="47">
        <f t="shared" si="4"/>
        <v>-17.666666666666668</v>
      </c>
      <c r="P12" s="48">
        <f t="shared" si="5"/>
        <v>-37</v>
      </c>
      <c r="Q12" s="58">
        <f t="shared" si="6"/>
        <v>-17</v>
      </c>
      <c r="R12" s="59">
        <f t="shared" si="7"/>
        <v>109</v>
      </c>
      <c r="S12" s="51">
        <f t="shared" si="8"/>
        <v>-23.333333333333332</v>
      </c>
      <c r="T12" s="60">
        <f t="shared" si="9"/>
        <v>109</v>
      </c>
      <c r="U12" s="52">
        <f t="shared" si="10"/>
        <v>23.333333333333332</v>
      </c>
      <c r="V12" s="53">
        <f t="shared" si="11"/>
        <v>91.159365642674942</v>
      </c>
      <c r="W12" s="54">
        <f t="shared" si="12"/>
        <v>65.159365642674942</v>
      </c>
      <c r="X12" s="54">
        <f t="shared" si="13"/>
        <v>65.159365642674942</v>
      </c>
      <c r="Y12" s="54">
        <f t="shared" si="14"/>
        <v>17.666666666666668</v>
      </c>
      <c r="Z12" s="55">
        <f t="shared" si="15"/>
        <v>17</v>
      </c>
      <c r="AA12" s="56">
        <f t="shared" si="16"/>
        <v>37</v>
      </c>
      <c r="AB12" s="9"/>
      <c r="AC12" s="57">
        <f>76+26</f>
        <v>102</v>
      </c>
      <c r="AD12" s="48">
        <v>0</v>
      </c>
      <c r="AE12" s="48">
        <v>76</v>
      </c>
      <c r="AF12" s="48">
        <v>0</v>
      </c>
      <c r="AG12" s="48">
        <v>76</v>
      </c>
      <c r="AH12" s="48">
        <v>0</v>
      </c>
      <c r="AI12" s="48">
        <v>-17</v>
      </c>
      <c r="AJ12" s="48">
        <v>-8</v>
      </c>
      <c r="AK12" s="48">
        <f>-17-20</f>
        <v>-37</v>
      </c>
      <c r="AL12" s="48">
        <v>0</v>
      </c>
      <c r="AM12" s="48">
        <v>-17</v>
      </c>
      <c r="AN12" s="58">
        <v>0</v>
      </c>
      <c r="AO12" s="9"/>
      <c r="AP12" s="59">
        <f>76+26+7</f>
        <v>109</v>
      </c>
      <c r="AQ12" s="60">
        <v>0</v>
      </c>
      <c r="AR12" s="60">
        <v>-23</v>
      </c>
      <c r="AS12" s="60">
        <v>-4</v>
      </c>
      <c r="AT12" s="60">
        <f>76+26+7</f>
        <v>109</v>
      </c>
      <c r="AU12" s="60">
        <v>0</v>
      </c>
      <c r="AV12" s="60">
        <v>23</v>
      </c>
      <c r="AW12" s="62">
        <v>4</v>
      </c>
      <c r="AX12" s="9"/>
      <c r="AY12" s="61">
        <f>76+26</f>
        <v>102</v>
      </c>
      <c r="AZ12" s="55">
        <v>0</v>
      </c>
      <c r="BA12" s="55">
        <v>76</v>
      </c>
      <c r="BB12" s="55">
        <v>0</v>
      </c>
      <c r="BC12" s="55">
        <v>76</v>
      </c>
      <c r="BD12" s="55">
        <v>0</v>
      </c>
      <c r="BE12" s="55">
        <v>17</v>
      </c>
      <c r="BF12" s="55">
        <v>8</v>
      </c>
      <c r="BG12" s="55">
        <v>17</v>
      </c>
      <c r="BH12" s="55">
        <v>0</v>
      </c>
      <c r="BI12" s="55">
        <f>17+20</f>
        <v>37</v>
      </c>
      <c r="BJ12" s="56">
        <v>0</v>
      </c>
      <c r="BK12" s="9"/>
      <c r="BL12" s="9"/>
      <c r="BM12" s="9"/>
      <c r="BN12" s="9"/>
      <c r="BO12" s="9"/>
      <c r="BP12" s="9"/>
      <c r="BQ12" s="9"/>
      <c r="BR12" s="9"/>
      <c r="BS12" s="9"/>
    </row>
    <row r="13" spans="1:71" ht="18.75" customHeight="1" x14ac:dyDescent="0.3">
      <c r="A13" s="42" t="s">
        <v>255</v>
      </c>
      <c r="B13" t="s">
        <v>228</v>
      </c>
      <c r="C13" t="s">
        <v>256</v>
      </c>
      <c r="D13" t="s">
        <v>136</v>
      </c>
      <c r="E13" s="44">
        <v>2</v>
      </c>
      <c r="F13" s="44">
        <v>2</v>
      </c>
      <c r="G13" s="45">
        <v>345</v>
      </c>
      <c r="H13" s="44">
        <v>20</v>
      </c>
      <c r="I13" s="44">
        <v>355</v>
      </c>
      <c r="J13" s="44">
        <v>170</v>
      </c>
      <c r="K13" s="43">
        <f t="shared" si="0"/>
        <v>10.840634357325053</v>
      </c>
      <c r="L13" s="46">
        <f t="shared" si="1"/>
        <v>77.159365642674942</v>
      </c>
      <c r="M13" s="47">
        <f t="shared" si="2"/>
        <v>52.159365642674949</v>
      </c>
      <c r="N13" s="47">
        <f t="shared" si="3"/>
        <v>52.159365642674949</v>
      </c>
      <c r="O13" s="47">
        <f t="shared" si="4"/>
        <v>-25.583333333333332</v>
      </c>
      <c r="P13" s="47">
        <f t="shared" si="5"/>
        <v>-37.833333333333336</v>
      </c>
      <c r="Q13" s="49">
        <f t="shared" si="6"/>
        <v>-14.333333333333334</v>
      </c>
      <c r="R13" s="59">
        <f t="shared" si="7"/>
        <v>103</v>
      </c>
      <c r="S13" s="51">
        <f t="shared" si="8"/>
        <v>-15.666666666666666</v>
      </c>
      <c r="T13" s="60">
        <f t="shared" si="9"/>
        <v>103</v>
      </c>
      <c r="U13" s="52">
        <f t="shared" si="10"/>
        <v>15.666666666666666</v>
      </c>
      <c r="V13" s="53">
        <f t="shared" si="11"/>
        <v>77.159365642674942</v>
      </c>
      <c r="W13" s="54">
        <f t="shared" si="12"/>
        <v>52.159365642674949</v>
      </c>
      <c r="X13" s="54">
        <f t="shared" si="13"/>
        <v>52.159365642674949</v>
      </c>
      <c r="Y13" s="54">
        <f t="shared" si="14"/>
        <v>25.583333333333332</v>
      </c>
      <c r="Z13" s="54">
        <f t="shared" si="15"/>
        <v>14.333333333333334</v>
      </c>
      <c r="AA13" s="64">
        <f t="shared" si="16"/>
        <v>37.833333333333336</v>
      </c>
      <c r="AB13" s="9"/>
      <c r="AC13" s="57">
        <f>63+25</f>
        <v>88</v>
      </c>
      <c r="AD13" s="48">
        <v>0</v>
      </c>
      <c r="AE13" s="48">
        <v>63</v>
      </c>
      <c r="AF13" s="48">
        <v>0</v>
      </c>
      <c r="AG13" s="48">
        <v>63</v>
      </c>
      <c r="AH13" s="48">
        <v>0</v>
      </c>
      <c r="AI13" s="48">
        <v>-25</v>
      </c>
      <c r="AJ13" s="48">
        <v>-7</v>
      </c>
      <c r="AK13" s="48">
        <f>-14-23</f>
        <v>-37</v>
      </c>
      <c r="AL13" s="48">
        <f>-6-4</f>
        <v>-10</v>
      </c>
      <c r="AM13" s="48">
        <v>-14</v>
      </c>
      <c r="AN13" s="58">
        <v>-4</v>
      </c>
      <c r="AO13" s="9"/>
      <c r="AP13" s="59">
        <f>63+25+15</f>
        <v>103</v>
      </c>
      <c r="AQ13" s="60">
        <v>0</v>
      </c>
      <c r="AR13" s="60">
        <v>-15</v>
      </c>
      <c r="AS13" s="60">
        <v>-8</v>
      </c>
      <c r="AT13" s="60">
        <f>63+25+15</f>
        <v>103</v>
      </c>
      <c r="AU13" s="60">
        <v>0</v>
      </c>
      <c r="AV13" s="60">
        <v>15</v>
      </c>
      <c r="AW13" s="62">
        <v>8</v>
      </c>
      <c r="AX13" s="9"/>
      <c r="AY13" s="61">
        <f>63+25</f>
        <v>88</v>
      </c>
      <c r="AZ13" s="55">
        <v>0</v>
      </c>
      <c r="BA13" s="55">
        <v>63</v>
      </c>
      <c r="BB13" s="55">
        <v>0</v>
      </c>
      <c r="BC13" s="55">
        <v>63</v>
      </c>
      <c r="BD13" s="55">
        <v>0</v>
      </c>
      <c r="BE13" s="55">
        <v>25</v>
      </c>
      <c r="BF13" s="55">
        <v>7</v>
      </c>
      <c r="BG13" s="55">
        <v>14</v>
      </c>
      <c r="BH13" s="55">
        <v>4</v>
      </c>
      <c r="BI13" s="55">
        <f>14+23</f>
        <v>37</v>
      </c>
      <c r="BJ13" s="56">
        <f>4+6</f>
        <v>10</v>
      </c>
      <c r="BK13" s="9"/>
      <c r="BL13" s="9"/>
      <c r="BM13" s="9"/>
      <c r="BN13" s="9"/>
      <c r="BO13" s="9"/>
      <c r="BP13" s="9"/>
      <c r="BQ13" s="9"/>
      <c r="BR13" s="9"/>
      <c r="BS13" s="9"/>
    </row>
    <row r="14" spans="1:71" ht="18.75" customHeight="1" x14ac:dyDescent="0.3">
      <c r="A14" s="42" t="s">
        <v>257</v>
      </c>
      <c r="B14" t="s">
        <v>228</v>
      </c>
      <c r="C14" t="s">
        <v>258</v>
      </c>
      <c r="D14" t="s">
        <v>259</v>
      </c>
      <c r="E14" s="44">
        <v>2</v>
      </c>
      <c r="F14" s="44">
        <v>2</v>
      </c>
      <c r="G14" s="45">
        <v>345</v>
      </c>
      <c r="H14" s="44">
        <v>20</v>
      </c>
      <c r="I14" s="44">
        <v>355</v>
      </c>
      <c r="J14" s="44">
        <v>170</v>
      </c>
      <c r="K14" s="43">
        <f t="shared" si="0"/>
        <v>10.840634357325053</v>
      </c>
      <c r="L14" s="46">
        <f t="shared" si="1"/>
        <v>97.159365642674942</v>
      </c>
      <c r="M14" s="47">
        <f t="shared" si="2"/>
        <v>54.159365642674949</v>
      </c>
      <c r="N14" s="47">
        <f t="shared" si="3"/>
        <v>54.159365642674949</v>
      </c>
      <c r="O14" s="47">
        <f t="shared" si="4"/>
        <v>-28.5</v>
      </c>
      <c r="P14" s="47">
        <f t="shared" si="5"/>
        <v>-40.5</v>
      </c>
      <c r="Q14" s="49">
        <f t="shared" si="6"/>
        <v>-16.5</v>
      </c>
      <c r="R14" s="59">
        <f t="shared" si="7"/>
        <v>117</v>
      </c>
      <c r="S14" s="51">
        <f t="shared" si="8"/>
        <v>-40.5</v>
      </c>
      <c r="T14" s="60">
        <f t="shared" si="9"/>
        <v>117</v>
      </c>
      <c r="U14" s="52">
        <f t="shared" si="10"/>
        <v>40.5</v>
      </c>
      <c r="V14" s="53">
        <f t="shared" si="11"/>
        <v>97.159365642674942</v>
      </c>
      <c r="W14" s="54">
        <f t="shared" si="12"/>
        <v>54.159365642674949</v>
      </c>
      <c r="X14" s="54">
        <f t="shared" si="13"/>
        <v>54.159365642674949</v>
      </c>
      <c r="Y14" s="55">
        <f t="shared" si="14"/>
        <v>69</v>
      </c>
      <c r="Z14" s="54">
        <f t="shared" si="15"/>
        <v>16.5</v>
      </c>
      <c r="AA14" s="56">
        <f t="shared" si="16"/>
        <v>81</v>
      </c>
      <c r="AB14" s="9"/>
      <c r="AC14" s="57">
        <f>65+43</f>
        <v>108</v>
      </c>
      <c r="AD14" s="48">
        <v>0</v>
      </c>
      <c r="AE14" s="48">
        <v>65</v>
      </c>
      <c r="AF14" s="48">
        <v>0</v>
      </c>
      <c r="AG14" s="48">
        <v>65</v>
      </c>
      <c r="AH14" s="48">
        <v>0</v>
      </c>
      <c r="AI14" s="47">
        <f>(-81/2)+12</f>
        <v>-28.5</v>
      </c>
      <c r="AJ14" s="48">
        <v>0</v>
      </c>
      <c r="AK14" s="47">
        <f>AI14-12</f>
        <v>-40.5</v>
      </c>
      <c r="AL14" s="48">
        <v>0</v>
      </c>
      <c r="AM14" s="47">
        <f>AI14+12</f>
        <v>-16.5</v>
      </c>
      <c r="AN14" s="58">
        <v>0</v>
      </c>
      <c r="AO14" s="9"/>
      <c r="AP14" s="59">
        <f>65+43+9</f>
        <v>117</v>
      </c>
      <c r="AQ14" s="60">
        <v>0</v>
      </c>
      <c r="AR14" s="51">
        <f>-81/2</f>
        <v>-40.5</v>
      </c>
      <c r="AS14" s="60">
        <v>0</v>
      </c>
      <c r="AT14" s="60">
        <f>65+43+9</f>
        <v>117</v>
      </c>
      <c r="AU14" s="60">
        <v>0</v>
      </c>
      <c r="AV14" s="51">
        <f>81/2</f>
        <v>40.5</v>
      </c>
      <c r="AW14" s="62">
        <v>0</v>
      </c>
      <c r="AX14" s="9"/>
      <c r="AY14" s="61">
        <f>65+43</f>
        <v>108</v>
      </c>
      <c r="AZ14" s="55">
        <v>0</v>
      </c>
      <c r="BA14" s="55">
        <v>65</v>
      </c>
      <c r="BB14" s="55">
        <v>0</v>
      </c>
      <c r="BC14" s="55">
        <v>65</v>
      </c>
      <c r="BD14" s="55">
        <v>0</v>
      </c>
      <c r="BE14" s="55">
        <f>81-12</f>
        <v>69</v>
      </c>
      <c r="BF14" s="55">
        <v>0</v>
      </c>
      <c r="BG14" s="54">
        <f>(81/2)-24</f>
        <v>16.5</v>
      </c>
      <c r="BH14" s="55">
        <v>0</v>
      </c>
      <c r="BI14" s="55">
        <v>81</v>
      </c>
      <c r="BJ14" s="56">
        <v>0</v>
      </c>
      <c r="BK14" s="9"/>
      <c r="BL14" s="9"/>
      <c r="BM14" s="9"/>
      <c r="BN14" s="9"/>
      <c r="BO14" s="9"/>
      <c r="BP14" s="9"/>
      <c r="BQ14" s="9"/>
      <c r="BR14" s="9"/>
      <c r="BS14" s="9"/>
    </row>
    <row r="15" spans="1:71" ht="18.75" customHeight="1" x14ac:dyDescent="0.3">
      <c r="A15" s="42" t="s">
        <v>260</v>
      </c>
      <c r="B15" t="s">
        <v>261</v>
      </c>
      <c r="C15" t="s">
        <v>262</v>
      </c>
      <c r="D15" t="s">
        <v>112</v>
      </c>
      <c r="E15" s="44">
        <v>1</v>
      </c>
      <c r="F15" s="44">
        <v>1</v>
      </c>
      <c r="G15" s="45">
        <v>345</v>
      </c>
      <c r="H15" s="44">
        <v>20</v>
      </c>
      <c r="I15" s="44">
        <v>355</v>
      </c>
      <c r="J15" s="44">
        <v>170</v>
      </c>
      <c r="K15" s="43">
        <f t="shared" si="0"/>
        <v>10.840634357325053</v>
      </c>
      <c r="L15" s="46">
        <f t="shared" si="1"/>
        <v>64.159365642674942</v>
      </c>
      <c r="M15" s="47">
        <f t="shared" si="2"/>
        <v>75.659365642674942</v>
      </c>
      <c r="N15" s="47">
        <f t="shared" si="3"/>
        <v>87.159365642674942</v>
      </c>
      <c r="O15" s="48">
        <f t="shared" si="4"/>
        <v>9</v>
      </c>
      <c r="P15" s="48">
        <f t="shared" si="5"/>
        <v>-9</v>
      </c>
      <c r="Q15" s="58">
        <f t="shared" si="6"/>
        <v>9</v>
      </c>
      <c r="R15" s="50">
        <f t="shared" si="7"/>
        <v>131.5</v>
      </c>
      <c r="S15" s="60">
        <f t="shared" si="8"/>
        <v>0</v>
      </c>
      <c r="T15" s="60">
        <f t="shared" si="9"/>
        <v>0</v>
      </c>
      <c r="U15" s="62">
        <f t="shared" si="10"/>
        <v>0</v>
      </c>
      <c r="V15" s="53">
        <f t="shared" si="11"/>
        <v>-10.840634357325053</v>
      </c>
      <c r="W15" s="54">
        <f t="shared" si="12"/>
        <v>-10.840634357325053</v>
      </c>
      <c r="X15" s="54">
        <f t="shared" si="13"/>
        <v>-10.840634357325053</v>
      </c>
      <c r="Y15" s="55">
        <f t="shared" si="14"/>
        <v>0</v>
      </c>
      <c r="Z15" s="55">
        <f t="shared" si="15"/>
        <v>0</v>
      </c>
      <c r="AA15" s="56">
        <f t="shared" si="16"/>
        <v>0</v>
      </c>
      <c r="AB15" s="9"/>
      <c r="AC15" s="57">
        <v>75</v>
      </c>
      <c r="AD15" s="48">
        <v>0</v>
      </c>
      <c r="AE15" s="48">
        <f>75+11</f>
        <v>86</v>
      </c>
      <c r="AF15" s="48">
        <v>6</v>
      </c>
      <c r="AG15" s="48">
        <f>75+23</f>
        <v>98</v>
      </c>
      <c r="AH15" s="48">
        <v>0</v>
      </c>
      <c r="AI15" s="48">
        <v>9</v>
      </c>
      <c r="AJ15" s="48">
        <v>0</v>
      </c>
      <c r="AK15" s="48">
        <v>-9</v>
      </c>
      <c r="AL15" s="48">
        <v>0</v>
      </c>
      <c r="AM15" s="48">
        <v>9</v>
      </c>
      <c r="AN15" s="58">
        <v>0</v>
      </c>
      <c r="AO15" s="9"/>
      <c r="AP15" s="59">
        <f>75+11+45</f>
        <v>131</v>
      </c>
      <c r="AQ15" s="60">
        <v>6</v>
      </c>
      <c r="AR15" s="60">
        <v>0</v>
      </c>
      <c r="AS15" s="60">
        <v>0</v>
      </c>
      <c r="AT15" s="60">
        <v>0</v>
      </c>
      <c r="AU15" s="60">
        <v>0</v>
      </c>
      <c r="AV15" s="60">
        <v>0</v>
      </c>
      <c r="AW15" s="62">
        <v>0</v>
      </c>
      <c r="AX15" s="9"/>
      <c r="AY15" s="63"/>
      <c r="AZ15" s="15"/>
      <c r="BA15" s="63"/>
      <c r="BB15" s="15"/>
      <c r="BC15" s="63"/>
      <c r="BD15" s="15"/>
      <c r="BE15" s="15"/>
      <c r="BF15" s="15"/>
      <c r="BG15" s="15"/>
      <c r="BH15" s="15"/>
      <c r="BI15" s="15"/>
      <c r="BJ15" s="15"/>
      <c r="BK15" s="9"/>
      <c r="BL15" s="9"/>
      <c r="BM15" s="9"/>
      <c r="BN15" s="9"/>
      <c r="BO15" s="9"/>
      <c r="BP15" s="9"/>
      <c r="BQ15" s="9"/>
      <c r="BR15" s="9"/>
      <c r="BS15" s="9"/>
    </row>
    <row r="16" spans="1:71" ht="18.75" customHeight="1" x14ac:dyDescent="0.3">
      <c r="A16" s="42" t="s">
        <v>263</v>
      </c>
      <c r="B16" t="s">
        <v>261</v>
      </c>
      <c r="C16" t="s">
        <v>264</v>
      </c>
      <c r="D16" t="s">
        <v>265</v>
      </c>
      <c r="E16" s="44">
        <v>2</v>
      </c>
      <c r="F16" s="44">
        <v>2</v>
      </c>
      <c r="G16" s="45">
        <v>345</v>
      </c>
      <c r="H16" s="44">
        <v>20</v>
      </c>
      <c r="I16" s="44">
        <v>355</v>
      </c>
      <c r="J16" s="44">
        <v>170</v>
      </c>
      <c r="K16" s="43">
        <f t="shared" si="0"/>
        <v>10.840634357325053</v>
      </c>
      <c r="L16" s="46">
        <f t="shared" si="1"/>
        <v>54.159365642674949</v>
      </c>
      <c r="M16" s="47">
        <f t="shared" si="2"/>
        <v>77.159365642674942</v>
      </c>
      <c r="N16" s="47">
        <f t="shared" si="3"/>
        <v>100.15936564267494</v>
      </c>
      <c r="O16" s="48">
        <f t="shared" si="4"/>
        <v>-15</v>
      </c>
      <c r="P16" s="48">
        <f t="shared" si="5"/>
        <v>-15</v>
      </c>
      <c r="Q16" s="58">
        <f t="shared" si="6"/>
        <v>-15</v>
      </c>
      <c r="R16" s="59">
        <f t="shared" si="7"/>
        <v>132</v>
      </c>
      <c r="S16" s="60">
        <f t="shared" si="8"/>
        <v>-14</v>
      </c>
      <c r="T16" s="60">
        <f t="shared" si="9"/>
        <v>132</v>
      </c>
      <c r="U16" s="62">
        <f t="shared" si="10"/>
        <v>14</v>
      </c>
      <c r="V16" s="53">
        <f t="shared" si="11"/>
        <v>100.15936564267494</v>
      </c>
      <c r="W16" s="54">
        <f t="shared" si="12"/>
        <v>77.159365642674942</v>
      </c>
      <c r="X16" s="54">
        <f t="shared" si="13"/>
        <v>54.159365642674949</v>
      </c>
      <c r="Y16" s="55">
        <f t="shared" si="14"/>
        <v>15</v>
      </c>
      <c r="Z16" s="55">
        <f t="shared" si="15"/>
        <v>15</v>
      </c>
      <c r="AA16" s="56">
        <f t="shared" si="16"/>
        <v>15</v>
      </c>
      <c r="AB16" s="9"/>
      <c r="AC16" s="57">
        <f>132-21-23-23</f>
        <v>65</v>
      </c>
      <c r="AD16" s="48">
        <v>0</v>
      </c>
      <c r="AE16" s="48">
        <f>132-21-23</f>
        <v>88</v>
      </c>
      <c r="AF16" s="48">
        <v>0</v>
      </c>
      <c r="AG16" s="48">
        <f>132-21</f>
        <v>111</v>
      </c>
      <c r="AH16" s="48">
        <v>0</v>
      </c>
      <c r="AI16" s="48">
        <v>-15</v>
      </c>
      <c r="AJ16" s="48">
        <v>0</v>
      </c>
      <c r="AK16" s="48">
        <v>-15</v>
      </c>
      <c r="AL16" s="48">
        <v>0</v>
      </c>
      <c r="AM16" s="48">
        <v>-15</v>
      </c>
      <c r="AN16" s="58">
        <v>0</v>
      </c>
      <c r="AO16" s="9"/>
      <c r="AP16" s="59">
        <v>132</v>
      </c>
      <c r="AQ16" s="60">
        <v>0</v>
      </c>
      <c r="AR16" s="60">
        <v>-14</v>
      </c>
      <c r="AS16" s="60">
        <v>0</v>
      </c>
      <c r="AT16" s="60">
        <v>132</v>
      </c>
      <c r="AU16" s="60">
        <v>0</v>
      </c>
      <c r="AV16" s="60">
        <v>14</v>
      </c>
      <c r="AW16" s="62">
        <v>0</v>
      </c>
      <c r="AX16" s="9"/>
      <c r="AY16" s="61">
        <f>132-21</f>
        <v>111</v>
      </c>
      <c r="AZ16" s="55">
        <v>0</v>
      </c>
      <c r="BA16" s="55">
        <f>132-21-23</f>
        <v>88</v>
      </c>
      <c r="BB16" s="55">
        <v>0</v>
      </c>
      <c r="BC16" s="55">
        <f>132-21-23-23</f>
        <v>65</v>
      </c>
      <c r="BD16" s="55">
        <v>0</v>
      </c>
      <c r="BE16" s="55">
        <v>15</v>
      </c>
      <c r="BF16" s="55">
        <v>0</v>
      </c>
      <c r="BG16" s="55">
        <v>15</v>
      </c>
      <c r="BH16" s="55">
        <v>0</v>
      </c>
      <c r="BI16" s="55">
        <v>15</v>
      </c>
      <c r="BJ16" s="56">
        <v>0</v>
      </c>
      <c r="BK16" s="9"/>
      <c r="BL16" s="9"/>
      <c r="BM16" s="9"/>
      <c r="BN16" s="9"/>
      <c r="BO16" s="9"/>
      <c r="BP16" s="9"/>
      <c r="BQ16" s="9"/>
      <c r="BR16" s="9"/>
      <c r="BS16" s="9"/>
    </row>
    <row r="17" spans="1:71" ht="18.75" customHeight="1" x14ac:dyDescent="0.3">
      <c r="A17" s="42" t="s">
        <v>266</v>
      </c>
      <c r="B17" t="s">
        <v>261</v>
      </c>
      <c r="C17" t="s">
        <v>267</v>
      </c>
      <c r="D17" t="s">
        <v>268</v>
      </c>
      <c r="E17" s="44">
        <v>2</v>
      </c>
      <c r="F17" s="44">
        <v>2</v>
      </c>
      <c r="G17" s="45">
        <v>345</v>
      </c>
      <c r="H17" s="44">
        <v>20</v>
      </c>
      <c r="I17" s="44">
        <v>355</v>
      </c>
      <c r="J17" s="44">
        <v>170</v>
      </c>
      <c r="K17" s="43">
        <f t="shared" si="0"/>
        <v>10.840634357325053</v>
      </c>
      <c r="L17" s="46">
        <f t="shared" si="1"/>
        <v>65.159365642674942</v>
      </c>
      <c r="M17" s="47">
        <f t="shared" si="2"/>
        <v>90.159365642674942</v>
      </c>
      <c r="N17" s="47">
        <f t="shared" si="3"/>
        <v>115.15936564267494</v>
      </c>
      <c r="O17" s="47">
        <f t="shared" si="4"/>
        <v>-14.25</v>
      </c>
      <c r="P17" s="47">
        <f t="shared" si="5"/>
        <v>-21.25</v>
      </c>
      <c r="Q17" s="49">
        <f t="shared" si="6"/>
        <v>-14.25</v>
      </c>
      <c r="R17" s="59">
        <f t="shared" si="7"/>
        <v>135</v>
      </c>
      <c r="S17" s="60">
        <f t="shared" si="8"/>
        <v>-17</v>
      </c>
      <c r="T17" s="60">
        <f t="shared" si="9"/>
        <v>135</v>
      </c>
      <c r="U17" s="62">
        <f t="shared" si="10"/>
        <v>17</v>
      </c>
      <c r="V17" s="53">
        <f t="shared" si="11"/>
        <v>115.15936564267494</v>
      </c>
      <c r="W17" s="54">
        <f t="shared" si="12"/>
        <v>90.159365642674942</v>
      </c>
      <c r="X17" s="54">
        <f t="shared" si="13"/>
        <v>65.159365642674942</v>
      </c>
      <c r="Y17" s="54">
        <f t="shared" si="14"/>
        <v>14.25</v>
      </c>
      <c r="Z17" s="54">
        <f t="shared" si="15"/>
        <v>21.25</v>
      </c>
      <c r="AA17" s="64">
        <f t="shared" si="16"/>
        <v>14.25</v>
      </c>
      <c r="AB17" s="9"/>
      <c r="AC17" s="57">
        <v>76</v>
      </c>
      <c r="AD17" s="48">
        <v>0</v>
      </c>
      <c r="AE17" s="48">
        <f>76+25</f>
        <v>101</v>
      </c>
      <c r="AF17" s="48">
        <v>0</v>
      </c>
      <c r="AG17" s="48">
        <f>76+25+25</f>
        <v>126</v>
      </c>
      <c r="AH17" s="48">
        <v>0</v>
      </c>
      <c r="AI17" s="48">
        <v>-14</v>
      </c>
      <c r="AJ17" s="48">
        <v>-3</v>
      </c>
      <c r="AK17" s="48">
        <v>-21</v>
      </c>
      <c r="AL17" s="48">
        <v>-3</v>
      </c>
      <c r="AM17" s="48">
        <v>-14</v>
      </c>
      <c r="AN17" s="58">
        <v>-3</v>
      </c>
      <c r="AO17" s="9"/>
      <c r="AP17" s="59">
        <f>76+25+25+9</f>
        <v>135</v>
      </c>
      <c r="AQ17" s="60">
        <v>0</v>
      </c>
      <c r="AR17" s="60">
        <v>-17</v>
      </c>
      <c r="AS17" s="60">
        <v>0</v>
      </c>
      <c r="AT17" s="60">
        <f>76+25+25+9</f>
        <v>135</v>
      </c>
      <c r="AU17" s="60">
        <v>0</v>
      </c>
      <c r="AV17" s="60">
        <v>17</v>
      </c>
      <c r="AW17" s="62">
        <v>0</v>
      </c>
      <c r="AX17" s="9"/>
      <c r="AY17" s="61">
        <f>76+25+25</f>
        <v>126</v>
      </c>
      <c r="AZ17" s="55">
        <v>0</v>
      </c>
      <c r="BA17" s="55">
        <f>76+25</f>
        <v>101</v>
      </c>
      <c r="BB17" s="55">
        <v>0</v>
      </c>
      <c r="BC17" s="55">
        <v>76</v>
      </c>
      <c r="BD17" s="55">
        <v>0</v>
      </c>
      <c r="BE17" s="55">
        <v>14</v>
      </c>
      <c r="BF17" s="55">
        <v>3</v>
      </c>
      <c r="BG17" s="55">
        <v>21</v>
      </c>
      <c r="BH17" s="55">
        <v>3</v>
      </c>
      <c r="BI17" s="55">
        <v>14</v>
      </c>
      <c r="BJ17" s="56">
        <v>3</v>
      </c>
      <c r="BK17" s="9"/>
      <c r="BL17" s="9"/>
      <c r="BM17" s="9"/>
      <c r="BN17" s="9"/>
      <c r="BO17" s="9"/>
      <c r="BP17" s="9"/>
      <c r="BQ17" s="9"/>
      <c r="BR17" s="9"/>
      <c r="BS17" s="9"/>
    </row>
    <row r="18" spans="1:71" ht="18.75" customHeight="1" x14ac:dyDescent="0.3">
      <c r="A18" s="42" t="s">
        <v>269</v>
      </c>
      <c r="B18" t="s">
        <v>261</v>
      </c>
      <c r="C18" t="s">
        <v>270</v>
      </c>
      <c r="D18" t="s">
        <v>271</v>
      </c>
      <c r="E18" s="44">
        <v>2</v>
      </c>
      <c r="F18" s="44">
        <v>2</v>
      </c>
      <c r="G18" s="45">
        <v>345</v>
      </c>
      <c r="H18" s="44">
        <v>20</v>
      </c>
      <c r="I18" s="44">
        <v>355</v>
      </c>
      <c r="J18" s="44">
        <v>170</v>
      </c>
      <c r="K18" s="43">
        <f t="shared" si="0"/>
        <v>10.840634357325053</v>
      </c>
      <c r="L18" s="46">
        <f t="shared" si="1"/>
        <v>65.159365642674942</v>
      </c>
      <c r="M18" s="47">
        <f t="shared" si="2"/>
        <v>81.159365642674942</v>
      </c>
      <c r="N18" s="47">
        <f t="shared" si="3"/>
        <v>97.159365642674942</v>
      </c>
      <c r="O18" s="48">
        <f t="shared" si="4"/>
        <v>-11</v>
      </c>
      <c r="P18" s="48">
        <f t="shared" si="5"/>
        <v>-11</v>
      </c>
      <c r="Q18" s="58">
        <f t="shared" si="6"/>
        <v>-11</v>
      </c>
      <c r="R18" s="50">
        <f t="shared" si="7"/>
        <v>111.5</v>
      </c>
      <c r="S18" s="60">
        <f t="shared" si="8"/>
        <v>-8</v>
      </c>
      <c r="T18" s="51">
        <f t="shared" si="9"/>
        <v>111.5</v>
      </c>
      <c r="U18" s="62">
        <f t="shared" si="10"/>
        <v>8</v>
      </c>
      <c r="V18" s="53">
        <f t="shared" si="11"/>
        <v>97.159365642674942</v>
      </c>
      <c r="W18" s="54">
        <f t="shared" si="12"/>
        <v>81.159365642674942</v>
      </c>
      <c r="X18" s="54">
        <f t="shared" si="13"/>
        <v>65.159365642674942</v>
      </c>
      <c r="Y18" s="55">
        <f t="shared" si="14"/>
        <v>11</v>
      </c>
      <c r="Z18" s="55">
        <f t="shared" si="15"/>
        <v>11</v>
      </c>
      <c r="AA18" s="56">
        <f t="shared" si="16"/>
        <v>11</v>
      </c>
      <c r="AB18" s="9"/>
      <c r="AC18" s="57">
        <v>76</v>
      </c>
      <c r="AD18" s="48">
        <v>0</v>
      </c>
      <c r="AE18" s="48">
        <f>76+16</f>
        <v>92</v>
      </c>
      <c r="AF18" s="48">
        <v>0</v>
      </c>
      <c r="AG18" s="48">
        <f>76+16+16</f>
        <v>108</v>
      </c>
      <c r="AH18" s="48">
        <v>0</v>
      </c>
      <c r="AI18" s="48">
        <v>-11</v>
      </c>
      <c r="AJ18" s="48">
        <v>0</v>
      </c>
      <c r="AK18" s="48">
        <v>-11</v>
      </c>
      <c r="AL18" s="48">
        <v>0</v>
      </c>
      <c r="AM18" s="48">
        <v>-11</v>
      </c>
      <c r="AN18" s="58">
        <v>0</v>
      </c>
      <c r="AO18" s="9"/>
      <c r="AP18" s="59">
        <f>76+16+16+3</f>
        <v>111</v>
      </c>
      <c r="AQ18" s="60">
        <v>6</v>
      </c>
      <c r="AR18" s="60">
        <v>-8</v>
      </c>
      <c r="AS18" s="60">
        <v>0</v>
      </c>
      <c r="AT18" s="60">
        <f>76+16+16+3</f>
        <v>111</v>
      </c>
      <c r="AU18" s="60">
        <v>6</v>
      </c>
      <c r="AV18" s="60">
        <v>8</v>
      </c>
      <c r="AW18" s="62">
        <v>0</v>
      </c>
      <c r="AX18" s="9"/>
      <c r="AY18" s="61">
        <f>76+16+16</f>
        <v>108</v>
      </c>
      <c r="AZ18" s="55">
        <v>0</v>
      </c>
      <c r="BA18" s="55">
        <f>76+16</f>
        <v>92</v>
      </c>
      <c r="BB18" s="55">
        <v>0</v>
      </c>
      <c r="BC18" s="55">
        <v>76</v>
      </c>
      <c r="BD18" s="55">
        <v>0</v>
      </c>
      <c r="BE18" s="55">
        <v>11</v>
      </c>
      <c r="BF18" s="55">
        <v>0</v>
      </c>
      <c r="BG18" s="55">
        <v>11</v>
      </c>
      <c r="BH18" s="55">
        <v>0</v>
      </c>
      <c r="BI18" s="55">
        <v>11</v>
      </c>
      <c r="BJ18" s="56">
        <v>0</v>
      </c>
      <c r="BK18" s="9"/>
      <c r="BL18" s="9"/>
      <c r="BM18" s="9"/>
      <c r="BN18" s="9"/>
      <c r="BO18" s="9"/>
      <c r="BP18" s="9"/>
      <c r="BQ18" s="9"/>
      <c r="BR18" s="9"/>
      <c r="BS18" s="9"/>
    </row>
    <row r="19" spans="1:71" ht="18.75" customHeight="1" x14ac:dyDescent="0.3">
      <c r="A19" s="42" t="s">
        <v>272</v>
      </c>
      <c r="B19" t="s">
        <v>261</v>
      </c>
      <c r="C19" t="s">
        <v>273</v>
      </c>
      <c r="D19" t="s">
        <v>139</v>
      </c>
      <c r="E19" s="44">
        <v>2</v>
      </c>
      <c r="F19" s="44">
        <v>2</v>
      </c>
      <c r="G19" s="45">
        <v>345</v>
      </c>
      <c r="H19" s="44">
        <v>20</v>
      </c>
      <c r="I19" s="44">
        <v>355</v>
      </c>
      <c r="J19" s="44">
        <v>170</v>
      </c>
      <c r="K19" s="43">
        <f t="shared" si="0"/>
        <v>10.840634357325053</v>
      </c>
      <c r="L19" s="57">
        <f t="shared" si="1"/>
        <v>72</v>
      </c>
      <c r="M19" s="48">
        <f t="shared" si="2"/>
        <v>97</v>
      </c>
      <c r="N19" s="48">
        <f t="shared" si="3"/>
        <v>122</v>
      </c>
      <c r="O19" s="48">
        <f t="shared" si="4"/>
        <v>-11</v>
      </c>
      <c r="P19" s="48">
        <f t="shared" si="5"/>
        <v>-19</v>
      </c>
      <c r="Q19" s="58">
        <f t="shared" si="6"/>
        <v>-11</v>
      </c>
      <c r="R19" s="59">
        <f t="shared" si="7"/>
        <v>140</v>
      </c>
      <c r="S19" s="60">
        <f t="shared" si="8"/>
        <v>-7</v>
      </c>
      <c r="T19" s="60">
        <f t="shared" si="9"/>
        <v>140</v>
      </c>
      <c r="U19" s="62">
        <f t="shared" si="10"/>
        <v>7</v>
      </c>
      <c r="V19" s="61">
        <f t="shared" si="11"/>
        <v>122</v>
      </c>
      <c r="W19" s="55">
        <f t="shared" si="12"/>
        <v>97</v>
      </c>
      <c r="X19" s="55">
        <f t="shared" si="13"/>
        <v>72</v>
      </c>
      <c r="Y19" s="55">
        <f t="shared" si="14"/>
        <v>11</v>
      </c>
      <c r="Z19" s="55">
        <f t="shared" si="15"/>
        <v>19</v>
      </c>
      <c r="AA19" s="56">
        <f t="shared" si="16"/>
        <v>11</v>
      </c>
      <c r="AB19" s="9"/>
      <c r="AC19" s="46">
        <f>140-18-25-25+K19</f>
        <v>82.840634357325058</v>
      </c>
      <c r="AD19" s="48">
        <v>0</v>
      </c>
      <c r="AE19" s="47">
        <f>140-18-25+K19</f>
        <v>107.84063435732506</v>
      </c>
      <c r="AF19" s="48">
        <v>0</v>
      </c>
      <c r="AG19" s="47">
        <f>140-18+K19</f>
        <v>132.84063435732506</v>
      </c>
      <c r="AH19" s="48">
        <v>0</v>
      </c>
      <c r="AI19" s="48">
        <v>-11</v>
      </c>
      <c r="AJ19" s="48">
        <v>0</v>
      </c>
      <c r="AK19" s="48">
        <v>-19</v>
      </c>
      <c r="AL19" s="48">
        <v>0</v>
      </c>
      <c r="AM19" s="48">
        <v>-11</v>
      </c>
      <c r="AN19" s="58">
        <v>0</v>
      </c>
      <c r="AO19" s="9"/>
      <c r="AP19" s="59">
        <v>140</v>
      </c>
      <c r="AQ19" s="60">
        <v>0</v>
      </c>
      <c r="AR19" s="60">
        <v>-7</v>
      </c>
      <c r="AS19" s="60">
        <v>0</v>
      </c>
      <c r="AT19" s="60">
        <v>140</v>
      </c>
      <c r="AU19" s="60">
        <v>0</v>
      </c>
      <c r="AV19" s="60">
        <v>7</v>
      </c>
      <c r="AW19" s="62">
        <v>0</v>
      </c>
      <c r="AX19" s="9"/>
      <c r="AY19" s="53">
        <f>140-18+K19</f>
        <v>132.84063435732506</v>
      </c>
      <c r="AZ19" s="55">
        <v>0</v>
      </c>
      <c r="BA19" s="54">
        <f>140-18-25+K19</f>
        <v>107.84063435732506</v>
      </c>
      <c r="BB19" s="55">
        <v>0</v>
      </c>
      <c r="BC19" s="54">
        <f>140-18-25-25+K19</f>
        <v>82.840634357325058</v>
      </c>
      <c r="BD19" s="55">
        <v>0</v>
      </c>
      <c r="BE19" s="55">
        <v>11</v>
      </c>
      <c r="BF19" s="55">
        <v>0</v>
      </c>
      <c r="BG19" s="55">
        <v>19</v>
      </c>
      <c r="BH19" s="55">
        <v>0</v>
      </c>
      <c r="BI19" s="55">
        <v>11</v>
      </c>
      <c r="BJ19" s="56">
        <v>0</v>
      </c>
      <c r="BK19" s="9"/>
      <c r="BL19" s="9"/>
      <c r="BM19" s="9"/>
      <c r="BN19" s="9"/>
      <c r="BO19" s="9"/>
      <c r="BP19" s="9"/>
      <c r="BQ19" s="9"/>
      <c r="BR19" s="9"/>
      <c r="BS19" s="9"/>
    </row>
    <row r="20" spans="1:71" ht="18.75" customHeight="1" x14ac:dyDescent="0.3">
      <c r="A20" s="42" t="s">
        <v>274</v>
      </c>
      <c r="B20" t="s">
        <v>261</v>
      </c>
      <c r="C20" t="s">
        <v>262</v>
      </c>
      <c r="D20" t="s">
        <v>112</v>
      </c>
      <c r="E20" s="44">
        <v>2</v>
      </c>
      <c r="F20" s="44">
        <v>1</v>
      </c>
      <c r="G20" s="45">
        <v>345</v>
      </c>
      <c r="H20" s="44">
        <v>20</v>
      </c>
      <c r="I20" s="44">
        <v>355</v>
      </c>
      <c r="J20" s="44">
        <v>170</v>
      </c>
      <c r="K20" s="43">
        <f t="shared" si="0"/>
        <v>10.840634357325053</v>
      </c>
      <c r="L20" s="46">
        <f t="shared" si="1"/>
        <v>59.159365642674949</v>
      </c>
      <c r="M20" s="47">
        <f t="shared" si="2"/>
        <v>81.659365642674942</v>
      </c>
      <c r="N20" s="47">
        <f t="shared" si="3"/>
        <v>104.15936564267494</v>
      </c>
      <c r="O20" s="48">
        <f t="shared" si="4"/>
        <v>-9</v>
      </c>
      <c r="P20" s="48">
        <f t="shared" si="5"/>
        <v>-13</v>
      </c>
      <c r="Q20" s="58">
        <f t="shared" si="6"/>
        <v>-9</v>
      </c>
      <c r="R20" s="50">
        <f t="shared" si="7"/>
        <v>145.5</v>
      </c>
      <c r="S20" s="60">
        <f t="shared" si="8"/>
        <v>0</v>
      </c>
      <c r="T20" s="60">
        <f t="shared" si="9"/>
        <v>0</v>
      </c>
      <c r="U20" s="62">
        <f t="shared" si="10"/>
        <v>0</v>
      </c>
      <c r="V20" s="53">
        <f t="shared" si="11"/>
        <v>104.15936564267494</v>
      </c>
      <c r="W20" s="54">
        <f t="shared" si="12"/>
        <v>81.659365642674942</v>
      </c>
      <c r="X20" s="54">
        <f t="shared" si="13"/>
        <v>59.159365642674949</v>
      </c>
      <c r="Y20" s="55">
        <f t="shared" si="14"/>
        <v>-9</v>
      </c>
      <c r="Z20" s="55">
        <f t="shared" si="15"/>
        <v>-13</v>
      </c>
      <c r="AA20" s="56">
        <f t="shared" si="16"/>
        <v>-9</v>
      </c>
      <c r="AB20" s="9"/>
      <c r="AC20" s="57">
        <v>70</v>
      </c>
      <c r="AD20" s="48">
        <v>0</v>
      </c>
      <c r="AE20" s="48">
        <f>70+22</f>
        <v>92</v>
      </c>
      <c r="AF20" s="48">
        <v>6</v>
      </c>
      <c r="AG20" s="48">
        <f>70+22+22</f>
        <v>114</v>
      </c>
      <c r="AH20" s="48">
        <f>6+6</f>
        <v>12</v>
      </c>
      <c r="AI20" s="48">
        <v>-9</v>
      </c>
      <c r="AJ20" s="48">
        <v>0</v>
      </c>
      <c r="AK20" s="48">
        <v>-13</v>
      </c>
      <c r="AL20" s="48">
        <v>0</v>
      </c>
      <c r="AM20" s="48">
        <v>-9</v>
      </c>
      <c r="AN20" s="58">
        <v>0</v>
      </c>
      <c r="AO20" s="9"/>
      <c r="AP20" s="59">
        <f>70+22+22+30</f>
        <v>144</v>
      </c>
      <c r="AQ20" s="60">
        <f>6+6+6</f>
        <v>18</v>
      </c>
      <c r="AR20" s="60">
        <v>0</v>
      </c>
      <c r="AS20" s="60">
        <v>0</v>
      </c>
      <c r="AT20" s="60">
        <v>0</v>
      </c>
      <c r="AU20" s="60">
        <v>0</v>
      </c>
      <c r="AV20" s="60">
        <v>0</v>
      </c>
      <c r="AW20" s="62">
        <v>0</v>
      </c>
      <c r="AX20" s="9"/>
      <c r="AY20" s="61">
        <f>70+22+22</f>
        <v>114</v>
      </c>
      <c r="AZ20" s="55">
        <f>6+6</f>
        <v>12</v>
      </c>
      <c r="BA20" s="55">
        <f>70+22</f>
        <v>92</v>
      </c>
      <c r="BB20" s="55">
        <v>6</v>
      </c>
      <c r="BC20" s="55">
        <v>70</v>
      </c>
      <c r="BD20" s="55">
        <v>0</v>
      </c>
      <c r="BE20" s="55">
        <v>-9</v>
      </c>
      <c r="BF20" s="55">
        <v>0</v>
      </c>
      <c r="BG20" s="55">
        <v>-13</v>
      </c>
      <c r="BH20" s="55">
        <v>0</v>
      </c>
      <c r="BI20" s="55">
        <v>-9</v>
      </c>
      <c r="BJ20" s="56">
        <v>0</v>
      </c>
      <c r="BK20" s="9"/>
      <c r="BL20" s="9"/>
      <c r="BM20" s="9"/>
      <c r="BN20" s="9"/>
      <c r="BO20" s="9"/>
      <c r="BP20" s="9"/>
      <c r="BQ20" s="9"/>
      <c r="BR20" s="9"/>
      <c r="BS20" s="9"/>
    </row>
    <row r="21" spans="1:71" ht="18.75" customHeight="1" x14ac:dyDescent="0.3">
      <c r="A21" s="42" t="s">
        <v>275</v>
      </c>
      <c r="B21" t="s">
        <v>261</v>
      </c>
      <c r="C21" t="s">
        <v>276</v>
      </c>
      <c r="D21" t="s">
        <v>47</v>
      </c>
      <c r="E21" s="44">
        <v>2</v>
      </c>
      <c r="F21" s="44">
        <v>2</v>
      </c>
      <c r="G21" s="45">
        <v>345</v>
      </c>
      <c r="H21" s="44">
        <v>20</v>
      </c>
      <c r="I21" s="44">
        <v>355</v>
      </c>
      <c r="J21" s="44">
        <v>170</v>
      </c>
      <c r="K21" s="43">
        <f t="shared" si="0"/>
        <v>10.840634357325053</v>
      </c>
      <c r="L21" s="46">
        <f t="shared" si="1"/>
        <v>116.82603230934161</v>
      </c>
      <c r="M21" s="47">
        <f t="shared" si="2"/>
        <v>80.826032309341613</v>
      </c>
      <c r="N21" s="47">
        <f t="shared" si="3"/>
        <v>80.826032309341613</v>
      </c>
      <c r="O21" s="47">
        <f t="shared" si="4"/>
        <v>-15.5</v>
      </c>
      <c r="P21" s="48">
        <f t="shared" si="5"/>
        <v>-41</v>
      </c>
      <c r="Q21" s="58">
        <f t="shared" si="6"/>
        <v>-16</v>
      </c>
      <c r="R21" s="50">
        <f t="shared" si="7"/>
        <v>127.66666666666667</v>
      </c>
      <c r="S21" s="60">
        <f t="shared" si="8"/>
        <v>-30</v>
      </c>
      <c r="T21" s="51">
        <f t="shared" si="9"/>
        <v>127.66666666666667</v>
      </c>
      <c r="U21" s="62">
        <f t="shared" si="10"/>
        <v>30</v>
      </c>
      <c r="V21" s="53">
        <f t="shared" si="11"/>
        <v>116.82603230934161</v>
      </c>
      <c r="W21" s="54">
        <f t="shared" si="12"/>
        <v>80.826032309341613</v>
      </c>
      <c r="X21" s="54">
        <f t="shared" si="13"/>
        <v>80.826032309341613</v>
      </c>
      <c r="Y21" s="54">
        <f t="shared" si="14"/>
        <v>15.5</v>
      </c>
      <c r="Z21" s="55">
        <f t="shared" si="15"/>
        <v>16</v>
      </c>
      <c r="AA21" s="56">
        <f t="shared" si="16"/>
        <v>41</v>
      </c>
      <c r="AB21" s="9"/>
      <c r="AC21" s="57">
        <f>91+36</f>
        <v>127</v>
      </c>
      <c r="AD21" s="48">
        <v>8</v>
      </c>
      <c r="AE21" s="48">
        <v>91</v>
      </c>
      <c r="AF21" s="48">
        <v>8</v>
      </c>
      <c r="AG21" s="48">
        <v>91</v>
      </c>
      <c r="AH21" s="48">
        <v>8</v>
      </c>
      <c r="AI21" s="48">
        <v>-15</v>
      </c>
      <c r="AJ21" s="48">
        <v>-6</v>
      </c>
      <c r="AK21" s="48">
        <f>-16-25</f>
        <v>-41</v>
      </c>
      <c r="AL21" s="48">
        <v>0</v>
      </c>
      <c r="AM21" s="48">
        <v>-16</v>
      </c>
      <c r="AN21" s="58">
        <v>0</v>
      </c>
      <c r="AO21" s="9"/>
      <c r="AP21" s="59">
        <f>91+36</f>
        <v>127</v>
      </c>
      <c r="AQ21" s="60">
        <v>8</v>
      </c>
      <c r="AR21" s="60">
        <v>-30</v>
      </c>
      <c r="AS21" s="60">
        <v>0</v>
      </c>
      <c r="AT21" s="60">
        <v>127</v>
      </c>
      <c r="AU21" s="60">
        <v>8</v>
      </c>
      <c r="AV21" s="60">
        <v>30</v>
      </c>
      <c r="AW21" s="62">
        <v>0</v>
      </c>
      <c r="AX21" s="9"/>
      <c r="AY21" s="61">
        <f>91+36</f>
        <v>127</v>
      </c>
      <c r="AZ21" s="55">
        <v>8</v>
      </c>
      <c r="BA21" s="55">
        <v>91</v>
      </c>
      <c r="BB21" s="55">
        <v>8</v>
      </c>
      <c r="BC21" s="55">
        <v>91</v>
      </c>
      <c r="BD21" s="55">
        <v>8</v>
      </c>
      <c r="BE21" s="55">
        <v>15</v>
      </c>
      <c r="BF21" s="55">
        <v>6</v>
      </c>
      <c r="BG21" s="55">
        <v>16</v>
      </c>
      <c r="BH21" s="55">
        <v>0</v>
      </c>
      <c r="BI21" s="55">
        <f>16+25</f>
        <v>41</v>
      </c>
      <c r="BJ21" s="56">
        <v>0</v>
      </c>
      <c r="BK21" s="9"/>
      <c r="BL21" s="9"/>
      <c r="BM21" s="9"/>
      <c r="BN21" s="9"/>
      <c r="BO21" s="9"/>
      <c r="BP21" s="9"/>
      <c r="BQ21" s="9"/>
      <c r="BR21" s="9"/>
      <c r="BS21" s="9"/>
    </row>
    <row r="22" spans="1:71" ht="18.75" customHeight="1" x14ac:dyDescent="0.3">
      <c r="A22" s="42" t="s">
        <v>277</v>
      </c>
      <c r="B22" t="s">
        <v>261</v>
      </c>
      <c r="C22" t="s">
        <v>258</v>
      </c>
      <c r="D22" t="s">
        <v>259</v>
      </c>
      <c r="E22" s="44">
        <v>2</v>
      </c>
      <c r="F22" s="44">
        <v>1</v>
      </c>
      <c r="G22" s="45">
        <v>345</v>
      </c>
      <c r="H22" s="44">
        <v>20</v>
      </c>
      <c r="I22" s="44">
        <v>355</v>
      </c>
      <c r="J22" s="44">
        <v>170</v>
      </c>
      <c r="K22" s="43">
        <f t="shared" si="0"/>
        <v>10.840634357325053</v>
      </c>
      <c r="L22" s="46">
        <f t="shared" si="1"/>
        <v>98.159365642674942</v>
      </c>
      <c r="M22" s="47">
        <f t="shared" si="2"/>
        <v>55.159365642674949</v>
      </c>
      <c r="N22" s="47">
        <f t="shared" si="3"/>
        <v>55.159365642674949</v>
      </c>
      <c r="O22" s="48">
        <f t="shared" si="4"/>
        <v>-22</v>
      </c>
      <c r="P22" s="48">
        <f t="shared" si="5"/>
        <v>-33</v>
      </c>
      <c r="Q22" s="58">
        <f t="shared" si="6"/>
        <v>-10</v>
      </c>
      <c r="R22" s="59">
        <f t="shared" si="7"/>
        <v>118</v>
      </c>
      <c r="S22" s="60">
        <f t="shared" si="8"/>
        <v>0</v>
      </c>
      <c r="T22" s="60">
        <f t="shared" si="9"/>
        <v>0</v>
      </c>
      <c r="U22" s="62">
        <f t="shared" si="10"/>
        <v>0</v>
      </c>
      <c r="V22" s="53">
        <f t="shared" si="11"/>
        <v>98.159365642674942</v>
      </c>
      <c r="W22" s="54">
        <f t="shared" si="12"/>
        <v>55.159365642674949</v>
      </c>
      <c r="X22" s="54">
        <f t="shared" si="13"/>
        <v>55.159365642674949</v>
      </c>
      <c r="Y22" s="55">
        <f t="shared" si="14"/>
        <v>22</v>
      </c>
      <c r="Z22" s="55">
        <f t="shared" si="15"/>
        <v>10</v>
      </c>
      <c r="AA22" s="56">
        <f t="shared" si="16"/>
        <v>33</v>
      </c>
      <c r="AB22" s="9"/>
      <c r="AC22" s="57">
        <f>118-9</f>
        <v>109</v>
      </c>
      <c r="AD22" s="48">
        <v>0</v>
      </c>
      <c r="AE22" s="48">
        <v>66</v>
      </c>
      <c r="AF22" s="48">
        <v>0</v>
      </c>
      <c r="AG22" s="48">
        <v>66</v>
      </c>
      <c r="AH22" s="48">
        <v>0</v>
      </c>
      <c r="AI22" s="48">
        <v>-22</v>
      </c>
      <c r="AJ22" s="48">
        <v>0</v>
      </c>
      <c r="AK22" s="48">
        <f>-2-16-15</f>
        <v>-33</v>
      </c>
      <c r="AL22" s="48">
        <v>0</v>
      </c>
      <c r="AM22" s="48">
        <v>-10</v>
      </c>
      <c r="AN22" s="58">
        <v>0</v>
      </c>
      <c r="AO22" s="9"/>
      <c r="AP22" s="59">
        <v>118</v>
      </c>
      <c r="AQ22" s="60">
        <v>0</v>
      </c>
      <c r="AR22" s="60">
        <v>0</v>
      </c>
      <c r="AS22" s="60">
        <v>0</v>
      </c>
      <c r="AT22" s="60">
        <v>0</v>
      </c>
      <c r="AU22" s="60">
        <v>0</v>
      </c>
      <c r="AV22" s="60">
        <v>0</v>
      </c>
      <c r="AW22" s="62">
        <v>0</v>
      </c>
      <c r="AX22" s="9"/>
      <c r="AY22" s="61">
        <f>118-9</f>
        <v>109</v>
      </c>
      <c r="AZ22" s="55">
        <v>0</v>
      </c>
      <c r="BA22" s="55">
        <v>66</v>
      </c>
      <c r="BB22" s="55">
        <v>0</v>
      </c>
      <c r="BC22" s="55">
        <v>66</v>
      </c>
      <c r="BD22" s="55">
        <v>0</v>
      </c>
      <c r="BE22" s="55">
        <v>22</v>
      </c>
      <c r="BF22" s="55">
        <v>0</v>
      </c>
      <c r="BG22" s="55">
        <f>2+8</f>
        <v>10</v>
      </c>
      <c r="BH22" s="55">
        <v>0</v>
      </c>
      <c r="BI22" s="55">
        <f>2+16+15</f>
        <v>33</v>
      </c>
      <c r="BJ22" s="56">
        <v>0</v>
      </c>
      <c r="BK22" s="9"/>
      <c r="BL22" s="9"/>
      <c r="BM22" s="9"/>
      <c r="BN22" s="9"/>
      <c r="BO22" s="9"/>
      <c r="BP22" s="9"/>
      <c r="BQ22" s="9"/>
      <c r="BR22" s="9"/>
      <c r="BS22" s="9"/>
    </row>
    <row r="23" spans="1:71" ht="18.75" customHeight="1" x14ac:dyDescent="0.3">
      <c r="A23" s="42" t="s">
        <v>278</v>
      </c>
      <c r="B23" t="s">
        <v>279</v>
      </c>
      <c r="C23" t="s">
        <v>280</v>
      </c>
      <c r="D23" t="s">
        <v>281</v>
      </c>
      <c r="E23" s="44">
        <v>1</v>
      </c>
      <c r="F23" s="44">
        <v>2</v>
      </c>
      <c r="G23" s="45">
        <v>345</v>
      </c>
      <c r="H23" s="44">
        <v>20</v>
      </c>
      <c r="I23" s="44">
        <v>355</v>
      </c>
      <c r="J23" s="44">
        <v>170</v>
      </c>
      <c r="K23" s="43">
        <f t="shared" si="0"/>
        <v>10.840634357325053</v>
      </c>
      <c r="L23" s="46">
        <f t="shared" si="1"/>
        <v>49.159365642674949</v>
      </c>
      <c r="M23" s="47">
        <f t="shared" si="2"/>
        <v>49.159365642674949</v>
      </c>
      <c r="N23" s="47">
        <f t="shared" si="3"/>
        <v>49.159365642674949</v>
      </c>
      <c r="O23" s="48">
        <f t="shared" si="4"/>
        <v>-18</v>
      </c>
      <c r="P23" s="48">
        <f t="shared" si="5"/>
        <v>0</v>
      </c>
      <c r="Q23" s="58">
        <f t="shared" si="6"/>
        <v>18</v>
      </c>
      <c r="R23" s="59">
        <f t="shared" si="7"/>
        <v>73</v>
      </c>
      <c r="S23" s="51">
        <f t="shared" si="8"/>
        <v>-12.25</v>
      </c>
      <c r="T23" s="60">
        <f t="shared" si="9"/>
        <v>73</v>
      </c>
      <c r="U23" s="52">
        <f t="shared" si="10"/>
        <v>12.25</v>
      </c>
      <c r="V23" s="53">
        <f t="shared" si="11"/>
        <v>-10.840634357325053</v>
      </c>
      <c r="W23" s="54">
        <f t="shared" si="12"/>
        <v>-10.840634357325053</v>
      </c>
      <c r="X23" s="54">
        <f t="shared" si="13"/>
        <v>-10.840634357325053</v>
      </c>
      <c r="Y23" s="55">
        <f t="shared" si="14"/>
        <v>0</v>
      </c>
      <c r="Z23" s="55">
        <f t="shared" si="15"/>
        <v>0</v>
      </c>
      <c r="AA23" s="56">
        <f t="shared" si="16"/>
        <v>0</v>
      </c>
      <c r="AB23" s="9"/>
      <c r="AC23" s="57">
        <v>60</v>
      </c>
      <c r="AD23" s="48">
        <v>0</v>
      </c>
      <c r="AE23" s="48">
        <v>60</v>
      </c>
      <c r="AF23" s="48">
        <v>0</v>
      </c>
      <c r="AG23" s="48">
        <v>60</v>
      </c>
      <c r="AH23" s="48">
        <v>0</v>
      </c>
      <c r="AI23" s="48">
        <f>-36/2</f>
        <v>-18</v>
      </c>
      <c r="AJ23" s="48">
        <v>0</v>
      </c>
      <c r="AK23" s="48">
        <v>0</v>
      </c>
      <c r="AL23" s="48">
        <v>0</v>
      </c>
      <c r="AM23" s="48">
        <v>18</v>
      </c>
      <c r="AN23" s="58">
        <v>0</v>
      </c>
      <c r="AO23" s="9"/>
      <c r="AP23" s="59">
        <f>60+13</f>
        <v>73</v>
      </c>
      <c r="AQ23" s="60">
        <v>0</v>
      </c>
      <c r="AR23" s="60">
        <f>-24/2</f>
        <v>-12</v>
      </c>
      <c r="AS23" s="60">
        <f>-6/2</f>
        <v>-3</v>
      </c>
      <c r="AT23" s="60">
        <v>73</v>
      </c>
      <c r="AU23" s="60">
        <v>0</v>
      </c>
      <c r="AV23" s="60">
        <v>12</v>
      </c>
      <c r="AW23" s="62">
        <v>3</v>
      </c>
      <c r="AX23" s="9"/>
      <c r="AY23" s="63"/>
      <c r="AZ23" s="15"/>
      <c r="BA23" s="63"/>
      <c r="BB23" s="15"/>
      <c r="BC23" s="63"/>
      <c r="BD23" s="15"/>
      <c r="BE23" s="15"/>
      <c r="BF23" s="15"/>
      <c r="BG23" s="15"/>
      <c r="BH23" s="15"/>
      <c r="BI23" s="15"/>
      <c r="BJ23" s="15"/>
      <c r="BK23" s="9"/>
      <c r="BL23" s="9"/>
      <c r="BM23" s="9"/>
      <c r="BN23" s="9"/>
      <c r="BO23" s="9"/>
      <c r="BP23" s="9"/>
      <c r="BQ23" s="9"/>
      <c r="BR23" s="9"/>
      <c r="BS23" s="9"/>
    </row>
    <row r="24" spans="1:71" ht="18.75" customHeight="1" x14ac:dyDescent="0.3">
      <c r="A24" s="65" t="s">
        <v>282</v>
      </c>
      <c r="B24" s="2" t="s">
        <v>279</v>
      </c>
      <c r="C24" s="2" t="s">
        <v>273</v>
      </c>
      <c r="D24" s="2" t="s">
        <v>139</v>
      </c>
      <c r="E24" s="44">
        <v>1</v>
      </c>
      <c r="F24" s="44">
        <v>2</v>
      </c>
      <c r="G24" s="45">
        <v>345</v>
      </c>
      <c r="H24" s="44">
        <v>20</v>
      </c>
      <c r="I24" s="44">
        <v>355</v>
      </c>
      <c r="J24" s="44">
        <v>170</v>
      </c>
      <c r="K24" s="43">
        <f t="shared" si="0"/>
        <v>10.840634357325053</v>
      </c>
      <c r="L24" s="46">
        <f t="shared" si="1"/>
        <v>62.159365642674949</v>
      </c>
      <c r="M24" s="47">
        <f t="shared" si="2"/>
        <v>62.159365642674949</v>
      </c>
      <c r="N24" s="47">
        <f t="shared" si="3"/>
        <v>62.159365642674949</v>
      </c>
      <c r="O24" s="48">
        <f t="shared" si="4"/>
        <v>-27</v>
      </c>
      <c r="P24" s="48">
        <f t="shared" si="5"/>
        <v>0</v>
      </c>
      <c r="Q24" s="58">
        <f t="shared" si="6"/>
        <v>27</v>
      </c>
      <c r="R24" s="59">
        <f t="shared" si="7"/>
        <v>73</v>
      </c>
      <c r="S24" s="51">
        <f t="shared" si="8"/>
        <v>-12.25</v>
      </c>
      <c r="T24" s="60">
        <f t="shared" si="9"/>
        <v>73</v>
      </c>
      <c r="U24" s="52">
        <f t="shared" si="10"/>
        <v>12.25</v>
      </c>
      <c r="V24" s="53">
        <f t="shared" si="11"/>
        <v>-10.840634357325053</v>
      </c>
      <c r="W24" s="54">
        <f t="shared" si="12"/>
        <v>-10.840634357325053</v>
      </c>
      <c r="X24" s="54">
        <f t="shared" si="13"/>
        <v>-10.840634357325053</v>
      </c>
      <c r="Y24" s="55">
        <f t="shared" si="14"/>
        <v>0</v>
      </c>
      <c r="Z24" s="55">
        <f t="shared" si="15"/>
        <v>0</v>
      </c>
      <c r="AA24" s="56">
        <f t="shared" si="16"/>
        <v>0</v>
      </c>
      <c r="AB24" s="9"/>
      <c r="AC24" s="57">
        <v>73</v>
      </c>
      <c r="AD24" s="48">
        <v>0</v>
      </c>
      <c r="AE24" s="48">
        <v>73</v>
      </c>
      <c r="AF24" s="48">
        <v>0</v>
      </c>
      <c r="AG24" s="48">
        <v>73</v>
      </c>
      <c r="AH24" s="48">
        <v>0</v>
      </c>
      <c r="AI24" s="48">
        <v>-26</v>
      </c>
      <c r="AJ24" s="48">
        <v>-12</v>
      </c>
      <c r="AK24" s="48">
        <v>0</v>
      </c>
      <c r="AL24" s="48">
        <v>0</v>
      </c>
      <c r="AM24" s="48">
        <v>26</v>
      </c>
      <c r="AN24" s="58">
        <v>12</v>
      </c>
      <c r="AO24" s="9"/>
      <c r="AP24" s="59">
        <v>73</v>
      </c>
      <c r="AQ24" s="60">
        <v>0</v>
      </c>
      <c r="AR24" s="60">
        <v>-12</v>
      </c>
      <c r="AS24" s="60">
        <v>-3</v>
      </c>
      <c r="AT24" s="60">
        <v>73</v>
      </c>
      <c r="AU24" s="60">
        <v>0</v>
      </c>
      <c r="AV24" s="60">
        <v>12</v>
      </c>
      <c r="AW24" s="62">
        <v>3</v>
      </c>
      <c r="AX24" s="9"/>
      <c r="AY24" s="63"/>
      <c r="AZ24" s="15"/>
      <c r="BA24" s="63"/>
      <c r="BB24" s="15"/>
      <c r="BC24" s="63"/>
      <c r="BD24" s="15"/>
      <c r="BE24" s="15"/>
      <c r="BF24" s="15"/>
      <c r="BG24" s="15"/>
      <c r="BH24" s="15"/>
      <c r="BI24" s="15"/>
      <c r="BJ24" s="15"/>
      <c r="BK24" s="9"/>
      <c r="BL24" s="9"/>
      <c r="BM24" s="9"/>
      <c r="BN24" s="9"/>
      <c r="BO24" s="9"/>
      <c r="BP24" s="9"/>
      <c r="BQ24" s="9"/>
      <c r="BR24" s="9"/>
      <c r="BS24" s="9"/>
    </row>
    <row r="25" spans="1:71" ht="18.75" customHeight="1" x14ac:dyDescent="0.3">
      <c r="A25" s="65" t="s">
        <v>283</v>
      </c>
      <c r="B25" s="2" t="s">
        <v>279</v>
      </c>
      <c r="C25" s="2" t="s">
        <v>284</v>
      </c>
      <c r="D25" s="2" t="s">
        <v>285</v>
      </c>
      <c r="E25" s="44">
        <v>1</v>
      </c>
      <c r="F25" s="44">
        <v>2</v>
      </c>
      <c r="G25" s="45">
        <v>345</v>
      </c>
      <c r="H25" s="44">
        <v>20</v>
      </c>
      <c r="I25" s="44">
        <v>355</v>
      </c>
      <c r="J25" s="44">
        <v>170</v>
      </c>
      <c r="K25" s="43">
        <f t="shared" si="0"/>
        <v>10.840634357325053</v>
      </c>
      <c r="L25" s="46">
        <f t="shared" si="1"/>
        <v>44.826032309341613</v>
      </c>
      <c r="M25" s="47">
        <f t="shared" si="2"/>
        <v>44.826032309341613</v>
      </c>
      <c r="N25" s="47">
        <f t="shared" si="3"/>
        <v>44.826032309341613</v>
      </c>
      <c r="O25" s="48">
        <f t="shared" si="4"/>
        <v>-26</v>
      </c>
      <c r="P25" s="48">
        <f t="shared" si="5"/>
        <v>0</v>
      </c>
      <c r="Q25" s="58">
        <f t="shared" si="6"/>
        <v>26</v>
      </c>
      <c r="R25" s="50">
        <f t="shared" si="7"/>
        <v>65.5</v>
      </c>
      <c r="S25" s="60">
        <f t="shared" si="8"/>
        <v>-13</v>
      </c>
      <c r="T25" s="51">
        <f t="shared" si="9"/>
        <v>65.5</v>
      </c>
      <c r="U25" s="62">
        <f t="shared" si="10"/>
        <v>13</v>
      </c>
      <c r="V25" s="53">
        <f t="shared" si="11"/>
        <v>-10.840634357325053</v>
      </c>
      <c r="W25" s="54">
        <f t="shared" si="12"/>
        <v>-10.840634357325053</v>
      </c>
      <c r="X25" s="54">
        <f t="shared" si="13"/>
        <v>-10.840634357325053</v>
      </c>
      <c r="Y25" s="55">
        <f t="shared" si="14"/>
        <v>0</v>
      </c>
      <c r="Z25" s="55">
        <f t="shared" si="15"/>
        <v>0</v>
      </c>
      <c r="AA25" s="56">
        <f t="shared" si="16"/>
        <v>0</v>
      </c>
      <c r="AB25" s="9"/>
      <c r="AC25" s="57">
        <v>55</v>
      </c>
      <c r="AD25" s="48">
        <v>8</v>
      </c>
      <c r="AE25" s="48">
        <v>55</v>
      </c>
      <c r="AF25" s="48">
        <v>8</v>
      </c>
      <c r="AG25" s="48">
        <v>55</v>
      </c>
      <c r="AH25" s="48">
        <v>8</v>
      </c>
      <c r="AI25" s="48">
        <v>-26</v>
      </c>
      <c r="AJ25" s="48">
        <v>0</v>
      </c>
      <c r="AK25" s="48">
        <v>0</v>
      </c>
      <c r="AL25" s="48">
        <v>0</v>
      </c>
      <c r="AM25" s="48">
        <v>26</v>
      </c>
      <c r="AN25" s="58">
        <v>0</v>
      </c>
      <c r="AO25" s="9"/>
      <c r="AP25" s="59">
        <f>55+9</f>
        <v>64</v>
      </c>
      <c r="AQ25" s="60">
        <f>8+10</f>
        <v>18</v>
      </c>
      <c r="AR25" s="60">
        <v>-13</v>
      </c>
      <c r="AS25" s="60">
        <v>0</v>
      </c>
      <c r="AT25" s="60">
        <v>64</v>
      </c>
      <c r="AU25" s="60">
        <v>18</v>
      </c>
      <c r="AV25" s="60">
        <v>13</v>
      </c>
      <c r="AW25" s="62">
        <v>0</v>
      </c>
      <c r="AX25" s="9"/>
      <c r="AY25" s="63"/>
      <c r="AZ25" s="15"/>
      <c r="BA25" s="63"/>
      <c r="BB25" s="15"/>
      <c r="BC25" s="63"/>
      <c r="BD25" s="15"/>
      <c r="BE25" s="15"/>
      <c r="BF25" s="15"/>
      <c r="BG25" s="15"/>
      <c r="BH25" s="15"/>
      <c r="BI25" s="15"/>
      <c r="BJ25" s="15"/>
      <c r="BK25" s="9"/>
      <c r="BL25" s="9"/>
      <c r="BM25" s="9"/>
      <c r="BN25" s="9"/>
      <c r="BO25" s="9"/>
      <c r="BP25" s="9"/>
      <c r="BQ25" s="9"/>
      <c r="BR25" s="9"/>
      <c r="BS25" s="9"/>
    </row>
    <row r="26" spans="1:71" ht="18.75" customHeight="1" x14ac:dyDescent="0.3">
      <c r="A26" s="65" t="s">
        <v>286</v>
      </c>
      <c r="B26" s="2" t="s">
        <v>279</v>
      </c>
      <c r="C26" s="2" t="s">
        <v>287</v>
      </c>
      <c r="D26" s="2" t="s">
        <v>288</v>
      </c>
      <c r="E26" s="44">
        <v>1</v>
      </c>
      <c r="F26" s="44">
        <v>2</v>
      </c>
      <c r="G26" s="45">
        <v>345</v>
      </c>
      <c r="H26" s="44">
        <v>20</v>
      </c>
      <c r="I26" s="44">
        <v>355</v>
      </c>
      <c r="J26" s="44">
        <v>170</v>
      </c>
      <c r="K26" s="43">
        <f t="shared" si="0"/>
        <v>10.840634357325053</v>
      </c>
      <c r="L26" s="46">
        <f t="shared" si="1"/>
        <v>50.159365642674949</v>
      </c>
      <c r="M26" s="47">
        <f t="shared" si="2"/>
        <v>50.159365642674949</v>
      </c>
      <c r="N26" s="47">
        <f t="shared" si="3"/>
        <v>50.159365642674949</v>
      </c>
      <c r="O26" s="48">
        <f t="shared" si="4"/>
        <v>-26</v>
      </c>
      <c r="P26" s="48">
        <f t="shared" si="5"/>
        <v>0</v>
      </c>
      <c r="Q26" s="58">
        <f t="shared" si="6"/>
        <v>26</v>
      </c>
      <c r="R26" s="50">
        <f t="shared" si="7"/>
        <v>73.5</v>
      </c>
      <c r="S26" s="60">
        <f t="shared" si="8"/>
        <v>-13</v>
      </c>
      <c r="T26" s="51">
        <f t="shared" si="9"/>
        <v>73.5</v>
      </c>
      <c r="U26" s="62">
        <f t="shared" si="10"/>
        <v>13</v>
      </c>
      <c r="V26" s="53">
        <f t="shared" si="11"/>
        <v>-10.840634357325053</v>
      </c>
      <c r="W26" s="54">
        <f t="shared" si="12"/>
        <v>-10.840634357325053</v>
      </c>
      <c r="X26" s="54">
        <f t="shared" si="13"/>
        <v>-10.840634357325053</v>
      </c>
      <c r="Y26" s="55">
        <f t="shared" si="14"/>
        <v>0</v>
      </c>
      <c r="Z26" s="55">
        <f t="shared" si="15"/>
        <v>0</v>
      </c>
      <c r="AA26" s="56">
        <f t="shared" si="16"/>
        <v>0</v>
      </c>
      <c r="AB26" s="9"/>
      <c r="AC26" s="57">
        <v>61</v>
      </c>
      <c r="AD26" s="48">
        <v>0</v>
      </c>
      <c r="AE26" s="48">
        <v>61</v>
      </c>
      <c r="AF26" s="48">
        <v>0</v>
      </c>
      <c r="AG26" s="48">
        <v>61</v>
      </c>
      <c r="AH26" s="48">
        <v>0</v>
      </c>
      <c r="AI26" s="48">
        <v>-26</v>
      </c>
      <c r="AJ26" s="48">
        <v>0</v>
      </c>
      <c r="AK26" s="48">
        <v>0</v>
      </c>
      <c r="AL26" s="48">
        <v>0</v>
      </c>
      <c r="AM26" s="48">
        <v>26</v>
      </c>
      <c r="AN26" s="58">
        <v>0</v>
      </c>
      <c r="AO26" s="9"/>
      <c r="AP26" s="50">
        <f>61+12.5</f>
        <v>73.5</v>
      </c>
      <c r="AQ26" s="60">
        <v>0</v>
      </c>
      <c r="AR26" s="60">
        <v>-13</v>
      </c>
      <c r="AS26" s="60">
        <v>0</v>
      </c>
      <c r="AT26" s="51">
        <v>73.5</v>
      </c>
      <c r="AU26" s="60">
        <v>0</v>
      </c>
      <c r="AV26" s="60">
        <v>13</v>
      </c>
      <c r="AW26" s="62">
        <v>0</v>
      </c>
      <c r="AX26" s="9"/>
      <c r="AY26" s="63"/>
      <c r="AZ26" s="15"/>
      <c r="BA26" s="63"/>
      <c r="BB26" s="15"/>
      <c r="BC26" s="63"/>
      <c r="BD26" s="15"/>
      <c r="BE26" s="15"/>
      <c r="BF26" s="15"/>
      <c r="BG26" s="15"/>
      <c r="BH26" s="15"/>
      <c r="BI26" s="15"/>
      <c r="BJ26" s="15"/>
      <c r="BK26" s="9"/>
      <c r="BL26" s="9"/>
      <c r="BM26" s="9"/>
      <c r="BN26" s="9"/>
      <c r="BO26" s="9"/>
      <c r="BP26" s="9"/>
      <c r="BQ26" s="9"/>
      <c r="BR26" s="9"/>
      <c r="BS26" s="9"/>
    </row>
    <row r="27" spans="1:71" ht="18.75" customHeight="1" x14ac:dyDescent="0.3">
      <c r="A27" s="42" t="s">
        <v>289</v>
      </c>
      <c r="B27" t="s">
        <v>279</v>
      </c>
      <c r="C27" t="s">
        <v>290</v>
      </c>
      <c r="D27" t="s">
        <v>291</v>
      </c>
      <c r="E27" s="44">
        <v>1</v>
      </c>
      <c r="F27" s="44">
        <v>2</v>
      </c>
      <c r="G27" s="45">
        <v>345</v>
      </c>
      <c r="H27" s="44">
        <v>20</v>
      </c>
      <c r="I27" s="44">
        <v>355</v>
      </c>
      <c r="J27" s="44">
        <v>170</v>
      </c>
      <c r="K27" s="43">
        <f t="shared" si="0"/>
        <v>10.840634357325053</v>
      </c>
      <c r="L27" s="46">
        <f t="shared" si="1"/>
        <v>52.659365642674949</v>
      </c>
      <c r="M27" s="47">
        <f t="shared" si="2"/>
        <v>59.159365642674949</v>
      </c>
      <c r="N27" s="47">
        <f t="shared" si="3"/>
        <v>52.659365642674949</v>
      </c>
      <c r="O27" s="48">
        <f t="shared" si="4"/>
        <v>-27</v>
      </c>
      <c r="P27" s="48">
        <f t="shared" si="5"/>
        <v>0</v>
      </c>
      <c r="Q27" s="58">
        <f t="shared" si="6"/>
        <v>27</v>
      </c>
      <c r="R27" s="59">
        <f t="shared" si="7"/>
        <v>78</v>
      </c>
      <c r="S27" s="51">
        <f t="shared" si="8"/>
        <v>-13.5</v>
      </c>
      <c r="T27" s="60">
        <f t="shared" si="9"/>
        <v>78</v>
      </c>
      <c r="U27" s="52">
        <f t="shared" si="10"/>
        <v>13.5</v>
      </c>
      <c r="V27" s="53">
        <f t="shared" si="11"/>
        <v>-10.840634357325053</v>
      </c>
      <c r="W27" s="54">
        <f t="shared" si="12"/>
        <v>-10.840634357325053</v>
      </c>
      <c r="X27" s="54">
        <f t="shared" si="13"/>
        <v>-10.840634357325053</v>
      </c>
      <c r="Y27" s="55">
        <f t="shared" si="14"/>
        <v>0</v>
      </c>
      <c r="Z27" s="55">
        <f t="shared" si="15"/>
        <v>0</v>
      </c>
      <c r="AA27" s="56">
        <f t="shared" si="16"/>
        <v>0</v>
      </c>
      <c r="AB27" s="9"/>
      <c r="AC27" s="57">
        <v>63</v>
      </c>
      <c r="AD27" s="48">
        <v>6</v>
      </c>
      <c r="AE27" s="48">
        <f>63+6</f>
        <v>69</v>
      </c>
      <c r="AF27" s="48">
        <f>6+6</f>
        <v>12</v>
      </c>
      <c r="AG27" s="48">
        <v>63</v>
      </c>
      <c r="AH27" s="48">
        <v>6</v>
      </c>
      <c r="AI27" s="48">
        <f>-13-13</f>
        <v>-26</v>
      </c>
      <c r="AJ27" s="48">
        <f>-6-6</f>
        <v>-12</v>
      </c>
      <c r="AK27" s="48">
        <v>0</v>
      </c>
      <c r="AL27" s="48">
        <v>0</v>
      </c>
      <c r="AM27" s="48">
        <v>26</v>
      </c>
      <c r="AN27" s="58">
        <v>12</v>
      </c>
      <c r="AO27" s="9"/>
      <c r="AP27" s="59">
        <f>63+6+8</f>
        <v>77</v>
      </c>
      <c r="AQ27" s="60">
        <f>6+6</f>
        <v>12</v>
      </c>
      <c r="AR27" s="51">
        <v>-13.5</v>
      </c>
      <c r="AS27" s="60">
        <v>0</v>
      </c>
      <c r="AT27" s="60">
        <v>77</v>
      </c>
      <c r="AU27" s="60">
        <v>12</v>
      </c>
      <c r="AV27" s="51">
        <v>13.5</v>
      </c>
      <c r="AW27" s="62">
        <v>0</v>
      </c>
      <c r="AX27" s="9"/>
      <c r="AY27" s="63"/>
      <c r="AZ27" s="15"/>
      <c r="BA27" s="63"/>
      <c r="BB27" s="15"/>
      <c r="BC27" s="63"/>
      <c r="BD27" s="15"/>
      <c r="BE27" s="15"/>
      <c r="BF27" s="15"/>
      <c r="BG27" s="15"/>
      <c r="BH27" s="15"/>
      <c r="BI27" s="15"/>
      <c r="BJ27" s="15"/>
      <c r="BK27" s="9"/>
      <c r="BL27" s="9"/>
      <c r="BM27" s="9"/>
      <c r="BN27" s="9"/>
      <c r="BO27" s="9"/>
      <c r="BP27" s="9"/>
      <c r="BQ27" s="9"/>
      <c r="BR27" s="9"/>
      <c r="BS27" s="9"/>
    </row>
    <row r="28" spans="1:71" ht="18.75" customHeight="1" x14ac:dyDescent="0.3">
      <c r="A28" s="42" t="s">
        <v>292</v>
      </c>
      <c r="B28" t="s">
        <v>279</v>
      </c>
      <c r="C28" t="s">
        <v>293</v>
      </c>
      <c r="D28" t="s">
        <v>294</v>
      </c>
      <c r="E28" s="44">
        <v>1</v>
      </c>
      <c r="F28" s="44">
        <v>2</v>
      </c>
      <c r="G28" s="45">
        <v>345</v>
      </c>
      <c r="H28" s="44">
        <v>20</v>
      </c>
      <c r="I28" s="44">
        <v>355</v>
      </c>
      <c r="J28" s="44">
        <v>170</v>
      </c>
      <c r="K28" s="43">
        <f t="shared" si="0"/>
        <v>10.840634357325053</v>
      </c>
      <c r="L28" s="46">
        <f t="shared" si="1"/>
        <v>46.659365642674949</v>
      </c>
      <c r="M28" s="47">
        <f t="shared" si="2"/>
        <v>58.159365642674949</v>
      </c>
      <c r="N28" s="47">
        <f t="shared" si="3"/>
        <v>46.659365642674949</v>
      </c>
      <c r="O28" s="47">
        <f t="shared" si="4"/>
        <v>-28.25</v>
      </c>
      <c r="P28" s="48">
        <f t="shared" si="5"/>
        <v>0</v>
      </c>
      <c r="Q28" s="49">
        <f t="shared" si="6"/>
        <v>28.25</v>
      </c>
      <c r="R28" s="59">
        <f t="shared" si="7"/>
        <v>69</v>
      </c>
      <c r="S28" s="51">
        <f t="shared" si="8"/>
        <v>-15.25</v>
      </c>
      <c r="T28" s="60">
        <f t="shared" si="9"/>
        <v>69</v>
      </c>
      <c r="U28" s="52">
        <f t="shared" si="10"/>
        <v>15.25</v>
      </c>
      <c r="V28" s="53">
        <f t="shared" si="11"/>
        <v>-10.840634357325053</v>
      </c>
      <c r="W28" s="54">
        <f t="shared" si="12"/>
        <v>-10.840634357325053</v>
      </c>
      <c r="X28" s="54">
        <f t="shared" si="13"/>
        <v>-10.840634357325053</v>
      </c>
      <c r="Y28" s="55">
        <f t="shared" si="14"/>
        <v>0</v>
      </c>
      <c r="Z28" s="55">
        <f t="shared" si="15"/>
        <v>0</v>
      </c>
      <c r="AA28" s="56">
        <f t="shared" si="16"/>
        <v>0</v>
      </c>
      <c r="AB28" s="9"/>
      <c r="AC28" s="57">
        <v>57</v>
      </c>
      <c r="AD28" s="48">
        <v>6</v>
      </c>
      <c r="AE28" s="48">
        <f>57+11</f>
        <v>68</v>
      </c>
      <c r="AF28" s="48">
        <f>6+6</f>
        <v>12</v>
      </c>
      <c r="AG28" s="48">
        <v>57</v>
      </c>
      <c r="AH28" s="48">
        <v>6</v>
      </c>
      <c r="AI28" s="48">
        <f>-15-13</f>
        <v>-28</v>
      </c>
      <c r="AJ28" s="48">
        <v>-3</v>
      </c>
      <c r="AK28" s="48">
        <v>0</v>
      </c>
      <c r="AL28" s="48">
        <v>0</v>
      </c>
      <c r="AM28" s="48">
        <v>28</v>
      </c>
      <c r="AN28" s="58">
        <v>3</v>
      </c>
      <c r="AO28" s="9"/>
      <c r="AP28" s="59">
        <f>57+11</f>
        <v>68</v>
      </c>
      <c r="AQ28" s="60">
        <f>6+6</f>
        <v>12</v>
      </c>
      <c r="AR28" s="60">
        <v>-15</v>
      </c>
      <c r="AS28" s="60">
        <v>-3</v>
      </c>
      <c r="AT28" s="60">
        <v>68</v>
      </c>
      <c r="AU28" s="60">
        <v>12</v>
      </c>
      <c r="AV28" s="60">
        <v>15</v>
      </c>
      <c r="AW28" s="62">
        <v>3</v>
      </c>
      <c r="AX28" s="9"/>
      <c r="AY28" s="63"/>
      <c r="AZ28" s="15"/>
      <c r="BA28" s="63"/>
      <c r="BB28" s="15"/>
      <c r="BC28" s="63"/>
      <c r="BD28" s="15"/>
      <c r="BE28" s="15"/>
      <c r="BF28" s="15"/>
      <c r="BG28" s="15"/>
      <c r="BH28" s="15"/>
      <c r="BI28" s="15"/>
      <c r="BJ28" s="15"/>
      <c r="BK28" s="9"/>
      <c r="BL28" s="9"/>
      <c r="BM28" s="9"/>
      <c r="BN28" s="9"/>
      <c r="BO28" s="9"/>
      <c r="BP28" s="9"/>
      <c r="BQ28" s="9"/>
      <c r="BR28" s="9"/>
      <c r="BS28" s="9"/>
    </row>
    <row r="29" spans="1:71" ht="18.75" customHeight="1" x14ac:dyDescent="0.3">
      <c r="A29" s="65" t="s">
        <v>295</v>
      </c>
      <c r="B29" s="2" t="s">
        <v>279</v>
      </c>
      <c r="C29" s="2" t="s">
        <v>296</v>
      </c>
      <c r="D29" s="2" t="s">
        <v>100</v>
      </c>
      <c r="E29" s="44">
        <v>1</v>
      </c>
      <c r="F29" s="44">
        <v>2</v>
      </c>
      <c r="G29" s="45">
        <v>345</v>
      </c>
      <c r="H29" s="44">
        <v>20</v>
      </c>
      <c r="I29" s="44">
        <v>355</v>
      </c>
      <c r="J29" s="44">
        <v>170</v>
      </c>
      <c r="K29" s="43">
        <f t="shared" si="0"/>
        <v>10.840634357325053</v>
      </c>
      <c r="L29" s="46">
        <f t="shared" si="1"/>
        <v>49.159365642674949</v>
      </c>
      <c r="M29" s="47">
        <f t="shared" si="2"/>
        <v>49.159365642674949</v>
      </c>
      <c r="N29" s="47">
        <f t="shared" si="3"/>
        <v>49.159365642674949</v>
      </c>
      <c r="O29" s="47">
        <f t="shared" si="4"/>
        <v>-23.5</v>
      </c>
      <c r="P29" s="48">
        <f t="shared" si="5"/>
        <v>0</v>
      </c>
      <c r="Q29" s="49">
        <f t="shared" si="6"/>
        <v>23.5</v>
      </c>
      <c r="R29" s="50">
        <f t="shared" si="7"/>
        <v>68.5</v>
      </c>
      <c r="S29" s="51">
        <f t="shared" si="8"/>
        <v>-13.5</v>
      </c>
      <c r="T29" s="51">
        <f t="shared" si="9"/>
        <v>68.5</v>
      </c>
      <c r="U29" s="52">
        <f t="shared" si="10"/>
        <v>13.5</v>
      </c>
      <c r="V29" s="53">
        <f t="shared" si="11"/>
        <v>-10.840634357325053</v>
      </c>
      <c r="W29" s="54">
        <f t="shared" si="12"/>
        <v>-10.840634357325053</v>
      </c>
      <c r="X29" s="54">
        <f t="shared" si="13"/>
        <v>-10.840634357325053</v>
      </c>
      <c r="Y29" s="55">
        <f t="shared" si="14"/>
        <v>0</v>
      </c>
      <c r="Z29" s="55">
        <f t="shared" si="15"/>
        <v>0</v>
      </c>
      <c r="AA29" s="56">
        <f t="shared" si="16"/>
        <v>0</v>
      </c>
      <c r="AB29" s="9"/>
      <c r="AC29" s="57">
        <v>60</v>
      </c>
      <c r="AD29" s="48">
        <v>0</v>
      </c>
      <c r="AE29" s="48">
        <v>60</v>
      </c>
      <c r="AF29" s="48">
        <v>0</v>
      </c>
      <c r="AG29" s="48">
        <v>60</v>
      </c>
      <c r="AH29" s="48">
        <v>0</v>
      </c>
      <c r="AI29" s="48">
        <v>-23</v>
      </c>
      <c r="AJ29" s="48">
        <v>-6</v>
      </c>
      <c r="AK29" s="48">
        <v>0</v>
      </c>
      <c r="AL29" s="48">
        <v>0</v>
      </c>
      <c r="AM29" s="48">
        <v>23</v>
      </c>
      <c r="AN29" s="58">
        <v>6</v>
      </c>
      <c r="AO29" s="9"/>
      <c r="AP29" s="59">
        <f>60+8</f>
        <v>68</v>
      </c>
      <c r="AQ29" s="60">
        <v>6</v>
      </c>
      <c r="AR29" s="51">
        <v>-13.5</v>
      </c>
      <c r="AS29" s="60">
        <v>0</v>
      </c>
      <c r="AT29" s="60">
        <f>60+8</f>
        <v>68</v>
      </c>
      <c r="AU29" s="60">
        <v>6</v>
      </c>
      <c r="AV29" s="51">
        <v>13.5</v>
      </c>
      <c r="AW29" s="62">
        <v>0</v>
      </c>
      <c r="AX29" s="9"/>
      <c r="AY29" s="63"/>
      <c r="AZ29" s="15"/>
      <c r="BA29" s="63"/>
      <c r="BB29" s="15"/>
      <c r="BC29" s="63"/>
      <c r="BD29" s="15"/>
      <c r="BE29" s="15"/>
      <c r="BF29" s="15"/>
      <c r="BG29" s="15"/>
      <c r="BH29" s="15"/>
      <c r="BI29" s="15"/>
      <c r="BJ29" s="15"/>
      <c r="BK29" s="9"/>
      <c r="BL29" s="9"/>
      <c r="BM29" s="9"/>
      <c r="BN29" s="9"/>
      <c r="BO29" s="9"/>
      <c r="BP29" s="9"/>
      <c r="BQ29" s="9"/>
      <c r="BR29" s="9"/>
      <c r="BS29" s="9"/>
    </row>
    <row r="30" spans="1:71" ht="18.75" customHeight="1" x14ac:dyDescent="0.3">
      <c r="A30" s="65" t="s">
        <v>297</v>
      </c>
      <c r="B30" s="2" t="s">
        <v>279</v>
      </c>
      <c r="C30" s="2" t="s">
        <v>253</v>
      </c>
      <c r="D30" s="2" t="s">
        <v>254</v>
      </c>
      <c r="E30" s="44">
        <v>1</v>
      </c>
      <c r="F30" s="44">
        <v>2</v>
      </c>
      <c r="G30" s="45">
        <v>345</v>
      </c>
      <c r="H30" s="44">
        <v>20</v>
      </c>
      <c r="I30" s="44">
        <v>355</v>
      </c>
      <c r="J30" s="44">
        <v>170</v>
      </c>
      <c r="K30" s="43">
        <f t="shared" si="0"/>
        <v>10.840634357325053</v>
      </c>
      <c r="L30" s="46">
        <f t="shared" si="1"/>
        <v>51.159365642674949</v>
      </c>
      <c r="M30" s="47">
        <f t="shared" si="2"/>
        <v>51.159365642674949</v>
      </c>
      <c r="N30" s="47">
        <f t="shared" si="3"/>
        <v>51.159365642674949</v>
      </c>
      <c r="O30" s="48">
        <f t="shared" si="4"/>
        <v>-24</v>
      </c>
      <c r="P30" s="48">
        <f t="shared" si="5"/>
        <v>0</v>
      </c>
      <c r="Q30" s="58">
        <f t="shared" si="6"/>
        <v>24</v>
      </c>
      <c r="R30" s="50">
        <f t="shared" si="7"/>
        <v>72.5</v>
      </c>
      <c r="S30" s="60">
        <f t="shared" si="8"/>
        <v>-26</v>
      </c>
      <c r="T30" s="51">
        <f t="shared" si="9"/>
        <v>72.5</v>
      </c>
      <c r="U30" s="62">
        <f t="shared" si="10"/>
        <v>26</v>
      </c>
      <c r="V30" s="53">
        <f t="shared" si="11"/>
        <v>-10.840634357325053</v>
      </c>
      <c r="W30" s="54">
        <f t="shared" si="12"/>
        <v>-10.840634357325053</v>
      </c>
      <c r="X30" s="54">
        <f t="shared" si="13"/>
        <v>-10.840634357325053</v>
      </c>
      <c r="Y30" s="55">
        <f t="shared" si="14"/>
        <v>0</v>
      </c>
      <c r="Z30" s="55">
        <f t="shared" si="15"/>
        <v>0</v>
      </c>
      <c r="AA30" s="56">
        <f t="shared" si="16"/>
        <v>0</v>
      </c>
      <c r="AB30" s="9"/>
      <c r="AC30" s="57">
        <v>62</v>
      </c>
      <c r="AD30" s="48">
        <v>0</v>
      </c>
      <c r="AE30" s="48">
        <v>62</v>
      </c>
      <c r="AF30" s="48">
        <v>0</v>
      </c>
      <c r="AG30" s="48">
        <v>62</v>
      </c>
      <c r="AH30" s="48">
        <v>0</v>
      </c>
      <c r="AI30" s="48">
        <v>-24</v>
      </c>
      <c r="AJ30" s="48">
        <v>0</v>
      </c>
      <c r="AK30" s="48">
        <v>0</v>
      </c>
      <c r="AL30" s="48">
        <v>0</v>
      </c>
      <c r="AM30" s="48">
        <v>24</v>
      </c>
      <c r="AN30" s="58">
        <v>0</v>
      </c>
      <c r="AO30" s="9"/>
      <c r="AP30" s="59">
        <f>62+10</f>
        <v>72</v>
      </c>
      <c r="AQ30" s="60">
        <v>6</v>
      </c>
      <c r="AR30" s="60">
        <v>-26</v>
      </c>
      <c r="AS30" s="60">
        <v>0</v>
      </c>
      <c r="AT30" s="60">
        <f>62+10</f>
        <v>72</v>
      </c>
      <c r="AU30" s="60">
        <v>6</v>
      </c>
      <c r="AV30" s="60">
        <v>26</v>
      </c>
      <c r="AW30" s="62">
        <v>0</v>
      </c>
      <c r="AX30" s="9"/>
      <c r="AY30" s="63"/>
      <c r="AZ30" s="15"/>
      <c r="BA30" s="63"/>
      <c r="BB30" s="15"/>
      <c r="BC30" s="63"/>
      <c r="BD30" s="15"/>
      <c r="BE30" s="15"/>
      <c r="BF30" s="15"/>
      <c r="BG30" s="15"/>
      <c r="BH30" s="15"/>
      <c r="BI30" s="15"/>
      <c r="BJ30" s="15"/>
      <c r="BK30" s="9"/>
      <c r="BL30" s="9"/>
      <c r="BM30" s="9"/>
      <c r="BN30" s="9"/>
      <c r="BO30" s="9"/>
      <c r="BP30" s="9"/>
      <c r="BQ30" s="9"/>
      <c r="BR30" s="9"/>
      <c r="BS30" s="9"/>
    </row>
    <row r="31" spans="1:71" ht="18.75" customHeight="1" x14ac:dyDescent="0.3">
      <c r="A31" s="42" t="s">
        <v>298</v>
      </c>
      <c r="B31" t="s">
        <v>279</v>
      </c>
      <c r="C31" t="s">
        <v>299</v>
      </c>
      <c r="D31" t="s">
        <v>300</v>
      </c>
      <c r="E31" s="44">
        <v>1</v>
      </c>
      <c r="F31" s="44">
        <v>2</v>
      </c>
      <c r="G31" s="45">
        <v>345</v>
      </c>
      <c r="H31" s="44">
        <v>20</v>
      </c>
      <c r="I31" s="44">
        <v>355</v>
      </c>
      <c r="J31" s="44">
        <v>170</v>
      </c>
      <c r="K31" s="43">
        <f t="shared" si="0"/>
        <v>10.840634357325053</v>
      </c>
      <c r="L31" s="46">
        <f t="shared" si="1"/>
        <v>52.659365642674949</v>
      </c>
      <c r="M31" s="47">
        <f t="shared" si="2"/>
        <v>52.659365642674949</v>
      </c>
      <c r="N31" s="47">
        <f t="shared" si="3"/>
        <v>52.659365642674949</v>
      </c>
      <c r="O31" s="48">
        <f t="shared" si="4"/>
        <v>-20</v>
      </c>
      <c r="P31" s="48">
        <f t="shared" si="5"/>
        <v>0</v>
      </c>
      <c r="Q31" s="58">
        <f t="shared" si="6"/>
        <v>20</v>
      </c>
      <c r="R31" s="50">
        <f t="shared" si="7"/>
        <v>74.5</v>
      </c>
      <c r="S31" s="51">
        <f t="shared" si="8"/>
        <v>-9.5</v>
      </c>
      <c r="T31" s="51">
        <f t="shared" si="9"/>
        <v>74.5</v>
      </c>
      <c r="U31" s="52">
        <f t="shared" si="10"/>
        <v>9.5</v>
      </c>
      <c r="V31" s="53">
        <f t="shared" si="11"/>
        <v>-10.840634357325053</v>
      </c>
      <c r="W31" s="54">
        <f t="shared" si="12"/>
        <v>-10.840634357325053</v>
      </c>
      <c r="X31" s="54">
        <f t="shared" si="13"/>
        <v>-10.840634357325053</v>
      </c>
      <c r="Y31" s="55">
        <f t="shared" si="14"/>
        <v>0</v>
      </c>
      <c r="Z31" s="55">
        <f t="shared" si="15"/>
        <v>0</v>
      </c>
      <c r="AA31" s="56">
        <f t="shared" si="16"/>
        <v>0</v>
      </c>
      <c r="AB31" s="9"/>
      <c r="AC31" s="57">
        <v>63</v>
      </c>
      <c r="AD31" s="48">
        <v>6</v>
      </c>
      <c r="AE31" s="48">
        <v>63</v>
      </c>
      <c r="AF31" s="48">
        <v>6</v>
      </c>
      <c r="AG31" s="48">
        <v>63</v>
      </c>
      <c r="AH31" s="48">
        <v>6</v>
      </c>
      <c r="AI31" s="48">
        <v>-19</v>
      </c>
      <c r="AJ31" s="48">
        <v>-12</v>
      </c>
      <c r="AK31" s="48">
        <v>0</v>
      </c>
      <c r="AL31" s="48">
        <v>0</v>
      </c>
      <c r="AM31" s="48">
        <v>19</v>
      </c>
      <c r="AN31" s="58">
        <v>12</v>
      </c>
      <c r="AO31" s="9"/>
      <c r="AP31" s="59">
        <f>63+11</f>
        <v>74</v>
      </c>
      <c r="AQ31" s="60">
        <v>6</v>
      </c>
      <c r="AR31" s="60">
        <v>-9</v>
      </c>
      <c r="AS31" s="60">
        <v>-6</v>
      </c>
      <c r="AT31" s="60">
        <v>74</v>
      </c>
      <c r="AU31" s="60">
        <v>6</v>
      </c>
      <c r="AV31" s="60">
        <v>9</v>
      </c>
      <c r="AW31" s="62">
        <v>6</v>
      </c>
      <c r="AX31" s="9"/>
      <c r="AY31" s="63"/>
      <c r="AZ31" s="15"/>
      <c r="BA31" s="63"/>
      <c r="BB31" s="15"/>
      <c r="BC31" s="63"/>
      <c r="BD31" s="15"/>
      <c r="BE31" s="15"/>
      <c r="BF31" s="15"/>
      <c r="BG31" s="15"/>
      <c r="BH31" s="15"/>
      <c r="BI31" s="15"/>
      <c r="BJ31" s="15"/>
      <c r="BK31" s="9"/>
      <c r="BL31" s="9"/>
      <c r="BM31" s="9"/>
      <c r="BN31" s="9"/>
      <c r="BO31" s="9"/>
      <c r="BP31" s="9"/>
      <c r="BQ31" s="9"/>
      <c r="BR31" s="9"/>
      <c r="BS31" s="9"/>
    </row>
    <row r="32" spans="1:71" ht="18.75" customHeight="1" x14ac:dyDescent="0.3">
      <c r="A32" s="42" t="s">
        <v>301</v>
      </c>
      <c r="B32" t="s">
        <v>279</v>
      </c>
      <c r="C32" t="s">
        <v>302</v>
      </c>
      <c r="D32" t="s">
        <v>303</v>
      </c>
      <c r="E32" s="44">
        <v>2</v>
      </c>
      <c r="F32" s="44">
        <v>2</v>
      </c>
      <c r="G32" s="45">
        <v>345</v>
      </c>
      <c r="H32" s="44">
        <v>20</v>
      </c>
      <c r="I32" s="44">
        <v>355</v>
      </c>
      <c r="J32" s="44">
        <v>170</v>
      </c>
      <c r="K32" s="43">
        <f t="shared" si="0"/>
        <v>10.840634357325053</v>
      </c>
      <c r="L32" s="57">
        <f t="shared" si="1"/>
        <v>96</v>
      </c>
      <c r="M32" s="48">
        <f t="shared" si="2"/>
        <v>70</v>
      </c>
      <c r="N32" s="48">
        <f t="shared" si="3"/>
        <v>70</v>
      </c>
      <c r="O32" s="48">
        <f t="shared" si="4"/>
        <v>-10</v>
      </c>
      <c r="P32" s="47">
        <f t="shared" si="5"/>
        <v>-32.75</v>
      </c>
      <c r="Q32" s="58">
        <f t="shared" si="6"/>
        <v>-10</v>
      </c>
      <c r="R32" s="59">
        <f t="shared" si="7"/>
        <v>111</v>
      </c>
      <c r="S32" s="51">
        <f t="shared" si="8"/>
        <v>-27.25</v>
      </c>
      <c r="T32" s="60">
        <f t="shared" si="9"/>
        <v>111</v>
      </c>
      <c r="U32" s="52">
        <f t="shared" si="10"/>
        <v>27.25</v>
      </c>
      <c r="V32" s="61">
        <f t="shared" si="11"/>
        <v>96</v>
      </c>
      <c r="W32" s="55">
        <f t="shared" si="12"/>
        <v>70</v>
      </c>
      <c r="X32" s="55">
        <f t="shared" si="13"/>
        <v>70</v>
      </c>
      <c r="Y32" s="55">
        <f t="shared" si="14"/>
        <v>10</v>
      </c>
      <c r="Z32" s="55">
        <f t="shared" si="15"/>
        <v>10</v>
      </c>
      <c r="AA32" s="64">
        <f t="shared" si="16"/>
        <v>32.75</v>
      </c>
      <c r="AB32" s="9"/>
      <c r="AC32" s="46">
        <f>70+K32+26</f>
        <v>106.84063435732506</v>
      </c>
      <c r="AD32" s="48">
        <v>0</v>
      </c>
      <c r="AE32" s="47">
        <f>70+K32</f>
        <v>80.840634357325058</v>
      </c>
      <c r="AF32" s="48">
        <v>0</v>
      </c>
      <c r="AG32" s="47">
        <f>70+K32</f>
        <v>80.840634357325058</v>
      </c>
      <c r="AH32" s="48">
        <v>0</v>
      </c>
      <c r="AI32" s="48">
        <v>-10</v>
      </c>
      <c r="AJ32" s="48">
        <v>0</v>
      </c>
      <c r="AK32" s="48">
        <f>-10-10-12</f>
        <v>-32</v>
      </c>
      <c r="AL32" s="48">
        <v>-9</v>
      </c>
      <c r="AM32" s="48">
        <v>-10</v>
      </c>
      <c r="AN32" s="58">
        <v>0</v>
      </c>
      <c r="AO32" s="9"/>
      <c r="AP32" s="59">
        <f>70+26+15</f>
        <v>111</v>
      </c>
      <c r="AQ32" s="60">
        <v>0</v>
      </c>
      <c r="AR32" s="60">
        <v>-27</v>
      </c>
      <c r="AS32" s="60">
        <v>-3</v>
      </c>
      <c r="AT32" s="60">
        <f>70+26+15</f>
        <v>111</v>
      </c>
      <c r="AU32" s="60">
        <v>0</v>
      </c>
      <c r="AV32" s="60">
        <v>27</v>
      </c>
      <c r="AW32" s="62">
        <v>3</v>
      </c>
      <c r="AX32" s="9"/>
      <c r="AY32" s="53">
        <f>70+26+K32</f>
        <v>106.84063435732506</v>
      </c>
      <c r="AZ32" s="55">
        <v>0</v>
      </c>
      <c r="BA32" s="54">
        <f>70+K32</f>
        <v>80.840634357325058</v>
      </c>
      <c r="BB32" s="55">
        <v>0</v>
      </c>
      <c r="BC32" s="54">
        <f>70+K32</f>
        <v>80.840634357325058</v>
      </c>
      <c r="BD32" s="55">
        <v>0</v>
      </c>
      <c r="BE32" s="55">
        <v>10</v>
      </c>
      <c r="BF32" s="55">
        <v>0</v>
      </c>
      <c r="BG32" s="55">
        <v>10</v>
      </c>
      <c r="BH32" s="55">
        <v>0</v>
      </c>
      <c r="BI32" s="55">
        <f>10+12+10</f>
        <v>32</v>
      </c>
      <c r="BJ32" s="56">
        <v>9</v>
      </c>
      <c r="BK32" s="9"/>
      <c r="BL32" s="9"/>
      <c r="BM32" s="9"/>
      <c r="BN32" s="9"/>
      <c r="BO32" s="9"/>
      <c r="BP32" s="9"/>
      <c r="BQ32" s="9"/>
      <c r="BR32" s="9"/>
      <c r="BS32" s="9"/>
    </row>
    <row r="33" spans="1:71" ht="18.75" customHeight="1" x14ac:dyDescent="0.3">
      <c r="A33" s="42" t="s">
        <v>304</v>
      </c>
      <c r="B33" t="s">
        <v>305</v>
      </c>
      <c r="C33" t="s">
        <v>306</v>
      </c>
      <c r="D33" t="s">
        <v>18</v>
      </c>
      <c r="E33" s="44">
        <v>1</v>
      </c>
      <c r="F33" s="44">
        <v>2</v>
      </c>
      <c r="G33" s="45">
        <v>345</v>
      </c>
      <c r="H33" s="44">
        <v>20</v>
      </c>
      <c r="I33" s="44">
        <v>355</v>
      </c>
      <c r="J33" s="44">
        <v>170</v>
      </c>
      <c r="K33" s="43">
        <f t="shared" si="0"/>
        <v>10.840634357325053</v>
      </c>
      <c r="L33" s="46">
        <f t="shared" si="1"/>
        <v>109.24269897600827</v>
      </c>
      <c r="M33" s="47">
        <f t="shared" si="2"/>
        <v>84.659365642674942</v>
      </c>
      <c r="N33" s="47">
        <f t="shared" si="3"/>
        <v>84.659365642674942</v>
      </c>
      <c r="O33" s="48">
        <f t="shared" si="4"/>
        <v>0</v>
      </c>
      <c r="P33" s="48">
        <f t="shared" si="5"/>
        <v>-15</v>
      </c>
      <c r="Q33" s="58">
        <f t="shared" si="6"/>
        <v>15</v>
      </c>
      <c r="R33" s="50">
        <f t="shared" si="7"/>
        <v>120.08333333333333</v>
      </c>
      <c r="S33" s="51">
        <f t="shared" si="8"/>
        <v>-13.5</v>
      </c>
      <c r="T33" s="51">
        <f t="shared" si="9"/>
        <v>120.08333333333333</v>
      </c>
      <c r="U33" s="52">
        <f t="shared" si="10"/>
        <v>13.5</v>
      </c>
      <c r="V33" s="53">
        <f t="shared" si="11"/>
        <v>-10.840634357325053</v>
      </c>
      <c r="W33" s="54">
        <f t="shared" si="12"/>
        <v>-10.840634357325053</v>
      </c>
      <c r="X33" s="54">
        <f t="shared" si="13"/>
        <v>-10.840634357325053</v>
      </c>
      <c r="Y33" s="55">
        <f t="shared" si="14"/>
        <v>0</v>
      </c>
      <c r="Z33" s="55">
        <f t="shared" si="15"/>
        <v>0</v>
      </c>
      <c r="AA33" s="56">
        <f t="shared" si="16"/>
        <v>0</v>
      </c>
      <c r="AB33" s="9"/>
      <c r="AC33" s="57">
        <f>95+24</f>
        <v>119</v>
      </c>
      <c r="AD33" s="48">
        <f>6+7</f>
        <v>13</v>
      </c>
      <c r="AE33" s="48">
        <v>95</v>
      </c>
      <c r="AF33" s="48">
        <v>6</v>
      </c>
      <c r="AG33" s="48">
        <v>95</v>
      </c>
      <c r="AH33" s="48">
        <v>6</v>
      </c>
      <c r="AI33" s="48">
        <v>0</v>
      </c>
      <c r="AJ33" s="48">
        <v>0</v>
      </c>
      <c r="AK33" s="48">
        <v>-15</v>
      </c>
      <c r="AL33" s="48">
        <v>0</v>
      </c>
      <c r="AM33" s="48">
        <v>15</v>
      </c>
      <c r="AN33" s="58">
        <v>0</v>
      </c>
      <c r="AO33" s="9"/>
      <c r="AP33" s="59">
        <f>95+24</f>
        <v>119</v>
      </c>
      <c r="AQ33" s="60">
        <f>6+7</f>
        <v>13</v>
      </c>
      <c r="AR33" s="51">
        <v>-13.5</v>
      </c>
      <c r="AS33" s="60">
        <v>0</v>
      </c>
      <c r="AT33" s="60">
        <f>95+24</f>
        <v>119</v>
      </c>
      <c r="AU33" s="60">
        <f>6+7</f>
        <v>13</v>
      </c>
      <c r="AV33" s="51">
        <v>13.5</v>
      </c>
      <c r="AW33" s="62">
        <v>0</v>
      </c>
      <c r="AX33" s="9"/>
      <c r="AY33" s="63"/>
      <c r="AZ33" s="15"/>
      <c r="BA33" s="63"/>
      <c r="BB33" s="15"/>
      <c r="BC33" s="63"/>
      <c r="BD33" s="15"/>
      <c r="BE33" s="15"/>
      <c r="BF33" s="15"/>
      <c r="BG33" s="15"/>
      <c r="BH33" s="15"/>
      <c r="BI33" s="15"/>
      <c r="BJ33" s="15"/>
      <c r="BK33" s="9"/>
      <c r="BL33" s="9"/>
      <c r="BM33" s="9"/>
      <c r="BN33" s="9"/>
      <c r="BO33" s="9"/>
      <c r="BP33" s="9"/>
      <c r="BQ33" s="9"/>
      <c r="BR33" s="9"/>
      <c r="BS33" s="9"/>
    </row>
    <row r="34" spans="1:71" ht="18.75" customHeight="1" x14ac:dyDescent="0.3">
      <c r="A34" s="42" t="s">
        <v>307</v>
      </c>
      <c r="B34" t="s">
        <v>305</v>
      </c>
      <c r="C34" t="s">
        <v>308</v>
      </c>
      <c r="E34" s="44">
        <v>1</v>
      </c>
      <c r="F34" s="44">
        <v>2</v>
      </c>
      <c r="G34" s="45">
        <v>345</v>
      </c>
      <c r="H34" s="44">
        <v>20</v>
      </c>
      <c r="I34" s="44">
        <v>355</v>
      </c>
      <c r="J34" s="44">
        <v>170</v>
      </c>
      <c r="K34" s="43">
        <f t="shared" ref="K34:K64" si="17">((G34*H34)/I34)*J34*(1/304.8)</f>
        <v>10.840634357325053</v>
      </c>
      <c r="L34" s="46">
        <f t="shared" ref="L34:L64" si="18">AC34+(AD34*(1/12))-K34</f>
        <v>116.15936564267494</v>
      </c>
      <c r="M34" s="47">
        <f t="shared" ref="M34:M64" si="19">AE34+(AF34*(1/12))-K34</f>
        <v>94.159365642674942</v>
      </c>
      <c r="N34" s="47">
        <f t="shared" ref="N34:N64" si="20">AG34+(AH34*(1/12))-K34</f>
        <v>94.159365642674942</v>
      </c>
      <c r="O34" s="48">
        <f t="shared" ref="O34:O64" si="21">AI34+(AJ34*(1/12))</f>
        <v>0</v>
      </c>
      <c r="P34" s="47">
        <f t="shared" ref="P34:P64" si="22">AK34+(AL34*(1/12))</f>
        <v>-13.5</v>
      </c>
      <c r="Q34" s="49">
        <f t="shared" ref="Q34:Q64" si="23">AM34+(AN34*(1/12))</f>
        <v>13.5</v>
      </c>
      <c r="R34" s="59">
        <f t="shared" ref="R34:R64" si="24">AP34+((1/12)*AQ34)</f>
        <v>127</v>
      </c>
      <c r="S34" s="60">
        <f t="shared" ref="S34:S64" si="25">AR34+((1/12)*AS34)</f>
        <v>-10</v>
      </c>
      <c r="T34" s="60">
        <f t="shared" ref="T34:T64" si="26">AT34+((1/12)*AU34)</f>
        <v>127</v>
      </c>
      <c r="U34" s="62">
        <f t="shared" ref="U34:U64" si="27">AV34+((1/12)*AW34)</f>
        <v>10</v>
      </c>
      <c r="V34" s="53">
        <f t="shared" ref="V34:V64" si="28">AY34+(AZ34*(1/12))-K34</f>
        <v>-10.840634357325053</v>
      </c>
      <c r="W34" s="54">
        <f t="shared" ref="W34:W64" si="29">BA34+(BB34*(1/12))-K34</f>
        <v>-10.840634357325053</v>
      </c>
      <c r="X34" s="54">
        <f t="shared" ref="X34:X64" si="30">BC34+(BD34*(1/12))-K34</f>
        <v>-10.840634357325053</v>
      </c>
      <c r="Y34" s="55">
        <f t="shared" ref="Y34:Y64" si="31">BE34+(BF34*(1/12))</f>
        <v>0</v>
      </c>
      <c r="Z34" s="55">
        <f t="shared" ref="Z34:Z64" si="32">BG34+(BH34*(1/12))</f>
        <v>0</v>
      </c>
      <c r="AA34" s="56">
        <f t="shared" ref="AA34:AA64" si="33">BI34+(BJ34*(1/12))</f>
        <v>0</v>
      </c>
      <c r="AB34" s="9"/>
      <c r="AC34" s="57">
        <f>105+22</f>
        <v>127</v>
      </c>
      <c r="AD34" s="48">
        <v>0</v>
      </c>
      <c r="AE34" s="48">
        <v>105</v>
      </c>
      <c r="AF34" s="48">
        <v>0</v>
      </c>
      <c r="AG34" s="48">
        <v>105</v>
      </c>
      <c r="AH34" s="48">
        <v>0</v>
      </c>
      <c r="AI34" s="48">
        <v>0</v>
      </c>
      <c r="AJ34" s="48">
        <v>0</v>
      </c>
      <c r="AK34" s="48">
        <v>-13</v>
      </c>
      <c r="AL34" s="48">
        <v>-6</v>
      </c>
      <c r="AM34" s="48">
        <v>13</v>
      </c>
      <c r="AN34" s="58">
        <v>6</v>
      </c>
      <c r="AO34" s="9"/>
      <c r="AP34" s="59">
        <f>105+22</f>
        <v>127</v>
      </c>
      <c r="AQ34" s="60">
        <v>0</v>
      </c>
      <c r="AR34" s="60">
        <v>-10</v>
      </c>
      <c r="AS34" s="60">
        <v>0</v>
      </c>
      <c r="AT34" s="60">
        <v>127</v>
      </c>
      <c r="AU34" s="60">
        <v>0</v>
      </c>
      <c r="AV34" s="60">
        <v>10</v>
      </c>
      <c r="AW34" s="62">
        <v>0</v>
      </c>
      <c r="AX34" s="9"/>
      <c r="AY34" s="63"/>
      <c r="AZ34" s="15"/>
      <c r="BA34" s="63"/>
      <c r="BB34" s="15"/>
      <c r="BC34" s="63"/>
      <c r="BD34" s="15"/>
      <c r="BE34" s="15"/>
      <c r="BF34" s="15"/>
      <c r="BG34" s="15"/>
      <c r="BH34" s="15"/>
      <c r="BI34" s="15"/>
      <c r="BJ34" s="15"/>
      <c r="BK34" s="9"/>
      <c r="BL34" s="9"/>
      <c r="BM34" s="9"/>
      <c r="BN34" s="9"/>
      <c r="BO34" s="9"/>
      <c r="BP34" s="9"/>
      <c r="BQ34" s="9"/>
      <c r="BR34" s="9"/>
      <c r="BS34" s="9"/>
    </row>
    <row r="35" spans="1:71" ht="18.75" customHeight="1" x14ac:dyDescent="0.3">
      <c r="A35" s="42" t="s">
        <v>309</v>
      </c>
      <c r="B35" t="s">
        <v>305</v>
      </c>
      <c r="C35" t="s">
        <v>310</v>
      </c>
      <c r="D35" t="s">
        <v>311</v>
      </c>
      <c r="E35" s="44">
        <v>1</v>
      </c>
      <c r="F35" s="44">
        <v>2</v>
      </c>
      <c r="G35" s="45">
        <v>345</v>
      </c>
      <c r="H35" s="44">
        <v>20</v>
      </c>
      <c r="I35" s="44">
        <v>355</v>
      </c>
      <c r="J35" s="44">
        <v>170</v>
      </c>
      <c r="K35" s="43">
        <f t="shared" si="17"/>
        <v>10.840634357325053</v>
      </c>
      <c r="L35" s="46">
        <f t="shared" si="18"/>
        <v>116.15936564267494</v>
      </c>
      <c r="M35" s="47">
        <f t="shared" si="19"/>
        <v>94.159365642674942</v>
      </c>
      <c r="N35" s="47">
        <f t="shared" si="20"/>
        <v>94.159365642674942</v>
      </c>
      <c r="O35" s="48">
        <f t="shared" si="21"/>
        <v>0</v>
      </c>
      <c r="P35" s="47">
        <f t="shared" si="22"/>
        <v>-19.833333333333332</v>
      </c>
      <c r="Q35" s="49">
        <f t="shared" si="23"/>
        <v>19.833333333333332</v>
      </c>
      <c r="R35" s="59">
        <f t="shared" si="24"/>
        <v>127</v>
      </c>
      <c r="S35" s="60">
        <f t="shared" si="25"/>
        <v>-9</v>
      </c>
      <c r="T35" s="60">
        <f t="shared" si="26"/>
        <v>127</v>
      </c>
      <c r="U35" s="62">
        <f t="shared" si="27"/>
        <v>9</v>
      </c>
      <c r="V35" s="53">
        <f t="shared" si="28"/>
        <v>-10.840634357325053</v>
      </c>
      <c r="W35" s="54">
        <f t="shared" si="29"/>
        <v>-10.840634357325053</v>
      </c>
      <c r="X35" s="54">
        <f t="shared" si="30"/>
        <v>-10.840634357325053</v>
      </c>
      <c r="Y35" s="55">
        <f t="shared" si="31"/>
        <v>0</v>
      </c>
      <c r="Z35" s="55">
        <f t="shared" si="32"/>
        <v>0</v>
      </c>
      <c r="AA35" s="56">
        <f t="shared" si="33"/>
        <v>0</v>
      </c>
      <c r="AB35" s="9"/>
      <c r="AC35" s="57">
        <f>105+22</f>
        <v>127</v>
      </c>
      <c r="AD35" s="48">
        <v>0</v>
      </c>
      <c r="AE35" s="48">
        <v>105</v>
      </c>
      <c r="AF35" s="48">
        <v>0</v>
      </c>
      <c r="AG35" s="48">
        <v>105</v>
      </c>
      <c r="AH35" s="48">
        <v>0</v>
      </c>
      <c r="AI35" s="48">
        <v>0</v>
      </c>
      <c r="AJ35" s="48">
        <v>0</v>
      </c>
      <c r="AK35" s="47">
        <v>-19.5</v>
      </c>
      <c r="AL35" s="48">
        <v>-4</v>
      </c>
      <c r="AM35" s="47">
        <v>19.5</v>
      </c>
      <c r="AN35" s="58">
        <v>4</v>
      </c>
      <c r="AO35" s="9"/>
      <c r="AP35" s="59">
        <f>105+22</f>
        <v>127</v>
      </c>
      <c r="AQ35" s="60">
        <v>0</v>
      </c>
      <c r="AR35" s="60">
        <v>-9</v>
      </c>
      <c r="AS35" s="60">
        <v>0</v>
      </c>
      <c r="AT35" s="60">
        <v>127</v>
      </c>
      <c r="AU35" s="60">
        <v>0</v>
      </c>
      <c r="AV35" s="60">
        <v>9</v>
      </c>
      <c r="AW35" s="62">
        <v>0</v>
      </c>
      <c r="AX35" s="9"/>
      <c r="AY35" s="63"/>
      <c r="AZ35" s="15"/>
      <c r="BA35" s="63"/>
      <c r="BB35" s="15"/>
      <c r="BC35" s="63"/>
      <c r="BD35" s="15"/>
      <c r="BE35" s="15"/>
      <c r="BF35" s="15"/>
      <c r="BG35" s="15"/>
      <c r="BH35" s="15"/>
      <c r="BI35" s="15"/>
      <c r="BJ35" s="15"/>
      <c r="BK35" s="9"/>
      <c r="BL35" s="9"/>
      <c r="BM35" s="9"/>
      <c r="BN35" s="9"/>
      <c r="BO35" s="9"/>
      <c r="BP35" s="9"/>
      <c r="BQ35" s="9"/>
      <c r="BR35" s="9"/>
      <c r="BS35" s="9"/>
    </row>
    <row r="36" spans="1:71" ht="18.75" customHeight="1" x14ac:dyDescent="0.3">
      <c r="A36" s="66" t="s">
        <v>312</v>
      </c>
      <c r="B36" s="67" t="s">
        <v>228</v>
      </c>
      <c r="E36" s="44">
        <v>1</v>
      </c>
      <c r="F36" s="44">
        <v>2</v>
      </c>
      <c r="G36" s="45">
        <v>500</v>
      </c>
      <c r="H36" s="44">
        <v>20</v>
      </c>
      <c r="I36" s="44">
        <v>355</v>
      </c>
      <c r="J36" s="44">
        <v>170</v>
      </c>
      <c r="K36" s="43">
        <f t="shared" si="17"/>
        <v>15.711064285978338</v>
      </c>
      <c r="L36" s="46">
        <f t="shared" si="18"/>
        <v>96.788935714021662</v>
      </c>
      <c r="M36" s="47">
        <f t="shared" si="19"/>
        <v>69.288935714021662</v>
      </c>
      <c r="N36" s="47">
        <f t="shared" si="20"/>
        <v>69.288935714021662</v>
      </c>
      <c r="O36" s="48">
        <f t="shared" si="21"/>
        <v>0</v>
      </c>
      <c r="P36" s="48">
        <f t="shared" si="22"/>
        <v>-20</v>
      </c>
      <c r="Q36" s="58">
        <f t="shared" si="23"/>
        <v>20</v>
      </c>
      <c r="R36" s="50">
        <f t="shared" si="24"/>
        <v>122.25</v>
      </c>
      <c r="S36" s="60">
        <f t="shared" si="25"/>
        <v>-13</v>
      </c>
      <c r="T36" s="51">
        <f t="shared" si="26"/>
        <v>122.25</v>
      </c>
      <c r="U36" s="62">
        <f t="shared" si="27"/>
        <v>13</v>
      </c>
      <c r="V36" s="53">
        <f t="shared" si="28"/>
        <v>-15.711064285978338</v>
      </c>
      <c r="W36" s="54">
        <f t="shared" si="29"/>
        <v>-15.711064285978338</v>
      </c>
      <c r="X36" s="54">
        <f t="shared" si="30"/>
        <v>-15.711064285978338</v>
      </c>
      <c r="Y36" s="55">
        <f t="shared" si="31"/>
        <v>0</v>
      </c>
      <c r="Z36" s="55">
        <f t="shared" si="32"/>
        <v>0</v>
      </c>
      <c r="AA36" s="56">
        <f t="shared" si="33"/>
        <v>0</v>
      </c>
      <c r="AB36" s="9"/>
      <c r="AC36" s="57">
        <f>85+27</f>
        <v>112</v>
      </c>
      <c r="AD36" s="48">
        <v>6</v>
      </c>
      <c r="AE36" s="48">
        <v>85</v>
      </c>
      <c r="AF36" s="48">
        <v>0</v>
      </c>
      <c r="AG36" s="48">
        <v>85</v>
      </c>
      <c r="AH36" s="48">
        <v>0</v>
      </c>
      <c r="AI36" s="48">
        <v>0</v>
      </c>
      <c r="AJ36" s="48">
        <v>0</v>
      </c>
      <c r="AK36" s="48">
        <v>-20</v>
      </c>
      <c r="AL36" s="48">
        <v>0</v>
      </c>
      <c r="AM36" s="48">
        <v>20</v>
      </c>
      <c r="AN36" s="58">
        <v>0</v>
      </c>
      <c r="AO36" s="9"/>
      <c r="AP36" s="59">
        <f>85+27+9</f>
        <v>121</v>
      </c>
      <c r="AQ36" s="60">
        <f>6+9</f>
        <v>15</v>
      </c>
      <c r="AR36" s="60">
        <v>-13</v>
      </c>
      <c r="AS36" s="60">
        <v>0</v>
      </c>
      <c r="AT36" s="60">
        <v>121</v>
      </c>
      <c r="AU36" s="60">
        <v>15</v>
      </c>
      <c r="AV36" s="60">
        <v>13</v>
      </c>
      <c r="AW36" s="62">
        <v>0</v>
      </c>
      <c r="AX36" s="9"/>
      <c r="AY36" s="63"/>
      <c r="AZ36" s="15"/>
      <c r="BA36" s="63"/>
      <c r="BB36" s="15"/>
      <c r="BC36" s="63"/>
      <c r="BD36" s="15"/>
      <c r="BE36" s="15"/>
      <c r="BF36" s="15"/>
      <c r="BG36" s="15"/>
      <c r="BH36" s="15"/>
      <c r="BI36" s="15"/>
      <c r="BJ36" s="15"/>
      <c r="BK36" s="9"/>
      <c r="BL36" s="9"/>
      <c r="BM36" s="9"/>
      <c r="BN36" s="9"/>
      <c r="BO36" s="9"/>
      <c r="BP36" s="9"/>
      <c r="BQ36" s="9"/>
      <c r="BR36" s="9"/>
      <c r="BS36" s="9"/>
    </row>
    <row r="37" spans="1:71" ht="18.75" customHeight="1" x14ac:dyDescent="0.3">
      <c r="A37" s="42" t="s">
        <v>313</v>
      </c>
      <c r="B37" t="s">
        <v>228</v>
      </c>
      <c r="C37" t="s">
        <v>314</v>
      </c>
      <c r="D37" s="68" t="s">
        <v>315</v>
      </c>
      <c r="E37" s="44">
        <v>1</v>
      </c>
      <c r="F37" s="44">
        <v>2</v>
      </c>
      <c r="G37" s="45">
        <v>500</v>
      </c>
      <c r="H37" s="44">
        <v>20</v>
      </c>
      <c r="I37" s="44">
        <v>355</v>
      </c>
      <c r="J37" s="44">
        <v>170</v>
      </c>
      <c r="K37" s="43">
        <f t="shared" si="17"/>
        <v>15.711064285978338</v>
      </c>
      <c r="L37" s="46">
        <f t="shared" si="18"/>
        <v>98.288935714021662</v>
      </c>
      <c r="M37" s="47">
        <f t="shared" si="19"/>
        <v>69.288935714021662</v>
      </c>
      <c r="N37" s="47">
        <f t="shared" si="20"/>
        <v>69.288935714021662</v>
      </c>
      <c r="O37" s="48">
        <f t="shared" si="21"/>
        <v>0</v>
      </c>
      <c r="P37" s="47">
        <f t="shared" si="22"/>
        <v>-15.333333333333334</v>
      </c>
      <c r="Q37" s="49">
        <f t="shared" si="23"/>
        <v>15.333333333333334</v>
      </c>
      <c r="R37" s="59">
        <f t="shared" si="24"/>
        <v>121</v>
      </c>
      <c r="S37" s="60">
        <f t="shared" si="25"/>
        <v>-12</v>
      </c>
      <c r="T37" s="60">
        <f t="shared" si="26"/>
        <v>121</v>
      </c>
      <c r="U37" s="62">
        <f t="shared" si="27"/>
        <v>12</v>
      </c>
      <c r="V37" s="53">
        <f t="shared" si="28"/>
        <v>-15.711064285978338</v>
      </c>
      <c r="W37" s="54">
        <f t="shared" si="29"/>
        <v>-15.711064285978338</v>
      </c>
      <c r="X37" s="54">
        <f t="shared" si="30"/>
        <v>-15.711064285978338</v>
      </c>
      <c r="Y37" s="55">
        <f t="shared" si="31"/>
        <v>0</v>
      </c>
      <c r="Z37" s="55">
        <f t="shared" si="32"/>
        <v>0</v>
      </c>
      <c r="AA37" s="56">
        <f t="shared" si="33"/>
        <v>0</v>
      </c>
      <c r="AB37" s="9"/>
      <c r="AC37" s="57">
        <f>85+29</f>
        <v>114</v>
      </c>
      <c r="AD37" s="48">
        <v>0</v>
      </c>
      <c r="AE37" s="48">
        <v>85</v>
      </c>
      <c r="AF37" s="48">
        <v>0</v>
      </c>
      <c r="AG37" s="48">
        <v>85</v>
      </c>
      <c r="AH37" s="48">
        <v>0</v>
      </c>
      <c r="AI37" s="48">
        <v>0</v>
      </c>
      <c r="AJ37" s="48">
        <v>0</v>
      </c>
      <c r="AK37" s="48">
        <v>-15</v>
      </c>
      <c r="AL37" s="48">
        <v>-4</v>
      </c>
      <c r="AM37" s="48">
        <v>15</v>
      </c>
      <c r="AN37" s="58">
        <v>4</v>
      </c>
      <c r="AO37" s="9"/>
      <c r="AP37" s="59">
        <f>85+29+7</f>
        <v>121</v>
      </c>
      <c r="AQ37" s="60">
        <v>0</v>
      </c>
      <c r="AR37" s="60">
        <v>-12</v>
      </c>
      <c r="AS37" s="60">
        <v>0</v>
      </c>
      <c r="AT37" s="60">
        <v>121</v>
      </c>
      <c r="AU37" s="60">
        <v>0</v>
      </c>
      <c r="AV37" s="60">
        <v>12</v>
      </c>
      <c r="AW37" s="62">
        <v>0</v>
      </c>
      <c r="AX37" s="9"/>
      <c r="AY37" s="63"/>
      <c r="AZ37" s="15"/>
      <c r="BA37" s="63"/>
      <c r="BB37" s="15"/>
      <c r="BC37" s="63"/>
      <c r="BD37" s="15"/>
      <c r="BE37" s="15"/>
      <c r="BF37" s="15"/>
      <c r="BG37" s="15"/>
      <c r="BH37" s="15"/>
      <c r="BI37" s="15"/>
      <c r="BJ37" s="15"/>
      <c r="BK37" s="9"/>
      <c r="BL37" s="9"/>
      <c r="BM37" s="9"/>
      <c r="BN37" s="9"/>
      <c r="BO37" s="9"/>
      <c r="BP37" s="9"/>
      <c r="BQ37" s="9"/>
      <c r="BR37" s="9"/>
      <c r="BS37" s="9"/>
    </row>
    <row r="38" spans="1:71" ht="18.75" customHeight="1" x14ac:dyDescent="0.3">
      <c r="A38" s="42" t="s">
        <v>316</v>
      </c>
      <c r="B38" t="s">
        <v>228</v>
      </c>
      <c r="E38" s="44">
        <v>1</v>
      </c>
      <c r="F38" s="44">
        <v>2</v>
      </c>
      <c r="G38" s="45">
        <v>500</v>
      </c>
      <c r="H38" s="44">
        <v>20</v>
      </c>
      <c r="I38" s="44">
        <v>355</v>
      </c>
      <c r="J38" s="44">
        <v>170</v>
      </c>
      <c r="K38" s="43">
        <f t="shared" si="17"/>
        <v>15.711064285978338</v>
      </c>
      <c r="L38" s="46">
        <f t="shared" si="18"/>
        <v>90.288935714021662</v>
      </c>
      <c r="M38" s="47">
        <f t="shared" si="19"/>
        <v>74.288935714021662</v>
      </c>
      <c r="N38" s="47">
        <f t="shared" si="20"/>
        <v>74.288935714021662</v>
      </c>
      <c r="O38" s="48">
        <f t="shared" si="21"/>
        <v>0</v>
      </c>
      <c r="P38" s="48">
        <f t="shared" si="22"/>
        <v>-29</v>
      </c>
      <c r="Q38" s="58">
        <f t="shared" si="23"/>
        <v>29</v>
      </c>
      <c r="R38" s="59">
        <f t="shared" si="24"/>
        <v>106</v>
      </c>
      <c r="S38" s="60">
        <f t="shared" si="25"/>
        <v>-15</v>
      </c>
      <c r="T38" s="60">
        <f t="shared" si="26"/>
        <v>106</v>
      </c>
      <c r="U38" s="62">
        <f t="shared" si="27"/>
        <v>15</v>
      </c>
      <c r="V38" s="53">
        <f t="shared" si="28"/>
        <v>-15.711064285978338</v>
      </c>
      <c r="W38" s="54">
        <f t="shared" si="29"/>
        <v>-15.711064285978338</v>
      </c>
      <c r="X38" s="54">
        <f t="shared" si="30"/>
        <v>-15.711064285978338</v>
      </c>
      <c r="Y38" s="55">
        <f t="shared" si="31"/>
        <v>0</v>
      </c>
      <c r="Z38" s="55">
        <f t="shared" si="32"/>
        <v>0</v>
      </c>
      <c r="AA38" s="56">
        <f t="shared" si="33"/>
        <v>0</v>
      </c>
      <c r="AB38" s="9"/>
      <c r="AC38" s="57">
        <f>90+16</f>
        <v>106</v>
      </c>
      <c r="AD38" s="48">
        <v>0</v>
      </c>
      <c r="AE38" s="48">
        <v>90</v>
      </c>
      <c r="AF38" s="48">
        <v>0</v>
      </c>
      <c r="AG38" s="48">
        <v>90</v>
      </c>
      <c r="AH38" s="48">
        <v>0</v>
      </c>
      <c r="AI38" s="48">
        <v>0</v>
      </c>
      <c r="AJ38" s="48">
        <v>0</v>
      </c>
      <c r="AK38" s="48">
        <v>-29</v>
      </c>
      <c r="AL38" s="48">
        <v>0</v>
      </c>
      <c r="AM38" s="48">
        <v>29</v>
      </c>
      <c r="AN38" s="58">
        <v>0</v>
      </c>
      <c r="AO38" s="9"/>
      <c r="AP38" s="59">
        <v>106</v>
      </c>
      <c r="AQ38" s="60">
        <v>0</v>
      </c>
      <c r="AR38" s="60">
        <v>-15</v>
      </c>
      <c r="AS38" s="60">
        <v>0</v>
      </c>
      <c r="AT38" s="60">
        <v>106</v>
      </c>
      <c r="AU38" s="60">
        <v>0</v>
      </c>
      <c r="AV38" s="60">
        <v>15</v>
      </c>
      <c r="AW38" s="62">
        <v>0</v>
      </c>
      <c r="AX38" s="9"/>
      <c r="AY38" s="63"/>
      <c r="AZ38" s="15"/>
      <c r="BA38" s="63"/>
      <c r="BB38" s="15"/>
      <c r="BC38" s="63"/>
      <c r="BD38" s="15"/>
      <c r="BE38" s="15"/>
      <c r="BF38" s="15"/>
      <c r="BG38" s="15"/>
      <c r="BH38" s="15"/>
      <c r="BI38" s="15"/>
      <c r="BJ38" s="15"/>
      <c r="BK38" s="9"/>
      <c r="BL38" s="9"/>
      <c r="BM38" s="9"/>
      <c r="BN38" s="9"/>
      <c r="BO38" s="9"/>
      <c r="BP38" s="9"/>
      <c r="BQ38" s="9"/>
      <c r="BR38" s="9"/>
      <c r="BS38" s="9"/>
    </row>
    <row r="39" spans="1:71" ht="18.75" customHeight="1" x14ac:dyDescent="0.3">
      <c r="A39" s="42" t="s">
        <v>317</v>
      </c>
      <c r="B39" t="s">
        <v>228</v>
      </c>
      <c r="C39" t="s">
        <v>318</v>
      </c>
      <c r="D39" t="s">
        <v>319</v>
      </c>
      <c r="E39" s="44">
        <v>1</v>
      </c>
      <c r="F39" s="44">
        <v>2</v>
      </c>
      <c r="G39" s="45">
        <v>500</v>
      </c>
      <c r="H39" s="44">
        <v>20</v>
      </c>
      <c r="I39" s="44">
        <v>355</v>
      </c>
      <c r="J39" s="44">
        <v>170</v>
      </c>
      <c r="K39" s="43">
        <f t="shared" si="17"/>
        <v>15.711064285978338</v>
      </c>
      <c r="L39" s="57">
        <f t="shared" si="18"/>
        <v>85</v>
      </c>
      <c r="M39" s="47">
        <f t="shared" si="19"/>
        <v>69.288935714021662</v>
      </c>
      <c r="N39" s="47">
        <f t="shared" si="20"/>
        <v>69.288935714021662</v>
      </c>
      <c r="O39" s="48">
        <f t="shared" si="21"/>
        <v>0</v>
      </c>
      <c r="P39" s="48">
        <f t="shared" si="22"/>
        <v>-28</v>
      </c>
      <c r="Q39" s="58">
        <f t="shared" si="23"/>
        <v>28</v>
      </c>
      <c r="R39" s="59">
        <f t="shared" si="24"/>
        <v>99</v>
      </c>
      <c r="S39" s="60">
        <f t="shared" si="25"/>
        <v>-26</v>
      </c>
      <c r="T39" s="60">
        <f t="shared" si="26"/>
        <v>99</v>
      </c>
      <c r="U39" s="62">
        <f t="shared" si="27"/>
        <v>26</v>
      </c>
      <c r="V39" s="53">
        <f t="shared" si="28"/>
        <v>-15.711064285978338</v>
      </c>
      <c r="W39" s="54">
        <f t="shared" si="29"/>
        <v>-15.711064285978338</v>
      </c>
      <c r="X39" s="54">
        <f t="shared" si="30"/>
        <v>-15.711064285978338</v>
      </c>
      <c r="Y39" s="55">
        <f t="shared" si="31"/>
        <v>0</v>
      </c>
      <c r="Z39" s="55">
        <f t="shared" si="32"/>
        <v>0</v>
      </c>
      <c r="AA39" s="56">
        <f t="shared" si="33"/>
        <v>0</v>
      </c>
      <c r="AB39" s="9"/>
      <c r="AC39" s="46">
        <f>85+K39</f>
        <v>100.71106428597834</v>
      </c>
      <c r="AD39" s="48">
        <v>0</v>
      </c>
      <c r="AE39" s="48">
        <v>85</v>
      </c>
      <c r="AF39" s="48">
        <v>0</v>
      </c>
      <c r="AG39" s="48">
        <v>85</v>
      </c>
      <c r="AH39" s="48">
        <v>0</v>
      </c>
      <c r="AI39" s="48">
        <v>0</v>
      </c>
      <c r="AJ39" s="48">
        <v>0</v>
      </c>
      <c r="AK39" s="48">
        <v>-28</v>
      </c>
      <c r="AL39" s="48">
        <v>0</v>
      </c>
      <c r="AM39" s="48">
        <v>28</v>
      </c>
      <c r="AN39" s="58">
        <v>0</v>
      </c>
      <c r="AO39" s="9"/>
      <c r="AP39" s="59">
        <f>85+14</f>
        <v>99</v>
      </c>
      <c r="AQ39" s="60">
        <v>0</v>
      </c>
      <c r="AR39" s="60">
        <v>-26</v>
      </c>
      <c r="AS39" s="60">
        <v>0</v>
      </c>
      <c r="AT39" s="60">
        <v>99</v>
      </c>
      <c r="AU39" s="60">
        <v>0</v>
      </c>
      <c r="AV39" s="60">
        <v>26</v>
      </c>
      <c r="AW39" s="62">
        <v>0</v>
      </c>
      <c r="AX39" s="9"/>
      <c r="AY39" s="63"/>
      <c r="AZ39" s="15"/>
      <c r="BA39" s="63"/>
      <c r="BB39" s="15"/>
      <c r="BC39" s="63"/>
      <c r="BD39" s="15"/>
      <c r="BE39" s="15"/>
      <c r="BF39" s="15"/>
      <c r="BG39" s="15"/>
      <c r="BH39" s="15"/>
      <c r="BI39" s="15"/>
      <c r="BJ39" s="15"/>
      <c r="BK39" s="9"/>
      <c r="BL39" s="9"/>
      <c r="BM39" s="9"/>
      <c r="BN39" s="9"/>
      <c r="BO39" s="9"/>
      <c r="BP39" s="9"/>
      <c r="BQ39" s="9"/>
      <c r="BR39" s="9"/>
      <c r="BS39" s="9"/>
    </row>
    <row r="40" spans="1:71" ht="18.75" customHeight="1" x14ac:dyDescent="0.3">
      <c r="A40" s="42" t="s">
        <v>320</v>
      </c>
      <c r="B40" t="s">
        <v>228</v>
      </c>
      <c r="C40" t="s">
        <v>321</v>
      </c>
      <c r="D40" t="s">
        <v>106</v>
      </c>
      <c r="E40" s="44">
        <v>1</v>
      </c>
      <c r="F40" s="44">
        <v>2</v>
      </c>
      <c r="G40" s="45">
        <v>500</v>
      </c>
      <c r="H40" s="44">
        <v>20</v>
      </c>
      <c r="I40" s="44">
        <v>355</v>
      </c>
      <c r="J40" s="44">
        <v>170</v>
      </c>
      <c r="K40" s="43">
        <f t="shared" si="17"/>
        <v>15.711064285978338</v>
      </c>
      <c r="L40" s="57">
        <f t="shared" si="18"/>
        <v>105</v>
      </c>
      <c r="M40" s="47">
        <f t="shared" si="19"/>
        <v>89.288935714021662</v>
      </c>
      <c r="N40" s="47">
        <f t="shared" si="20"/>
        <v>89.288935714021662</v>
      </c>
      <c r="O40" s="48">
        <f t="shared" si="21"/>
        <v>0</v>
      </c>
      <c r="P40" s="47">
        <f t="shared" si="22"/>
        <v>-30.25</v>
      </c>
      <c r="Q40" s="49">
        <f t="shared" si="23"/>
        <v>30.25</v>
      </c>
      <c r="R40" s="50">
        <f t="shared" si="24"/>
        <v>122.5</v>
      </c>
      <c r="S40" s="51">
        <f t="shared" si="25"/>
        <v>-15.5</v>
      </c>
      <c r="T40" s="51">
        <f t="shared" si="26"/>
        <v>122.5</v>
      </c>
      <c r="U40" s="52">
        <f t="shared" si="27"/>
        <v>15.5</v>
      </c>
      <c r="V40" s="53">
        <f t="shared" si="28"/>
        <v>-15.711064285978338</v>
      </c>
      <c r="W40" s="54">
        <f t="shared" si="29"/>
        <v>-15.711064285978338</v>
      </c>
      <c r="X40" s="54">
        <f t="shared" si="30"/>
        <v>-15.711064285978338</v>
      </c>
      <c r="Y40" s="55">
        <f t="shared" si="31"/>
        <v>0</v>
      </c>
      <c r="Z40" s="55">
        <f t="shared" si="32"/>
        <v>0</v>
      </c>
      <c r="AA40" s="56">
        <f t="shared" si="33"/>
        <v>0</v>
      </c>
      <c r="AB40" s="9"/>
      <c r="AC40" s="46">
        <f>105+K40</f>
        <v>120.71106428597834</v>
      </c>
      <c r="AD40" s="48">
        <v>0</v>
      </c>
      <c r="AE40" s="48">
        <v>105</v>
      </c>
      <c r="AF40" s="48">
        <v>0</v>
      </c>
      <c r="AG40" s="48">
        <v>105</v>
      </c>
      <c r="AH40" s="48">
        <v>0</v>
      </c>
      <c r="AI40" s="48">
        <v>0</v>
      </c>
      <c r="AJ40" s="48">
        <v>0</v>
      </c>
      <c r="AK40" s="48">
        <v>-30</v>
      </c>
      <c r="AL40" s="48">
        <v>-3</v>
      </c>
      <c r="AM40" s="48">
        <v>30</v>
      </c>
      <c r="AN40" s="58">
        <v>3</v>
      </c>
      <c r="AO40" s="9"/>
      <c r="AP40" s="59">
        <f>105+17</f>
        <v>122</v>
      </c>
      <c r="AQ40" s="60">
        <v>6</v>
      </c>
      <c r="AR40" s="51">
        <v>-15.5</v>
      </c>
      <c r="AS40" s="60">
        <v>0</v>
      </c>
      <c r="AT40" s="60">
        <v>122</v>
      </c>
      <c r="AU40" s="60">
        <v>6</v>
      </c>
      <c r="AV40" s="51">
        <v>15.5</v>
      </c>
      <c r="AW40" s="62">
        <v>0</v>
      </c>
      <c r="AX40" s="9"/>
      <c r="AY40" s="63"/>
      <c r="AZ40" s="15"/>
      <c r="BA40" s="63"/>
      <c r="BB40" s="15"/>
      <c r="BC40" s="63"/>
      <c r="BD40" s="15"/>
      <c r="BE40" s="15"/>
      <c r="BF40" s="15"/>
      <c r="BG40" s="15"/>
      <c r="BH40" s="15"/>
      <c r="BI40" s="15"/>
      <c r="BJ40" s="15"/>
      <c r="BK40" s="9"/>
      <c r="BL40" s="9"/>
      <c r="BM40" s="9"/>
      <c r="BN40" s="9"/>
      <c r="BO40" s="9"/>
      <c r="BP40" s="9"/>
      <c r="BQ40" s="9"/>
      <c r="BR40" s="9"/>
      <c r="BS40" s="9"/>
    </row>
    <row r="41" spans="1:71" ht="18.75" customHeight="1" x14ac:dyDescent="0.3">
      <c r="A41" s="42" t="s">
        <v>322</v>
      </c>
      <c r="B41" t="s">
        <v>228</v>
      </c>
      <c r="E41" s="44">
        <v>1</v>
      </c>
      <c r="F41" s="44">
        <v>2</v>
      </c>
      <c r="G41" s="45">
        <v>500</v>
      </c>
      <c r="H41" s="44">
        <v>20</v>
      </c>
      <c r="I41" s="44">
        <v>355</v>
      </c>
      <c r="J41" s="44">
        <v>170</v>
      </c>
      <c r="K41" s="43">
        <f t="shared" si="17"/>
        <v>15.711064285978338</v>
      </c>
      <c r="L41" s="46">
        <f t="shared" si="18"/>
        <v>64.288935714021662</v>
      </c>
      <c r="M41" s="47">
        <f t="shared" si="19"/>
        <v>64.288935714021662</v>
      </c>
      <c r="N41" s="47">
        <f t="shared" si="20"/>
        <v>64.288935714021662</v>
      </c>
      <c r="O41" s="48">
        <f t="shared" si="21"/>
        <v>0</v>
      </c>
      <c r="P41" s="48">
        <f t="shared" si="22"/>
        <v>-35</v>
      </c>
      <c r="Q41" s="58">
        <f t="shared" si="23"/>
        <v>35</v>
      </c>
      <c r="R41" s="59">
        <f t="shared" si="24"/>
        <v>95</v>
      </c>
      <c r="S41" s="60">
        <f t="shared" si="25"/>
        <v>-25</v>
      </c>
      <c r="T41" s="60">
        <f t="shared" si="26"/>
        <v>95</v>
      </c>
      <c r="U41" s="62">
        <f t="shared" si="27"/>
        <v>25</v>
      </c>
      <c r="V41" s="53">
        <f t="shared" si="28"/>
        <v>-15.711064285978338</v>
      </c>
      <c r="W41" s="54">
        <f t="shared" si="29"/>
        <v>-15.711064285978338</v>
      </c>
      <c r="X41" s="54">
        <f t="shared" si="30"/>
        <v>-15.711064285978338</v>
      </c>
      <c r="Y41" s="55">
        <f t="shared" si="31"/>
        <v>0</v>
      </c>
      <c r="Z41" s="55">
        <f t="shared" si="32"/>
        <v>0</v>
      </c>
      <c r="AA41" s="56">
        <f t="shared" si="33"/>
        <v>0</v>
      </c>
      <c r="AB41" s="9"/>
      <c r="AC41" s="57">
        <v>80</v>
      </c>
      <c r="AD41" s="48">
        <v>0</v>
      </c>
      <c r="AE41" s="48">
        <v>80</v>
      </c>
      <c r="AF41" s="48">
        <v>0</v>
      </c>
      <c r="AG41" s="48">
        <v>80</v>
      </c>
      <c r="AH41" s="48">
        <v>0</v>
      </c>
      <c r="AI41" s="48">
        <v>0</v>
      </c>
      <c r="AJ41" s="48">
        <v>0</v>
      </c>
      <c r="AK41" s="48">
        <v>-35</v>
      </c>
      <c r="AL41" s="48">
        <v>0</v>
      </c>
      <c r="AM41" s="48">
        <v>35</v>
      </c>
      <c r="AN41" s="58">
        <v>0</v>
      </c>
      <c r="AO41" s="9"/>
      <c r="AP41" s="59">
        <f>80+15</f>
        <v>95</v>
      </c>
      <c r="AQ41" s="60">
        <v>0</v>
      </c>
      <c r="AR41" s="60">
        <v>-25</v>
      </c>
      <c r="AS41" s="60">
        <v>0</v>
      </c>
      <c r="AT41" s="60">
        <v>95</v>
      </c>
      <c r="AU41" s="60">
        <v>0</v>
      </c>
      <c r="AV41" s="60">
        <v>25</v>
      </c>
      <c r="AW41" s="62">
        <v>0</v>
      </c>
      <c r="AX41" s="9"/>
      <c r="AY41" s="63"/>
      <c r="AZ41" s="15"/>
      <c r="BA41" s="63"/>
      <c r="BB41" s="15"/>
      <c r="BC41" s="63"/>
      <c r="BD41" s="15"/>
      <c r="BE41" s="15"/>
      <c r="BF41" s="15"/>
      <c r="BG41" s="15"/>
      <c r="BH41" s="15"/>
      <c r="BI41" s="15"/>
      <c r="BJ41" s="15"/>
      <c r="BK41" s="9"/>
      <c r="BL41" s="9"/>
      <c r="BM41" s="9"/>
      <c r="BN41" s="9"/>
      <c r="BO41" s="9"/>
      <c r="BP41" s="9"/>
      <c r="BQ41" s="9"/>
      <c r="BR41" s="9"/>
      <c r="BS41" s="9"/>
    </row>
    <row r="42" spans="1:71" ht="18.75" customHeight="1" x14ac:dyDescent="0.3">
      <c r="A42" s="42" t="s">
        <v>323</v>
      </c>
      <c r="B42" t="s">
        <v>228</v>
      </c>
      <c r="C42" t="s">
        <v>324</v>
      </c>
      <c r="D42" t="s">
        <v>325</v>
      </c>
      <c r="E42" s="44">
        <v>1</v>
      </c>
      <c r="F42" s="44">
        <v>2</v>
      </c>
      <c r="G42" s="45">
        <v>500</v>
      </c>
      <c r="H42" s="44">
        <v>20</v>
      </c>
      <c r="I42" s="44">
        <v>355</v>
      </c>
      <c r="J42" s="44">
        <v>170</v>
      </c>
      <c r="K42" s="43">
        <f t="shared" si="17"/>
        <v>15.711064285978338</v>
      </c>
      <c r="L42" s="46">
        <f t="shared" si="18"/>
        <v>94.288935714021662</v>
      </c>
      <c r="M42" s="47">
        <f t="shared" si="19"/>
        <v>94.288935714021662</v>
      </c>
      <c r="N42" s="47">
        <f t="shared" si="20"/>
        <v>94.288935714021662</v>
      </c>
      <c r="O42" s="48">
        <f t="shared" si="21"/>
        <v>0</v>
      </c>
      <c r="P42" s="48">
        <f t="shared" si="22"/>
        <v>-34</v>
      </c>
      <c r="Q42" s="58">
        <f t="shared" si="23"/>
        <v>34</v>
      </c>
      <c r="R42" s="59">
        <f t="shared" si="24"/>
        <v>124</v>
      </c>
      <c r="S42" s="60">
        <f t="shared" si="25"/>
        <v>-31</v>
      </c>
      <c r="T42" s="60">
        <f t="shared" si="26"/>
        <v>124</v>
      </c>
      <c r="U42" s="62">
        <f t="shared" si="27"/>
        <v>31</v>
      </c>
      <c r="V42" s="53">
        <f t="shared" si="28"/>
        <v>-15.711064285978338</v>
      </c>
      <c r="W42" s="54">
        <f t="shared" si="29"/>
        <v>-15.711064285978338</v>
      </c>
      <c r="X42" s="54">
        <f t="shared" si="30"/>
        <v>-15.711064285978338</v>
      </c>
      <c r="Y42" s="55">
        <f t="shared" si="31"/>
        <v>0</v>
      </c>
      <c r="Z42" s="55">
        <f t="shared" si="32"/>
        <v>0</v>
      </c>
      <c r="AA42" s="56">
        <f t="shared" si="33"/>
        <v>0</v>
      </c>
      <c r="AB42" s="9"/>
      <c r="AC42" s="57">
        <v>110</v>
      </c>
      <c r="AD42" s="48">
        <v>0</v>
      </c>
      <c r="AE42" s="48">
        <v>110</v>
      </c>
      <c r="AF42" s="48">
        <v>0</v>
      </c>
      <c r="AG42" s="48">
        <v>110</v>
      </c>
      <c r="AH42" s="48">
        <v>0</v>
      </c>
      <c r="AI42" s="48">
        <v>0</v>
      </c>
      <c r="AJ42" s="48">
        <v>0</v>
      </c>
      <c r="AK42" s="48">
        <v>-34</v>
      </c>
      <c r="AL42" s="48">
        <v>0</v>
      </c>
      <c r="AM42" s="48">
        <v>34</v>
      </c>
      <c r="AN42" s="58">
        <v>0</v>
      </c>
      <c r="AO42" s="9"/>
      <c r="AP42" s="59">
        <f>110+14</f>
        <v>124</v>
      </c>
      <c r="AQ42" s="60">
        <v>0</v>
      </c>
      <c r="AR42" s="60">
        <v>-31</v>
      </c>
      <c r="AS42" s="60">
        <v>0</v>
      </c>
      <c r="AT42" s="60">
        <v>124</v>
      </c>
      <c r="AU42" s="60">
        <v>0</v>
      </c>
      <c r="AV42" s="60">
        <v>31</v>
      </c>
      <c r="AW42" s="62">
        <v>0</v>
      </c>
      <c r="AX42" s="9"/>
      <c r="AY42" s="63"/>
      <c r="AZ42" s="15"/>
      <c r="BA42" s="63"/>
      <c r="BB42" s="15"/>
      <c r="BC42" s="63"/>
      <c r="BD42" s="15"/>
      <c r="BE42" s="15"/>
      <c r="BF42" s="15"/>
      <c r="BG42" s="15"/>
      <c r="BH42" s="15"/>
      <c r="BI42" s="15"/>
      <c r="BJ42" s="15"/>
      <c r="BK42" s="9"/>
      <c r="BL42" s="9"/>
      <c r="BM42" s="9"/>
      <c r="BN42" s="9"/>
      <c r="BO42" s="9"/>
      <c r="BP42" s="9"/>
      <c r="BQ42" s="9"/>
      <c r="BR42" s="9"/>
      <c r="BS42" s="9"/>
    </row>
    <row r="43" spans="1:71" ht="18.75" customHeight="1" x14ac:dyDescent="0.3">
      <c r="A43" s="42" t="s">
        <v>326</v>
      </c>
      <c r="B43" t="s">
        <v>228</v>
      </c>
      <c r="E43" s="44">
        <v>1</v>
      </c>
      <c r="F43" s="44">
        <v>2</v>
      </c>
      <c r="G43" s="45">
        <v>500</v>
      </c>
      <c r="H43" s="44">
        <v>20</v>
      </c>
      <c r="I43" s="44">
        <v>355</v>
      </c>
      <c r="J43" s="44">
        <v>170</v>
      </c>
      <c r="K43" s="43">
        <f t="shared" si="17"/>
        <v>15.711064285978338</v>
      </c>
      <c r="L43" s="46">
        <f t="shared" si="18"/>
        <v>94.288935714021662</v>
      </c>
      <c r="M43" s="47">
        <f t="shared" si="19"/>
        <v>94.288935714021662</v>
      </c>
      <c r="N43" s="47">
        <f t="shared" si="20"/>
        <v>94.288935714021662</v>
      </c>
      <c r="O43" s="48">
        <f t="shared" si="21"/>
        <v>0</v>
      </c>
      <c r="P43" s="48">
        <f t="shared" si="22"/>
        <v>-33</v>
      </c>
      <c r="Q43" s="58">
        <f t="shared" si="23"/>
        <v>33</v>
      </c>
      <c r="R43" s="59">
        <f t="shared" si="24"/>
        <v>129</v>
      </c>
      <c r="S43" s="60">
        <f t="shared" si="25"/>
        <v>-20</v>
      </c>
      <c r="T43" s="60">
        <f t="shared" si="26"/>
        <v>129</v>
      </c>
      <c r="U43" s="62">
        <f t="shared" si="27"/>
        <v>20</v>
      </c>
      <c r="V43" s="53">
        <f t="shared" si="28"/>
        <v>-15.711064285978338</v>
      </c>
      <c r="W43" s="54">
        <f t="shared" si="29"/>
        <v>-15.711064285978338</v>
      </c>
      <c r="X43" s="54">
        <f t="shared" si="30"/>
        <v>-15.711064285978338</v>
      </c>
      <c r="Y43" s="55">
        <f t="shared" si="31"/>
        <v>0</v>
      </c>
      <c r="Z43" s="55">
        <f t="shared" si="32"/>
        <v>0</v>
      </c>
      <c r="AA43" s="56">
        <f t="shared" si="33"/>
        <v>0</v>
      </c>
      <c r="AB43" s="9"/>
      <c r="AC43" s="57">
        <v>110</v>
      </c>
      <c r="AD43" s="48">
        <v>0</v>
      </c>
      <c r="AE43" s="48">
        <v>110</v>
      </c>
      <c r="AF43" s="48">
        <v>0</v>
      </c>
      <c r="AG43" s="48">
        <v>110</v>
      </c>
      <c r="AH43" s="48">
        <v>0</v>
      </c>
      <c r="AI43" s="48">
        <v>0</v>
      </c>
      <c r="AJ43" s="48">
        <v>0</v>
      </c>
      <c r="AK43" s="48">
        <v>-33</v>
      </c>
      <c r="AL43" s="48">
        <v>0</v>
      </c>
      <c r="AM43" s="48">
        <v>33</v>
      </c>
      <c r="AN43" s="58">
        <v>0</v>
      </c>
      <c r="AO43" s="9"/>
      <c r="AP43" s="59">
        <f>110+19</f>
        <v>129</v>
      </c>
      <c r="AQ43" s="60">
        <v>0</v>
      </c>
      <c r="AR43" s="60">
        <v>-20</v>
      </c>
      <c r="AS43" s="60">
        <v>0</v>
      </c>
      <c r="AT43" s="60">
        <v>129</v>
      </c>
      <c r="AU43" s="60">
        <v>0</v>
      </c>
      <c r="AV43" s="60">
        <v>20</v>
      </c>
      <c r="AW43" s="62">
        <v>0</v>
      </c>
      <c r="AX43" s="9"/>
      <c r="AY43" s="63"/>
      <c r="AZ43" s="15"/>
      <c r="BA43" s="63"/>
      <c r="BB43" s="15"/>
      <c r="BC43" s="63"/>
      <c r="BD43" s="15"/>
      <c r="BE43" s="15"/>
      <c r="BF43" s="15"/>
      <c r="BG43" s="15"/>
      <c r="BH43" s="15"/>
      <c r="BI43" s="15"/>
      <c r="BJ43" s="15"/>
      <c r="BK43" s="9"/>
      <c r="BL43" s="9"/>
      <c r="BM43" s="9"/>
      <c r="BN43" s="9"/>
      <c r="BO43" s="9"/>
      <c r="BP43" s="9"/>
      <c r="BQ43" s="9"/>
      <c r="BR43" s="9"/>
      <c r="BS43" s="9"/>
    </row>
    <row r="44" spans="1:71" ht="18.75" customHeight="1" x14ac:dyDescent="0.3">
      <c r="A44" s="42" t="s">
        <v>327</v>
      </c>
      <c r="B44" t="s">
        <v>228</v>
      </c>
      <c r="C44" t="s">
        <v>328</v>
      </c>
      <c r="D44" t="s">
        <v>329</v>
      </c>
      <c r="E44" s="44">
        <v>1</v>
      </c>
      <c r="F44" s="44">
        <v>2</v>
      </c>
      <c r="G44" s="45">
        <v>500</v>
      </c>
      <c r="H44" s="44">
        <v>20</v>
      </c>
      <c r="I44" s="44">
        <v>355</v>
      </c>
      <c r="J44" s="44">
        <v>170</v>
      </c>
      <c r="K44" s="43">
        <f t="shared" si="17"/>
        <v>15.711064285978338</v>
      </c>
      <c r="L44" s="46">
        <f t="shared" si="18"/>
        <v>79.288935714021662</v>
      </c>
      <c r="M44" s="47">
        <f t="shared" si="19"/>
        <v>79.288935714021662</v>
      </c>
      <c r="N44" s="47">
        <f t="shared" si="20"/>
        <v>79.288935714021662</v>
      </c>
      <c r="O44" s="48">
        <f t="shared" si="21"/>
        <v>0</v>
      </c>
      <c r="P44" s="48">
        <f t="shared" si="22"/>
        <v>-32</v>
      </c>
      <c r="Q44" s="58">
        <f t="shared" si="23"/>
        <v>32</v>
      </c>
      <c r="R44" s="59">
        <f t="shared" si="24"/>
        <v>109</v>
      </c>
      <c r="S44" s="60">
        <f t="shared" si="25"/>
        <v>-24</v>
      </c>
      <c r="T44" s="60">
        <f t="shared" si="26"/>
        <v>109</v>
      </c>
      <c r="U44" s="62">
        <f t="shared" si="27"/>
        <v>24</v>
      </c>
      <c r="V44" s="53">
        <f t="shared" si="28"/>
        <v>-15.711064285978338</v>
      </c>
      <c r="W44" s="54">
        <f t="shared" si="29"/>
        <v>-15.711064285978338</v>
      </c>
      <c r="X44" s="54">
        <f t="shared" si="30"/>
        <v>-15.711064285978338</v>
      </c>
      <c r="Y44" s="55">
        <f t="shared" si="31"/>
        <v>0</v>
      </c>
      <c r="Z44" s="55">
        <f t="shared" si="32"/>
        <v>0</v>
      </c>
      <c r="AA44" s="56">
        <f t="shared" si="33"/>
        <v>0</v>
      </c>
      <c r="AB44" s="9"/>
      <c r="AC44" s="57">
        <v>95</v>
      </c>
      <c r="AD44" s="48">
        <v>0</v>
      </c>
      <c r="AE44" s="48">
        <v>95</v>
      </c>
      <c r="AF44" s="48">
        <v>0</v>
      </c>
      <c r="AG44" s="48">
        <v>95</v>
      </c>
      <c r="AH44" s="48">
        <v>0</v>
      </c>
      <c r="AI44" s="48">
        <v>0</v>
      </c>
      <c r="AJ44" s="48">
        <v>0</v>
      </c>
      <c r="AK44" s="48">
        <v>-32</v>
      </c>
      <c r="AL44" s="48">
        <v>0</v>
      </c>
      <c r="AM44" s="48">
        <v>32</v>
      </c>
      <c r="AN44" s="58">
        <v>0</v>
      </c>
      <c r="AO44" s="9"/>
      <c r="AP44" s="59">
        <f>95+14</f>
        <v>109</v>
      </c>
      <c r="AQ44" s="60">
        <v>0</v>
      </c>
      <c r="AR44" s="60">
        <v>-24</v>
      </c>
      <c r="AS44" s="60">
        <v>0</v>
      </c>
      <c r="AT44" s="60">
        <v>109</v>
      </c>
      <c r="AU44" s="60">
        <v>0</v>
      </c>
      <c r="AV44" s="60">
        <v>24</v>
      </c>
      <c r="AW44" s="62">
        <v>0</v>
      </c>
      <c r="AX44" s="9"/>
      <c r="AY44" s="63"/>
      <c r="AZ44" s="15"/>
      <c r="BA44" s="63"/>
      <c r="BB44" s="15"/>
      <c r="BC44" s="63"/>
      <c r="BD44" s="15"/>
      <c r="BE44" s="15"/>
      <c r="BF44" s="15"/>
      <c r="BG44" s="15"/>
      <c r="BH44" s="15"/>
      <c r="BI44" s="15"/>
      <c r="BJ44" s="15"/>
      <c r="BK44" s="9"/>
      <c r="BL44" s="9"/>
      <c r="BM44" s="9"/>
      <c r="BN44" s="9"/>
      <c r="BO44" s="9"/>
      <c r="BP44" s="9"/>
      <c r="BQ44" s="9"/>
      <c r="BR44" s="9"/>
      <c r="BS44" s="9"/>
    </row>
    <row r="45" spans="1:71" ht="18.75" customHeight="1" x14ac:dyDescent="0.3">
      <c r="A45" s="42" t="s">
        <v>330</v>
      </c>
      <c r="B45" t="s">
        <v>228</v>
      </c>
      <c r="E45" s="44">
        <v>1</v>
      </c>
      <c r="F45" s="44">
        <v>2</v>
      </c>
      <c r="G45" s="45">
        <v>500</v>
      </c>
      <c r="H45" s="44">
        <v>20</v>
      </c>
      <c r="I45" s="44">
        <v>355</v>
      </c>
      <c r="J45" s="44">
        <v>170</v>
      </c>
      <c r="K45" s="43">
        <f t="shared" si="17"/>
        <v>15.711064285978338</v>
      </c>
      <c r="L45" s="46">
        <f t="shared" si="18"/>
        <v>94.288935714021662</v>
      </c>
      <c r="M45" s="47">
        <f t="shared" si="19"/>
        <v>94.288935714021662</v>
      </c>
      <c r="N45" s="47">
        <f t="shared" si="20"/>
        <v>94.288935714021662</v>
      </c>
      <c r="O45" s="48">
        <f t="shared" si="21"/>
        <v>0</v>
      </c>
      <c r="P45" s="48">
        <f t="shared" si="22"/>
        <v>-35</v>
      </c>
      <c r="Q45" s="58">
        <f t="shared" si="23"/>
        <v>35</v>
      </c>
      <c r="R45" s="59">
        <f t="shared" si="24"/>
        <v>137</v>
      </c>
      <c r="S45" s="60">
        <f t="shared" si="25"/>
        <v>-26</v>
      </c>
      <c r="T45" s="60">
        <f t="shared" si="26"/>
        <v>137</v>
      </c>
      <c r="U45" s="62">
        <f t="shared" si="27"/>
        <v>26</v>
      </c>
      <c r="V45" s="53">
        <f t="shared" si="28"/>
        <v>-15.711064285978338</v>
      </c>
      <c r="W45" s="54">
        <f t="shared" si="29"/>
        <v>-15.711064285978338</v>
      </c>
      <c r="X45" s="54">
        <f t="shared" si="30"/>
        <v>-15.711064285978338</v>
      </c>
      <c r="Y45" s="55">
        <f t="shared" si="31"/>
        <v>0</v>
      </c>
      <c r="Z45" s="55">
        <f t="shared" si="32"/>
        <v>0</v>
      </c>
      <c r="AA45" s="56">
        <f t="shared" si="33"/>
        <v>0</v>
      </c>
      <c r="AB45" s="9"/>
      <c r="AC45" s="57">
        <v>110</v>
      </c>
      <c r="AD45" s="48">
        <v>0</v>
      </c>
      <c r="AE45" s="48">
        <v>110</v>
      </c>
      <c r="AF45" s="48">
        <v>0</v>
      </c>
      <c r="AG45" s="48">
        <v>110</v>
      </c>
      <c r="AH45" s="48">
        <v>0</v>
      </c>
      <c r="AI45" s="48">
        <v>0</v>
      </c>
      <c r="AJ45" s="48">
        <v>0</v>
      </c>
      <c r="AK45" s="48">
        <v>-35</v>
      </c>
      <c r="AL45" s="48">
        <v>0</v>
      </c>
      <c r="AM45" s="48">
        <v>35</v>
      </c>
      <c r="AN45" s="58">
        <v>0</v>
      </c>
      <c r="AO45" s="9"/>
      <c r="AP45" s="59">
        <f>110+27</f>
        <v>137</v>
      </c>
      <c r="AQ45" s="60">
        <v>0</v>
      </c>
      <c r="AR45" s="60">
        <v>-26</v>
      </c>
      <c r="AS45" s="60">
        <v>0</v>
      </c>
      <c r="AT45" s="60">
        <v>137</v>
      </c>
      <c r="AU45" s="60">
        <v>0</v>
      </c>
      <c r="AV45" s="60">
        <v>26</v>
      </c>
      <c r="AW45" s="62">
        <v>0</v>
      </c>
      <c r="AX45" s="9"/>
      <c r="AY45" s="63"/>
      <c r="AZ45" s="15"/>
      <c r="BA45" s="63"/>
      <c r="BB45" s="15"/>
      <c r="BC45" s="63"/>
      <c r="BD45" s="15"/>
      <c r="BE45" s="15"/>
      <c r="BF45" s="15"/>
      <c r="BG45" s="15"/>
      <c r="BH45" s="15"/>
      <c r="BI45" s="15"/>
      <c r="BJ45" s="15"/>
      <c r="BK45" s="9"/>
      <c r="BL45" s="9"/>
      <c r="BM45" s="9"/>
      <c r="BN45" s="9"/>
      <c r="BO45" s="9"/>
      <c r="BP45" s="9"/>
      <c r="BQ45" s="9"/>
      <c r="BR45" s="9"/>
      <c r="BS45" s="9"/>
    </row>
    <row r="46" spans="1:71" ht="18.75" customHeight="1" x14ac:dyDescent="0.3">
      <c r="A46" s="42" t="s">
        <v>331</v>
      </c>
      <c r="B46" t="s">
        <v>228</v>
      </c>
      <c r="C46" t="s">
        <v>314</v>
      </c>
      <c r="D46" s="68" t="s">
        <v>315</v>
      </c>
      <c r="E46" s="44">
        <v>2</v>
      </c>
      <c r="F46" s="44">
        <v>1</v>
      </c>
      <c r="G46" s="45">
        <v>500</v>
      </c>
      <c r="H46" s="44">
        <v>20</v>
      </c>
      <c r="I46" s="44">
        <v>355</v>
      </c>
      <c r="J46" s="44">
        <v>170</v>
      </c>
      <c r="K46" s="43">
        <f t="shared" si="17"/>
        <v>15.711064285978338</v>
      </c>
      <c r="L46" s="46">
        <f t="shared" si="18"/>
        <v>69.288935714021662</v>
      </c>
      <c r="M46" s="47">
        <f t="shared" si="19"/>
        <v>100.28893571402166</v>
      </c>
      <c r="N46" s="47">
        <f t="shared" si="20"/>
        <v>131.28893571402165</v>
      </c>
      <c r="O46" s="48">
        <f t="shared" si="21"/>
        <v>-15</v>
      </c>
      <c r="P46" s="48">
        <f t="shared" si="22"/>
        <v>-25</v>
      </c>
      <c r="Q46" s="58">
        <f t="shared" si="23"/>
        <v>-15</v>
      </c>
      <c r="R46" s="59">
        <f t="shared" si="24"/>
        <v>172</v>
      </c>
      <c r="S46" s="60">
        <f t="shared" si="25"/>
        <v>0</v>
      </c>
      <c r="T46" s="60">
        <f t="shared" si="26"/>
        <v>0</v>
      </c>
      <c r="U46" s="62">
        <f t="shared" si="27"/>
        <v>0</v>
      </c>
      <c r="V46" s="53">
        <f t="shared" si="28"/>
        <v>131.28893571402165</v>
      </c>
      <c r="W46" s="54">
        <f t="shared" si="29"/>
        <v>100.28893571402166</v>
      </c>
      <c r="X46" s="54">
        <f t="shared" si="30"/>
        <v>69.288935714021662</v>
      </c>
      <c r="Y46" s="55">
        <f t="shared" si="31"/>
        <v>15</v>
      </c>
      <c r="Z46" s="55">
        <f t="shared" si="32"/>
        <v>25</v>
      </c>
      <c r="AA46" s="56">
        <f t="shared" si="33"/>
        <v>15</v>
      </c>
      <c r="AB46" s="9"/>
      <c r="AC46" s="57">
        <v>85</v>
      </c>
      <c r="AD46" s="48">
        <v>0</v>
      </c>
      <c r="AE46" s="48">
        <f>85+31</f>
        <v>116</v>
      </c>
      <c r="AF46" s="48">
        <v>0</v>
      </c>
      <c r="AG46" s="48">
        <f>85+31+31</f>
        <v>147</v>
      </c>
      <c r="AH46" s="48">
        <v>0</v>
      </c>
      <c r="AI46" s="48">
        <v>-15</v>
      </c>
      <c r="AJ46" s="48">
        <v>0</v>
      </c>
      <c r="AK46" s="48">
        <v>-25</v>
      </c>
      <c r="AL46" s="48">
        <v>0</v>
      </c>
      <c r="AM46" s="48">
        <v>-15</v>
      </c>
      <c r="AN46" s="58">
        <v>0</v>
      </c>
      <c r="AO46" s="9"/>
      <c r="AP46" s="59">
        <f>85+31+31+25</f>
        <v>172</v>
      </c>
      <c r="AQ46" s="60">
        <v>0</v>
      </c>
      <c r="AR46" s="60">
        <v>0</v>
      </c>
      <c r="AS46" s="60">
        <v>0</v>
      </c>
      <c r="AT46" s="60">
        <v>0</v>
      </c>
      <c r="AU46" s="60">
        <v>0</v>
      </c>
      <c r="AV46" s="60">
        <v>0</v>
      </c>
      <c r="AW46" s="62">
        <v>0</v>
      </c>
      <c r="AX46" s="9"/>
      <c r="AY46" s="61">
        <f>85+31+31</f>
        <v>147</v>
      </c>
      <c r="AZ46" s="55">
        <v>0</v>
      </c>
      <c r="BA46" s="55">
        <f>85+31</f>
        <v>116</v>
      </c>
      <c r="BB46" s="55">
        <v>0</v>
      </c>
      <c r="BC46" s="55">
        <v>85</v>
      </c>
      <c r="BD46" s="55">
        <v>0</v>
      </c>
      <c r="BE46" s="55">
        <v>15</v>
      </c>
      <c r="BF46" s="55">
        <v>0</v>
      </c>
      <c r="BG46" s="55">
        <v>25</v>
      </c>
      <c r="BH46" s="55">
        <v>0</v>
      </c>
      <c r="BI46" s="55">
        <v>15</v>
      </c>
      <c r="BJ46" s="56">
        <v>0</v>
      </c>
      <c r="BK46" s="9"/>
      <c r="BL46" s="9"/>
      <c r="BM46" s="9"/>
      <c r="BN46" s="9"/>
      <c r="BO46" s="9"/>
      <c r="BP46" s="9"/>
      <c r="BQ46" s="9"/>
      <c r="BR46" s="9"/>
      <c r="BS46" s="9"/>
    </row>
    <row r="47" spans="1:71" ht="18.75" customHeight="1" x14ac:dyDescent="0.3">
      <c r="A47" s="42" t="s">
        <v>332</v>
      </c>
      <c r="B47" t="s">
        <v>228</v>
      </c>
      <c r="C47" t="s">
        <v>314</v>
      </c>
      <c r="D47" s="68" t="s">
        <v>315</v>
      </c>
      <c r="E47" s="44">
        <v>2</v>
      </c>
      <c r="F47" s="44">
        <v>2</v>
      </c>
      <c r="G47" s="45">
        <v>500</v>
      </c>
      <c r="H47" s="44">
        <v>20</v>
      </c>
      <c r="I47" s="44">
        <v>355</v>
      </c>
      <c r="J47" s="44">
        <v>170</v>
      </c>
      <c r="K47" s="43">
        <f t="shared" si="17"/>
        <v>15.711064285978338</v>
      </c>
      <c r="L47" s="46">
        <f t="shared" si="18"/>
        <v>114.28893571402166</v>
      </c>
      <c r="M47" s="47">
        <f t="shared" si="19"/>
        <v>69.288935714021662</v>
      </c>
      <c r="N47" s="47">
        <f t="shared" si="20"/>
        <v>69.288935714021662</v>
      </c>
      <c r="O47" s="47">
        <f t="shared" si="21"/>
        <v>-27.75</v>
      </c>
      <c r="P47" s="47">
        <f t="shared" si="22"/>
        <v>-40.5</v>
      </c>
      <c r="Q47" s="58">
        <f t="shared" si="23"/>
        <v>-15</v>
      </c>
      <c r="R47" s="59">
        <f t="shared" si="24"/>
        <v>150</v>
      </c>
      <c r="S47" s="51">
        <f t="shared" si="25"/>
        <v>-18.5</v>
      </c>
      <c r="T47" s="60">
        <f t="shared" si="26"/>
        <v>150</v>
      </c>
      <c r="U47" s="52">
        <f t="shared" si="27"/>
        <v>18.5</v>
      </c>
      <c r="V47" s="53">
        <f t="shared" si="28"/>
        <v>114.28893571402166</v>
      </c>
      <c r="W47" s="54">
        <f t="shared" si="29"/>
        <v>69.288935714021662</v>
      </c>
      <c r="X47" s="54">
        <f t="shared" si="30"/>
        <v>69.288935714021662</v>
      </c>
      <c r="Y47" s="54">
        <f t="shared" si="31"/>
        <v>27.75</v>
      </c>
      <c r="Z47" s="55">
        <f t="shared" si="32"/>
        <v>15</v>
      </c>
      <c r="AA47" s="64">
        <f t="shared" si="33"/>
        <v>40.5</v>
      </c>
      <c r="AB47" s="9"/>
      <c r="AC47" s="57">
        <f>85+45</f>
        <v>130</v>
      </c>
      <c r="AD47" s="48">
        <v>0</v>
      </c>
      <c r="AE47" s="48">
        <v>85</v>
      </c>
      <c r="AF47" s="48">
        <v>0</v>
      </c>
      <c r="AG47" s="48">
        <v>85</v>
      </c>
      <c r="AH47" s="48">
        <v>0</v>
      </c>
      <c r="AI47" s="48">
        <v>-27</v>
      </c>
      <c r="AJ47" s="48">
        <v>-9</v>
      </c>
      <c r="AK47" s="48">
        <f>-15-25</f>
        <v>-40</v>
      </c>
      <c r="AL47" s="48">
        <v>-6</v>
      </c>
      <c r="AM47" s="48">
        <v>-15</v>
      </c>
      <c r="AN47" s="58">
        <v>0</v>
      </c>
      <c r="AO47" s="9"/>
      <c r="AP47" s="59">
        <f>85+45+20</f>
        <v>150</v>
      </c>
      <c r="AQ47" s="60">
        <v>0</v>
      </c>
      <c r="AR47" s="51">
        <v>-18.5</v>
      </c>
      <c r="AS47" s="60">
        <v>0</v>
      </c>
      <c r="AT47" s="60">
        <v>150</v>
      </c>
      <c r="AU47" s="60">
        <v>0</v>
      </c>
      <c r="AV47" s="51">
        <v>18.5</v>
      </c>
      <c r="AW47" s="62">
        <v>0</v>
      </c>
      <c r="AX47" s="9"/>
      <c r="AY47" s="61">
        <f>85+45</f>
        <v>130</v>
      </c>
      <c r="AZ47" s="55">
        <v>0</v>
      </c>
      <c r="BA47" s="55">
        <v>85</v>
      </c>
      <c r="BB47" s="55">
        <v>0</v>
      </c>
      <c r="BC47" s="55">
        <v>85</v>
      </c>
      <c r="BD47" s="55">
        <v>0</v>
      </c>
      <c r="BE47" s="55">
        <v>27</v>
      </c>
      <c r="BF47" s="55">
        <v>9</v>
      </c>
      <c r="BG47" s="55">
        <v>15</v>
      </c>
      <c r="BH47" s="55">
        <v>0</v>
      </c>
      <c r="BI47" s="55">
        <f>15+25</f>
        <v>40</v>
      </c>
      <c r="BJ47" s="56">
        <v>6</v>
      </c>
      <c r="BK47" s="9"/>
      <c r="BL47" s="9"/>
      <c r="BM47" s="9"/>
      <c r="BN47" s="9"/>
      <c r="BO47" s="9"/>
      <c r="BP47" s="9"/>
      <c r="BQ47" s="9"/>
      <c r="BR47" s="9"/>
      <c r="BS47" s="9"/>
    </row>
    <row r="48" spans="1:71" ht="18.75" customHeight="1" x14ac:dyDescent="0.3">
      <c r="A48" s="42" t="s">
        <v>333</v>
      </c>
      <c r="B48" t="s">
        <v>228</v>
      </c>
      <c r="E48" s="44">
        <v>2</v>
      </c>
      <c r="F48" s="44">
        <v>2</v>
      </c>
      <c r="G48" s="45">
        <v>500</v>
      </c>
      <c r="H48" s="44">
        <v>20</v>
      </c>
      <c r="I48" s="44">
        <v>355</v>
      </c>
      <c r="J48" s="44">
        <v>170</v>
      </c>
      <c r="K48" s="43">
        <f t="shared" si="17"/>
        <v>15.711064285978338</v>
      </c>
      <c r="L48" s="46">
        <f t="shared" si="18"/>
        <v>112.28893571402166</v>
      </c>
      <c r="M48" s="47">
        <f t="shared" si="19"/>
        <v>74.288935714021662</v>
      </c>
      <c r="N48" s="47">
        <f t="shared" si="20"/>
        <v>74.288935714021662</v>
      </c>
      <c r="O48" s="47">
        <f t="shared" si="21"/>
        <v>-18.5</v>
      </c>
      <c r="P48" s="47">
        <f t="shared" si="22"/>
        <v>-46.5</v>
      </c>
      <c r="Q48" s="49">
        <f t="shared" si="23"/>
        <v>-18.5</v>
      </c>
      <c r="R48" s="59">
        <f t="shared" si="24"/>
        <v>140</v>
      </c>
      <c r="S48" s="51">
        <f t="shared" si="25"/>
        <v>-12.125</v>
      </c>
      <c r="T48" s="60">
        <f t="shared" si="26"/>
        <v>140</v>
      </c>
      <c r="U48" s="52">
        <f t="shared" si="27"/>
        <v>15.125</v>
      </c>
      <c r="V48" s="53">
        <f t="shared" si="28"/>
        <v>112.28893571402166</v>
      </c>
      <c r="W48" s="54">
        <f t="shared" si="29"/>
        <v>74.288935714021662</v>
      </c>
      <c r="X48" s="54">
        <f t="shared" si="30"/>
        <v>74.288935714021662</v>
      </c>
      <c r="Y48" s="54">
        <f t="shared" si="31"/>
        <v>18.5</v>
      </c>
      <c r="Z48" s="54">
        <f t="shared" si="32"/>
        <v>18.5</v>
      </c>
      <c r="AA48" s="64">
        <f t="shared" si="33"/>
        <v>46.5</v>
      </c>
      <c r="AB48" s="9"/>
      <c r="AC48" s="57">
        <f>90+38</f>
        <v>128</v>
      </c>
      <c r="AD48" s="48">
        <v>0</v>
      </c>
      <c r="AE48" s="48">
        <v>90</v>
      </c>
      <c r="AF48" s="48">
        <v>0</v>
      </c>
      <c r="AG48" s="48">
        <v>90</v>
      </c>
      <c r="AH48" s="48">
        <v>0</v>
      </c>
      <c r="AI48" s="48">
        <v>-18</v>
      </c>
      <c r="AJ48" s="48">
        <v>-6</v>
      </c>
      <c r="AK48" s="48">
        <f>-18-28</f>
        <v>-46</v>
      </c>
      <c r="AL48" s="48">
        <v>-6</v>
      </c>
      <c r="AM48" s="48">
        <v>-18</v>
      </c>
      <c r="AN48" s="58">
        <v>-6</v>
      </c>
      <c r="AO48" s="9"/>
      <c r="AP48" s="59">
        <f>90+38+12</f>
        <v>140</v>
      </c>
      <c r="AQ48" s="60">
        <v>0</v>
      </c>
      <c r="AR48" s="60">
        <v>-12</v>
      </c>
      <c r="AS48" s="51">
        <v>-1.5</v>
      </c>
      <c r="AT48" s="60">
        <v>140</v>
      </c>
      <c r="AU48" s="60">
        <v>0</v>
      </c>
      <c r="AV48" s="60">
        <v>15</v>
      </c>
      <c r="AW48" s="52">
        <v>1.5</v>
      </c>
      <c r="AX48" s="9"/>
      <c r="AY48" s="61">
        <f>90+38</f>
        <v>128</v>
      </c>
      <c r="AZ48" s="55">
        <v>0</v>
      </c>
      <c r="BA48" s="55">
        <v>90</v>
      </c>
      <c r="BB48" s="55">
        <v>0</v>
      </c>
      <c r="BC48" s="55">
        <v>90</v>
      </c>
      <c r="BD48" s="55">
        <v>0</v>
      </c>
      <c r="BE48" s="55">
        <v>18</v>
      </c>
      <c r="BF48" s="55">
        <v>6</v>
      </c>
      <c r="BG48" s="55">
        <v>18</v>
      </c>
      <c r="BH48" s="55">
        <v>6</v>
      </c>
      <c r="BI48" s="55">
        <f>18+28</f>
        <v>46</v>
      </c>
      <c r="BJ48" s="56">
        <v>6</v>
      </c>
      <c r="BK48" s="9"/>
      <c r="BL48" s="9"/>
      <c r="BM48" s="9"/>
      <c r="BN48" s="9"/>
      <c r="BO48" s="9"/>
      <c r="BP48" s="9"/>
      <c r="BQ48" s="9"/>
      <c r="BR48" s="9"/>
      <c r="BS48" s="9"/>
    </row>
    <row r="49" spans="1:71" ht="18.75" customHeight="1" x14ac:dyDescent="0.3">
      <c r="A49" s="42" t="s">
        <v>334</v>
      </c>
      <c r="B49" t="s">
        <v>228</v>
      </c>
      <c r="E49" s="44">
        <v>1</v>
      </c>
      <c r="F49" s="44">
        <v>2</v>
      </c>
      <c r="G49" s="45">
        <v>500</v>
      </c>
      <c r="H49" s="44">
        <v>20</v>
      </c>
      <c r="I49" s="44">
        <v>355</v>
      </c>
      <c r="J49" s="44">
        <v>170</v>
      </c>
      <c r="K49" s="43">
        <f t="shared" si="17"/>
        <v>15.711064285978338</v>
      </c>
      <c r="L49" s="46">
        <f t="shared" si="18"/>
        <v>94.288935714021662</v>
      </c>
      <c r="M49" s="47">
        <f t="shared" si="19"/>
        <v>94.288935714021662</v>
      </c>
      <c r="N49" s="47">
        <f t="shared" si="20"/>
        <v>94.288935714021662</v>
      </c>
      <c r="O49" s="48">
        <f t="shared" si="21"/>
        <v>-42</v>
      </c>
      <c r="P49" s="48">
        <f t="shared" si="22"/>
        <v>0</v>
      </c>
      <c r="Q49" s="58">
        <f t="shared" si="23"/>
        <v>42</v>
      </c>
      <c r="R49" s="59">
        <f t="shared" si="24"/>
        <v>128</v>
      </c>
      <c r="S49" s="51">
        <f t="shared" si="25"/>
        <v>-21.833333333333332</v>
      </c>
      <c r="T49" s="60">
        <f t="shared" si="26"/>
        <v>128</v>
      </c>
      <c r="U49" s="52">
        <f t="shared" si="27"/>
        <v>21.833333333333332</v>
      </c>
      <c r="V49" s="53">
        <f t="shared" si="28"/>
        <v>-15.711064285978338</v>
      </c>
      <c r="W49" s="54">
        <f t="shared" si="29"/>
        <v>-15.711064285978338</v>
      </c>
      <c r="X49" s="54">
        <f t="shared" si="30"/>
        <v>-15.711064285978338</v>
      </c>
      <c r="Y49" s="55">
        <f t="shared" si="31"/>
        <v>0</v>
      </c>
      <c r="Z49" s="55">
        <f t="shared" si="32"/>
        <v>0</v>
      </c>
      <c r="AA49" s="56">
        <f t="shared" si="33"/>
        <v>0</v>
      </c>
      <c r="AB49" s="9"/>
      <c r="AC49" s="57">
        <v>110</v>
      </c>
      <c r="AD49" s="48">
        <v>0</v>
      </c>
      <c r="AE49" s="48">
        <v>110</v>
      </c>
      <c r="AF49" s="48">
        <v>0</v>
      </c>
      <c r="AG49" s="48">
        <v>110</v>
      </c>
      <c r="AH49" s="48">
        <v>0</v>
      </c>
      <c r="AI49" s="48">
        <v>-42</v>
      </c>
      <c r="AJ49" s="48">
        <v>0</v>
      </c>
      <c r="AK49" s="48">
        <v>0</v>
      </c>
      <c r="AL49" s="48">
        <v>0</v>
      </c>
      <c r="AM49" s="48">
        <v>42</v>
      </c>
      <c r="AN49" s="58">
        <v>0</v>
      </c>
      <c r="AO49" s="9"/>
      <c r="AP49" s="59">
        <f>110+18</f>
        <v>128</v>
      </c>
      <c r="AQ49" s="60">
        <v>0</v>
      </c>
      <c r="AR49" s="60">
        <v>-21</v>
      </c>
      <c r="AS49" s="60">
        <v>-10</v>
      </c>
      <c r="AT49" s="60">
        <v>128</v>
      </c>
      <c r="AU49" s="60">
        <v>0</v>
      </c>
      <c r="AV49" s="60">
        <v>21</v>
      </c>
      <c r="AW49" s="62">
        <v>10</v>
      </c>
      <c r="AX49" s="9"/>
      <c r="AY49" s="63"/>
      <c r="AZ49" s="15"/>
      <c r="BA49" s="63"/>
      <c r="BB49" s="15"/>
      <c r="BC49" s="63"/>
      <c r="BD49" s="15"/>
      <c r="BE49" s="15"/>
      <c r="BF49" s="15"/>
      <c r="BG49" s="15"/>
      <c r="BH49" s="15"/>
      <c r="BI49" s="15"/>
      <c r="BJ49" s="15"/>
      <c r="BK49" s="9"/>
      <c r="BL49" s="9"/>
      <c r="BM49" s="9"/>
      <c r="BN49" s="9"/>
      <c r="BO49" s="9"/>
      <c r="BP49" s="9"/>
      <c r="BQ49" s="9"/>
      <c r="BR49" s="9"/>
      <c r="BS49" s="9"/>
    </row>
    <row r="50" spans="1:71" ht="18.75" customHeight="1" x14ac:dyDescent="0.3">
      <c r="A50" s="42" t="s">
        <v>335</v>
      </c>
      <c r="B50" t="s">
        <v>261</v>
      </c>
      <c r="E50" s="44">
        <v>1</v>
      </c>
      <c r="F50" s="44">
        <v>1</v>
      </c>
      <c r="G50" s="45">
        <v>500</v>
      </c>
      <c r="H50" s="44">
        <v>20</v>
      </c>
      <c r="I50" s="44">
        <v>355</v>
      </c>
      <c r="J50" s="44">
        <v>170</v>
      </c>
      <c r="K50" s="43">
        <f t="shared" si="17"/>
        <v>15.711064285978338</v>
      </c>
      <c r="L50" s="46">
        <f t="shared" si="18"/>
        <v>69.288935714021662</v>
      </c>
      <c r="M50" s="47">
        <f t="shared" si="19"/>
        <v>99.288935714021662</v>
      </c>
      <c r="N50" s="47">
        <f t="shared" si="20"/>
        <v>129.28893571402165</v>
      </c>
      <c r="O50" s="48">
        <f t="shared" si="21"/>
        <v>18</v>
      </c>
      <c r="P50" s="48">
        <f t="shared" si="22"/>
        <v>21</v>
      </c>
      <c r="Q50" s="58">
        <f t="shared" si="23"/>
        <v>18</v>
      </c>
      <c r="R50" s="59">
        <f t="shared" si="24"/>
        <v>160</v>
      </c>
      <c r="S50" s="60">
        <f t="shared" si="25"/>
        <v>4</v>
      </c>
      <c r="T50" s="60">
        <f t="shared" si="26"/>
        <v>0</v>
      </c>
      <c r="U50" s="62">
        <f t="shared" si="27"/>
        <v>0</v>
      </c>
      <c r="V50" s="53">
        <f t="shared" si="28"/>
        <v>-15.711064285978338</v>
      </c>
      <c r="W50" s="54">
        <f t="shared" si="29"/>
        <v>-15.711064285978338</v>
      </c>
      <c r="X50" s="54">
        <f t="shared" si="30"/>
        <v>-15.711064285978338</v>
      </c>
      <c r="Y50" s="55">
        <f t="shared" si="31"/>
        <v>0</v>
      </c>
      <c r="Z50" s="55">
        <f t="shared" si="32"/>
        <v>0</v>
      </c>
      <c r="AA50" s="56">
        <f t="shared" si="33"/>
        <v>0</v>
      </c>
      <c r="AB50" s="9"/>
      <c r="AC50" s="57">
        <v>85</v>
      </c>
      <c r="AD50" s="48">
        <v>0</v>
      </c>
      <c r="AE50" s="48">
        <f>85+30</f>
        <v>115</v>
      </c>
      <c r="AF50" s="48">
        <v>0</v>
      </c>
      <c r="AG50" s="48">
        <f>85+30+30</f>
        <v>145</v>
      </c>
      <c r="AH50" s="48">
        <v>0</v>
      </c>
      <c r="AI50" s="48">
        <v>18</v>
      </c>
      <c r="AJ50" s="48">
        <v>0</v>
      </c>
      <c r="AK50" s="48">
        <v>21</v>
      </c>
      <c r="AL50" s="48">
        <v>0</v>
      </c>
      <c r="AM50" s="48">
        <v>18</v>
      </c>
      <c r="AN50" s="58">
        <v>0</v>
      </c>
      <c r="AO50" s="9"/>
      <c r="AP50" s="59">
        <f>85+30+30+15</f>
        <v>160</v>
      </c>
      <c r="AQ50" s="60">
        <v>0</v>
      </c>
      <c r="AR50" s="60">
        <v>4</v>
      </c>
      <c r="AS50" s="60">
        <v>0</v>
      </c>
      <c r="AT50" s="60">
        <v>0</v>
      </c>
      <c r="AU50" s="60">
        <v>0</v>
      </c>
      <c r="AV50" s="60">
        <v>0</v>
      </c>
      <c r="AW50" s="62">
        <v>0</v>
      </c>
      <c r="AX50" s="9"/>
      <c r="AY50" s="63"/>
      <c r="AZ50" s="15"/>
      <c r="BA50" s="63"/>
      <c r="BB50" s="15"/>
      <c r="BC50" s="63"/>
      <c r="BD50" s="15"/>
      <c r="BE50" s="15"/>
      <c r="BF50" s="15"/>
      <c r="BG50" s="15"/>
      <c r="BH50" s="15"/>
      <c r="BI50" s="15"/>
      <c r="BJ50" s="15"/>
      <c r="BK50" s="9"/>
      <c r="BL50" s="9"/>
      <c r="BM50" s="9"/>
      <c r="BN50" s="9"/>
      <c r="BO50" s="9"/>
      <c r="BP50" s="9"/>
      <c r="BQ50" s="9"/>
      <c r="BR50" s="9"/>
      <c r="BS50" s="9"/>
    </row>
    <row r="51" spans="1:71" ht="18.75" customHeight="1" x14ac:dyDescent="0.3">
      <c r="A51" s="42" t="s">
        <v>336</v>
      </c>
      <c r="B51" t="s">
        <v>261</v>
      </c>
      <c r="E51" s="44">
        <v>1</v>
      </c>
      <c r="F51" s="44">
        <v>2</v>
      </c>
      <c r="G51" s="45">
        <v>500</v>
      </c>
      <c r="H51" s="44">
        <v>20</v>
      </c>
      <c r="I51" s="44">
        <v>355</v>
      </c>
      <c r="J51" s="44">
        <v>170</v>
      </c>
      <c r="K51" s="43">
        <f t="shared" si="17"/>
        <v>15.711064285978338</v>
      </c>
      <c r="L51" s="46">
        <f t="shared" si="18"/>
        <v>60.705602380688333</v>
      </c>
      <c r="M51" s="47">
        <f t="shared" si="19"/>
        <v>73.288935714021662</v>
      </c>
      <c r="N51" s="47">
        <f t="shared" si="20"/>
        <v>85.705602380688333</v>
      </c>
      <c r="O51" s="48">
        <f t="shared" si="21"/>
        <v>18</v>
      </c>
      <c r="P51" s="48">
        <f t="shared" si="22"/>
        <v>-17</v>
      </c>
      <c r="Q51" s="58">
        <f t="shared" si="23"/>
        <v>18</v>
      </c>
      <c r="R51" s="59">
        <f t="shared" si="24"/>
        <v>120</v>
      </c>
      <c r="S51" s="60">
        <f t="shared" si="25"/>
        <v>-10</v>
      </c>
      <c r="T51" s="60">
        <f t="shared" si="26"/>
        <v>120</v>
      </c>
      <c r="U51" s="62">
        <f t="shared" si="27"/>
        <v>10</v>
      </c>
      <c r="V51" s="53">
        <f t="shared" si="28"/>
        <v>-15.711064285978338</v>
      </c>
      <c r="W51" s="54">
        <f t="shared" si="29"/>
        <v>-15.711064285978338</v>
      </c>
      <c r="X51" s="54">
        <f t="shared" si="30"/>
        <v>-15.711064285978338</v>
      </c>
      <c r="Y51" s="55">
        <f t="shared" si="31"/>
        <v>0</v>
      </c>
      <c r="Z51" s="55">
        <f t="shared" si="32"/>
        <v>0</v>
      </c>
      <c r="AA51" s="56">
        <f t="shared" si="33"/>
        <v>0</v>
      </c>
      <c r="AB51" s="9"/>
      <c r="AC51" s="57">
        <f>120-18-25</f>
        <v>77</v>
      </c>
      <c r="AD51" s="48">
        <v>-7</v>
      </c>
      <c r="AE51" s="48">
        <f>120-18-12</f>
        <v>90</v>
      </c>
      <c r="AF51" s="48">
        <f>-7-5</f>
        <v>-12</v>
      </c>
      <c r="AG51" s="48">
        <f>120-18</f>
        <v>102</v>
      </c>
      <c r="AH51" s="48">
        <v>-7</v>
      </c>
      <c r="AI51" s="48">
        <v>18</v>
      </c>
      <c r="AJ51" s="48">
        <v>0</v>
      </c>
      <c r="AK51" s="48">
        <v>-17</v>
      </c>
      <c r="AL51" s="48">
        <v>0</v>
      </c>
      <c r="AM51" s="48">
        <v>18</v>
      </c>
      <c r="AN51" s="58">
        <v>0</v>
      </c>
      <c r="AO51" s="9"/>
      <c r="AP51" s="59">
        <v>120</v>
      </c>
      <c r="AQ51" s="60">
        <v>0</v>
      </c>
      <c r="AR51" s="60">
        <v>-10</v>
      </c>
      <c r="AS51" s="60">
        <v>0</v>
      </c>
      <c r="AT51" s="60">
        <v>120</v>
      </c>
      <c r="AU51" s="60">
        <v>0</v>
      </c>
      <c r="AV51" s="60">
        <v>10</v>
      </c>
      <c r="AW51" s="62">
        <v>0</v>
      </c>
      <c r="AX51" s="9"/>
      <c r="AY51" s="63"/>
      <c r="AZ51" s="15"/>
      <c r="BA51" s="63"/>
      <c r="BB51" s="15"/>
      <c r="BC51" s="63"/>
      <c r="BD51" s="15"/>
      <c r="BE51" s="15"/>
      <c r="BF51" s="15"/>
      <c r="BG51" s="15"/>
      <c r="BH51" s="15"/>
      <c r="BI51" s="15"/>
      <c r="BJ51" s="15"/>
      <c r="BK51" s="9"/>
      <c r="BL51" s="9"/>
      <c r="BM51" s="9"/>
      <c r="BN51" s="9"/>
      <c r="BO51" s="9"/>
      <c r="BP51" s="9"/>
      <c r="BQ51" s="9"/>
      <c r="BR51" s="9"/>
      <c r="BS51" s="9"/>
    </row>
    <row r="52" spans="1:71" ht="18.75" customHeight="1" x14ac:dyDescent="0.3">
      <c r="A52" s="42" t="s">
        <v>337</v>
      </c>
      <c r="B52" t="s">
        <v>279</v>
      </c>
      <c r="C52" t="s">
        <v>338</v>
      </c>
      <c r="D52" t="s">
        <v>339</v>
      </c>
      <c r="E52" s="44">
        <v>1</v>
      </c>
      <c r="F52" s="44">
        <v>2</v>
      </c>
      <c r="G52" s="45">
        <v>500</v>
      </c>
      <c r="H52" s="44">
        <v>20</v>
      </c>
      <c r="I52" s="44">
        <v>355</v>
      </c>
      <c r="J52" s="44">
        <v>170</v>
      </c>
      <c r="K52" s="43">
        <f t="shared" si="17"/>
        <v>15.711064285978338</v>
      </c>
      <c r="L52" s="46">
        <f t="shared" si="18"/>
        <v>104.28893571402166</v>
      </c>
      <c r="M52" s="47">
        <f t="shared" si="19"/>
        <v>104.28893571402166</v>
      </c>
      <c r="N52" s="47">
        <f t="shared" si="20"/>
        <v>104.28893571402166</v>
      </c>
      <c r="O52" s="48">
        <f t="shared" si="21"/>
        <v>-35</v>
      </c>
      <c r="P52" s="48">
        <f t="shared" si="22"/>
        <v>0</v>
      </c>
      <c r="Q52" s="58">
        <f t="shared" si="23"/>
        <v>35</v>
      </c>
      <c r="R52" s="59">
        <f t="shared" si="24"/>
        <v>129</v>
      </c>
      <c r="S52" s="60">
        <f t="shared" si="25"/>
        <v>-26</v>
      </c>
      <c r="T52" s="60">
        <f t="shared" si="26"/>
        <v>129</v>
      </c>
      <c r="U52" s="62">
        <f t="shared" si="27"/>
        <v>26</v>
      </c>
      <c r="V52" s="53">
        <f t="shared" si="28"/>
        <v>-15.711064285978338</v>
      </c>
      <c r="W52" s="54">
        <f t="shared" si="29"/>
        <v>-15.711064285978338</v>
      </c>
      <c r="X52" s="54">
        <f t="shared" si="30"/>
        <v>-15.711064285978338</v>
      </c>
      <c r="Y52" s="55">
        <f t="shared" si="31"/>
        <v>0</v>
      </c>
      <c r="Z52" s="55">
        <f t="shared" si="32"/>
        <v>0</v>
      </c>
      <c r="AA52" s="56">
        <f t="shared" si="33"/>
        <v>0</v>
      </c>
      <c r="AB52" s="9"/>
      <c r="AC52" s="57">
        <v>120</v>
      </c>
      <c r="AD52" s="48">
        <v>0</v>
      </c>
      <c r="AE52" s="48">
        <v>120</v>
      </c>
      <c r="AF52" s="48">
        <v>0</v>
      </c>
      <c r="AG52" s="48">
        <v>120</v>
      </c>
      <c r="AH52" s="48">
        <v>0</v>
      </c>
      <c r="AI52" s="48">
        <v>-35</v>
      </c>
      <c r="AJ52" s="48">
        <v>0</v>
      </c>
      <c r="AK52" s="48">
        <v>0</v>
      </c>
      <c r="AL52" s="48">
        <v>0</v>
      </c>
      <c r="AM52" s="48">
        <v>35</v>
      </c>
      <c r="AN52" s="58">
        <v>0</v>
      </c>
      <c r="AO52" s="9"/>
      <c r="AP52" s="59">
        <f>120+9</f>
        <v>129</v>
      </c>
      <c r="AQ52" s="60">
        <v>0</v>
      </c>
      <c r="AR52" s="60">
        <v>-26</v>
      </c>
      <c r="AS52" s="60">
        <v>0</v>
      </c>
      <c r="AT52" s="60">
        <f>120+9</f>
        <v>129</v>
      </c>
      <c r="AU52" s="60">
        <v>0</v>
      </c>
      <c r="AV52" s="60">
        <v>26</v>
      </c>
      <c r="AW52" s="62">
        <v>0</v>
      </c>
      <c r="AX52" s="9"/>
      <c r="AY52" s="63"/>
      <c r="AZ52" s="15"/>
      <c r="BA52" s="63"/>
      <c r="BB52" s="15"/>
      <c r="BC52" s="63"/>
      <c r="BD52" s="15"/>
      <c r="BE52" s="15"/>
      <c r="BF52" s="15"/>
      <c r="BG52" s="15"/>
      <c r="BH52" s="15"/>
      <c r="BI52" s="15"/>
      <c r="BJ52" s="15"/>
      <c r="BK52" s="9"/>
      <c r="BL52" s="9"/>
      <c r="BM52" s="9"/>
      <c r="BN52" s="9"/>
      <c r="BO52" s="9"/>
      <c r="BP52" s="9"/>
      <c r="BQ52" s="9"/>
      <c r="BR52" s="9"/>
      <c r="BS52" s="9"/>
    </row>
    <row r="53" spans="1:71" ht="18.75" customHeight="1" x14ac:dyDescent="0.3">
      <c r="A53" s="42" t="s">
        <v>340</v>
      </c>
      <c r="B53" t="s">
        <v>279</v>
      </c>
      <c r="E53" s="44">
        <v>2</v>
      </c>
      <c r="F53" s="44">
        <v>2</v>
      </c>
      <c r="G53" s="45">
        <v>500</v>
      </c>
      <c r="H53" s="44">
        <v>20</v>
      </c>
      <c r="I53" s="44">
        <v>355</v>
      </c>
      <c r="J53" s="44">
        <v>170</v>
      </c>
      <c r="K53" s="43">
        <f t="shared" si="17"/>
        <v>15.711064285978338</v>
      </c>
      <c r="L53" s="46">
        <f t="shared" si="18"/>
        <v>123.00000000000001</v>
      </c>
      <c r="M53" s="48">
        <f t="shared" si="19"/>
        <v>87</v>
      </c>
      <c r="N53" s="48">
        <f t="shared" si="20"/>
        <v>87</v>
      </c>
      <c r="O53" s="48">
        <f t="shared" si="21"/>
        <v>-30</v>
      </c>
      <c r="P53" s="48">
        <f t="shared" si="22"/>
        <v>-45</v>
      </c>
      <c r="Q53" s="58">
        <f t="shared" si="23"/>
        <v>-15</v>
      </c>
      <c r="R53" s="59">
        <f t="shared" si="24"/>
        <v>149</v>
      </c>
      <c r="S53" s="60">
        <f t="shared" si="25"/>
        <v>-32</v>
      </c>
      <c r="T53" s="60">
        <f t="shared" si="26"/>
        <v>149</v>
      </c>
      <c r="U53" s="62">
        <f t="shared" si="27"/>
        <v>32</v>
      </c>
      <c r="V53" s="53">
        <f t="shared" si="28"/>
        <v>123.00000000000001</v>
      </c>
      <c r="W53" s="55">
        <f t="shared" si="29"/>
        <v>87</v>
      </c>
      <c r="X53" s="55">
        <f t="shared" si="30"/>
        <v>87</v>
      </c>
      <c r="Y53" s="55">
        <f t="shared" si="31"/>
        <v>15</v>
      </c>
      <c r="Z53" s="55">
        <f t="shared" si="32"/>
        <v>45</v>
      </c>
      <c r="AA53" s="56">
        <f t="shared" si="33"/>
        <v>15</v>
      </c>
      <c r="AB53" s="9"/>
      <c r="AC53" s="46">
        <f>100+23+K53</f>
        <v>138.71106428597835</v>
      </c>
      <c r="AD53" s="48">
        <v>0</v>
      </c>
      <c r="AE53" s="47">
        <f>100-13+K53</f>
        <v>102.71106428597834</v>
      </c>
      <c r="AF53" s="48">
        <v>0</v>
      </c>
      <c r="AG53" s="47">
        <f>100-13+K53</f>
        <v>102.71106428597834</v>
      </c>
      <c r="AH53" s="48">
        <v>0</v>
      </c>
      <c r="AI53" s="48">
        <v>-30</v>
      </c>
      <c r="AJ53" s="48">
        <v>0</v>
      </c>
      <c r="AK53" s="48">
        <f>-30-15</f>
        <v>-45</v>
      </c>
      <c r="AL53" s="48">
        <v>0</v>
      </c>
      <c r="AM53" s="48">
        <v>-15</v>
      </c>
      <c r="AN53" s="58">
        <v>0</v>
      </c>
      <c r="AO53" s="9"/>
      <c r="AP53" s="59">
        <f>100+23+13+13</f>
        <v>149</v>
      </c>
      <c r="AQ53" s="60">
        <v>0</v>
      </c>
      <c r="AR53" s="60">
        <v>-32</v>
      </c>
      <c r="AS53" s="60">
        <v>0</v>
      </c>
      <c r="AT53" s="60">
        <f>100+23+13+13</f>
        <v>149</v>
      </c>
      <c r="AU53" s="60">
        <v>0</v>
      </c>
      <c r="AV53" s="60">
        <v>32</v>
      </c>
      <c r="AW53" s="62">
        <v>0</v>
      </c>
      <c r="AX53" s="9"/>
      <c r="AY53" s="53">
        <f>100+23+K53</f>
        <v>138.71106428597835</v>
      </c>
      <c r="AZ53" s="55">
        <v>0</v>
      </c>
      <c r="BA53" s="54">
        <f>100-13+K53</f>
        <v>102.71106428597834</v>
      </c>
      <c r="BB53" s="55">
        <v>0</v>
      </c>
      <c r="BC53" s="54">
        <f>100-13+K53</f>
        <v>102.71106428597834</v>
      </c>
      <c r="BD53" s="55">
        <v>0</v>
      </c>
      <c r="BE53" s="55">
        <v>15</v>
      </c>
      <c r="BF53" s="55">
        <v>0</v>
      </c>
      <c r="BG53" s="55">
        <v>45</v>
      </c>
      <c r="BH53" s="55">
        <v>0</v>
      </c>
      <c r="BI53" s="55">
        <v>15</v>
      </c>
      <c r="BJ53" s="56">
        <v>0</v>
      </c>
      <c r="BK53" s="9"/>
      <c r="BL53" s="9"/>
      <c r="BM53" s="9"/>
      <c r="BN53" s="9"/>
      <c r="BO53" s="9"/>
      <c r="BP53" s="9"/>
      <c r="BQ53" s="9"/>
      <c r="BR53" s="9"/>
      <c r="BS53" s="9"/>
    </row>
    <row r="54" spans="1:71" ht="18.75" customHeight="1" x14ac:dyDescent="0.3">
      <c r="A54" s="42" t="s">
        <v>341</v>
      </c>
      <c r="B54" t="s">
        <v>305</v>
      </c>
      <c r="E54" s="44">
        <v>1</v>
      </c>
      <c r="F54" s="44">
        <v>2</v>
      </c>
      <c r="G54" s="45">
        <v>500</v>
      </c>
      <c r="H54" s="44">
        <v>20</v>
      </c>
      <c r="I54" s="44">
        <v>355</v>
      </c>
      <c r="J54" s="44">
        <v>170</v>
      </c>
      <c r="K54" s="43">
        <f t="shared" si="17"/>
        <v>15.711064285978338</v>
      </c>
      <c r="L54" s="46">
        <f t="shared" si="18"/>
        <v>106.25</v>
      </c>
      <c r="M54" s="47">
        <f t="shared" si="19"/>
        <v>139.25</v>
      </c>
      <c r="N54" s="47">
        <f t="shared" si="20"/>
        <v>106.25</v>
      </c>
      <c r="O54" s="47">
        <f t="shared" si="21"/>
        <v>-21.5</v>
      </c>
      <c r="P54" s="48">
        <f t="shared" si="22"/>
        <v>0</v>
      </c>
      <c r="Q54" s="49">
        <f t="shared" si="23"/>
        <v>21.5</v>
      </c>
      <c r="R54" s="59">
        <f t="shared" si="24"/>
        <v>153</v>
      </c>
      <c r="S54" s="51">
        <f t="shared" si="25"/>
        <v>-13.75</v>
      </c>
      <c r="T54" s="60">
        <f t="shared" si="26"/>
        <v>153</v>
      </c>
      <c r="U54" s="52">
        <f t="shared" si="27"/>
        <v>13.75</v>
      </c>
      <c r="V54" s="53">
        <f t="shared" si="28"/>
        <v>-15.711064285978338</v>
      </c>
      <c r="W54" s="54">
        <f t="shared" si="29"/>
        <v>-15.711064285978338</v>
      </c>
      <c r="X54" s="54">
        <f t="shared" si="30"/>
        <v>-15.711064285978338</v>
      </c>
      <c r="Y54" s="55">
        <f t="shared" si="31"/>
        <v>0</v>
      </c>
      <c r="Z54" s="55">
        <f t="shared" si="32"/>
        <v>0</v>
      </c>
      <c r="AA54" s="56">
        <f t="shared" si="33"/>
        <v>0</v>
      </c>
      <c r="AB54" s="9"/>
      <c r="AC54" s="46">
        <f>120-13+K54</f>
        <v>122.71106428597834</v>
      </c>
      <c r="AD54" s="48">
        <v>-9</v>
      </c>
      <c r="AE54" s="47">
        <f>120+33-13+K54</f>
        <v>155.71106428597835</v>
      </c>
      <c r="AF54" s="48">
        <v>-9</v>
      </c>
      <c r="AG54" s="47">
        <f>120-13+K54</f>
        <v>122.71106428597834</v>
      </c>
      <c r="AH54" s="48">
        <v>-9</v>
      </c>
      <c r="AI54" s="48">
        <v>-21</v>
      </c>
      <c r="AJ54" s="48">
        <v>-6</v>
      </c>
      <c r="AK54" s="48">
        <v>0</v>
      </c>
      <c r="AL54" s="48">
        <v>0</v>
      </c>
      <c r="AM54" s="48">
        <v>21</v>
      </c>
      <c r="AN54" s="58">
        <v>6</v>
      </c>
      <c r="AO54" s="9"/>
      <c r="AP54" s="59">
        <f>120+33</f>
        <v>153</v>
      </c>
      <c r="AQ54" s="60">
        <v>0</v>
      </c>
      <c r="AR54" s="60">
        <v>-13</v>
      </c>
      <c r="AS54" s="60">
        <v>-9</v>
      </c>
      <c r="AT54" s="60">
        <f>120+33</f>
        <v>153</v>
      </c>
      <c r="AU54" s="60">
        <v>0</v>
      </c>
      <c r="AV54" s="60">
        <v>13</v>
      </c>
      <c r="AW54" s="62">
        <v>9</v>
      </c>
      <c r="AX54" s="9"/>
      <c r="AY54" s="63"/>
      <c r="AZ54" s="15"/>
      <c r="BA54" s="63"/>
      <c r="BB54" s="15"/>
      <c r="BC54" s="63"/>
      <c r="BD54" s="15"/>
      <c r="BE54" s="15"/>
      <c r="BF54" s="15"/>
      <c r="BG54" s="15"/>
      <c r="BH54" s="15"/>
      <c r="BI54" s="15"/>
      <c r="BJ54" s="15"/>
      <c r="BK54" s="9"/>
      <c r="BL54" s="9"/>
      <c r="BM54" s="9"/>
      <c r="BN54" s="9"/>
      <c r="BO54" s="9"/>
      <c r="BP54" s="9"/>
      <c r="BQ54" s="9"/>
      <c r="BR54" s="9"/>
      <c r="BS54" s="9"/>
    </row>
    <row r="55" spans="1:71" ht="18.75" customHeight="1" x14ac:dyDescent="0.3">
      <c r="A55" s="42" t="s">
        <v>342</v>
      </c>
      <c r="B55" t="s">
        <v>305</v>
      </c>
      <c r="C55" t="s">
        <v>343</v>
      </c>
      <c r="D55" t="s">
        <v>21</v>
      </c>
      <c r="E55" s="44">
        <v>1</v>
      </c>
      <c r="F55" s="44">
        <v>2</v>
      </c>
      <c r="G55" s="45">
        <v>500</v>
      </c>
      <c r="H55" s="44">
        <v>20</v>
      </c>
      <c r="I55" s="44">
        <v>355</v>
      </c>
      <c r="J55" s="44">
        <v>170</v>
      </c>
      <c r="K55" s="43">
        <f t="shared" si="17"/>
        <v>15.711064285978338</v>
      </c>
      <c r="L55" s="46">
        <f t="shared" si="18"/>
        <v>118.50000000000001</v>
      </c>
      <c r="M55" s="48">
        <f t="shared" si="19"/>
        <v>88</v>
      </c>
      <c r="N55" s="48">
        <f t="shared" si="20"/>
        <v>88</v>
      </c>
      <c r="O55" s="48">
        <f t="shared" si="21"/>
        <v>0</v>
      </c>
      <c r="P55" s="47">
        <f t="shared" si="22"/>
        <v>-21.5</v>
      </c>
      <c r="Q55" s="49">
        <f t="shared" si="23"/>
        <v>21.5</v>
      </c>
      <c r="R55" s="50">
        <f t="shared" si="24"/>
        <v>131.5</v>
      </c>
      <c r="S55" s="60">
        <f t="shared" si="25"/>
        <v>-20</v>
      </c>
      <c r="T55" s="51">
        <f t="shared" si="26"/>
        <v>131.5</v>
      </c>
      <c r="U55" s="62">
        <f t="shared" si="27"/>
        <v>20</v>
      </c>
      <c r="V55" s="53">
        <f t="shared" si="28"/>
        <v>-15.711064285978338</v>
      </c>
      <c r="W55" s="54">
        <f t="shared" si="29"/>
        <v>-15.711064285978338</v>
      </c>
      <c r="X55" s="54">
        <f t="shared" si="30"/>
        <v>-15.711064285978338</v>
      </c>
      <c r="Y55" s="55">
        <f t="shared" si="31"/>
        <v>0</v>
      </c>
      <c r="Z55" s="55">
        <f t="shared" si="32"/>
        <v>0</v>
      </c>
      <c r="AA55" s="56">
        <f t="shared" si="33"/>
        <v>0</v>
      </c>
      <c r="AB55" s="9"/>
      <c r="AC55" s="46">
        <f>77+11+30+K55</f>
        <v>133.71106428597835</v>
      </c>
      <c r="AD55" s="48">
        <v>6</v>
      </c>
      <c r="AE55" s="47">
        <f>77+11+K55</f>
        <v>103.71106428597834</v>
      </c>
      <c r="AF55" s="48">
        <v>0</v>
      </c>
      <c r="AG55" s="47">
        <f>77+11+K55</f>
        <v>103.71106428597834</v>
      </c>
      <c r="AH55" s="48">
        <v>0</v>
      </c>
      <c r="AI55" s="48">
        <v>0</v>
      </c>
      <c r="AJ55" s="48">
        <v>0</v>
      </c>
      <c r="AK55" s="48">
        <v>-21</v>
      </c>
      <c r="AL55" s="48">
        <v>-6</v>
      </c>
      <c r="AM55" s="48">
        <v>21</v>
      </c>
      <c r="AN55" s="58">
        <v>6</v>
      </c>
      <c r="AO55" s="9"/>
      <c r="AP55" s="59">
        <f>77+11+30+13</f>
        <v>131</v>
      </c>
      <c r="AQ55" s="60">
        <v>6</v>
      </c>
      <c r="AR55" s="60">
        <v>-20</v>
      </c>
      <c r="AS55" s="60">
        <v>0</v>
      </c>
      <c r="AT55" s="60">
        <f>77+11+30+13</f>
        <v>131</v>
      </c>
      <c r="AU55" s="60">
        <v>6</v>
      </c>
      <c r="AV55" s="60">
        <v>20</v>
      </c>
      <c r="AW55" s="62">
        <v>0</v>
      </c>
      <c r="AX55" s="9"/>
      <c r="AY55" s="63"/>
      <c r="AZ55" s="15"/>
      <c r="BA55" s="63"/>
      <c r="BB55" s="15"/>
      <c r="BC55" s="63"/>
      <c r="BD55" s="15"/>
      <c r="BE55" s="15"/>
      <c r="BF55" s="15"/>
      <c r="BG55" s="15"/>
      <c r="BH55" s="15"/>
      <c r="BI55" s="15"/>
      <c r="BJ55" s="15"/>
      <c r="BK55" s="9"/>
      <c r="BL55" s="9"/>
      <c r="BM55" s="9"/>
      <c r="BN55" s="9"/>
      <c r="BO55" s="9"/>
      <c r="BP55" s="9"/>
      <c r="BQ55" s="9"/>
      <c r="BR55" s="9"/>
      <c r="BS55" s="9"/>
    </row>
    <row r="56" spans="1:71" ht="18.75" customHeight="1" x14ac:dyDescent="0.3">
      <c r="A56" s="42" t="s">
        <v>344</v>
      </c>
      <c r="B56" t="s">
        <v>305</v>
      </c>
      <c r="C56" t="s">
        <v>345</v>
      </c>
      <c r="D56" t="s">
        <v>12</v>
      </c>
      <c r="E56" s="44">
        <v>1</v>
      </c>
      <c r="F56" s="44">
        <v>2</v>
      </c>
      <c r="G56" s="45">
        <v>500</v>
      </c>
      <c r="H56" s="44">
        <v>20</v>
      </c>
      <c r="I56" s="44">
        <v>355</v>
      </c>
      <c r="J56" s="44">
        <v>170</v>
      </c>
      <c r="K56" s="43">
        <f t="shared" si="17"/>
        <v>15.711064285978338</v>
      </c>
      <c r="L56" s="46">
        <f t="shared" si="18"/>
        <v>151.25</v>
      </c>
      <c r="M56" s="47">
        <f t="shared" si="19"/>
        <v>126.00000000000001</v>
      </c>
      <c r="N56" s="47">
        <f t="shared" si="20"/>
        <v>126.00000000000001</v>
      </c>
      <c r="O56" s="48">
        <f t="shared" si="21"/>
        <v>0</v>
      </c>
      <c r="P56" s="48">
        <f t="shared" si="22"/>
        <v>-21</v>
      </c>
      <c r="Q56" s="58">
        <f t="shared" si="23"/>
        <v>21</v>
      </c>
      <c r="R56" s="50">
        <f t="shared" si="24"/>
        <v>165.25</v>
      </c>
      <c r="S56" s="51">
        <f t="shared" si="25"/>
        <v>-17.5</v>
      </c>
      <c r="T56" s="51">
        <f t="shared" si="26"/>
        <v>165.25</v>
      </c>
      <c r="U56" s="52">
        <f t="shared" si="27"/>
        <v>17.5</v>
      </c>
      <c r="V56" s="53">
        <f t="shared" si="28"/>
        <v>-15.711064285978338</v>
      </c>
      <c r="W56" s="54">
        <f t="shared" si="29"/>
        <v>-15.711064285978338</v>
      </c>
      <c r="X56" s="54">
        <f t="shared" si="30"/>
        <v>-15.711064285978338</v>
      </c>
      <c r="Y56" s="55">
        <f t="shared" si="31"/>
        <v>0</v>
      </c>
      <c r="Z56" s="55">
        <f t="shared" si="32"/>
        <v>0</v>
      </c>
      <c r="AA56" s="56">
        <f t="shared" si="33"/>
        <v>0</v>
      </c>
      <c r="AB56" s="9"/>
      <c r="AC56" s="46">
        <f>15+80+31+14+7+18-14+K56</f>
        <v>166.71106428597835</v>
      </c>
      <c r="AD56" s="48">
        <v>3</v>
      </c>
      <c r="AE56" s="47">
        <f>15+80+31+K56</f>
        <v>141.71106428597835</v>
      </c>
      <c r="AF56" s="48">
        <v>0</v>
      </c>
      <c r="AG56" s="47">
        <f>15+80+31+K56</f>
        <v>141.71106428597835</v>
      </c>
      <c r="AH56" s="48">
        <v>0</v>
      </c>
      <c r="AI56" s="48">
        <v>0</v>
      </c>
      <c r="AJ56" s="48">
        <v>0</v>
      </c>
      <c r="AK56" s="48">
        <v>-21</v>
      </c>
      <c r="AL56" s="48">
        <v>0</v>
      </c>
      <c r="AM56" s="48">
        <v>21</v>
      </c>
      <c r="AN56" s="58">
        <v>0</v>
      </c>
      <c r="AO56" s="9"/>
      <c r="AP56" s="59">
        <f>15+80+31+14+7+18</f>
        <v>165</v>
      </c>
      <c r="AQ56" s="60">
        <v>3</v>
      </c>
      <c r="AR56" s="60">
        <v>-17</v>
      </c>
      <c r="AS56" s="60">
        <v>-6</v>
      </c>
      <c r="AT56" s="60">
        <f>15+80+31+14+7+18</f>
        <v>165</v>
      </c>
      <c r="AU56" s="60">
        <v>3</v>
      </c>
      <c r="AV56" s="60">
        <v>17</v>
      </c>
      <c r="AW56" s="62">
        <v>6</v>
      </c>
      <c r="AX56" s="9"/>
      <c r="AY56" s="63"/>
      <c r="AZ56" s="15"/>
      <c r="BA56" s="63"/>
      <c r="BB56" s="15"/>
      <c r="BC56" s="63"/>
      <c r="BD56" s="15"/>
      <c r="BE56" s="15"/>
      <c r="BF56" s="15"/>
      <c r="BG56" s="15"/>
      <c r="BH56" s="15"/>
      <c r="BI56" s="15"/>
      <c r="BJ56" s="15"/>
      <c r="BK56" s="9"/>
      <c r="BL56" s="9"/>
      <c r="BM56" s="9"/>
      <c r="BN56" s="9"/>
      <c r="BO56" s="9"/>
      <c r="BP56" s="9"/>
      <c r="BQ56" s="9"/>
      <c r="BR56" s="9"/>
      <c r="BS56" s="9"/>
    </row>
    <row r="57" spans="1:71" ht="18.75" customHeight="1" x14ac:dyDescent="0.3">
      <c r="A57" s="42" t="s">
        <v>346</v>
      </c>
      <c r="B57" t="s">
        <v>228</v>
      </c>
      <c r="E57" s="44">
        <v>1</v>
      </c>
      <c r="F57" s="44">
        <v>2</v>
      </c>
      <c r="G57" s="45">
        <v>735</v>
      </c>
      <c r="H57" s="44">
        <v>20</v>
      </c>
      <c r="I57" s="44">
        <v>355</v>
      </c>
      <c r="J57" s="44">
        <v>170</v>
      </c>
      <c r="K57" s="43">
        <f t="shared" si="17"/>
        <v>23.095264500388154</v>
      </c>
      <c r="L57" s="57">
        <f t="shared" si="18"/>
        <v>92</v>
      </c>
      <c r="M57" s="48">
        <f t="shared" si="19"/>
        <v>92</v>
      </c>
      <c r="N57" s="48">
        <f t="shared" si="20"/>
        <v>92</v>
      </c>
      <c r="O57" s="47">
        <f t="shared" si="21"/>
        <v>-44.5</v>
      </c>
      <c r="P57" s="48">
        <f t="shared" si="22"/>
        <v>0</v>
      </c>
      <c r="Q57" s="49">
        <f t="shared" si="23"/>
        <v>44.5</v>
      </c>
      <c r="R57" s="59">
        <f t="shared" si="24"/>
        <v>127</v>
      </c>
      <c r="S57" s="60">
        <f t="shared" si="25"/>
        <v>-36</v>
      </c>
      <c r="T57" s="60">
        <f t="shared" si="26"/>
        <v>127</v>
      </c>
      <c r="U57" s="62">
        <f t="shared" si="27"/>
        <v>36</v>
      </c>
      <c r="V57" s="53">
        <f t="shared" si="28"/>
        <v>-23.095264500388154</v>
      </c>
      <c r="W57" s="54">
        <f t="shared" si="29"/>
        <v>-23.095264500388154</v>
      </c>
      <c r="X57" s="54">
        <f t="shared" si="30"/>
        <v>-23.095264500388154</v>
      </c>
      <c r="Y57" s="55">
        <f t="shared" si="31"/>
        <v>0</v>
      </c>
      <c r="Z57" s="55">
        <f t="shared" si="32"/>
        <v>0</v>
      </c>
      <c r="AA57" s="56">
        <f t="shared" si="33"/>
        <v>0</v>
      </c>
      <c r="AB57" s="9"/>
      <c r="AC57" s="46">
        <f>110-18+K57</f>
        <v>115.09526450038815</v>
      </c>
      <c r="AD57" s="48">
        <v>0</v>
      </c>
      <c r="AE57" s="47">
        <f>110-18+K57</f>
        <v>115.09526450038815</v>
      </c>
      <c r="AF57" s="48">
        <v>0</v>
      </c>
      <c r="AG57" s="47">
        <f>110-18+K57</f>
        <v>115.09526450038815</v>
      </c>
      <c r="AH57" s="48">
        <v>0</v>
      </c>
      <c r="AI57" s="48">
        <v>-44</v>
      </c>
      <c r="AJ57" s="48">
        <v>-6</v>
      </c>
      <c r="AK57" s="48">
        <v>0</v>
      </c>
      <c r="AL57" s="48">
        <v>0</v>
      </c>
      <c r="AM57" s="48">
        <v>44</v>
      </c>
      <c r="AN57" s="58">
        <v>6</v>
      </c>
      <c r="AO57" s="9"/>
      <c r="AP57" s="59">
        <f>110+17</f>
        <v>127</v>
      </c>
      <c r="AQ57" s="60">
        <v>0</v>
      </c>
      <c r="AR57" s="60">
        <v>-36</v>
      </c>
      <c r="AS57" s="60">
        <v>0</v>
      </c>
      <c r="AT57" s="60">
        <v>127</v>
      </c>
      <c r="AU57" s="60">
        <v>0</v>
      </c>
      <c r="AV57" s="60">
        <v>36</v>
      </c>
      <c r="AW57" s="62">
        <v>0</v>
      </c>
      <c r="AX57" s="9"/>
      <c r="AY57" s="63"/>
      <c r="AZ57" s="15"/>
      <c r="BA57" s="63"/>
      <c r="BB57" s="15"/>
      <c r="BC57" s="63"/>
      <c r="BD57" s="15"/>
      <c r="BE57" s="15"/>
      <c r="BF57" s="15"/>
      <c r="BG57" s="15"/>
      <c r="BH57" s="15"/>
      <c r="BI57" s="15"/>
      <c r="BJ57" s="15"/>
      <c r="BK57" s="9"/>
      <c r="BL57" s="9"/>
      <c r="BM57" s="9"/>
      <c r="BN57" s="9"/>
      <c r="BO57" s="9"/>
      <c r="BP57" s="9"/>
      <c r="BQ57" s="9"/>
      <c r="BR57" s="9"/>
      <c r="BS57" s="9"/>
    </row>
    <row r="58" spans="1:71" ht="18.75" customHeight="1" x14ac:dyDescent="0.3">
      <c r="A58" s="42" t="s">
        <v>347</v>
      </c>
      <c r="B58" t="s">
        <v>228</v>
      </c>
      <c r="E58" s="44">
        <v>1</v>
      </c>
      <c r="F58" s="44">
        <v>2</v>
      </c>
      <c r="G58" s="45">
        <v>735</v>
      </c>
      <c r="H58" s="44">
        <v>20</v>
      </c>
      <c r="I58" s="44">
        <v>355</v>
      </c>
      <c r="J58" s="44">
        <v>170</v>
      </c>
      <c r="K58" s="43">
        <f t="shared" si="17"/>
        <v>23.095264500388154</v>
      </c>
      <c r="L58" s="46">
        <f t="shared" si="18"/>
        <v>86.904735499611846</v>
      </c>
      <c r="M58" s="47">
        <f t="shared" si="19"/>
        <v>86.904735499611846</v>
      </c>
      <c r="N58" s="47">
        <f t="shared" si="20"/>
        <v>86.904735499611846</v>
      </c>
      <c r="O58" s="48">
        <f t="shared" si="21"/>
        <v>-45</v>
      </c>
      <c r="P58" s="48">
        <f t="shared" si="22"/>
        <v>0</v>
      </c>
      <c r="Q58" s="58">
        <f t="shared" si="23"/>
        <v>45</v>
      </c>
      <c r="R58" s="50">
        <f t="shared" si="24"/>
        <v>138.66666666666666</v>
      </c>
      <c r="S58" s="60">
        <f t="shared" si="25"/>
        <v>-50</v>
      </c>
      <c r="T58" s="51">
        <f t="shared" si="26"/>
        <v>138.66666666666666</v>
      </c>
      <c r="U58" s="62">
        <f t="shared" si="27"/>
        <v>50</v>
      </c>
      <c r="V58" s="53">
        <f t="shared" si="28"/>
        <v>-23.095264500388154</v>
      </c>
      <c r="W58" s="54">
        <f t="shared" si="29"/>
        <v>-23.095264500388154</v>
      </c>
      <c r="X58" s="54">
        <f t="shared" si="30"/>
        <v>-23.095264500388154</v>
      </c>
      <c r="Y58" s="55">
        <f t="shared" si="31"/>
        <v>0</v>
      </c>
      <c r="Z58" s="55">
        <f t="shared" si="32"/>
        <v>0</v>
      </c>
      <c r="AA58" s="56">
        <f t="shared" si="33"/>
        <v>0</v>
      </c>
      <c r="AB58" s="9"/>
      <c r="AC58" s="57">
        <v>110</v>
      </c>
      <c r="AD58" s="48">
        <v>0</v>
      </c>
      <c r="AE58" s="48">
        <v>110</v>
      </c>
      <c r="AF58" s="48">
        <v>0</v>
      </c>
      <c r="AG58" s="48">
        <v>110</v>
      </c>
      <c r="AH58" s="48">
        <v>0</v>
      </c>
      <c r="AI58" s="48">
        <v>-45</v>
      </c>
      <c r="AJ58" s="48">
        <v>0</v>
      </c>
      <c r="AK58" s="48">
        <v>0</v>
      </c>
      <c r="AL58" s="48">
        <v>0</v>
      </c>
      <c r="AM58" s="48">
        <v>45</v>
      </c>
      <c r="AN58" s="58">
        <v>0</v>
      </c>
      <c r="AO58" s="9"/>
      <c r="AP58" s="59">
        <f>110+28</f>
        <v>138</v>
      </c>
      <c r="AQ58" s="60">
        <v>8</v>
      </c>
      <c r="AR58" s="60">
        <v>-50</v>
      </c>
      <c r="AS58" s="60">
        <v>0</v>
      </c>
      <c r="AT58" s="60">
        <v>138</v>
      </c>
      <c r="AU58" s="60">
        <v>8</v>
      </c>
      <c r="AV58" s="60">
        <v>50</v>
      </c>
      <c r="AW58" s="62">
        <v>0</v>
      </c>
      <c r="AX58" s="9"/>
      <c r="AY58" s="63"/>
      <c r="AZ58" s="15"/>
      <c r="BA58" s="63"/>
      <c r="BB58" s="15"/>
      <c r="BC58" s="63"/>
      <c r="BD58" s="15"/>
      <c r="BE58" s="15"/>
      <c r="BF58" s="15"/>
      <c r="BG58" s="15"/>
      <c r="BH58" s="15"/>
      <c r="BI58" s="15"/>
      <c r="BJ58" s="15"/>
      <c r="BK58" s="9"/>
      <c r="BL58" s="9"/>
      <c r="BM58" s="9"/>
      <c r="BN58" s="9"/>
      <c r="BO58" s="9"/>
      <c r="BP58" s="9"/>
      <c r="BQ58" s="9"/>
      <c r="BR58" s="9"/>
      <c r="BS58" s="9"/>
    </row>
    <row r="59" spans="1:71" ht="18.75" customHeight="1" x14ac:dyDescent="0.3">
      <c r="A59" s="42" t="s">
        <v>348</v>
      </c>
      <c r="B59" t="s">
        <v>228</v>
      </c>
      <c r="E59" s="44">
        <v>1</v>
      </c>
      <c r="F59" s="44">
        <v>2</v>
      </c>
      <c r="G59" s="45">
        <v>735</v>
      </c>
      <c r="H59" s="44">
        <v>20</v>
      </c>
      <c r="I59" s="44">
        <v>355</v>
      </c>
      <c r="J59" s="44">
        <v>170</v>
      </c>
      <c r="K59" s="43">
        <f t="shared" si="17"/>
        <v>23.095264500388154</v>
      </c>
      <c r="L59" s="57">
        <f t="shared" si="18"/>
        <v>135</v>
      </c>
      <c r="M59" s="48">
        <f t="shared" si="19"/>
        <v>135</v>
      </c>
      <c r="N59" s="48">
        <f t="shared" si="20"/>
        <v>135</v>
      </c>
      <c r="O59" s="47">
        <f t="shared" si="21"/>
        <v>-41.833333333333336</v>
      </c>
      <c r="P59" s="48">
        <f t="shared" si="22"/>
        <v>0</v>
      </c>
      <c r="Q59" s="49">
        <f t="shared" si="23"/>
        <v>41.833333333333336</v>
      </c>
      <c r="R59" s="59">
        <f t="shared" si="24"/>
        <v>175</v>
      </c>
      <c r="S59" s="60">
        <f t="shared" si="25"/>
        <v>-30</v>
      </c>
      <c r="T59" s="60">
        <f t="shared" si="26"/>
        <v>175</v>
      </c>
      <c r="U59" s="62">
        <f t="shared" si="27"/>
        <v>30</v>
      </c>
      <c r="V59" s="53">
        <f t="shared" si="28"/>
        <v>-23.095264500388154</v>
      </c>
      <c r="W59" s="54">
        <f t="shared" si="29"/>
        <v>-23.095264500388154</v>
      </c>
      <c r="X59" s="54">
        <f t="shared" si="30"/>
        <v>-23.095264500388154</v>
      </c>
      <c r="Y59" s="55">
        <f t="shared" si="31"/>
        <v>0</v>
      </c>
      <c r="Z59" s="55">
        <f t="shared" si="32"/>
        <v>0</v>
      </c>
      <c r="AA59" s="56">
        <f t="shared" si="33"/>
        <v>0</v>
      </c>
      <c r="AB59" s="9"/>
      <c r="AC59" s="46">
        <f>135+K59</f>
        <v>158.09526450038817</v>
      </c>
      <c r="AD59" s="48">
        <v>0</v>
      </c>
      <c r="AE59" s="47">
        <f>135+K59</f>
        <v>158.09526450038817</v>
      </c>
      <c r="AF59" s="48">
        <v>0</v>
      </c>
      <c r="AG59" s="47">
        <f>135+K59</f>
        <v>158.09526450038817</v>
      </c>
      <c r="AH59" s="48">
        <v>0</v>
      </c>
      <c r="AI59" s="48">
        <v>-41</v>
      </c>
      <c r="AJ59" s="48">
        <v>-10</v>
      </c>
      <c r="AK59" s="48">
        <v>0</v>
      </c>
      <c r="AL59" s="48">
        <v>0</v>
      </c>
      <c r="AM59" s="48">
        <v>41</v>
      </c>
      <c r="AN59" s="58">
        <v>10</v>
      </c>
      <c r="AO59" s="9"/>
      <c r="AP59" s="59">
        <f>135+40</f>
        <v>175</v>
      </c>
      <c r="AQ59" s="60">
        <v>0</v>
      </c>
      <c r="AR59" s="60">
        <v>-30</v>
      </c>
      <c r="AS59" s="60">
        <v>0</v>
      </c>
      <c r="AT59" s="60">
        <v>175</v>
      </c>
      <c r="AU59" s="60">
        <v>0</v>
      </c>
      <c r="AV59" s="60">
        <v>30</v>
      </c>
      <c r="AW59" s="62">
        <v>0</v>
      </c>
      <c r="AX59" s="9"/>
      <c r="AY59" s="63"/>
      <c r="AZ59" s="15"/>
      <c r="BA59" s="63"/>
      <c r="BB59" s="15"/>
      <c r="BC59" s="63"/>
      <c r="BD59" s="15"/>
      <c r="BE59" s="15"/>
      <c r="BF59" s="15"/>
      <c r="BG59" s="15"/>
      <c r="BH59" s="15"/>
      <c r="BI59" s="15"/>
      <c r="BJ59" s="15"/>
      <c r="BK59" s="9"/>
      <c r="BL59" s="9"/>
      <c r="BM59" s="9"/>
      <c r="BN59" s="9"/>
      <c r="BO59" s="9"/>
      <c r="BP59" s="9"/>
      <c r="BQ59" s="9"/>
      <c r="BR59" s="9"/>
      <c r="BS59" s="9"/>
    </row>
    <row r="60" spans="1:71" ht="18.75" customHeight="1" x14ac:dyDescent="0.3">
      <c r="A60" s="42" t="s">
        <v>349</v>
      </c>
      <c r="B60" t="s">
        <v>261</v>
      </c>
      <c r="E60" s="44">
        <v>1</v>
      </c>
      <c r="F60" s="44">
        <v>2</v>
      </c>
      <c r="G60" s="45">
        <v>735</v>
      </c>
      <c r="H60" s="44">
        <v>20</v>
      </c>
      <c r="I60" s="44">
        <v>355</v>
      </c>
      <c r="J60" s="44">
        <v>170</v>
      </c>
      <c r="K60" s="43">
        <f t="shared" si="17"/>
        <v>23.095264500388154</v>
      </c>
      <c r="L60" s="46">
        <f t="shared" si="18"/>
        <v>100.90473549961185</v>
      </c>
      <c r="M60" s="47">
        <f t="shared" si="19"/>
        <v>100.90473549961185</v>
      </c>
      <c r="N60" s="47">
        <f t="shared" si="20"/>
        <v>100.90473549961185</v>
      </c>
      <c r="O60" s="47">
        <f t="shared" si="21"/>
        <v>-39.333333333333336</v>
      </c>
      <c r="P60" s="48">
        <f t="shared" si="22"/>
        <v>0</v>
      </c>
      <c r="Q60" s="49">
        <f t="shared" si="23"/>
        <v>39.333333333333336</v>
      </c>
      <c r="R60" s="59">
        <f t="shared" si="24"/>
        <v>145</v>
      </c>
      <c r="S60" s="60">
        <f t="shared" si="25"/>
        <v>-66</v>
      </c>
      <c r="T60" s="60">
        <f t="shared" si="26"/>
        <v>145</v>
      </c>
      <c r="U60" s="62">
        <f t="shared" si="27"/>
        <v>66</v>
      </c>
      <c r="V60" s="53">
        <f t="shared" si="28"/>
        <v>-23.095264500388154</v>
      </c>
      <c r="W60" s="54">
        <f t="shared" si="29"/>
        <v>-23.095264500388154</v>
      </c>
      <c r="X60" s="54">
        <f t="shared" si="30"/>
        <v>-23.095264500388154</v>
      </c>
      <c r="Y60" s="55">
        <f t="shared" si="31"/>
        <v>0</v>
      </c>
      <c r="Z60" s="55">
        <f t="shared" si="32"/>
        <v>0</v>
      </c>
      <c r="AA60" s="56">
        <f t="shared" si="33"/>
        <v>0</v>
      </c>
      <c r="AB60" s="9"/>
      <c r="AC60" s="57">
        <f>145-21</f>
        <v>124</v>
      </c>
      <c r="AD60" s="48">
        <v>0</v>
      </c>
      <c r="AE60" s="48">
        <v>124</v>
      </c>
      <c r="AF60" s="48">
        <v>0</v>
      </c>
      <c r="AG60" s="48">
        <v>124</v>
      </c>
      <c r="AH60" s="48">
        <v>0</v>
      </c>
      <c r="AI60" s="48">
        <v>-39</v>
      </c>
      <c r="AJ60" s="48">
        <v>-4</v>
      </c>
      <c r="AK60" s="48">
        <v>0</v>
      </c>
      <c r="AL60" s="48">
        <v>0</v>
      </c>
      <c r="AM60" s="48">
        <v>39</v>
      </c>
      <c r="AN60" s="58">
        <v>4</v>
      </c>
      <c r="AO60" s="9"/>
      <c r="AP60" s="59">
        <v>145</v>
      </c>
      <c r="AQ60" s="60">
        <v>0</v>
      </c>
      <c r="AR60" s="60">
        <v>-66</v>
      </c>
      <c r="AS60" s="60">
        <v>0</v>
      </c>
      <c r="AT60" s="60">
        <v>145</v>
      </c>
      <c r="AU60" s="60">
        <v>0</v>
      </c>
      <c r="AV60" s="60">
        <v>66</v>
      </c>
      <c r="AW60" s="62">
        <v>0</v>
      </c>
      <c r="AX60" s="9"/>
      <c r="AY60" s="63"/>
      <c r="AZ60" s="15"/>
      <c r="BA60" s="63"/>
      <c r="BB60" s="15"/>
      <c r="BC60" s="63"/>
      <c r="BD60" s="15"/>
      <c r="BE60" s="15"/>
      <c r="BF60" s="15"/>
      <c r="BG60" s="15"/>
      <c r="BH60" s="15"/>
      <c r="BI60" s="15"/>
      <c r="BJ60" s="15"/>
      <c r="BK60" s="9"/>
      <c r="BL60" s="9"/>
      <c r="BM60" s="9"/>
      <c r="BN60" s="9"/>
      <c r="BO60" s="9"/>
      <c r="BP60" s="9"/>
      <c r="BQ60" s="9"/>
      <c r="BR60" s="9"/>
      <c r="BS60" s="9"/>
    </row>
    <row r="61" spans="1:71" ht="18.75" customHeight="1" x14ac:dyDescent="0.3">
      <c r="A61" s="42" t="s">
        <v>350</v>
      </c>
      <c r="B61" t="s">
        <v>279</v>
      </c>
      <c r="E61" s="44">
        <v>1</v>
      </c>
      <c r="F61" s="44">
        <v>2</v>
      </c>
      <c r="G61" s="45">
        <v>735</v>
      </c>
      <c r="H61" s="44">
        <v>20</v>
      </c>
      <c r="I61" s="44">
        <v>355</v>
      </c>
      <c r="J61" s="44">
        <v>170</v>
      </c>
      <c r="K61" s="43">
        <f t="shared" si="17"/>
        <v>23.095264500388154</v>
      </c>
      <c r="L61" s="57">
        <f t="shared" si="18"/>
        <v>131</v>
      </c>
      <c r="M61" s="48">
        <f t="shared" si="19"/>
        <v>131</v>
      </c>
      <c r="N61" s="48">
        <f t="shared" si="20"/>
        <v>131</v>
      </c>
      <c r="O61" s="48">
        <f t="shared" si="21"/>
        <v>-50</v>
      </c>
      <c r="P61" s="48">
        <f t="shared" si="22"/>
        <v>0</v>
      </c>
      <c r="Q61" s="58">
        <f t="shared" si="23"/>
        <v>50</v>
      </c>
      <c r="R61" s="59">
        <f t="shared" si="24"/>
        <v>175</v>
      </c>
      <c r="S61" s="60">
        <f t="shared" si="25"/>
        <v>-30</v>
      </c>
      <c r="T61" s="60">
        <f t="shared" si="26"/>
        <v>175</v>
      </c>
      <c r="U61" s="62">
        <f t="shared" si="27"/>
        <v>30</v>
      </c>
      <c r="V61" s="53">
        <f t="shared" si="28"/>
        <v>-23.095264500388154</v>
      </c>
      <c r="W61" s="54">
        <f t="shared" si="29"/>
        <v>-23.095264500388154</v>
      </c>
      <c r="X61" s="54">
        <f t="shared" si="30"/>
        <v>-23.095264500388154</v>
      </c>
      <c r="Y61" s="55">
        <f t="shared" si="31"/>
        <v>0</v>
      </c>
      <c r="Z61" s="55">
        <f t="shared" si="32"/>
        <v>0</v>
      </c>
      <c r="AA61" s="56">
        <f t="shared" si="33"/>
        <v>0</v>
      </c>
      <c r="AB61" s="9"/>
      <c r="AC61" s="46">
        <f>175-44+K61</f>
        <v>154.09526450038817</v>
      </c>
      <c r="AD61" s="48">
        <v>0</v>
      </c>
      <c r="AE61" s="47">
        <f>175-44+K61</f>
        <v>154.09526450038817</v>
      </c>
      <c r="AF61" s="48">
        <v>0</v>
      </c>
      <c r="AG61" s="47">
        <f>175-44+K61</f>
        <v>154.09526450038817</v>
      </c>
      <c r="AH61" s="48">
        <v>0</v>
      </c>
      <c r="AI61" s="48">
        <v>-50</v>
      </c>
      <c r="AJ61" s="48">
        <v>0</v>
      </c>
      <c r="AK61" s="48">
        <v>0</v>
      </c>
      <c r="AL61" s="48">
        <v>0</v>
      </c>
      <c r="AM61" s="48">
        <v>50</v>
      </c>
      <c r="AN61" s="58">
        <v>0</v>
      </c>
      <c r="AO61" s="9"/>
      <c r="AP61" s="59">
        <v>175</v>
      </c>
      <c r="AQ61" s="60">
        <v>0</v>
      </c>
      <c r="AR61" s="60">
        <v>-30</v>
      </c>
      <c r="AS61" s="60">
        <v>0</v>
      </c>
      <c r="AT61" s="60">
        <v>175</v>
      </c>
      <c r="AU61" s="60">
        <v>0</v>
      </c>
      <c r="AV61" s="60">
        <v>30</v>
      </c>
      <c r="AW61" s="62">
        <v>0</v>
      </c>
      <c r="AX61" s="9"/>
      <c r="AY61" s="63"/>
      <c r="AZ61" s="15"/>
      <c r="BA61" s="63"/>
      <c r="BB61" s="15"/>
      <c r="BC61" s="63"/>
      <c r="BD61" s="15"/>
      <c r="BE61" s="15"/>
      <c r="BF61" s="15"/>
      <c r="BG61" s="15"/>
      <c r="BH61" s="15"/>
      <c r="BI61" s="15"/>
      <c r="BJ61" s="15"/>
      <c r="BK61" s="9"/>
      <c r="BL61" s="9"/>
      <c r="BM61" s="9"/>
      <c r="BN61" s="9"/>
      <c r="BO61" s="9"/>
      <c r="BP61" s="9"/>
      <c r="BQ61" s="9"/>
      <c r="BR61" s="9"/>
      <c r="BS61" s="9"/>
    </row>
    <row r="62" spans="1:71" ht="18.75" customHeight="1" x14ac:dyDescent="0.3">
      <c r="A62" s="42" t="s">
        <v>351</v>
      </c>
      <c r="B62" t="s">
        <v>352</v>
      </c>
      <c r="E62" s="44">
        <v>1</v>
      </c>
      <c r="F62" s="44">
        <v>2</v>
      </c>
      <c r="G62" s="45">
        <v>735</v>
      </c>
      <c r="H62" s="44">
        <v>20</v>
      </c>
      <c r="I62" s="44">
        <v>355</v>
      </c>
      <c r="J62" s="44">
        <v>170</v>
      </c>
      <c r="K62" s="43">
        <f t="shared" si="17"/>
        <v>23.095264500388154</v>
      </c>
      <c r="L62" s="46">
        <f t="shared" si="18"/>
        <v>110.00000000000001</v>
      </c>
      <c r="M62" s="47">
        <f t="shared" si="19"/>
        <v>110.00000000000001</v>
      </c>
      <c r="N62" s="47">
        <f t="shared" si="20"/>
        <v>110.00000000000001</v>
      </c>
      <c r="O62" s="47">
        <f t="shared" si="21"/>
        <v>-39.333333333333336</v>
      </c>
      <c r="P62" s="48">
        <f t="shared" si="22"/>
        <v>0</v>
      </c>
      <c r="Q62" s="49">
        <f t="shared" si="23"/>
        <v>39.333333333333336</v>
      </c>
      <c r="R62" s="59">
        <f t="shared" si="24"/>
        <v>150</v>
      </c>
      <c r="S62" s="60">
        <f t="shared" si="25"/>
        <v>-30</v>
      </c>
      <c r="T62" s="60">
        <f t="shared" si="26"/>
        <v>150</v>
      </c>
      <c r="U62" s="62">
        <f t="shared" si="27"/>
        <v>30</v>
      </c>
      <c r="V62" s="53">
        <f t="shared" si="28"/>
        <v>-23.095264500388154</v>
      </c>
      <c r="W62" s="54">
        <f t="shared" si="29"/>
        <v>-23.095264500388154</v>
      </c>
      <c r="X62" s="54">
        <f t="shared" si="30"/>
        <v>-23.095264500388154</v>
      </c>
      <c r="Y62" s="55">
        <f t="shared" si="31"/>
        <v>0</v>
      </c>
      <c r="Z62" s="55">
        <f t="shared" si="32"/>
        <v>0</v>
      </c>
      <c r="AA62" s="56">
        <f t="shared" si="33"/>
        <v>0</v>
      </c>
      <c r="AB62" s="9"/>
      <c r="AC62" s="46">
        <f>110+K62</f>
        <v>133.09526450038817</v>
      </c>
      <c r="AD62" s="48">
        <v>0</v>
      </c>
      <c r="AE62" s="47">
        <f>110+K62</f>
        <v>133.09526450038817</v>
      </c>
      <c r="AF62" s="48">
        <v>0</v>
      </c>
      <c r="AG62" s="47">
        <f>110+K62</f>
        <v>133.09526450038817</v>
      </c>
      <c r="AH62" s="48">
        <v>0</v>
      </c>
      <c r="AI62" s="48">
        <v>-39</v>
      </c>
      <c r="AJ62" s="48">
        <v>-4</v>
      </c>
      <c r="AK62" s="48">
        <v>0</v>
      </c>
      <c r="AL62" s="48">
        <v>0</v>
      </c>
      <c r="AM62" s="48">
        <v>39</v>
      </c>
      <c r="AN62" s="58">
        <v>4</v>
      </c>
      <c r="AO62" s="9"/>
      <c r="AP62" s="59">
        <v>150</v>
      </c>
      <c r="AQ62" s="60">
        <v>0</v>
      </c>
      <c r="AR62" s="60">
        <v>-30</v>
      </c>
      <c r="AS62" s="60">
        <v>0</v>
      </c>
      <c r="AT62" s="60">
        <v>150</v>
      </c>
      <c r="AU62" s="60">
        <v>0</v>
      </c>
      <c r="AV62" s="60">
        <v>30</v>
      </c>
      <c r="AW62" s="62">
        <v>0</v>
      </c>
      <c r="AX62" s="9"/>
      <c r="AY62" s="63"/>
      <c r="AZ62" s="15"/>
      <c r="BA62" s="63"/>
      <c r="BB62" s="15"/>
      <c r="BC62" s="63"/>
      <c r="BD62" s="15"/>
      <c r="BE62" s="15"/>
      <c r="BF62" s="15"/>
      <c r="BG62" s="15"/>
      <c r="BH62" s="15"/>
      <c r="BI62" s="15"/>
      <c r="BJ62" s="15"/>
      <c r="BK62" s="9"/>
      <c r="BL62" s="9"/>
      <c r="BM62" s="9"/>
      <c r="BN62" s="9"/>
      <c r="BO62" s="9"/>
      <c r="BP62" s="9"/>
      <c r="BQ62" s="9"/>
      <c r="BR62" s="9"/>
      <c r="BS62" s="9"/>
    </row>
    <row r="63" spans="1:71" ht="18.75" customHeight="1" x14ac:dyDescent="0.3">
      <c r="A63" s="42" t="s">
        <v>353</v>
      </c>
      <c r="E63" s="69"/>
      <c r="F63" s="69"/>
      <c r="G63" s="45">
        <v>735</v>
      </c>
      <c r="H63" s="44">
        <v>20</v>
      </c>
      <c r="I63" s="44">
        <v>355</v>
      </c>
      <c r="J63" s="44">
        <v>170</v>
      </c>
      <c r="K63" s="43">
        <f t="shared" si="17"/>
        <v>23.095264500388154</v>
      </c>
      <c r="L63" s="46">
        <f t="shared" si="18"/>
        <v>-23.095264500388154</v>
      </c>
      <c r="M63" s="47">
        <f t="shared" si="19"/>
        <v>-23.095264500388154</v>
      </c>
      <c r="N63" s="47">
        <f t="shared" si="20"/>
        <v>-23.095264500388154</v>
      </c>
      <c r="O63" s="48">
        <f t="shared" si="21"/>
        <v>0</v>
      </c>
      <c r="P63" s="48">
        <f t="shared" si="22"/>
        <v>0</v>
      </c>
      <c r="Q63" s="58">
        <f t="shared" si="23"/>
        <v>0</v>
      </c>
      <c r="R63" s="59">
        <f t="shared" si="24"/>
        <v>0</v>
      </c>
      <c r="S63" s="60">
        <f t="shared" si="25"/>
        <v>0</v>
      </c>
      <c r="T63" s="60">
        <f t="shared" si="26"/>
        <v>0</v>
      </c>
      <c r="U63" s="62">
        <f t="shared" si="27"/>
        <v>0</v>
      </c>
      <c r="V63" s="53">
        <f t="shared" si="28"/>
        <v>-23.095264500388154</v>
      </c>
      <c r="W63" s="54">
        <f t="shared" si="29"/>
        <v>-23.095264500388154</v>
      </c>
      <c r="X63" s="54">
        <f t="shared" si="30"/>
        <v>-23.095264500388154</v>
      </c>
      <c r="Y63" s="55">
        <f t="shared" si="31"/>
        <v>0</v>
      </c>
      <c r="Z63" s="55">
        <f t="shared" si="32"/>
        <v>0</v>
      </c>
      <c r="AA63" s="56">
        <f t="shared" si="33"/>
        <v>0</v>
      </c>
      <c r="AB63" s="9"/>
      <c r="AC63" s="63"/>
      <c r="AD63" s="15"/>
      <c r="AE63" s="63"/>
      <c r="AF63" s="15"/>
      <c r="AG63" s="63"/>
      <c r="AH63" s="15"/>
      <c r="AI63" s="15"/>
      <c r="AJ63" s="15"/>
      <c r="AK63" s="15"/>
      <c r="AL63" s="15"/>
      <c r="AM63" s="15"/>
      <c r="AN63" s="15"/>
      <c r="AO63" s="9"/>
      <c r="AP63" s="15"/>
      <c r="AQ63" s="15"/>
      <c r="AR63" s="15"/>
      <c r="AS63" s="15"/>
      <c r="AT63" s="15"/>
      <c r="AU63" s="15"/>
      <c r="AV63" s="15"/>
      <c r="AW63" s="15"/>
      <c r="AX63" s="9"/>
      <c r="AY63" s="63"/>
      <c r="AZ63" s="15"/>
      <c r="BA63" s="63"/>
      <c r="BB63" s="15"/>
      <c r="BC63" s="63"/>
      <c r="BD63" s="15"/>
      <c r="BE63" s="15"/>
      <c r="BF63" s="15"/>
      <c r="BG63" s="15"/>
      <c r="BH63" s="15"/>
      <c r="BI63" s="15"/>
      <c r="BJ63" s="15"/>
      <c r="BK63" s="9"/>
      <c r="BL63" s="9"/>
      <c r="BM63" s="9"/>
      <c r="BN63" s="9"/>
      <c r="BO63" s="9"/>
      <c r="BP63" s="9"/>
      <c r="BQ63" s="9"/>
      <c r="BR63" s="9"/>
      <c r="BS63" s="9"/>
    </row>
    <row r="64" spans="1:71" ht="18.75" customHeight="1" x14ac:dyDescent="0.3">
      <c r="A64" s="42" t="s">
        <v>354</v>
      </c>
      <c r="E64" s="69"/>
      <c r="F64" s="69"/>
      <c r="G64" s="45">
        <v>735</v>
      </c>
      <c r="H64" s="44">
        <v>20</v>
      </c>
      <c r="I64" s="44">
        <v>355</v>
      </c>
      <c r="J64" s="44">
        <v>170</v>
      </c>
      <c r="K64" s="43">
        <f t="shared" si="17"/>
        <v>23.095264500388154</v>
      </c>
      <c r="L64" s="46">
        <f t="shared" si="18"/>
        <v>-23.095264500388154</v>
      </c>
      <c r="M64" s="47">
        <f t="shared" si="19"/>
        <v>-23.095264500388154</v>
      </c>
      <c r="N64" s="47">
        <f t="shared" si="20"/>
        <v>-23.095264500388154</v>
      </c>
      <c r="O64" s="48">
        <f t="shared" si="21"/>
        <v>0</v>
      </c>
      <c r="P64" s="48">
        <f t="shared" si="22"/>
        <v>0</v>
      </c>
      <c r="Q64" s="58">
        <f t="shared" si="23"/>
        <v>0</v>
      </c>
      <c r="R64" s="59">
        <f t="shared" si="24"/>
        <v>0</v>
      </c>
      <c r="S64" s="60">
        <f t="shared" si="25"/>
        <v>0</v>
      </c>
      <c r="T64" s="60">
        <f t="shared" si="26"/>
        <v>0</v>
      </c>
      <c r="U64" s="62">
        <f t="shared" si="27"/>
        <v>0</v>
      </c>
      <c r="V64" s="53">
        <f t="shared" si="28"/>
        <v>-23.095264500388154</v>
      </c>
      <c r="W64" s="54">
        <f t="shared" si="29"/>
        <v>-23.095264500388154</v>
      </c>
      <c r="X64" s="54">
        <f t="shared" si="30"/>
        <v>-23.095264500388154</v>
      </c>
      <c r="Y64" s="55">
        <f t="shared" si="31"/>
        <v>0</v>
      </c>
      <c r="Z64" s="55">
        <f t="shared" si="32"/>
        <v>0</v>
      </c>
      <c r="AA64" s="56">
        <f t="shared" si="33"/>
        <v>0</v>
      </c>
      <c r="AB64" s="9"/>
      <c r="AC64" s="63"/>
      <c r="AD64" s="15"/>
      <c r="AE64" s="63"/>
      <c r="AF64" s="15"/>
      <c r="AG64" s="63"/>
      <c r="AH64" s="15"/>
      <c r="AI64" s="15"/>
      <c r="AJ64" s="15"/>
      <c r="AK64" s="15"/>
      <c r="AL64" s="15"/>
      <c r="AM64" s="15"/>
      <c r="AN64" s="15"/>
      <c r="AO64" s="9"/>
      <c r="AP64" s="15"/>
      <c r="AQ64" s="15"/>
      <c r="AR64" s="15"/>
      <c r="AS64" s="15"/>
      <c r="AT64" s="15"/>
      <c r="AU64" s="15"/>
      <c r="AV64" s="15"/>
      <c r="AW64" s="15"/>
      <c r="AX64" s="9"/>
      <c r="AY64" s="63"/>
      <c r="AZ64" s="15"/>
      <c r="BA64" s="63"/>
      <c r="BB64" s="15"/>
      <c r="BC64" s="63"/>
      <c r="BD64" s="15"/>
      <c r="BE64" s="15"/>
      <c r="BF64" s="15"/>
      <c r="BG64" s="15"/>
      <c r="BH64" s="15"/>
      <c r="BI64" s="15"/>
      <c r="BJ64" s="15"/>
      <c r="BK64" s="9"/>
      <c r="BL64" s="9"/>
      <c r="BM64" s="9"/>
      <c r="BN64" s="9"/>
      <c r="BO64" s="9"/>
      <c r="BP64" s="9"/>
      <c r="BQ64" s="9"/>
      <c r="BR64" s="9"/>
      <c r="BS6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1"/>
  <sheetViews>
    <sheetView workbookViewId="0">
      <selection activeCell="M1" sqref="M1"/>
    </sheetView>
  </sheetViews>
  <sheetFormatPr defaultRowHeight="14.4" x14ac:dyDescent="0.3"/>
  <cols>
    <col min="1" max="13" width="13.5546875" bestFit="1" customWidth="1"/>
  </cols>
  <sheetData>
    <row r="1" spans="1:13" ht="32.25" customHeight="1" x14ac:dyDescent="0.3">
      <c r="A1" s="19" t="s">
        <v>160</v>
      </c>
      <c r="B1" s="20" t="s">
        <v>161</v>
      </c>
      <c r="C1" s="20" t="s">
        <v>162</v>
      </c>
      <c r="D1" s="20" t="s">
        <v>8</v>
      </c>
      <c r="E1" s="20" t="s">
        <v>163</v>
      </c>
      <c r="F1" s="19" t="s">
        <v>164</v>
      </c>
      <c r="G1" t="s">
        <v>165</v>
      </c>
      <c r="H1" s="7" t="s">
        <v>166</v>
      </c>
      <c r="I1" t="s">
        <v>167</v>
      </c>
      <c r="J1" s="7" t="s">
        <v>168</v>
      </c>
      <c r="K1" s="21" t="s">
        <v>169</v>
      </c>
      <c r="L1" s="19" t="s">
        <v>170</v>
      </c>
      <c r="M1" s="7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56"/>
  <sheetViews>
    <sheetView workbookViewId="0"/>
  </sheetViews>
  <sheetFormatPr defaultRowHeight="14.4" x14ac:dyDescent="0.3"/>
  <cols>
    <col min="1" max="1" width="13.5546875" style="17" bestFit="1" customWidth="1"/>
    <col min="2" max="2" width="14.6640625" style="5" bestFit="1" customWidth="1"/>
    <col min="3" max="3" width="11.109375" style="5" bestFit="1" customWidth="1"/>
    <col min="4" max="4" width="34.6640625" style="5" bestFit="1" customWidth="1"/>
    <col min="5" max="5" width="11.6640625" style="18" bestFit="1" customWidth="1"/>
    <col min="6" max="10" width="13.5546875" style="5" bestFit="1" customWidth="1"/>
  </cols>
  <sheetData>
    <row r="1" spans="1:10" s="5" customFormat="1" ht="32.25" customHeight="1" x14ac:dyDescent="0.3">
      <c r="A1" s="6" t="s">
        <v>7</v>
      </c>
      <c r="B1" s="7" t="s">
        <v>8</v>
      </c>
      <c r="C1" s="8" t="s">
        <v>9</v>
      </c>
      <c r="D1" s="7" t="s">
        <v>10</v>
      </c>
      <c r="E1" s="6" t="s">
        <v>11</v>
      </c>
      <c r="F1" s="9"/>
      <c r="G1" s="9"/>
      <c r="H1" s="9"/>
      <c r="I1" s="9"/>
      <c r="J1" s="9"/>
    </row>
    <row r="2" spans="1:10" s="5" customFormat="1" ht="18.75" customHeight="1" x14ac:dyDescent="0.3">
      <c r="A2" s="10">
        <v>1</v>
      </c>
      <c r="B2" s="9" t="s">
        <v>12</v>
      </c>
      <c r="C2" s="11" t="s">
        <v>13</v>
      </c>
      <c r="D2" s="12" t="s">
        <v>14</v>
      </c>
      <c r="E2" s="13">
        <v>4</v>
      </c>
      <c r="F2" s="9"/>
      <c r="G2" s="9"/>
      <c r="H2" s="9"/>
      <c r="I2" s="9"/>
      <c r="J2" s="9"/>
    </row>
    <row r="3" spans="1:10" s="5" customFormat="1" ht="18.75" customHeight="1" x14ac:dyDescent="0.3">
      <c r="A3" s="10">
        <v>2</v>
      </c>
      <c r="B3" s="9" t="s">
        <v>15</v>
      </c>
      <c r="C3" s="11" t="s">
        <v>16</v>
      </c>
      <c r="D3" s="12" t="s">
        <v>17</v>
      </c>
      <c r="E3" s="13">
        <v>0</v>
      </c>
      <c r="F3" s="9"/>
      <c r="G3" s="9"/>
      <c r="H3" s="9"/>
      <c r="I3" s="9"/>
      <c r="J3" s="9"/>
    </row>
    <row r="4" spans="1:10" s="5" customFormat="1" ht="32.25" customHeight="1" x14ac:dyDescent="0.3">
      <c r="A4" s="10">
        <v>3</v>
      </c>
      <c r="B4" s="9" t="s">
        <v>18</v>
      </c>
      <c r="C4" s="11" t="s">
        <v>19</v>
      </c>
      <c r="D4" s="12" t="s">
        <v>20</v>
      </c>
      <c r="E4" s="13">
        <v>5</v>
      </c>
      <c r="F4" s="9"/>
      <c r="G4" s="9"/>
      <c r="H4" s="9"/>
      <c r="I4" s="9"/>
      <c r="J4" s="9"/>
    </row>
    <row r="5" spans="1:10" s="5" customFormat="1" ht="32.25" customHeight="1" x14ac:dyDescent="0.3">
      <c r="A5" s="10">
        <v>4</v>
      </c>
      <c r="B5" s="9" t="s">
        <v>21</v>
      </c>
      <c r="C5" s="11" t="s">
        <v>22</v>
      </c>
      <c r="D5" s="12" t="s">
        <v>23</v>
      </c>
      <c r="E5" s="13">
        <v>6</v>
      </c>
      <c r="F5" s="9"/>
      <c r="G5" s="9"/>
      <c r="H5" s="9"/>
      <c r="I5" s="9"/>
      <c r="J5" s="9"/>
    </row>
    <row r="6" spans="1:10" s="5" customFormat="1" ht="18.75" customHeight="1" x14ac:dyDescent="0.3">
      <c r="A6" s="10">
        <v>5</v>
      </c>
      <c r="B6" s="9" t="s">
        <v>24</v>
      </c>
      <c r="C6" s="11" t="s">
        <v>25</v>
      </c>
      <c r="D6" s="12" t="s">
        <v>26</v>
      </c>
      <c r="E6" s="13">
        <v>3</v>
      </c>
      <c r="F6" s="9"/>
      <c r="G6" s="9"/>
      <c r="H6" s="9"/>
      <c r="I6" s="9"/>
      <c r="J6" s="9"/>
    </row>
    <row r="7" spans="1:10" s="5" customFormat="1" ht="32.25" customHeight="1" x14ac:dyDescent="0.3">
      <c r="A7" s="10">
        <v>6</v>
      </c>
      <c r="B7" s="9" t="s">
        <v>27</v>
      </c>
      <c r="C7" s="11" t="s">
        <v>28</v>
      </c>
      <c r="D7" s="12" t="s">
        <v>29</v>
      </c>
      <c r="E7" s="13">
        <v>7</v>
      </c>
      <c r="F7" s="9"/>
      <c r="G7" s="9"/>
      <c r="H7" s="9"/>
      <c r="I7" s="9"/>
      <c r="J7" s="9"/>
    </row>
    <row r="8" spans="1:10" s="5" customFormat="1" ht="18.75" customHeight="1" x14ac:dyDescent="0.3">
      <c r="A8" s="10">
        <v>7</v>
      </c>
      <c r="B8" s="9" t="s">
        <v>30</v>
      </c>
      <c r="C8" s="11" t="s">
        <v>31</v>
      </c>
      <c r="D8" s="12" t="s">
        <v>32</v>
      </c>
      <c r="E8" s="13">
        <v>3</v>
      </c>
      <c r="F8" s="9"/>
      <c r="G8" s="9"/>
      <c r="H8" s="9"/>
      <c r="I8" s="9"/>
      <c r="J8" s="9"/>
    </row>
    <row r="9" spans="1:10" s="5" customFormat="1" ht="18.75" customHeight="1" x14ac:dyDescent="0.3">
      <c r="A9" s="10">
        <v>8</v>
      </c>
      <c r="B9" s="9" t="s">
        <v>33</v>
      </c>
      <c r="C9" s="11" t="s">
        <v>34</v>
      </c>
      <c r="D9" s="12" t="s">
        <v>35</v>
      </c>
      <c r="E9" s="13">
        <v>3</v>
      </c>
      <c r="F9" s="9"/>
      <c r="G9" s="9"/>
      <c r="H9" s="9"/>
      <c r="I9" s="9"/>
      <c r="J9" s="9"/>
    </row>
    <row r="10" spans="1:10" s="5" customFormat="1" ht="18.75" customHeight="1" x14ac:dyDescent="0.3">
      <c r="A10" s="10">
        <v>9</v>
      </c>
      <c r="B10" s="9" t="s">
        <v>36</v>
      </c>
      <c r="C10" s="11" t="s">
        <v>37</v>
      </c>
      <c r="D10" s="12" t="s">
        <v>38</v>
      </c>
      <c r="E10" s="13">
        <v>2</v>
      </c>
      <c r="F10" s="9"/>
      <c r="G10" s="9"/>
      <c r="H10" s="14"/>
      <c r="I10" s="14"/>
      <c r="J10" s="14"/>
    </row>
    <row r="11" spans="1:10" s="5" customFormat="1" ht="32.25" customHeight="1" x14ac:dyDescent="0.3">
      <c r="A11" s="10">
        <v>10</v>
      </c>
      <c r="B11" s="9" t="s">
        <v>39</v>
      </c>
      <c r="C11" s="11" t="s">
        <v>40</v>
      </c>
      <c r="D11" s="12" t="s">
        <v>41</v>
      </c>
      <c r="E11" s="13">
        <v>5</v>
      </c>
      <c r="F11" s="9"/>
      <c r="G11" s="9"/>
      <c r="H11" s="9"/>
      <c r="I11" s="9"/>
      <c r="J11" s="9"/>
    </row>
    <row r="12" spans="1:10" s="5" customFormat="1" ht="18.75" customHeight="1" x14ac:dyDescent="0.3">
      <c r="A12" s="10">
        <v>11</v>
      </c>
      <c r="B12" s="9" t="s">
        <v>42</v>
      </c>
      <c r="C12" s="11" t="s">
        <v>43</v>
      </c>
      <c r="D12" s="12" t="s">
        <v>17</v>
      </c>
      <c r="E12" s="13">
        <v>0</v>
      </c>
      <c r="F12" s="9"/>
      <c r="G12" s="9"/>
      <c r="H12" s="9"/>
      <c r="I12" s="9"/>
      <c r="J12" s="9"/>
    </row>
    <row r="13" spans="1:10" s="5" customFormat="1" ht="32.25" customHeight="1" x14ac:dyDescent="0.3">
      <c r="A13" s="10">
        <v>12</v>
      </c>
      <c r="B13" s="9" t="s">
        <v>44</v>
      </c>
      <c r="C13" s="11" t="s">
        <v>45</v>
      </c>
      <c r="D13" s="12" t="s">
        <v>46</v>
      </c>
      <c r="E13" s="13">
        <v>6</v>
      </c>
      <c r="F13" s="9"/>
      <c r="G13" s="9"/>
      <c r="H13" s="9"/>
      <c r="I13" s="9"/>
      <c r="J13" s="9"/>
    </row>
    <row r="14" spans="1:10" s="5" customFormat="1" ht="32.25" customHeight="1" x14ac:dyDescent="0.3">
      <c r="A14" s="10">
        <v>13</v>
      </c>
      <c r="B14" s="9" t="s">
        <v>47</v>
      </c>
      <c r="C14" s="11" t="s">
        <v>48</v>
      </c>
      <c r="D14" s="12" t="s">
        <v>49</v>
      </c>
      <c r="E14" s="13">
        <v>6</v>
      </c>
      <c r="F14" s="9"/>
      <c r="G14" s="9"/>
      <c r="H14" s="9"/>
      <c r="I14" s="9"/>
      <c r="J14" s="9"/>
    </row>
    <row r="15" spans="1:10" s="5" customFormat="1" ht="18.75" customHeight="1" x14ac:dyDescent="0.3">
      <c r="A15" s="10">
        <v>14</v>
      </c>
      <c r="B15" s="9" t="s">
        <v>50</v>
      </c>
      <c r="C15" s="11" t="s">
        <v>51</v>
      </c>
      <c r="D15" s="12" t="s">
        <v>52</v>
      </c>
      <c r="E15" s="13">
        <v>4</v>
      </c>
      <c r="F15" s="9"/>
      <c r="G15" s="9"/>
      <c r="H15" s="9"/>
      <c r="I15" s="9"/>
      <c r="J15" s="9"/>
    </row>
    <row r="16" spans="1:10" s="5" customFormat="1" ht="32.25" customHeight="1" x14ac:dyDescent="0.3">
      <c r="A16" s="10">
        <v>15</v>
      </c>
      <c r="B16" s="9" t="s">
        <v>53</v>
      </c>
      <c r="C16" s="11" t="s">
        <v>54</v>
      </c>
      <c r="D16" s="12" t="s">
        <v>55</v>
      </c>
      <c r="E16" s="13">
        <v>6</v>
      </c>
      <c r="F16" s="9"/>
      <c r="G16" s="9"/>
      <c r="H16" s="9"/>
      <c r="I16" s="9"/>
      <c r="J16" s="9"/>
    </row>
    <row r="17" spans="1:10" s="5" customFormat="1" ht="29.4" customHeight="1" x14ac:dyDescent="0.3">
      <c r="A17" s="10">
        <v>16</v>
      </c>
      <c r="B17" s="9" t="s">
        <v>56</v>
      </c>
      <c r="C17" s="11" t="s">
        <v>57</v>
      </c>
      <c r="D17" s="12" t="s">
        <v>58</v>
      </c>
      <c r="E17" s="13">
        <v>4</v>
      </c>
      <c r="F17" s="9"/>
      <c r="G17" s="9"/>
      <c r="H17" s="9"/>
      <c r="I17" s="9"/>
      <c r="J17" s="9"/>
    </row>
    <row r="18" spans="1:10" s="5" customFormat="1" ht="18.75" customHeight="1" x14ac:dyDescent="0.3">
      <c r="A18" s="10">
        <v>17</v>
      </c>
      <c r="B18" s="9" t="s">
        <v>59</v>
      </c>
      <c r="C18" s="11" t="s">
        <v>60</v>
      </c>
      <c r="D18" s="12" t="s">
        <v>61</v>
      </c>
      <c r="E18" s="13">
        <v>7</v>
      </c>
      <c r="F18" s="9"/>
      <c r="G18" s="9"/>
      <c r="H18" s="9"/>
      <c r="I18" s="9"/>
      <c r="J18" s="9"/>
    </row>
    <row r="19" spans="1:10" s="5" customFormat="1" ht="18.75" customHeight="1" x14ac:dyDescent="0.3">
      <c r="A19" s="10">
        <v>18</v>
      </c>
      <c r="B19" s="9" t="s">
        <v>62</v>
      </c>
      <c r="C19" s="11" t="s">
        <v>63</v>
      </c>
      <c r="D19" s="12" t="s">
        <v>64</v>
      </c>
      <c r="E19" s="13">
        <v>3</v>
      </c>
      <c r="F19" s="9"/>
      <c r="G19" s="9"/>
      <c r="H19" s="9"/>
      <c r="I19" s="9"/>
      <c r="J19" s="9"/>
    </row>
    <row r="20" spans="1:10" s="5" customFormat="1" ht="18.75" customHeight="1" x14ac:dyDescent="0.3">
      <c r="A20" s="10">
        <v>19</v>
      </c>
      <c r="B20" s="9" t="s">
        <v>65</v>
      </c>
      <c r="C20" s="11" t="s">
        <v>66</v>
      </c>
      <c r="D20" s="12" t="s">
        <v>67</v>
      </c>
      <c r="E20" s="13">
        <v>1</v>
      </c>
      <c r="F20" s="9"/>
      <c r="G20" s="9"/>
      <c r="H20" s="9"/>
      <c r="I20" s="9"/>
      <c r="J20" s="9"/>
    </row>
    <row r="21" spans="1:10" s="5" customFormat="1" ht="18.75" customHeight="1" x14ac:dyDescent="0.3">
      <c r="A21" s="10">
        <v>20</v>
      </c>
      <c r="B21" s="9" t="s">
        <v>68</v>
      </c>
      <c r="C21" s="11" t="s">
        <v>69</v>
      </c>
      <c r="D21" s="12" t="s">
        <v>70</v>
      </c>
      <c r="E21" s="13">
        <v>4</v>
      </c>
      <c r="F21" s="9"/>
      <c r="G21" s="9"/>
      <c r="H21" s="9"/>
      <c r="I21" s="9"/>
      <c r="J21" s="9"/>
    </row>
    <row r="22" spans="1:10" s="5" customFormat="1" ht="18.75" customHeight="1" x14ac:dyDescent="0.3">
      <c r="A22" s="10">
        <v>21</v>
      </c>
      <c r="B22" s="9" t="s">
        <v>71</v>
      </c>
      <c r="C22" s="11" t="s">
        <v>72</v>
      </c>
      <c r="D22" s="12" t="s">
        <v>73</v>
      </c>
      <c r="E22" s="13">
        <v>5</v>
      </c>
      <c r="F22" s="9"/>
      <c r="G22" s="9"/>
      <c r="H22" s="9"/>
      <c r="I22" s="9"/>
      <c r="J22" s="9"/>
    </row>
    <row r="23" spans="1:10" s="5" customFormat="1" ht="18.75" customHeight="1" x14ac:dyDescent="0.3">
      <c r="A23" s="10">
        <v>22</v>
      </c>
      <c r="B23" s="9" t="s">
        <v>74</v>
      </c>
      <c r="C23" s="11" t="s">
        <v>75</v>
      </c>
      <c r="D23" s="12" t="s">
        <v>76</v>
      </c>
      <c r="E23" s="13">
        <v>5</v>
      </c>
      <c r="F23" s="9"/>
      <c r="G23" s="9"/>
      <c r="H23" s="9"/>
      <c r="I23" s="9"/>
      <c r="J23" s="9"/>
    </row>
    <row r="24" spans="1:10" s="5" customFormat="1" ht="18.75" customHeight="1" x14ac:dyDescent="0.3">
      <c r="A24" s="10">
        <v>23</v>
      </c>
      <c r="B24" s="9" t="s">
        <v>77</v>
      </c>
      <c r="C24" s="11" t="s">
        <v>78</v>
      </c>
      <c r="D24" s="12" t="s">
        <v>79</v>
      </c>
      <c r="E24" s="13">
        <v>5</v>
      </c>
      <c r="F24" s="9"/>
      <c r="G24" s="9"/>
      <c r="H24" s="9"/>
      <c r="I24" s="9"/>
      <c r="J24" s="9"/>
    </row>
    <row r="25" spans="1:10" s="5" customFormat="1" ht="18.75" customHeight="1" x14ac:dyDescent="0.3">
      <c r="A25" s="10">
        <v>24</v>
      </c>
      <c r="B25" s="9" t="s">
        <v>80</v>
      </c>
      <c r="C25" s="11" t="s">
        <v>81</v>
      </c>
      <c r="D25" s="12" t="s">
        <v>82</v>
      </c>
      <c r="E25" s="13">
        <v>4</v>
      </c>
      <c r="F25" s="9"/>
      <c r="G25" s="9"/>
      <c r="H25" s="9"/>
      <c r="I25" s="9"/>
      <c r="J25" s="9"/>
    </row>
    <row r="26" spans="1:10" s="5" customFormat="1" ht="18.75" customHeight="1" x14ac:dyDescent="0.3">
      <c r="A26" s="10">
        <v>25</v>
      </c>
      <c r="B26" s="9" t="s">
        <v>83</v>
      </c>
      <c r="C26" s="11" t="s">
        <v>84</v>
      </c>
      <c r="D26" s="12" t="s">
        <v>85</v>
      </c>
      <c r="E26" s="13">
        <v>8</v>
      </c>
      <c r="F26" s="9"/>
      <c r="G26" s="9"/>
      <c r="H26" s="9"/>
      <c r="I26" s="9"/>
      <c r="J26" s="9"/>
    </row>
    <row r="27" spans="1:10" s="5" customFormat="1" ht="18.75" customHeight="1" x14ac:dyDescent="0.3">
      <c r="A27" s="10">
        <v>26</v>
      </c>
      <c r="B27" s="9" t="s">
        <v>86</v>
      </c>
      <c r="C27" s="11" t="s">
        <v>87</v>
      </c>
      <c r="D27" s="12" t="s">
        <v>88</v>
      </c>
      <c r="E27" s="13">
        <v>4</v>
      </c>
      <c r="F27" s="9"/>
      <c r="G27" s="9"/>
      <c r="H27" s="9"/>
      <c r="I27" s="9"/>
      <c r="J27" s="9"/>
    </row>
    <row r="28" spans="1:10" s="5" customFormat="1" ht="18.75" customHeight="1" x14ac:dyDescent="0.3">
      <c r="A28" s="10">
        <v>27</v>
      </c>
      <c r="B28" s="9" t="s">
        <v>89</v>
      </c>
      <c r="C28" s="11" t="s">
        <v>90</v>
      </c>
      <c r="D28" s="12" t="s">
        <v>91</v>
      </c>
      <c r="E28" s="13">
        <v>6</v>
      </c>
      <c r="F28" s="9"/>
      <c r="G28" s="9"/>
      <c r="H28" s="9"/>
      <c r="I28" s="9"/>
      <c r="J28" s="9"/>
    </row>
    <row r="29" spans="1:10" s="5" customFormat="1" ht="18.75" customHeight="1" x14ac:dyDescent="0.3">
      <c r="A29" s="10">
        <v>28</v>
      </c>
      <c r="B29" s="9" t="s">
        <v>92</v>
      </c>
      <c r="C29" s="11" t="s">
        <v>93</v>
      </c>
      <c r="D29" s="12" t="s">
        <v>94</v>
      </c>
      <c r="E29" s="13">
        <v>5</v>
      </c>
      <c r="F29" s="9"/>
      <c r="G29" s="9"/>
      <c r="H29" s="9"/>
      <c r="I29" s="9"/>
      <c r="J29" s="9"/>
    </row>
    <row r="30" spans="1:10" s="5" customFormat="1" ht="25.8" customHeight="1" x14ac:dyDescent="0.3">
      <c r="A30" s="10">
        <v>29</v>
      </c>
      <c r="B30" s="9" t="s">
        <v>67</v>
      </c>
      <c r="C30" s="11" t="s">
        <v>95</v>
      </c>
      <c r="D30" s="12" t="s">
        <v>96</v>
      </c>
      <c r="E30" s="13">
        <v>3</v>
      </c>
      <c r="F30" s="9"/>
      <c r="G30" s="9"/>
      <c r="H30" s="9"/>
      <c r="I30" s="9"/>
      <c r="J30" s="9"/>
    </row>
    <row r="31" spans="1:10" s="5" customFormat="1" ht="28.8" customHeight="1" x14ac:dyDescent="0.3">
      <c r="A31" s="10">
        <v>30</v>
      </c>
      <c r="B31" s="9" t="s">
        <v>97</v>
      </c>
      <c r="C31" s="11" t="s">
        <v>98</v>
      </c>
      <c r="D31" s="12" t="s">
        <v>99</v>
      </c>
      <c r="E31" s="13">
        <v>3</v>
      </c>
      <c r="F31" s="9"/>
      <c r="G31" s="9"/>
      <c r="H31" s="9"/>
      <c r="I31" s="9"/>
      <c r="J31" s="9"/>
    </row>
    <row r="32" spans="1:10" s="5" customFormat="1" ht="18.75" customHeight="1" x14ac:dyDescent="0.3">
      <c r="A32" s="10">
        <v>31</v>
      </c>
      <c r="B32" s="9" t="s">
        <v>100</v>
      </c>
      <c r="C32" s="11" t="s">
        <v>101</v>
      </c>
      <c r="D32" s="12" t="s">
        <v>102</v>
      </c>
      <c r="E32" s="13">
        <v>5</v>
      </c>
      <c r="F32" s="9"/>
      <c r="G32" s="9"/>
      <c r="H32" s="9"/>
      <c r="I32" s="9"/>
      <c r="J32" s="9"/>
    </row>
    <row r="33" spans="1:10" s="5" customFormat="1" ht="18.75" customHeight="1" x14ac:dyDescent="0.3">
      <c r="A33" s="10">
        <v>32</v>
      </c>
      <c r="B33" s="9" t="s">
        <v>103</v>
      </c>
      <c r="C33" s="11" t="s">
        <v>104</v>
      </c>
      <c r="D33" s="12" t="s">
        <v>105</v>
      </c>
      <c r="E33" s="13">
        <v>6</v>
      </c>
      <c r="F33" s="9"/>
      <c r="G33" s="9"/>
      <c r="H33" s="9"/>
      <c r="I33" s="9"/>
      <c r="J33" s="9"/>
    </row>
    <row r="34" spans="1:10" s="5" customFormat="1" ht="18.75" customHeight="1" x14ac:dyDescent="0.3">
      <c r="A34" s="10">
        <v>33</v>
      </c>
      <c r="B34" s="9" t="s">
        <v>106</v>
      </c>
      <c r="C34" s="11" t="s">
        <v>107</v>
      </c>
      <c r="D34" s="12" t="s">
        <v>108</v>
      </c>
      <c r="E34" s="13">
        <v>4</v>
      </c>
      <c r="F34" s="9"/>
      <c r="G34" s="9"/>
      <c r="H34" s="9"/>
      <c r="I34" s="9"/>
      <c r="J34" s="9"/>
    </row>
    <row r="35" spans="1:10" s="5" customFormat="1" ht="18.75" customHeight="1" x14ac:dyDescent="0.3">
      <c r="A35" s="10">
        <v>34</v>
      </c>
      <c r="B35" s="9" t="s">
        <v>109</v>
      </c>
      <c r="C35" s="11" t="s">
        <v>110</v>
      </c>
      <c r="D35" s="12" t="s">
        <v>111</v>
      </c>
      <c r="E35" s="13">
        <v>3</v>
      </c>
      <c r="F35" s="9"/>
      <c r="G35" s="9"/>
      <c r="H35" s="9"/>
      <c r="I35" s="9"/>
      <c r="J35" s="9"/>
    </row>
    <row r="36" spans="1:10" s="5" customFormat="1" ht="18.75" customHeight="1" x14ac:dyDescent="0.3">
      <c r="A36" s="10">
        <v>35</v>
      </c>
      <c r="B36" s="9" t="s">
        <v>112</v>
      </c>
      <c r="C36" s="11" t="s">
        <v>113</v>
      </c>
      <c r="D36" s="12" t="s">
        <v>114</v>
      </c>
      <c r="E36" s="13">
        <v>5</v>
      </c>
      <c r="F36" s="9"/>
      <c r="G36" s="9"/>
      <c r="H36" s="9"/>
      <c r="I36" s="9"/>
      <c r="J36" s="9"/>
    </row>
    <row r="37" spans="1:10" s="5" customFormat="1" ht="18.75" customHeight="1" x14ac:dyDescent="0.3">
      <c r="A37" s="10">
        <v>36</v>
      </c>
      <c r="B37" s="9" t="s">
        <v>115</v>
      </c>
      <c r="C37" s="11" t="s">
        <v>116</v>
      </c>
      <c r="D37" s="12" t="s">
        <v>117</v>
      </c>
      <c r="E37" s="13">
        <v>6</v>
      </c>
      <c r="F37" s="9"/>
      <c r="G37" s="9"/>
      <c r="H37" s="9"/>
      <c r="I37" s="9"/>
      <c r="J37" s="9"/>
    </row>
    <row r="38" spans="1:10" s="5" customFormat="1" ht="18.75" customHeight="1" x14ac:dyDescent="0.3">
      <c r="A38" s="10">
        <v>37</v>
      </c>
      <c r="B38" s="9" t="s">
        <v>118</v>
      </c>
      <c r="C38" s="11" t="s">
        <v>119</v>
      </c>
      <c r="D38" s="12" t="s">
        <v>120</v>
      </c>
      <c r="E38" s="13">
        <v>4</v>
      </c>
      <c r="F38" s="9"/>
      <c r="G38" s="9"/>
      <c r="H38" s="9"/>
      <c r="I38" s="9"/>
      <c r="J38" s="9"/>
    </row>
    <row r="39" spans="1:10" s="5" customFormat="1" ht="18.75" customHeight="1" x14ac:dyDescent="0.3">
      <c r="A39" s="10">
        <v>38</v>
      </c>
      <c r="B39" s="9" t="s">
        <v>121</v>
      </c>
      <c r="C39" s="11" t="s">
        <v>122</v>
      </c>
      <c r="D39" s="12" t="s">
        <v>123</v>
      </c>
      <c r="E39" s="13">
        <v>6</v>
      </c>
      <c r="F39" s="9"/>
      <c r="G39" s="9"/>
      <c r="H39" s="9"/>
      <c r="I39" s="9"/>
      <c r="J39" s="9"/>
    </row>
    <row r="40" spans="1:10" s="5" customFormat="1" ht="60" customHeight="1" x14ac:dyDescent="0.3">
      <c r="A40" s="10">
        <v>39</v>
      </c>
      <c r="B40" s="9" t="s">
        <v>124</v>
      </c>
      <c r="C40" s="11" t="s">
        <v>125</v>
      </c>
      <c r="D40" s="12" t="s">
        <v>126</v>
      </c>
      <c r="E40" s="13">
        <v>3</v>
      </c>
      <c r="F40" s="9"/>
      <c r="G40" s="9"/>
      <c r="H40" s="9"/>
      <c r="I40" s="9"/>
      <c r="J40" s="9"/>
    </row>
    <row r="41" spans="1:10" s="5" customFormat="1" ht="28.8" customHeight="1" x14ac:dyDescent="0.3">
      <c r="A41" s="10">
        <v>40</v>
      </c>
      <c r="B41" s="9" t="s">
        <v>127</v>
      </c>
      <c r="C41" s="11" t="s">
        <v>128</v>
      </c>
      <c r="D41" s="12" t="s">
        <v>129</v>
      </c>
      <c r="E41" s="13">
        <v>2</v>
      </c>
      <c r="F41" s="9"/>
      <c r="G41" s="9"/>
      <c r="H41" s="9"/>
      <c r="I41" s="9"/>
      <c r="J41" s="9"/>
    </row>
    <row r="42" spans="1:10" s="5" customFormat="1" ht="18.75" customHeight="1" x14ac:dyDescent="0.3">
      <c r="A42" s="10">
        <v>41</v>
      </c>
      <c r="B42" s="9" t="s">
        <v>130</v>
      </c>
      <c r="C42" s="11" t="s">
        <v>131</v>
      </c>
      <c r="D42" s="12" t="s">
        <v>132</v>
      </c>
      <c r="E42" s="13">
        <v>6</v>
      </c>
      <c r="F42" s="9"/>
      <c r="G42" s="9"/>
      <c r="H42" s="9"/>
      <c r="I42" s="9"/>
      <c r="J42" s="9"/>
    </row>
    <row r="43" spans="1:10" s="5" customFormat="1" ht="62.4" customHeight="1" x14ac:dyDescent="0.3">
      <c r="A43" s="10">
        <v>42</v>
      </c>
      <c r="B43" s="9" t="s">
        <v>133</v>
      </c>
      <c r="C43" s="11" t="s">
        <v>134</v>
      </c>
      <c r="D43" s="12" t="s">
        <v>135</v>
      </c>
      <c r="E43" s="13">
        <v>8</v>
      </c>
      <c r="F43" s="9"/>
      <c r="G43" s="9"/>
      <c r="H43" s="9"/>
      <c r="I43" s="9"/>
      <c r="J43" s="9"/>
    </row>
    <row r="44" spans="1:10" s="5" customFormat="1" ht="18.75" customHeight="1" x14ac:dyDescent="0.3">
      <c r="A44" s="10">
        <v>43</v>
      </c>
      <c r="B44" s="9" t="s">
        <v>136</v>
      </c>
      <c r="C44" s="11" t="s">
        <v>137</v>
      </c>
      <c r="D44" s="12" t="s">
        <v>138</v>
      </c>
      <c r="E44" s="13">
        <v>4</v>
      </c>
      <c r="F44" s="9"/>
      <c r="G44" s="9"/>
      <c r="H44" s="9"/>
      <c r="I44" s="9"/>
      <c r="J44" s="9"/>
    </row>
    <row r="45" spans="1:10" s="5" customFormat="1" ht="18.75" customHeight="1" x14ac:dyDescent="0.3">
      <c r="A45" s="10">
        <v>44</v>
      </c>
      <c r="B45" s="9" t="s">
        <v>139</v>
      </c>
      <c r="C45" s="11" t="s">
        <v>140</v>
      </c>
      <c r="D45" s="12" t="s">
        <v>141</v>
      </c>
      <c r="E45" s="13">
        <v>6</v>
      </c>
      <c r="F45" s="9"/>
      <c r="G45" s="9"/>
      <c r="H45" s="9"/>
      <c r="I45" s="9"/>
      <c r="J45" s="9"/>
    </row>
    <row r="46" spans="1:10" s="5" customFormat="1" ht="18.75" customHeight="1" x14ac:dyDescent="0.3">
      <c r="A46" s="10">
        <v>45</v>
      </c>
      <c r="B46" s="9" t="s">
        <v>142</v>
      </c>
      <c r="C46" s="11" t="s">
        <v>143</v>
      </c>
      <c r="D46" s="12" t="s">
        <v>144</v>
      </c>
      <c r="E46" s="13">
        <v>3</v>
      </c>
      <c r="F46" s="9"/>
      <c r="G46" s="9"/>
      <c r="H46" s="9"/>
      <c r="I46" s="9"/>
      <c r="J46" s="9"/>
    </row>
    <row r="47" spans="1:10" s="5" customFormat="1" ht="18.75" customHeight="1" x14ac:dyDescent="0.3">
      <c r="A47" s="10">
        <v>46</v>
      </c>
      <c r="B47" s="9" t="s">
        <v>145</v>
      </c>
      <c r="C47" s="11" t="s">
        <v>146</v>
      </c>
      <c r="D47" s="12" t="s">
        <v>147</v>
      </c>
      <c r="E47" s="13">
        <v>5</v>
      </c>
      <c r="F47" s="9"/>
      <c r="G47" s="9"/>
      <c r="H47" s="9"/>
      <c r="I47" s="9"/>
      <c r="J47" s="9"/>
    </row>
    <row r="48" spans="1:10" s="5" customFormat="1" ht="18.75" customHeight="1" x14ac:dyDescent="0.3">
      <c r="A48" s="10">
        <v>47</v>
      </c>
      <c r="B48" s="9" t="s">
        <v>148</v>
      </c>
      <c r="C48" s="11" t="s">
        <v>149</v>
      </c>
      <c r="D48" s="12" t="s">
        <v>150</v>
      </c>
      <c r="E48" s="13">
        <v>2</v>
      </c>
      <c r="F48" s="9"/>
      <c r="G48" s="9"/>
      <c r="H48" s="9"/>
      <c r="I48" s="9"/>
      <c r="J48" s="9"/>
    </row>
    <row r="49" spans="1:10" s="5" customFormat="1" ht="18.75" customHeight="1" x14ac:dyDescent="0.3">
      <c r="A49" s="10">
        <v>48</v>
      </c>
      <c r="B49" s="9" t="s">
        <v>151</v>
      </c>
      <c r="C49" s="11" t="s">
        <v>152</v>
      </c>
      <c r="D49" s="12" t="s">
        <v>153</v>
      </c>
      <c r="E49" s="13">
        <v>5</v>
      </c>
      <c r="F49" s="9"/>
      <c r="G49" s="9"/>
      <c r="H49" s="9"/>
      <c r="I49" s="9"/>
      <c r="J49" s="9"/>
    </row>
    <row r="50" spans="1:10" s="5" customFormat="1" ht="18.75" customHeight="1" x14ac:dyDescent="0.3">
      <c r="A50" s="10">
        <v>49</v>
      </c>
      <c r="B50" s="9" t="s">
        <v>154</v>
      </c>
      <c r="C50" s="11" t="s">
        <v>155</v>
      </c>
      <c r="D50" s="12" t="s">
        <v>156</v>
      </c>
      <c r="E50" s="13">
        <v>4</v>
      </c>
      <c r="F50" s="9"/>
      <c r="G50" s="9"/>
      <c r="H50" s="9"/>
      <c r="I50" s="9"/>
      <c r="J50" s="9"/>
    </row>
    <row r="51" spans="1:10" s="5" customFormat="1" ht="18.75" customHeight="1" x14ac:dyDescent="0.3">
      <c r="A51" s="10">
        <v>50</v>
      </c>
      <c r="B51" s="9" t="s">
        <v>157</v>
      </c>
      <c r="C51" s="11" t="s">
        <v>158</v>
      </c>
      <c r="D51" s="12" t="s">
        <v>159</v>
      </c>
      <c r="E51" s="13">
        <v>6</v>
      </c>
      <c r="F51" s="9"/>
      <c r="G51" s="9"/>
      <c r="H51" s="9"/>
      <c r="I51" s="9"/>
      <c r="J51" s="9"/>
    </row>
    <row r="52" spans="1:10" s="5" customFormat="1" ht="18.75" customHeight="1" x14ac:dyDescent="0.3">
      <c r="A52" s="15"/>
      <c r="C52" s="9"/>
      <c r="D52" s="9"/>
      <c r="E52" s="15"/>
      <c r="H52" s="9"/>
      <c r="I52" s="9"/>
      <c r="J52" s="9"/>
    </row>
    <row r="53" spans="1:10" s="5" customFormat="1" ht="18.75" customHeight="1" x14ac:dyDescent="0.3">
      <c r="A53" s="15"/>
      <c r="C53" s="9"/>
      <c r="D53" s="9"/>
      <c r="E53" s="15"/>
      <c r="H53" s="9"/>
      <c r="I53" s="9"/>
      <c r="J53" s="9"/>
    </row>
    <row r="54" spans="1:10" s="5" customFormat="1" ht="18.75" customHeight="1" x14ac:dyDescent="0.3">
      <c r="A54" s="15"/>
      <c r="C54" s="9"/>
      <c r="D54" s="9"/>
      <c r="E54" s="15"/>
      <c r="H54" s="9"/>
      <c r="I54" s="9"/>
      <c r="J54" s="9"/>
    </row>
    <row r="55" spans="1:10" s="5" customFormat="1" ht="18.75" customHeight="1" x14ac:dyDescent="0.3">
      <c r="A55" s="15"/>
      <c r="C55" s="9"/>
      <c r="D55" s="9"/>
      <c r="E55" s="15"/>
      <c r="H55" s="9"/>
      <c r="I55" s="9"/>
      <c r="J55" s="9"/>
    </row>
    <row r="56" spans="1:10" s="5" customFormat="1" ht="18.75" customHeight="1" x14ac:dyDescent="0.3">
      <c r="A56" s="16"/>
      <c r="B56" s="9"/>
      <c r="C56" s="9"/>
      <c r="D56" s="9"/>
      <c r="E56" s="15"/>
      <c r="F56" s="9"/>
      <c r="G56" s="9"/>
      <c r="H56" s="9"/>
      <c r="I56" s="9"/>
      <c r="J5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Q35"/>
  <sheetViews>
    <sheetView workbookViewId="0"/>
  </sheetViews>
  <sheetFormatPr defaultRowHeight="14.4" x14ac:dyDescent="0.3"/>
  <cols>
    <col min="1" max="16" width="13.5546875" bestFit="1" customWidth="1"/>
    <col min="17" max="17" width="13.5546875" style="1" bestFit="1" customWidth="1"/>
  </cols>
  <sheetData>
    <row r="1" spans="1:1" ht="18.75" customHeight="1" x14ac:dyDescent="0.3">
      <c r="A1" t="s">
        <v>0</v>
      </c>
    </row>
    <row r="2" spans="1:1" ht="18.75" customHeight="1" x14ac:dyDescent="0.3">
      <c r="A2" s="2" t="s">
        <v>1</v>
      </c>
    </row>
    <row r="3" spans="1:1" ht="18.75" customHeight="1" x14ac:dyDescent="0.3"/>
    <row r="4" spans="1:1" ht="18.75" customHeight="1" x14ac:dyDescent="0.3">
      <c r="A4" s="3" t="s">
        <v>2</v>
      </c>
    </row>
    <row r="5" spans="1:1" ht="18.75" customHeight="1" x14ac:dyDescent="0.3">
      <c r="A5" t="s">
        <v>3</v>
      </c>
    </row>
    <row r="6" spans="1:1" ht="18.75" customHeight="1" x14ac:dyDescent="0.3"/>
    <row r="7" spans="1:1" ht="18.75" customHeight="1" x14ac:dyDescent="0.3"/>
    <row r="8" spans="1:1" ht="18.75" customHeight="1" x14ac:dyDescent="0.3"/>
    <row r="9" spans="1:1" ht="18.75" customHeight="1" x14ac:dyDescent="0.3"/>
    <row r="10" spans="1:1" ht="18.75" customHeight="1" x14ac:dyDescent="0.3"/>
    <row r="11" spans="1:1" ht="18.75" customHeight="1" x14ac:dyDescent="0.3"/>
    <row r="12" spans="1:1" ht="18.75" customHeight="1" x14ac:dyDescent="0.3"/>
    <row r="13" spans="1:1" ht="18.75" customHeight="1" x14ac:dyDescent="0.3"/>
    <row r="14" spans="1:1" ht="18.75" customHeight="1" x14ac:dyDescent="0.3"/>
    <row r="15" spans="1:1" ht="18.75" customHeight="1" x14ac:dyDescent="0.3"/>
    <row r="16" spans="1:1" ht="18.75" customHeight="1" x14ac:dyDescent="0.3"/>
    <row r="17" ht="18.75" customHeight="1" x14ac:dyDescent="0.3"/>
    <row r="18" ht="18.75" customHeight="1" x14ac:dyDescent="0.3"/>
    <row r="19" ht="18.75" customHeight="1" x14ac:dyDescent="0.3"/>
    <row r="20" ht="18.75" customHeight="1" x14ac:dyDescent="0.3"/>
    <row r="21" ht="18.75" customHeight="1" x14ac:dyDescent="0.3"/>
    <row r="22" ht="18.75" customHeight="1" x14ac:dyDescent="0.3"/>
    <row r="23" ht="18.75" customHeight="1" x14ac:dyDescent="0.3"/>
    <row r="24" ht="18.75" customHeight="1" x14ac:dyDescent="0.3"/>
    <row r="25" ht="18.75" customHeight="1" x14ac:dyDescent="0.3"/>
    <row r="26" ht="18.75" customHeight="1" x14ac:dyDescent="0.3"/>
    <row r="27" ht="18.75" customHeight="1" x14ac:dyDescent="0.3"/>
    <row r="28" ht="18.75" customHeight="1" x14ac:dyDescent="0.3"/>
    <row r="29" ht="18.75" customHeight="1" x14ac:dyDescent="0.3"/>
    <row r="30" ht="18.75" customHeight="1" x14ac:dyDescent="0.3"/>
    <row r="31" ht="18.75" customHeight="1" x14ac:dyDescent="0.3"/>
    <row r="32" ht="18.75" customHeight="1" x14ac:dyDescent="0.3"/>
    <row r="33" spans="13:17" ht="18.75" customHeight="1" x14ac:dyDescent="0.3"/>
    <row r="34" spans="13:17" ht="18.75" customHeight="1" x14ac:dyDescent="0.3"/>
    <row r="35" spans="13:17" ht="18.75" customHeight="1" x14ac:dyDescent="0.3">
      <c r="M35" t="s">
        <v>4</v>
      </c>
      <c r="O35" t="s">
        <v>5</v>
      </c>
      <c r="Q35" s="4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E941-5C42-41EE-838A-6E010DD7AB98}">
  <sheetPr>
    <outlinePr summaryBelow="0"/>
  </sheetPr>
  <dimension ref="A1:BS64"/>
  <sheetViews>
    <sheetView workbookViewId="0">
      <pane ySplit="1" topLeftCell="A2" activePane="bottomLeft" state="frozen"/>
      <selection pane="bottomLeft" activeCell="N1" sqref="N1"/>
    </sheetView>
  </sheetViews>
  <sheetFormatPr defaultRowHeight="14.4" x14ac:dyDescent="0.3"/>
  <cols>
    <col min="1" max="1" width="5.33203125" style="1" bestFit="1" customWidth="1"/>
    <col min="2" max="3" width="6.44140625" bestFit="1" customWidth="1"/>
    <col min="4" max="4" width="43.109375" bestFit="1" customWidth="1"/>
    <col min="5" max="5" width="12" style="70" bestFit="1" customWidth="1"/>
    <col min="6" max="6" width="9" style="70" bestFit="1" customWidth="1"/>
    <col min="7" max="7" width="7.5546875" style="71" bestFit="1" customWidth="1"/>
    <col min="8" max="10" width="6.5546875" style="71" bestFit="1" customWidth="1"/>
    <col min="11" max="11" width="7" style="72" bestFit="1" customWidth="1"/>
    <col min="12" max="27" width="5.33203125" style="73" bestFit="1" customWidth="1"/>
    <col min="28" max="28" width="0.6640625" style="5" bestFit="1" customWidth="1"/>
    <col min="29" max="38" width="5.33203125" style="18" bestFit="1" customWidth="1"/>
    <col min="39" max="39" width="5.6640625" style="18" bestFit="1" customWidth="1"/>
    <col min="40" max="40" width="5.33203125" style="18" bestFit="1" customWidth="1"/>
    <col min="41" max="41" width="1.33203125" style="5" bestFit="1" customWidth="1"/>
    <col min="42" max="43" width="5.33203125" style="18" bestFit="1" customWidth="1"/>
    <col min="44" max="44" width="5.6640625" style="18" bestFit="1" customWidth="1"/>
    <col min="45" max="49" width="5.33203125" style="18" bestFit="1" customWidth="1"/>
    <col min="50" max="50" width="1.88671875" style="5" bestFit="1" customWidth="1"/>
    <col min="51" max="62" width="5.33203125" style="18" bestFit="1" customWidth="1"/>
    <col min="63" max="63" width="1.33203125" style="5" bestFit="1" customWidth="1"/>
    <col min="64" max="71" width="5.33203125" style="5" bestFit="1" customWidth="1"/>
  </cols>
  <sheetData>
    <row r="1" spans="1:71" ht="18.75" customHeight="1" x14ac:dyDescent="0.3">
      <c r="A1" s="19" t="s">
        <v>160</v>
      </c>
      <c r="B1" s="20" t="s">
        <v>161</v>
      </c>
      <c r="C1" s="20" t="s">
        <v>162</v>
      </c>
      <c r="D1" s="20" t="s">
        <v>8</v>
      </c>
      <c r="E1" s="6" t="s">
        <v>172</v>
      </c>
      <c r="F1" s="6" t="s">
        <v>173</v>
      </c>
      <c r="G1" s="22" t="s">
        <v>174</v>
      </c>
      <c r="H1" s="6" t="s">
        <v>175</v>
      </c>
      <c r="I1" s="6" t="s">
        <v>176</v>
      </c>
      <c r="J1" s="6" t="s">
        <v>177</v>
      </c>
      <c r="K1" s="7" t="s">
        <v>178</v>
      </c>
      <c r="L1" s="23" t="s">
        <v>179</v>
      </c>
      <c r="M1" s="24" t="s">
        <v>180</v>
      </c>
      <c r="N1" s="24" t="s">
        <v>181</v>
      </c>
      <c r="O1" s="24" t="s">
        <v>182</v>
      </c>
      <c r="P1" s="24" t="s">
        <v>183</v>
      </c>
      <c r="Q1" s="25" t="s">
        <v>184</v>
      </c>
      <c r="R1" s="26" t="s">
        <v>185</v>
      </c>
      <c r="S1" s="27" t="s">
        <v>186</v>
      </c>
      <c r="T1" s="27" t="s">
        <v>187</v>
      </c>
      <c r="U1" s="28" t="s">
        <v>188</v>
      </c>
      <c r="V1" s="29" t="s">
        <v>189</v>
      </c>
      <c r="W1" s="30" t="s">
        <v>190</v>
      </c>
      <c r="X1" s="30" t="s">
        <v>191</v>
      </c>
      <c r="Y1" s="30" t="s">
        <v>192</v>
      </c>
      <c r="Z1" s="30" t="s">
        <v>193</v>
      </c>
      <c r="AA1" s="31" t="s">
        <v>194</v>
      </c>
      <c r="AB1" s="7"/>
      <c r="AC1" s="32" t="s">
        <v>195</v>
      </c>
      <c r="AD1" s="33" t="s">
        <v>196</v>
      </c>
      <c r="AE1" s="33" t="s">
        <v>197</v>
      </c>
      <c r="AF1" s="33" t="s">
        <v>198</v>
      </c>
      <c r="AG1" s="33" t="s">
        <v>199</v>
      </c>
      <c r="AH1" s="33" t="s">
        <v>200</v>
      </c>
      <c r="AI1" s="33" t="s">
        <v>201</v>
      </c>
      <c r="AJ1" s="33" t="s">
        <v>202</v>
      </c>
      <c r="AK1" s="33" t="s">
        <v>203</v>
      </c>
      <c r="AL1" s="33" t="s">
        <v>204</v>
      </c>
      <c r="AM1" s="33" t="s">
        <v>205</v>
      </c>
      <c r="AN1" s="34" t="s">
        <v>206</v>
      </c>
      <c r="AO1" s="7"/>
      <c r="AP1" s="35" t="s">
        <v>207</v>
      </c>
      <c r="AQ1" s="36" t="s">
        <v>208</v>
      </c>
      <c r="AR1" s="36" t="s">
        <v>209</v>
      </c>
      <c r="AS1" s="36" t="s">
        <v>210</v>
      </c>
      <c r="AT1" s="36" t="s">
        <v>211</v>
      </c>
      <c r="AU1" s="36" t="s">
        <v>212</v>
      </c>
      <c r="AV1" s="36" t="s">
        <v>213</v>
      </c>
      <c r="AW1" s="37" t="s">
        <v>214</v>
      </c>
      <c r="AX1" s="38"/>
      <c r="AY1" s="39" t="s">
        <v>215</v>
      </c>
      <c r="AZ1" s="40" t="s">
        <v>216</v>
      </c>
      <c r="BA1" s="40" t="s">
        <v>217</v>
      </c>
      <c r="BB1" s="40" t="s">
        <v>218</v>
      </c>
      <c r="BC1" s="40" t="s">
        <v>219</v>
      </c>
      <c r="BD1" s="40" t="s">
        <v>220</v>
      </c>
      <c r="BE1" s="40" t="s">
        <v>221</v>
      </c>
      <c r="BF1" s="40" t="s">
        <v>222</v>
      </c>
      <c r="BG1" s="40" t="s">
        <v>223</v>
      </c>
      <c r="BH1" s="40" t="s">
        <v>224</v>
      </c>
      <c r="BI1" s="40" t="s">
        <v>225</v>
      </c>
      <c r="BJ1" s="41" t="s">
        <v>226</v>
      </c>
      <c r="BK1" s="7"/>
      <c r="BL1" s="7"/>
      <c r="BM1" s="7"/>
      <c r="BN1" s="7"/>
      <c r="BO1" s="7"/>
      <c r="BP1" s="7"/>
      <c r="BQ1" s="7"/>
      <c r="BR1" s="7"/>
      <c r="BS1" s="7"/>
    </row>
    <row r="2" spans="1:71" ht="18.75" customHeight="1" x14ac:dyDescent="0.3">
      <c r="A2" s="42" t="s">
        <v>227</v>
      </c>
      <c r="B2" t="s">
        <v>228</v>
      </c>
      <c r="C2" t="s">
        <v>229</v>
      </c>
      <c r="D2" t="s">
        <v>53</v>
      </c>
      <c r="E2" s="44">
        <v>1</v>
      </c>
      <c r="F2" s="44">
        <v>2</v>
      </c>
      <c r="G2" s="45">
        <v>345</v>
      </c>
      <c r="H2" s="44">
        <v>20</v>
      </c>
      <c r="I2" s="44">
        <v>355</v>
      </c>
      <c r="J2" s="44">
        <v>170</v>
      </c>
      <c r="K2" s="43">
        <f t="shared" ref="K2:K64" si="0">((G2*H2)/I2)*J2*(1/304.8)</f>
        <v>10.840634357325053</v>
      </c>
      <c r="L2" s="46">
        <f t="shared" ref="L2:L64" si="1">AC2+(AD2*(1/12))-K2</f>
        <v>69.159365642674942</v>
      </c>
      <c r="M2" s="47">
        <f t="shared" ref="M2:M64" si="2">AE2+(AF2*(1/12))-K2</f>
        <v>69.159365642674942</v>
      </c>
      <c r="N2" s="47">
        <f t="shared" ref="N2:N64" si="3">AG2+(AH2*(1/12))-K2</f>
        <v>69.159365642674942</v>
      </c>
      <c r="O2" s="47">
        <f t="shared" ref="O2:O64" si="4">AI2+(AJ2*(1/12))</f>
        <v>-23.75</v>
      </c>
      <c r="P2" s="48">
        <f t="shared" ref="P2:P64" si="5">AK2+(AL2*(1/12))</f>
        <v>0</v>
      </c>
      <c r="Q2" s="49">
        <f t="shared" ref="Q2:Q64" si="6">AM2+(AN2*(1/12))</f>
        <v>23.75</v>
      </c>
      <c r="R2" s="50">
        <f t="shared" ref="R2:R64" si="7">AP2+((1/12)*AQ2)</f>
        <v>87.5</v>
      </c>
      <c r="S2" s="51">
        <f t="shared" ref="S2:S64" si="8">AR2+((1/12)*AS2)</f>
        <v>-17.8125</v>
      </c>
      <c r="T2" s="51">
        <f t="shared" ref="T2:T64" si="9">AT2+((1/12)*AU2)</f>
        <v>87.5</v>
      </c>
      <c r="U2" s="52">
        <f t="shared" ref="U2:U64" si="10">AV2+((1/12)*AW2)</f>
        <v>17.8125</v>
      </c>
      <c r="V2" s="53">
        <f t="shared" ref="V2:V64" si="11">AY2+(AZ2*(1/12))-K2</f>
        <v>-10.840634357325053</v>
      </c>
      <c r="W2" s="54">
        <f t="shared" ref="W2:W64" si="12">BA2+(BB2*(1/12))-K2</f>
        <v>-10.840634357325053</v>
      </c>
      <c r="X2" s="54">
        <f t="shared" ref="X2:X64" si="13">BC2+(BD2*(1/12))-K2</f>
        <v>-10.840634357325053</v>
      </c>
      <c r="Y2" s="55">
        <f t="shared" ref="Y2:Y64" si="14">BE2+(BF2*(1/12))</f>
        <v>0</v>
      </c>
      <c r="Z2" s="55">
        <f t="shared" ref="Z2:Z64" si="15">BG2+(BH2*(1/12))</f>
        <v>0</v>
      </c>
      <c r="AA2" s="56">
        <f t="shared" ref="AA2:AA64" si="16">BI2+(BJ2*(1/12))</f>
        <v>0</v>
      </c>
      <c r="AB2" s="9"/>
      <c r="AC2" s="57">
        <v>80</v>
      </c>
      <c r="AD2" s="48">
        <v>0</v>
      </c>
      <c r="AE2" s="48">
        <v>80</v>
      </c>
      <c r="AF2" s="48">
        <v>0</v>
      </c>
      <c r="AG2" s="48">
        <v>80</v>
      </c>
      <c r="AH2" s="48">
        <v>0</v>
      </c>
      <c r="AI2" s="48">
        <v>-23</v>
      </c>
      <c r="AJ2" s="48">
        <v>-9</v>
      </c>
      <c r="AK2" s="48">
        <v>0</v>
      </c>
      <c r="AL2" s="48">
        <v>0</v>
      </c>
      <c r="AM2" s="48">
        <v>23</v>
      </c>
      <c r="AN2" s="58">
        <v>9</v>
      </c>
      <c r="AO2" s="9"/>
      <c r="AP2" s="59">
        <f>80+7</f>
        <v>87</v>
      </c>
      <c r="AQ2" s="60">
        <v>6</v>
      </c>
      <c r="AR2" s="51">
        <f>(3/4)*AI2</f>
        <v>-17.25</v>
      </c>
      <c r="AS2" s="51">
        <f>(3/4)*AJ2</f>
        <v>-6.75</v>
      </c>
      <c r="AT2" s="60">
        <f>80+7</f>
        <v>87</v>
      </c>
      <c r="AU2" s="60">
        <v>6</v>
      </c>
      <c r="AV2" s="51">
        <f>(3/4)*AM2</f>
        <v>17.25</v>
      </c>
      <c r="AW2" s="52">
        <f>(3/4)*AN2</f>
        <v>6.75</v>
      </c>
      <c r="AX2" s="9"/>
      <c r="AY2" s="61">
        <v>0</v>
      </c>
      <c r="AZ2" s="55">
        <v>0</v>
      </c>
      <c r="BA2" s="55">
        <v>0</v>
      </c>
      <c r="BB2" s="55">
        <v>0</v>
      </c>
      <c r="BC2" s="55">
        <v>0</v>
      </c>
      <c r="BD2" s="55">
        <v>0</v>
      </c>
      <c r="BE2" s="55">
        <v>0</v>
      </c>
      <c r="BF2" s="55">
        <v>0</v>
      </c>
      <c r="BG2" s="55">
        <v>0</v>
      </c>
      <c r="BH2" s="55">
        <v>0</v>
      </c>
      <c r="BI2" s="55">
        <v>0</v>
      </c>
      <c r="BJ2" s="56">
        <v>0</v>
      </c>
      <c r="BK2" s="9"/>
      <c r="BL2" s="9"/>
      <c r="BM2" s="9"/>
      <c r="BN2" s="9"/>
      <c r="BO2" s="9"/>
      <c r="BP2" s="9"/>
      <c r="BQ2" s="9"/>
      <c r="BR2" s="9"/>
      <c r="BS2" s="9"/>
    </row>
    <row r="3" spans="1:71" ht="18.75" customHeight="1" x14ac:dyDescent="0.3">
      <c r="A3" s="42" t="s">
        <v>230</v>
      </c>
      <c r="B3" t="s">
        <v>228</v>
      </c>
      <c r="C3" t="s">
        <v>231</v>
      </c>
      <c r="D3" t="s">
        <v>232</v>
      </c>
      <c r="E3" s="44">
        <v>1</v>
      </c>
      <c r="F3" s="44">
        <v>2</v>
      </c>
      <c r="G3" s="45">
        <v>345</v>
      </c>
      <c r="H3" s="44">
        <v>20</v>
      </c>
      <c r="I3" s="44">
        <v>355</v>
      </c>
      <c r="J3" s="44">
        <v>170</v>
      </c>
      <c r="K3" s="43">
        <f t="shared" si="0"/>
        <v>10.840634357325053</v>
      </c>
      <c r="L3" s="46">
        <f t="shared" si="1"/>
        <v>69.159365642674942</v>
      </c>
      <c r="M3" s="47">
        <f t="shared" si="2"/>
        <v>69.159365642674942</v>
      </c>
      <c r="N3" s="47">
        <f t="shared" si="3"/>
        <v>69.159365642674942</v>
      </c>
      <c r="O3" s="48">
        <f t="shared" si="4"/>
        <v>-32</v>
      </c>
      <c r="P3" s="48">
        <f t="shared" si="5"/>
        <v>0</v>
      </c>
      <c r="Q3" s="58">
        <f t="shared" si="6"/>
        <v>32</v>
      </c>
      <c r="R3" s="50">
        <f t="shared" si="7"/>
        <v>96.5</v>
      </c>
      <c r="S3" s="51">
        <f t="shared" si="8"/>
        <v>-21.5</v>
      </c>
      <c r="T3" s="51">
        <f t="shared" si="9"/>
        <v>96.5</v>
      </c>
      <c r="U3" s="52">
        <f t="shared" si="10"/>
        <v>21.5</v>
      </c>
      <c r="V3" s="53">
        <f t="shared" si="11"/>
        <v>-10.840634357325053</v>
      </c>
      <c r="W3" s="54">
        <f t="shared" si="12"/>
        <v>-10.840634357325053</v>
      </c>
      <c r="X3" s="54">
        <f t="shared" si="13"/>
        <v>-10.840634357325053</v>
      </c>
      <c r="Y3" s="55">
        <f t="shared" si="14"/>
        <v>0</v>
      </c>
      <c r="Z3" s="55">
        <f t="shared" si="15"/>
        <v>0</v>
      </c>
      <c r="AA3" s="56">
        <f t="shared" si="16"/>
        <v>0</v>
      </c>
      <c r="AB3" s="9"/>
      <c r="AC3" s="57">
        <v>80</v>
      </c>
      <c r="AD3" s="48">
        <v>0</v>
      </c>
      <c r="AE3" s="48">
        <v>80</v>
      </c>
      <c r="AF3" s="48">
        <v>0</v>
      </c>
      <c r="AG3" s="48">
        <v>80</v>
      </c>
      <c r="AH3" s="48">
        <v>0</v>
      </c>
      <c r="AI3" s="48">
        <v>-32</v>
      </c>
      <c r="AJ3" s="48">
        <v>0</v>
      </c>
      <c r="AK3" s="48">
        <v>0</v>
      </c>
      <c r="AL3" s="48">
        <v>0</v>
      </c>
      <c r="AM3" s="48">
        <v>32</v>
      </c>
      <c r="AN3" s="58">
        <v>0</v>
      </c>
      <c r="AO3" s="9"/>
      <c r="AP3" s="59">
        <f>80+16</f>
        <v>96</v>
      </c>
      <c r="AQ3" s="60">
        <v>6</v>
      </c>
      <c r="AR3" s="59">
        <v>-21</v>
      </c>
      <c r="AS3" s="60">
        <v>-6</v>
      </c>
      <c r="AT3" s="59">
        <f>80+16</f>
        <v>96</v>
      </c>
      <c r="AU3" s="60">
        <v>6</v>
      </c>
      <c r="AV3" s="60">
        <v>21</v>
      </c>
      <c r="AW3" s="62">
        <v>6</v>
      </c>
      <c r="AX3" s="9"/>
      <c r="AY3" s="61">
        <v>0</v>
      </c>
      <c r="AZ3" s="55">
        <v>0</v>
      </c>
      <c r="BA3" s="55">
        <v>0</v>
      </c>
      <c r="BB3" s="55">
        <v>0</v>
      </c>
      <c r="BC3" s="55">
        <v>0</v>
      </c>
      <c r="BD3" s="55">
        <v>0</v>
      </c>
      <c r="BE3" s="55">
        <v>0</v>
      </c>
      <c r="BF3" s="55">
        <v>0</v>
      </c>
      <c r="BG3" s="55">
        <v>0</v>
      </c>
      <c r="BH3" s="55">
        <v>0</v>
      </c>
      <c r="BI3" s="55">
        <v>0</v>
      </c>
      <c r="BJ3" s="56">
        <v>0</v>
      </c>
      <c r="BK3" s="9"/>
      <c r="BL3" s="9"/>
      <c r="BM3" s="9"/>
      <c r="BN3" s="9"/>
      <c r="BO3" s="9"/>
      <c r="BP3" s="9"/>
      <c r="BQ3" s="9"/>
      <c r="BR3" s="9"/>
      <c r="BS3" s="9"/>
    </row>
    <row r="4" spans="1:71" ht="18.75" customHeight="1" x14ac:dyDescent="0.3">
      <c r="A4" s="42" t="s">
        <v>233</v>
      </c>
      <c r="B4" t="s">
        <v>228</v>
      </c>
      <c r="C4" t="s">
        <v>234</v>
      </c>
      <c r="D4" t="s">
        <v>74</v>
      </c>
      <c r="E4" s="44">
        <v>1</v>
      </c>
      <c r="F4" s="44">
        <v>2</v>
      </c>
      <c r="G4" s="45">
        <v>345</v>
      </c>
      <c r="H4" s="44">
        <v>20</v>
      </c>
      <c r="I4" s="44">
        <v>355</v>
      </c>
      <c r="J4" s="44">
        <v>170</v>
      </c>
      <c r="K4" s="43">
        <f t="shared" si="0"/>
        <v>10.840634357325053</v>
      </c>
      <c r="L4" s="46">
        <f t="shared" si="1"/>
        <v>59.159365642674949</v>
      </c>
      <c r="M4" s="47">
        <f t="shared" si="2"/>
        <v>59.159365642674949</v>
      </c>
      <c r="N4" s="47">
        <f t="shared" si="3"/>
        <v>59.159365642674949</v>
      </c>
      <c r="O4" s="47">
        <f t="shared" si="4"/>
        <v>-24.5</v>
      </c>
      <c r="P4" s="48">
        <f t="shared" si="5"/>
        <v>0</v>
      </c>
      <c r="Q4" s="49">
        <f t="shared" si="6"/>
        <v>24.5</v>
      </c>
      <c r="R4" s="50">
        <f t="shared" si="7"/>
        <v>87.5</v>
      </c>
      <c r="S4" s="51">
        <f t="shared" si="8"/>
        <v>-16.5</v>
      </c>
      <c r="T4" s="51">
        <f t="shared" si="9"/>
        <v>87.5</v>
      </c>
      <c r="U4" s="52">
        <f t="shared" si="10"/>
        <v>16.5</v>
      </c>
      <c r="V4" s="53">
        <f t="shared" si="11"/>
        <v>-10.840634357325053</v>
      </c>
      <c r="W4" s="54">
        <f t="shared" si="12"/>
        <v>-10.840634357325053</v>
      </c>
      <c r="X4" s="54">
        <f t="shared" si="13"/>
        <v>-10.840634357325053</v>
      </c>
      <c r="Y4" s="55">
        <f t="shared" si="14"/>
        <v>0</v>
      </c>
      <c r="Z4" s="55">
        <f t="shared" si="15"/>
        <v>0</v>
      </c>
      <c r="AA4" s="56">
        <f t="shared" si="16"/>
        <v>0</v>
      </c>
      <c r="AB4" s="9"/>
      <c r="AC4" s="57">
        <v>70</v>
      </c>
      <c r="AD4" s="48">
        <v>0</v>
      </c>
      <c r="AE4" s="48">
        <v>70</v>
      </c>
      <c r="AF4" s="48">
        <v>0</v>
      </c>
      <c r="AG4" s="48">
        <v>70</v>
      </c>
      <c r="AH4" s="48">
        <v>0</v>
      </c>
      <c r="AI4" s="48">
        <v>-24</v>
      </c>
      <c r="AJ4" s="48">
        <v>-6</v>
      </c>
      <c r="AK4" s="48">
        <v>0</v>
      </c>
      <c r="AL4" s="48">
        <v>0</v>
      </c>
      <c r="AM4" s="48">
        <v>24</v>
      </c>
      <c r="AN4" s="58">
        <v>6</v>
      </c>
      <c r="AO4" s="9"/>
      <c r="AP4" s="59">
        <v>87</v>
      </c>
      <c r="AQ4" s="60">
        <v>6</v>
      </c>
      <c r="AR4" s="60">
        <v>-16</v>
      </c>
      <c r="AS4" s="60">
        <v>-6</v>
      </c>
      <c r="AT4" s="60">
        <v>87</v>
      </c>
      <c r="AU4" s="60">
        <v>6</v>
      </c>
      <c r="AV4" s="60">
        <v>16</v>
      </c>
      <c r="AW4" s="62">
        <v>6</v>
      </c>
      <c r="AX4" s="9"/>
      <c r="AY4" s="63"/>
      <c r="AZ4" s="15"/>
      <c r="BA4" s="63"/>
      <c r="BB4" s="15"/>
      <c r="BC4" s="63"/>
      <c r="BD4" s="15"/>
      <c r="BE4" s="15"/>
      <c r="BF4" s="15"/>
      <c r="BG4" s="15"/>
      <c r="BH4" s="15"/>
      <c r="BI4" s="15"/>
      <c r="BJ4" s="15"/>
      <c r="BK4" s="9"/>
      <c r="BL4" s="9"/>
      <c r="BM4" s="9"/>
      <c r="BN4" s="9"/>
      <c r="BO4" s="9"/>
      <c r="BP4" s="9"/>
      <c r="BQ4" s="9"/>
      <c r="BR4" s="9"/>
      <c r="BS4" s="9"/>
    </row>
    <row r="5" spans="1:71" ht="18.75" customHeight="1" x14ac:dyDescent="0.3">
      <c r="A5" s="42" t="s">
        <v>235</v>
      </c>
      <c r="B5" t="s">
        <v>228</v>
      </c>
      <c r="C5" t="s">
        <v>236</v>
      </c>
      <c r="D5" t="s">
        <v>237</v>
      </c>
      <c r="E5" s="44">
        <v>1</v>
      </c>
      <c r="F5" s="44">
        <v>2</v>
      </c>
      <c r="G5" s="45">
        <v>345</v>
      </c>
      <c r="H5" s="44">
        <v>20</v>
      </c>
      <c r="I5" s="44">
        <v>355</v>
      </c>
      <c r="J5" s="44">
        <v>170</v>
      </c>
      <c r="K5" s="43">
        <f t="shared" si="0"/>
        <v>10.840634357325053</v>
      </c>
      <c r="L5" s="46">
        <f t="shared" si="1"/>
        <v>44.159365642674949</v>
      </c>
      <c r="M5" s="47">
        <f t="shared" si="2"/>
        <v>44.159365642674949</v>
      </c>
      <c r="N5" s="47">
        <f t="shared" si="3"/>
        <v>44.159365642674949</v>
      </c>
      <c r="O5" s="47">
        <f t="shared" si="4"/>
        <v>-22.666666666666668</v>
      </c>
      <c r="P5" s="48">
        <f t="shared" si="5"/>
        <v>0</v>
      </c>
      <c r="Q5" s="49">
        <f t="shared" si="6"/>
        <v>22.666666666666668</v>
      </c>
      <c r="R5" s="59">
        <f t="shared" si="7"/>
        <v>73</v>
      </c>
      <c r="S5" s="51">
        <f t="shared" si="8"/>
        <v>-18.583333333333332</v>
      </c>
      <c r="T5" s="60">
        <f t="shared" si="9"/>
        <v>73</v>
      </c>
      <c r="U5" s="52">
        <f t="shared" si="10"/>
        <v>18.583333333333332</v>
      </c>
      <c r="V5" s="53">
        <f t="shared" si="11"/>
        <v>-10.840634357325053</v>
      </c>
      <c r="W5" s="54">
        <f t="shared" si="12"/>
        <v>-10.840634357325053</v>
      </c>
      <c r="X5" s="54">
        <f t="shared" si="13"/>
        <v>-10.840634357325053</v>
      </c>
      <c r="Y5" s="55">
        <f t="shared" si="14"/>
        <v>0</v>
      </c>
      <c r="Z5" s="55">
        <f t="shared" si="15"/>
        <v>0</v>
      </c>
      <c r="AA5" s="56">
        <f t="shared" si="16"/>
        <v>0</v>
      </c>
      <c r="AB5" s="9"/>
      <c r="AC5" s="57">
        <v>55</v>
      </c>
      <c r="AD5" s="48">
        <v>0</v>
      </c>
      <c r="AE5" s="48">
        <v>55</v>
      </c>
      <c r="AF5" s="48">
        <v>0</v>
      </c>
      <c r="AG5" s="48">
        <v>55</v>
      </c>
      <c r="AH5" s="48">
        <v>0</v>
      </c>
      <c r="AI5" s="48">
        <v>-22</v>
      </c>
      <c r="AJ5" s="48">
        <v>-8</v>
      </c>
      <c r="AK5" s="48">
        <v>0</v>
      </c>
      <c r="AL5" s="48">
        <v>0</v>
      </c>
      <c r="AM5" s="48">
        <v>22</v>
      </c>
      <c r="AN5" s="58">
        <v>8</v>
      </c>
      <c r="AO5" s="9"/>
      <c r="AP5" s="59">
        <f>55+9+7+2</f>
        <v>73</v>
      </c>
      <c r="AQ5" s="60">
        <v>0</v>
      </c>
      <c r="AR5" s="60">
        <v>-18</v>
      </c>
      <c r="AS5" s="60">
        <v>-7</v>
      </c>
      <c r="AT5" s="59">
        <f>55+9+7+2</f>
        <v>73</v>
      </c>
      <c r="AU5" s="60">
        <v>0</v>
      </c>
      <c r="AV5" s="60">
        <v>18</v>
      </c>
      <c r="AW5" s="62">
        <v>7</v>
      </c>
      <c r="AX5" s="9"/>
      <c r="AY5" s="63"/>
      <c r="AZ5" s="15"/>
      <c r="BA5" s="63"/>
      <c r="BB5" s="15"/>
      <c r="BC5" s="63"/>
      <c r="BD5" s="15"/>
      <c r="BE5" s="15"/>
      <c r="BF5" s="15"/>
      <c r="BG5" s="15"/>
      <c r="BH5" s="15"/>
      <c r="BI5" s="15"/>
      <c r="BJ5" s="15"/>
      <c r="BK5" s="9"/>
      <c r="BL5" s="9"/>
      <c r="BM5" s="9"/>
      <c r="BN5" s="9"/>
      <c r="BO5" s="9"/>
      <c r="BP5" s="9"/>
      <c r="BQ5" s="9"/>
      <c r="BR5" s="9"/>
      <c r="BS5" s="9"/>
    </row>
    <row r="6" spans="1:71" ht="18.75" customHeight="1" x14ac:dyDescent="0.3">
      <c r="A6" s="42" t="s">
        <v>238</v>
      </c>
      <c r="B6" t="s">
        <v>228</v>
      </c>
      <c r="C6" t="s">
        <v>239</v>
      </c>
      <c r="D6" t="s">
        <v>50</v>
      </c>
      <c r="E6" s="44">
        <v>2</v>
      </c>
      <c r="F6" s="44">
        <v>2</v>
      </c>
      <c r="G6" s="45">
        <v>345</v>
      </c>
      <c r="H6" s="44">
        <v>20</v>
      </c>
      <c r="I6" s="44">
        <v>355</v>
      </c>
      <c r="J6" s="44">
        <v>170</v>
      </c>
      <c r="K6" s="43">
        <f t="shared" si="0"/>
        <v>10.840634357325053</v>
      </c>
      <c r="L6" s="46">
        <f t="shared" si="1"/>
        <v>79.159365642674942</v>
      </c>
      <c r="M6" s="47">
        <f t="shared" si="2"/>
        <v>79.159365642674942</v>
      </c>
      <c r="N6" s="47">
        <f t="shared" si="3"/>
        <v>79.159365642674942</v>
      </c>
      <c r="O6" s="48">
        <f t="shared" si="4"/>
        <v>-24</v>
      </c>
      <c r="P6" s="48">
        <f t="shared" si="5"/>
        <v>0</v>
      </c>
      <c r="Q6" s="58">
        <f t="shared" si="6"/>
        <v>24</v>
      </c>
      <c r="R6" s="59">
        <f t="shared" si="7"/>
        <v>102</v>
      </c>
      <c r="S6" s="51">
        <f t="shared" si="8"/>
        <v>-21.6</v>
      </c>
      <c r="T6" s="60">
        <f t="shared" si="9"/>
        <v>102</v>
      </c>
      <c r="U6" s="52">
        <f t="shared" si="10"/>
        <v>21.6</v>
      </c>
      <c r="V6" s="53">
        <f t="shared" si="11"/>
        <v>-10.840634357325053</v>
      </c>
      <c r="W6" s="54">
        <f t="shared" si="12"/>
        <v>-10.840634357325053</v>
      </c>
      <c r="X6" s="54">
        <f t="shared" si="13"/>
        <v>-10.840634357325053</v>
      </c>
      <c r="Y6" s="55">
        <f t="shared" si="14"/>
        <v>0</v>
      </c>
      <c r="Z6" s="55">
        <f t="shared" si="15"/>
        <v>0</v>
      </c>
      <c r="AA6" s="56">
        <f t="shared" si="16"/>
        <v>0</v>
      </c>
      <c r="AB6" s="9"/>
      <c r="AC6" s="57">
        <v>90</v>
      </c>
      <c r="AD6" s="48">
        <v>0</v>
      </c>
      <c r="AE6" s="48">
        <v>90</v>
      </c>
      <c r="AF6" s="48">
        <v>0</v>
      </c>
      <c r="AG6" s="48">
        <v>90</v>
      </c>
      <c r="AH6" s="48">
        <v>0</v>
      </c>
      <c r="AI6" s="48">
        <v>-24</v>
      </c>
      <c r="AJ6" s="48">
        <v>0</v>
      </c>
      <c r="AK6" s="48">
        <v>0</v>
      </c>
      <c r="AL6" s="48">
        <v>0</v>
      </c>
      <c r="AM6" s="48">
        <v>24</v>
      </c>
      <c r="AN6" s="58">
        <v>0</v>
      </c>
      <c r="AO6" s="9"/>
      <c r="AP6" s="59">
        <f>90+12</f>
        <v>102</v>
      </c>
      <c r="AQ6" s="60">
        <v>0</v>
      </c>
      <c r="AR6" s="51">
        <f>AI6*0.9</f>
        <v>-21.6</v>
      </c>
      <c r="AS6" s="60">
        <v>0</v>
      </c>
      <c r="AT6" s="59">
        <f>90+12</f>
        <v>102</v>
      </c>
      <c r="AU6" s="60">
        <v>0</v>
      </c>
      <c r="AV6" s="51">
        <f>AM6*0.9</f>
        <v>21.6</v>
      </c>
      <c r="AW6" s="62">
        <v>0</v>
      </c>
      <c r="AX6" s="9"/>
      <c r="AY6" s="63"/>
      <c r="AZ6" s="15"/>
      <c r="BA6" s="63"/>
      <c r="BB6" s="15"/>
      <c r="BC6" s="63"/>
      <c r="BD6" s="15"/>
      <c r="BE6" s="15"/>
      <c r="BF6" s="15"/>
      <c r="BG6" s="15"/>
      <c r="BH6" s="15"/>
      <c r="BI6" s="15"/>
      <c r="BJ6" s="15"/>
      <c r="BK6" s="9"/>
      <c r="BL6" s="9"/>
      <c r="BM6" s="9"/>
      <c r="BN6" s="9"/>
      <c r="BO6" s="9"/>
      <c r="BP6" s="9"/>
      <c r="BQ6" s="9"/>
      <c r="BR6" s="9"/>
      <c r="BS6" s="9"/>
    </row>
    <row r="7" spans="1:71" ht="18.75" customHeight="1" x14ac:dyDescent="0.3">
      <c r="A7" s="42" t="s">
        <v>240</v>
      </c>
      <c r="B7" t="s">
        <v>228</v>
      </c>
      <c r="C7" t="s">
        <v>241</v>
      </c>
      <c r="D7" t="s">
        <v>112</v>
      </c>
      <c r="E7" s="44">
        <v>2</v>
      </c>
      <c r="F7" s="44">
        <v>2</v>
      </c>
      <c r="G7" s="45">
        <v>345</v>
      </c>
      <c r="H7" s="44">
        <v>20</v>
      </c>
      <c r="I7" s="44">
        <v>355</v>
      </c>
      <c r="J7" s="44">
        <v>170</v>
      </c>
      <c r="K7" s="43">
        <f t="shared" si="0"/>
        <v>10.840634357325053</v>
      </c>
      <c r="L7" s="46">
        <f t="shared" si="1"/>
        <v>43.659365642674949</v>
      </c>
      <c r="M7" s="47">
        <f t="shared" si="2"/>
        <v>43.659365642674949</v>
      </c>
      <c r="N7" s="47">
        <f t="shared" si="3"/>
        <v>43.659365642674949</v>
      </c>
      <c r="O7" s="48">
        <f t="shared" si="4"/>
        <v>-23</v>
      </c>
      <c r="P7" s="48">
        <f t="shared" si="5"/>
        <v>0</v>
      </c>
      <c r="Q7" s="58">
        <f t="shared" si="6"/>
        <v>23</v>
      </c>
      <c r="R7" s="50">
        <f t="shared" si="7"/>
        <v>94.5</v>
      </c>
      <c r="S7" s="51">
        <f t="shared" si="8"/>
        <v>-20.5</v>
      </c>
      <c r="T7" s="51">
        <f t="shared" si="9"/>
        <v>94.5</v>
      </c>
      <c r="U7" s="52">
        <f t="shared" si="10"/>
        <v>20.5</v>
      </c>
      <c r="V7" s="53">
        <f t="shared" si="11"/>
        <v>72.159365642674942</v>
      </c>
      <c r="W7" s="54">
        <f t="shared" si="12"/>
        <v>72.159365642674942</v>
      </c>
      <c r="X7" s="54">
        <f t="shared" si="13"/>
        <v>72.159365642674942</v>
      </c>
      <c r="Y7" s="55">
        <f t="shared" si="14"/>
        <v>23</v>
      </c>
      <c r="Z7" s="55">
        <f t="shared" si="15"/>
        <v>0</v>
      </c>
      <c r="AA7" s="56">
        <f t="shared" si="16"/>
        <v>-23</v>
      </c>
      <c r="AB7" s="9"/>
      <c r="AC7" s="57">
        <v>54</v>
      </c>
      <c r="AD7" s="48">
        <v>6</v>
      </c>
      <c r="AE7" s="48">
        <v>54</v>
      </c>
      <c r="AF7" s="48">
        <v>6</v>
      </c>
      <c r="AG7" s="48">
        <v>54</v>
      </c>
      <c r="AH7" s="48">
        <v>6</v>
      </c>
      <c r="AI7" s="48">
        <v>-23</v>
      </c>
      <c r="AJ7" s="48">
        <v>0</v>
      </c>
      <c r="AK7" s="48">
        <v>0</v>
      </c>
      <c r="AL7" s="48">
        <v>0</v>
      </c>
      <c r="AM7" s="48">
        <v>23</v>
      </c>
      <c r="AN7" s="58">
        <v>0</v>
      </c>
      <c r="AO7" s="9"/>
      <c r="AP7" s="59">
        <f>54+28+11</f>
        <v>93</v>
      </c>
      <c r="AQ7" s="60">
        <f>6+6+6</f>
        <v>18</v>
      </c>
      <c r="AR7" s="60">
        <v>-20</v>
      </c>
      <c r="AS7" s="60">
        <v>-6</v>
      </c>
      <c r="AT7" s="59">
        <f>54+28+11</f>
        <v>93</v>
      </c>
      <c r="AU7" s="60">
        <f>6+6+6</f>
        <v>18</v>
      </c>
      <c r="AV7" s="60">
        <v>20</v>
      </c>
      <c r="AW7" s="62">
        <v>6</v>
      </c>
      <c r="AX7" s="9"/>
      <c r="AY7" s="61">
        <f>54+28</f>
        <v>82</v>
      </c>
      <c r="AZ7" s="55">
        <f>6+6</f>
        <v>12</v>
      </c>
      <c r="BA7" s="61">
        <f>54+28</f>
        <v>82</v>
      </c>
      <c r="BB7" s="55">
        <f>6+6</f>
        <v>12</v>
      </c>
      <c r="BC7" s="61">
        <f>54+28</f>
        <v>82</v>
      </c>
      <c r="BD7" s="55">
        <f>6+6</f>
        <v>12</v>
      </c>
      <c r="BE7" s="55">
        <v>23</v>
      </c>
      <c r="BF7" s="55">
        <v>0</v>
      </c>
      <c r="BG7" s="55">
        <v>0</v>
      </c>
      <c r="BH7" s="55">
        <v>0</v>
      </c>
      <c r="BI7" s="55">
        <v>-23</v>
      </c>
      <c r="BJ7" s="56">
        <v>0</v>
      </c>
      <c r="BK7" s="9"/>
      <c r="BL7" s="9"/>
      <c r="BM7" s="9"/>
      <c r="BN7" s="9"/>
      <c r="BO7" s="9"/>
      <c r="BP7" s="9"/>
      <c r="BQ7" s="9"/>
      <c r="BR7" s="9"/>
      <c r="BS7" s="9"/>
    </row>
    <row r="8" spans="1:71" ht="18.75" customHeight="1" x14ac:dyDescent="0.3">
      <c r="A8" s="42" t="s">
        <v>242</v>
      </c>
      <c r="B8" t="s">
        <v>228</v>
      </c>
      <c r="C8" t="s">
        <v>243</v>
      </c>
      <c r="D8" t="s">
        <v>103</v>
      </c>
      <c r="E8" s="44">
        <v>2</v>
      </c>
      <c r="F8" s="44">
        <v>2</v>
      </c>
      <c r="G8" s="45">
        <v>345</v>
      </c>
      <c r="H8" s="44">
        <v>20</v>
      </c>
      <c r="I8" s="44">
        <v>355</v>
      </c>
      <c r="J8" s="44">
        <v>170</v>
      </c>
      <c r="K8" s="43">
        <f t="shared" si="0"/>
        <v>10.840634357325053</v>
      </c>
      <c r="L8" s="46">
        <f t="shared" si="1"/>
        <v>41.826032309341613</v>
      </c>
      <c r="M8" s="47">
        <f t="shared" si="2"/>
        <v>64.826032309341613</v>
      </c>
      <c r="N8" s="47">
        <f t="shared" si="3"/>
        <v>87.826032309341613</v>
      </c>
      <c r="O8" s="48">
        <f t="shared" si="4"/>
        <v>-19</v>
      </c>
      <c r="P8" s="47">
        <f t="shared" si="5"/>
        <v>-17.5</v>
      </c>
      <c r="Q8" s="49">
        <f t="shared" si="6"/>
        <v>-15.333333333333334</v>
      </c>
      <c r="R8" s="50">
        <f t="shared" si="7"/>
        <v>104.66666666666667</v>
      </c>
      <c r="S8" s="60">
        <f t="shared" si="8"/>
        <v>-12</v>
      </c>
      <c r="T8" s="51">
        <f t="shared" si="9"/>
        <v>104.66666666666667</v>
      </c>
      <c r="U8" s="62">
        <f t="shared" si="10"/>
        <v>12</v>
      </c>
      <c r="V8" s="53">
        <f t="shared" si="11"/>
        <v>87.826032309341613</v>
      </c>
      <c r="W8" s="54">
        <f t="shared" si="12"/>
        <v>64.826032309341613</v>
      </c>
      <c r="X8" s="54">
        <f t="shared" si="13"/>
        <v>41.826032309341613</v>
      </c>
      <c r="Y8" s="54">
        <f t="shared" si="14"/>
        <v>15.333333333333334</v>
      </c>
      <c r="Z8" s="54">
        <f t="shared" si="15"/>
        <v>17.5</v>
      </c>
      <c r="AA8" s="56">
        <f t="shared" si="16"/>
        <v>19</v>
      </c>
      <c r="AB8" s="9"/>
      <c r="AC8" s="57">
        <v>52</v>
      </c>
      <c r="AD8" s="48">
        <v>8</v>
      </c>
      <c r="AE8" s="48">
        <f>52+23</f>
        <v>75</v>
      </c>
      <c r="AF8" s="48">
        <v>8</v>
      </c>
      <c r="AG8" s="48">
        <f>52+23+23</f>
        <v>98</v>
      </c>
      <c r="AH8" s="48">
        <v>8</v>
      </c>
      <c r="AI8" s="48">
        <v>-19</v>
      </c>
      <c r="AJ8" s="48">
        <v>0</v>
      </c>
      <c r="AK8" s="48">
        <v>-17</v>
      </c>
      <c r="AL8" s="48">
        <v>-6</v>
      </c>
      <c r="AM8" s="48">
        <v>-15</v>
      </c>
      <c r="AN8" s="58">
        <v>-4</v>
      </c>
      <c r="AO8" s="9"/>
      <c r="AP8" s="59">
        <f>52+23+23+6</f>
        <v>104</v>
      </c>
      <c r="AQ8" s="60">
        <v>8</v>
      </c>
      <c r="AR8" s="60">
        <v>-12</v>
      </c>
      <c r="AS8" s="60">
        <v>0</v>
      </c>
      <c r="AT8" s="60">
        <f>52+23+23+6</f>
        <v>104</v>
      </c>
      <c r="AU8" s="60">
        <v>8</v>
      </c>
      <c r="AV8" s="60">
        <v>12</v>
      </c>
      <c r="AW8" s="62">
        <v>0</v>
      </c>
      <c r="AX8" s="9"/>
      <c r="AY8" s="61">
        <f>52+23+23</f>
        <v>98</v>
      </c>
      <c r="AZ8" s="55">
        <v>8</v>
      </c>
      <c r="BA8" s="55">
        <f>52+23</f>
        <v>75</v>
      </c>
      <c r="BB8" s="55">
        <v>8</v>
      </c>
      <c r="BC8" s="55">
        <v>52</v>
      </c>
      <c r="BD8" s="55">
        <v>8</v>
      </c>
      <c r="BE8" s="55">
        <v>15</v>
      </c>
      <c r="BF8" s="55">
        <v>4</v>
      </c>
      <c r="BG8" s="55">
        <v>17</v>
      </c>
      <c r="BH8" s="55">
        <v>6</v>
      </c>
      <c r="BI8" s="55">
        <v>19</v>
      </c>
      <c r="BJ8" s="56">
        <v>0</v>
      </c>
      <c r="BK8" s="9"/>
      <c r="BL8" s="9"/>
      <c r="BM8" s="9"/>
      <c r="BN8" s="9"/>
      <c r="BO8" s="9"/>
      <c r="BP8" s="9"/>
      <c r="BQ8" s="9"/>
      <c r="BR8" s="9"/>
      <c r="BS8" s="9"/>
    </row>
    <row r="9" spans="1:71" ht="18.75" customHeight="1" x14ac:dyDescent="0.3">
      <c r="A9" s="42" t="s">
        <v>244</v>
      </c>
      <c r="B9" t="s">
        <v>228</v>
      </c>
      <c r="C9" t="s">
        <v>245</v>
      </c>
      <c r="D9" t="s">
        <v>246</v>
      </c>
      <c r="E9" s="44">
        <v>2</v>
      </c>
      <c r="F9" s="44">
        <v>2</v>
      </c>
      <c r="G9" s="45">
        <v>345</v>
      </c>
      <c r="H9" s="44">
        <v>20</v>
      </c>
      <c r="I9" s="44">
        <v>355</v>
      </c>
      <c r="J9" s="44">
        <v>170</v>
      </c>
      <c r="K9" s="43">
        <f t="shared" si="0"/>
        <v>10.840634357325053</v>
      </c>
      <c r="L9" s="46">
        <f t="shared" si="1"/>
        <v>69.159365642674942</v>
      </c>
      <c r="M9" s="47">
        <f t="shared" si="2"/>
        <v>93.159365642674942</v>
      </c>
      <c r="N9" s="47">
        <f t="shared" si="3"/>
        <v>117.15936564267494</v>
      </c>
      <c r="O9" s="48">
        <f t="shared" si="4"/>
        <v>-22</v>
      </c>
      <c r="P9" s="48">
        <f t="shared" si="5"/>
        <v>-37</v>
      </c>
      <c r="Q9" s="58">
        <f t="shared" si="6"/>
        <v>-22</v>
      </c>
      <c r="R9" s="59">
        <f t="shared" si="7"/>
        <v>142</v>
      </c>
      <c r="S9" s="60">
        <f t="shared" si="8"/>
        <v>-11</v>
      </c>
      <c r="T9" s="60">
        <f t="shared" si="9"/>
        <v>142</v>
      </c>
      <c r="U9" s="62">
        <f t="shared" si="10"/>
        <v>11</v>
      </c>
      <c r="V9" s="53">
        <f t="shared" si="11"/>
        <v>117.15936564267494</v>
      </c>
      <c r="W9" s="54">
        <f t="shared" si="12"/>
        <v>93.159365642674942</v>
      </c>
      <c r="X9" s="54">
        <f t="shared" si="13"/>
        <v>69.159365642674942</v>
      </c>
      <c r="Y9" s="55">
        <f t="shared" si="14"/>
        <v>22</v>
      </c>
      <c r="Z9" s="55">
        <f t="shared" si="15"/>
        <v>37</v>
      </c>
      <c r="AA9" s="56">
        <f t="shared" si="16"/>
        <v>22</v>
      </c>
      <c r="AB9" s="9"/>
      <c r="AC9" s="57">
        <v>80</v>
      </c>
      <c r="AD9" s="48">
        <v>0</v>
      </c>
      <c r="AE9" s="48">
        <f>80+24</f>
        <v>104</v>
      </c>
      <c r="AF9" s="48">
        <v>0</v>
      </c>
      <c r="AG9" s="48">
        <f>80+24+24</f>
        <v>128</v>
      </c>
      <c r="AH9" s="48">
        <v>0</v>
      </c>
      <c r="AI9" s="48">
        <v>-22</v>
      </c>
      <c r="AJ9" s="48">
        <v>0</v>
      </c>
      <c r="AK9" s="48">
        <v>-37</v>
      </c>
      <c r="AL9" s="48">
        <v>0</v>
      </c>
      <c r="AM9" s="48">
        <v>-22</v>
      </c>
      <c r="AN9" s="58">
        <v>0</v>
      </c>
      <c r="AO9" s="9"/>
      <c r="AP9" s="59">
        <f>80+24+24+14</f>
        <v>142</v>
      </c>
      <c r="AQ9" s="60">
        <v>0</v>
      </c>
      <c r="AR9" s="60">
        <v>-11</v>
      </c>
      <c r="AS9" s="60">
        <v>0</v>
      </c>
      <c r="AT9" s="60">
        <f>80+24+24+14</f>
        <v>142</v>
      </c>
      <c r="AU9" s="60">
        <v>0</v>
      </c>
      <c r="AV9" s="60">
        <v>11</v>
      </c>
      <c r="AW9" s="62">
        <v>0</v>
      </c>
      <c r="AX9" s="9"/>
      <c r="AY9" s="61">
        <f>80+24+24</f>
        <v>128</v>
      </c>
      <c r="AZ9" s="55">
        <v>0</v>
      </c>
      <c r="BA9" s="55">
        <f>80+24</f>
        <v>104</v>
      </c>
      <c r="BB9" s="55">
        <v>0</v>
      </c>
      <c r="BC9" s="55">
        <f>80</f>
        <v>80</v>
      </c>
      <c r="BD9" s="55">
        <v>0</v>
      </c>
      <c r="BE9" s="55">
        <v>22</v>
      </c>
      <c r="BF9" s="55">
        <v>0</v>
      </c>
      <c r="BG9" s="55">
        <v>37</v>
      </c>
      <c r="BH9" s="55">
        <v>0</v>
      </c>
      <c r="BI9" s="55">
        <v>22</v>
      </c>
      <c r="BJ9" s="56">
        <v>0</v>
      </c>
      <c r="BK9" s="9"/>
      <c r="BL9" s="9"/>
      <c r="BM9" s="9"/>
      <c r="BN9" s="9"/>
      <c r="BO9" s="9"/>
      <c r="BP9" s="9"/>
      <c r="BQ9" s="9"/>
      <c r="BR9" s="9"/>
      <c r="BS9" s="9"/>
    </row>
    <row r="10" spans="1:71" ht="18.75" customHeight="1" x14ac:dyDescent="0.3">
      <c r="A10" s="42" t="s">
        <v>247</v>
      </c>
      <c r="B10" t="s">
        <v>228</v>
      </c>
      <c r="C10" t="s">
        <v>248</v>
      </c>
      <c r="D10" t="s">
        <v>249</v>
      </c>
      <c r="E10" s="44">
        <v>2</v>
      </c>
      <c r="F10" s="44">
        <v>2</v>
      </c>
      <c r="G10" s="45">
        <v>345</v>
      </c>
      <c r="H10" s="44">
        <v>20</v>
      </c>
      <c r="I10" s="44">
        <v>355</v>
      </c>
      <c r="J10" s="44">
        <v>170</v>
      </c>
      <c r="K10" s="43">
        <f t="shared" si="0"/>
        <v>10.840634357325053</v>
      </c>
      <c r="L10" s="46">
        <f t="shared" si="1"/>
        <v>69.159365642674942</v>
      </c>
      <c r="M10" s="47">
        <f t="shared" si="2"/>
        <v>89.159365642674942</v>
      </c>
      <c r="N10" s="47">
        <f t="shared" si="3"/>
        <v>111.15936564267494</v>
      </c>
      <c r="O10" s="48">
        <f t="shared" si="4"/>
        <v>-18</v>
      </c>
      <c r="P10" s="48">
        <f t="shared" si="5"/>
        <v>-29</v>
      </c>
      <c r="Q10" s="58">
        <f t="shared" si="6"/>
        <v>-17</v>
      </c>
      <c r="R10" s="59">
        <f t="shared" si="7"/>
        <v>137</v>
      </c>
      <c r="S10" s="60">
        <f t="shared" si="8"/>
        <v>-24</v>
      </c>
      <c r="T10" s="60">
        <f t="shared" si="9"/>
        <v>137</v>
      </c>
      <c r="U10" s="62">
        <f t="shared" si="10"/>
        <v>24</v>
      </c>
      <c r="V10" s="53">
        <f t="shared" si="11"/>
        <v>111.15936564267494</v>
      </c>
      <c r="W10" s="54">
        <f t="shared" si="12"/>
        <v>89.159365642674942</v>
      </c>
      <c r="X10" s="54">
        <f t="shared" si="13"/>
        <v>69.159365642674942</v>
      </c>
      <c r="Y10" s="55">
        <f t="shared" si="14"/>
        <v>17</v>
      </c>
      <c r="Z10" s="55">
        <f t="shared" si="15"/>
        <v>29</v>
      </c>
      <c r="AA10" s="56">
        <f t="shared" si="16"/>
        <v>18</v>
      </c>
      <c r="AB10" s="9"/>
      <c r="AC10" s="57">
        <v>80</v>
      </c>
      <c r="AD10" s="48">
        <v>0</v>
      </c>
      <c r="AE10" s="48">
        <f>80+20</f>
        <v>100</v>
      </c>
      <c r="AF10" s="48">
        <v>0</v>
      </c>
      <c r="AG10" s="48">
        <f>80+20+22</f>
        <v>122</v>
      </c>
      <c r="AH10" s="48">
        <v>0</v>
      </c>
      <c r="AI10" s="48">
        <v>-18</v>
      </c>
      <c r="AJ10" s="48">
        <v>0</v>
      </c>
      <c r="AK10" s="48">
        <v>-29</v>
      </c>
      <c r="AL10" s="48">
        <v>0</v>
      </c>
      <c r="AM10" s="48">
        <v>-17</v>
      </c>
      <c r="AN10" s="58">
        <v>0</v>
      </c>
      <c r="AO10" s="9"/>
      <c r="AP10" s="59">
        <f>80+20+22+15</f>
        <v>137</v>
      </c>
      <c r="AQ10" s="60">
        <v>0</v>
      </c>
      <c r="AR10" s="60">
        <v>-24</v>
      </c>
      <c r="AS10" s="60">
        <v>0</v>
      </c>
      <c r="AT10" s="60">
        <f>80+20+22+15</f>
        <v>137</v>
      </c>
      <c r="AU10" s="60">
        <v>0</v>
      </c>
      <c r="AV10" s="60">
        <v>24</v>
      </c>
      <c r="AW10" s="62">
        <v>0</v>
      </c>
      <c r="AX10" s="9"/>
      <c r="AY10" s="61">
        <f>80+20+22</f>
        <v>122</v>
      </c>
      <c r="AZ10" s="55">
        <v>0</v>
      </c>
      <c r="BA10" s="55">
        <f>80+20</f>
        <v>100</v>
      </c>
      <c r="BB10" s="55">
        <v>0</v>
      </c>
      <c r="BC10" s="55">
        <v>80</v>
      </c>
      <c r="BD10" s="55">
        <v>0</v>
      </c>
      <c r="BE10" s="55">
        <v>17</v>
      </c>
      <c r="BF10" s="55">
        <v>0</v>
      </c>
      <c r="BG10" s="55">
        <v>29</v>
      </c>
      <c r="BH10" s="55">
        <v>0</v>
      </c>
      <c r="BI10" s="55">
        <v>18</v>
      </c>
      <c r="BJ10" s="56">
        <v>0</v>
      </c>
      <c r="BK10" s="9"/>
      <c r="BL10" s="9"/>
      <c r="BM10" s="9"/>
      <c r="BN10" s="9"/>
      <c r="BO10" s="9"/>
      <c r="BP10" s="9"/>
      <c r="BQ10" s="9"/>
      <c r="BR10" s="9"/>
      <c r="BS10" s="9"/>
    </row>
    <row r="11" spans="1:71" ht="18.75" customHeight="1" x14ac:dyDescent="0.3">
      <c r="A11" s="42" t="s">
        <v>250</v>
      </c>
      <c r="B11" t="s">
        <v>228</v>
      </c>
      <c r="C11" t="s">
        <v>251</v>
      </c>
      <c r="D11" t="s">
        <v>74</v>
      </c>
      <c r="E11" s="44">
        <v>2</v>
      </c>
      <c r="F11" s="44">
        <v>2</v>
      </c>
      <c r="G11" s="45">
        <v>345</v>
      </c>
      <c r="H11" s="44">
        <v>20</v>
      </c>
      <c r="I11" s="44">
        <v>355</v>
      </c>
      <c r="J11" s="44">
        <v>170</v>
      </c>
      <c r="K11" s="43">
        <f t="shared" si="0"/>
        <v>10.840634357325053</v>
      </c>
      <c r="L11" s="46">
        <f t="shared" si="1"/>
        <v>53.159365642674949</v>
      </c>
      <c r="M11" s="47">
        <f t="shared" si="2"/>
        <v>74.659365642674942</v>
      </c>
      <c r="N11" s="47">
        <f t="shared" si="3"/>
        <v>98.659365642674942</v>
      </c>
      <c r="O11" s="47">
        <f t="shared" si="4"/>
        <v>-20.5</v>
      </c>
      <c r="P11" s="48">
        <f t="shared" si="5"/>
        <v>-27</v>
      </c>
      <c r="Q11" s="49">
        <f t="shared" si="6"/>
        <v>-18.5</v>
      </c>
      <c r="R11" s="50">
        <f t="shared" si="7"/>
        <v>119.5</v>
      </c>
      <c r="S11" s="51">
        <f t="shared" si="8"/>
        <v>-25.75</v>
      </c>
      <c r="T11" s="51">
        <f t="shared" si="9"/>
        <v>119.5</v>
      </c>
      <c r="U11" s="52">
        <f t="shared" si="10"/>
        <v>25.75</v>
      </c>
      <c r="V11" s="53">
        <f t="shared" si="11"/>
        <v>98.659365642674942</v>
      </c>
      <c r="W11" s="54">
        <f t="shared" si="12"/>
        <v>74.659365642674942</v>
      </c>
      <c r="X11" s="54">
        <f t="shared" si="13"/>
        <v>53.159365642674949</v>
      </c>
      <c r="Y11" s="54">
        <f t="shared" si="14"/>
        <v>18.5</v>
      </c>
      <c r="Z11" s="55">
        <f t="shared" si="15"/>
        <v>27</v>
      </c>
      <c r="AA11" s="64">
        <f t="shared" si="16"/>
        <v>20.5</v>
      </c>
      <c r="AB11" s="9"/>
      <c r="AC11" s="57">
        <v>64</v>
      </c>
      <c r="AD11" s="48">
        <v>0</v>
      </c>
      <c r="AE11" s="48">
        <f>64+21</f>
        <v>85</v>
      </c>
      <c r="AF11" s="48">
        <v>6</v>
      </c>
      <c r="AG11" s="48">
        <f>64+21+24</f>
        <v>109</v>
      </c>
      <c r="AH11" s="48">
        <v>6</v>
      </c>
      <c r="AI11" s="48">
        <v>-20</v>
      </c>
      <c r="AJ11" s="48">
        <v>-6</v>
      </c>
      <c r="AK11" s="48">
        <v>-27</v>
      </c>
      <c r="AL11" s="48">
        <v>0</v>
      </c>
      <c r="AM11" s="48">
        <v>-18</v>
      </c>
      <c r="AN11" s="58">
        <v>-6</v>
      </c>
      <c r="AO11" s="9"/>
      <c r="AP11" s="59">
        <f>64+21+24+10</f>
        <v>119</v>
      </c>
      <c r="AQ11" s="60">
        <v>6</v>
      </c>
      <c r="AR11" s="60">
        <v>-25</v>
      </c>
      <c r="AS11" s="60">
        <v>-9</v>
      </c>
      <c r="AT11" s="60">
        <f>64+21+24+10</f>
        <v>119</v>
      </c>
      <c r="AU11" s="60">
        <v>6</v>
      </c>
      <c r="AV11" s="60">
        <v>25</v>
      </c>
      <c r="AW11" s="62">
        <v>9</v>
      </c>
      <c r="AX11" s="9"/>
      <c r="AY11" s="61">
        <f>64+21+24</f>
        <v>109</v>
      </c>
      <c r="AZ11" s="55">
        <v>6</v>
      </c>
      <c r="BA11" s="55">
        <f>64+21</f>
        <v>85</v>
      </c>
      <c r="BB11" s="55">
        <v>6</v>
      </c>
      <c r="BC11" s="55">
        <v>64</v>
      </c>
      <c r="BD11" s="55">
        <v>0</v>
      </c>
      <c r="BE11" s="55">
        <v>18</v>
      </c>
      <c r="BF11" s="55">
        <v>6</v>
      </c>
      <c r="BG11" s="55">
        <v>27</v>
      </c>
      <c r="BH11" s="55">
        <v>0</v>
      </c>
      <c r="BI11" s="55">
        <v>20</v>
      </c>
      <c r="BJ11" s="56">
        <v>6</v>
      </c>
      <c r="BK11" s="9"/>
      <c r="BL11" s="9"/>
      <c r="BM11" s="9"/>
      <c r="BN11" s="9"/>
      <c r="BO11" s="9"/>
      <c r="BP11" s="9"/>
      <c r="BQ11" s="9"/>
      <c r="BR11" s="9"/>
      <c r="BS11" s="9"/>
    </row>
    <row r="12" spans="1:71" ht="18.75" customHeight="1" x14ac:dyDescent="0.3">
      <c r="A12" s="42" t="s">
        <v>252</v>
      </c>
      <c r="B12" t="s">
        <v>228</v>
      </c>
      <c r="C12" t="s">
        <v>253</v>
      </c>
      <c r="D12" t="s">
        <v>254</v>
      </c>
      <c r="E12" s="44">
        <v>2</v>
      </c>
      <c r="F12" s="44">
        <v>2</v>
      </c>
      <c r="G12" s="45">
        <v>345</v>
      </c>
      <c r="H12" s="44">
        <v>20</v>
      </c>
      <c r="I12" s="44">
        <v>355</v>
      </c>
      <c r="J12" s="44">
        <v>170</v>
      </c>
      <c r="K12" s="43">
        <f t="shared" si="0"/>
        <v>10.840634357325053</v>
      </c>
      <c r="L12" s="46">
        <f t="shared" si="1"/>
        <v>91.159365642674942</v>
      </c>
      <c r="M12" s="47">
        <f t="shared" si="2"/>
        <v>65.159365642674942</v>
      </c>
      <c r="N12" s="47">
        <f t="shared" si="3"/>
        <v>65.159365642674942</v>
      </c>
      <c r="O12" s="47">
        <f t="shared" si="4"/>
        <v>-17.666666666666668</v>
      </c>
      <c r="P12" s="48">
        <f t="shared" si="5"/>
        <v>-37</v>
      </c>
      <c r="Q12" s="58">
        <f t="shared" si="6"/>
        <v>-17</v>
      </c>
      <c r="R12" s="59">
        <f t="shared" si="7"/>
        <v>109</v>
      </c>
      <c r="S12" s="51">
        <f t="shared" si="8"/>
        <v>-23.333333333333332</v>
      </c>
      <c r="T12" s="60">
        <f t="shared" si="9"/>
        <v>109</v>
      </c>
      <c r="U12" s="52">
        <f t="shared" si="10"/>
        <v>23.333333333333332</v>
      </c>
      <c r="V12" s="53">
        <f t="shared" si="11"/>
        <v>91.159365642674942</v>
      </c>
      <c r="W12" s="54">
        <f t="shared" si="12"/>
        <v>65.159365642674942</v>
      </c>
      <c r="X12" s="54">
        <f t="shared" si="13"/>
        <v>65.159365642674942</v>
      </c>
      <c r="Y12" s="54">
        <f t="shared" si="14"/>
        <v>17.666666666666668</v>
      </c>
      <c r="Z12" s="55">
        <f t="shared" si="15"/>
        <v>17</v>
      </c>
      <c r="AA12" s="56">
        <f t="shared" si="16"/>
        <v>37</v>
      </c>
      <c r="AB12" s="9"/>
      <c r="AC12" s="57">
        <f>76+26</f>
        <v>102</v>
      </c>
      <c r="AD12" s="48">
        <v>0</v>
      </c>
      <c r="AE12" s="48">
        <v>76</v>
      </c>
      <c r="AF12" s="48">
        <v>0</v>
      </c>
      <c r="AG12" s="48">
        <v>76</v>
      </c>
      <c r="AH12" s="48">
        <v>0</v>
      </c>
      <c r="AI12" s="48">
        <v>-17</v>
      </c>
      <c r="AJ12" s="48">
        <v>-8</v>
      </c>
      <c r="AK12" s="48">
        <f>-17-20</f>
        <v>-37</v>
      </c>
      <c r="AL12" s="48">
        <v>0</v>
      </c>
      <c r="AM12" s="48">
        <v>-17</v>
      </c>
      <c r="AN12" s="58">
        <v>0</v>
      </c>
      <c r="AO12" s="9"/>
      <c r="AP12" s="59">
        <f>76+26+7</f>
        <v>109</v>
      </c>
      <c r="AQ12" s="60">
        <v>0</v>
      </c>
      <c r="AR12" s="60">
        <v>-23</v>
      </c>
      <c r="AS12" s="60">
        <v>-4</v>
      </c>
      <c r="AT12" s="60">
        <f>76+26+7</f>
        <v>109</v>
      </c>
      <c r="AU12" s="60">
        <v>0</v>
      </c>
      <c r="AV12" s="60">
        <v>23</v>
      </c>
      <c r="AW12" s="62">
        <v>4</v>
      </c>
      <c r="AX12" s="9"/>
      <c r="AY12" s="61">
        <f>76+26</f>
        <v>102</v>
      </c>
      <c r="AZ12" s="55">
        <v>0</v>
      </c>
      <c r="BA12" s="55">
        <v>76</v>
      </c>
      <c r="BB12" s="55">
        <v>0</v>
      </c>
      <c r="BC12" s="55">
        <v>76</v>
      </c>
      <c r="BD12" s="55">
        <v>0</v>
      </c>
      <c r="BE12" s="55">
        <v>17</v>
      </c>
      <c r="BF12" s="55">
        <v>8</v>
      </c>
      <c r="BG12" s="55">
        <v>17</v>
      </c>
      <c r="BH12" s="55">
        <v>0</v>
      </c>
      <c r="BI12" s="55">
        <f>17+20</f>
        <v>37</v>
      </c>
      <c r="BJ12" s="56">
        <v>0</v>
      </c>
      <c r="BK12" s="9"/>
      <c r="BL12" s="9"/>
      <c r="BM12" s="9"/>
      <c r="BN12" s="9"/>
      <c r="BO12" s="9"/>
      <c r="BP12" s="9"/>
      <c r="BQ12" s="9"/>
      <c r="BR12" s="9"/>
      <c r="BS12" s="9"/>
    </row>
    <row r="13" spans="1:71" ht="18.75" customHeight="1" x14ac:dyDescent="0.3">
      <c r="A13" s="42" t="s">
        <v>255</v>
      </c>
      <c r="B13" t="s">
        <v>228</v>
      </c>
      <c r="C13" t="s">
        <v>256</v>
      </c>
      <c r="D13" t="s">
        <v>136</v>
      </c>
      <c r="E13" s="44">
        <v>2</v>
      </c>
      <c r="F13" s="44">
        <v>2</v>
      </c>
      <c r="G13" s="45">
        <v>345</v>
      </c>
      <c r="H13" s="44">
        <v>20</v>
      </c>
      <c r="I13" s="44">
        <v>355</v>
      </c>
      <c r="J13" s="44">
        <v>170</v>
      </c>
      <c r="K13" s="43">
        <f t="shared" si="0"/>
        <v>10.840634357325053</v>
      </c>
      <c r="L13" s="46">
        <f t="shared" si="1"/>
        <v>77.159365642674942</v>
      </c>
      <c r="M13" s="47">
        <f t="shared" si="2"/>
        <v>52.159365642674949</v>
      </c>
      <c r="N13" s="47">
        <f t="shared" si="3"/>
        <v>52.159365642674949</v>
      </c>
      <c r="O13" s="47">
        <f t="shared" si="4"/>
        <v>-25.583333333333332</v>
      </c>
      <c r="P13" s="47">
        <f t="shared" si="5"/>
        <v>-37.833333333333336</v>
      </c>
      <c r="Q13" s="49">
        <f t="shared" si="6"/>
        <v>-14.333333333333334</v>
      </c>
      <c r="R13" s="59">
        <f t="shared" si="7"/>
        <v>103</v>
      </c>
      <c r="S13" s="51">
        <f t="shared" si="8"/>
        <v>-15.666666666666666</v>
      </c>
      <c r="T13" s="60">
        <f t="shared" si="9"/>
        <v>103</v>
      </c>
      <c r="U13" s="52">
        <f t="shared" si="10"/>
        <v>15.666666666666666</v>
      </c>
      <c r="V13" s="53">
        <f t="shared" si="11"/>
        <v>77.159365642674942</v>
      </c>
      <c r="W13" s="54">
        <f t="shared" si="12"/>
        <v>52.159365642674949</v>
      </c>
      <c r="X13" s="54">
        <f t="shared" si="13"/>
        <v>52.159365642674949</v>
      </c>
      <c r="Y13" s="54">
        <f t="shared" si="14"/>
        <v>25.583333333333332</v>
      </c>
      <c r="Z13" s="54">
        <f t="shared" si="15"/>
        <v>14.333333333333334</v>
      </c>
      <c r="AA13" s="64">
        <f t="shared" si="16"/>
        <v>37.833333333333336</v>
      </c>
      <c r="AB13" s="9"/>
      <c r="AC13" s="57">
        <f>63+25</f>
        <v>88</v>
      </c>
      <c r="AD13" s="48">
        <v>0</v>
      </c>
      <c r="AE13" s="48">
        <v>63</v>
      </c>
      <c r="AF13" s="48">
        <v>0</v>
      </c>
      <c r="AG13" s="48">
        <v>63</v>
      </c>
      <c r="AH13" s="48">
        <v>0</v>
      </c>
      <c r="AI13" s="48">
        <v>-25</v>
      </c>
      <c r="AJ13" s="48">
        <v>-7</v>
      </c>
      <c r="AK13" s="48">
        <f>-14-23</f>
        <v>-37</v>
      </c>
      <c r="AL13" s="48">
        <f>-6-4</f>
        <v>-10</v>
      </c>
      <c r="AM13" s="48">
        <v>-14</v>
      </c>
      <c r="AN13" s="58">
        <v>-4</v>
      </c>
      <c r="AO13" s="9"/>
      <c r="AP13" s="59">
        <f>63+25+15</f>
        <v>103</v>
      </c>
      <c r="AQ13" s="60">
        <v>0</v>
      </c>
      <c r="AR13" s="60">
        <v>-15</v>
      </c>
      <c r="AS13" s="60">
        <v>-8</v>
      </c>
      <c r="AT13" s="60">
        <f>63+25+15</f>
        <v>103</v>
      </c>
      <c r="AU13" s="60">
        <v>0</v>
      </c>
      <c r="AV13" s="60">
        <v>15</v>
      </c>
      <c r="AW13" s="62">
        <v>8</v>
      </c>
      <c r="AX13" s="9"/>
      <c r="AY13" s="61">
        <f>63+25</f>
        <v>88</v>
      </c>
      <c r="AZ13" s="55">
        <v>0</v>
      </c>
      <c r="BA13" s="55">
        <v>63</v>
      </c>
      <c r="BB13" s="55">
        <v>0</v>
      </c>
      <c r="BC13" s="55">
        <v>63</v>
      </c>
      <c r="BD13" s="55">
        <v>0</v>
      </c>
      <c r="BE13" s="55">
        <v>25</v>
      </c>
      <c r="BF13" s="55">
        <v>7</v>
      </c>
      <c r="BG13" s="55">
        <v>14</v>
      </c>
      <c r="BH13" s="55">
        <v>4</v>
      </c>
      <c r="BI13" s="55">
        <f>14+23</f>
        <v>37</v>
      </c>
      <c r="BJ13" s="56">
        <f>4+6</f>
        <v>10</v>
      </c>
      <c r="BK13" s="9"/>
      <c r="BL13" s="9"/>
      <c r="BM13" s="9"/>
      <c r="BN13" s="9"/>
      <c r="BO13" s="9"/>
      <c r="BP13" s="9"/>
      <c r="BQ13" s="9"/>
      <c r="BR13" s="9"/>
      <c r="BS13" s="9"/>
    </row>
    <row r="14" spans="1:71" ht="18.75" customHeight="1" x14ac:dyDescent="0.3">
      <c r="A14" s="42" t="s">
        <v>257</v>
      </c>
      <c r="B14" t="s">
        <v>228</v>
      </c>
      <c r="C14" t="s">
        <v>258</v>
      </c>
      <c r="D14" t="s">
        <v>259</v>
      </c>
      <c r="E14" s="44">
        <v>2</v>
      </c>
      <c r="F14" s="44">
        <v>2</v>
      </c>
      <c r="G14" s="45">
        <v>345</v>
      </c>
      <c r="H14" s="44">
        <v>20</v>
      </c>
      <c r="I14" s="44">
        <v>355</v>
      </c>
      <c r="J14" s="44">
        <v>170</v>
      </c>
      <c r="K14" s="43">
        <f t="shared" si="0"/>
        <v>10.840634357325053</v>
      </c>
      <c r="L14" s="46">
        <f t="shared" si="1"/>
        <v>97.159365642674942</v>
      </c>
      <c r="M14" s="47">
        <f t="shared" si="2"/>
        <v>54.159365642674949</v>
      </c>
      <c r="N14" s="47">
        <f t="shared" si="3"/>
        <v>54.159365642674949</v>
      </c>
      <c r="O14" s="47">
        <f t="shared" si="4"/>
        <v>-28.5</v>
      </c>
      <c r="P14" s="47">
        <f t="shared" si="5"/>
        <v>-40.5</v>
      </c>
      <c r="Q14" s="49">
        <f t="shared" si="6"/>
        <v>-16.5</v>
      </c>
      <c r="R14" s="59">
        <f t="shared" si="7"/>
        <v>117</v>
      </c>
      <c r="S14" s="51">
        <f t="shared" si="8"/>
        <v>-40.5</v>
      </c>
      <c r="T14" s="60">
        <f t="shared" si="9"/>
        <v>117</v>
      </c>
      <c r="U14" s="52">
        <f t="shared" si="10"/>
        <v>40.5</v>
      </c>
      <c r="V14" s="53">
        <f t="shared" si="11"/>
        <v>97.159365642674942</v>
      </c>
      <c r="W14" s="54">
        <f t="shared" si="12"/>
        <v>54.159365642674949</v>
      </c>
      <c r="X14" s="54">
        <f t="shared" si="13"/>
        <v>54.159365642674949</v>
      </c>
      <c r="Y14" s="55">
        <f t="shared" si="14"/>
        <v>69</v>
      </c>
      <c r="Z14" s="54">
        <f t="shared" si="15"/>
        <v>16.5</v>
      </c>
      <c r="AA14" s="56">
        <f t="shared" si="16"/>
        <v>81</v>
      </c>
      <c r="AB14" s="9"/>
      <c r="AC14" s="57">
        <f>65+43</f>
        <v>108</v>
      </c>
      <c r="AD14" s="48">
        <v>0</v>
      </c>
      <c r="AE14" s="48">
        <v>65</v>
      </c>
      <c r="AF14" s="48">
        <v>0</v>
      </c>
      <c r="AG14" s="48">
        <v>65</v>
      </c>
      <c r="AH14" s="48">
        <v>0</v>
      </c>
      <c r="AI14" s="47">
        <f>(-81/2)+12</f>
        <v>-28.5</v>
      </c>
      <c r="AJ14" s="48">
        <v>0</v>
      </c>
      <c r="AK14" s="47">
        <f>AI14-12</f>
        <v>-40.5</v>
      </c>
      <c r="AL14" s="48">
        <v>0</v>
      </c>
      <c r="AM14" s="47">
        <f>AI14+12</f>
        <v>-16.5</v>
      </c>
      <c r="AN14" s="58">
        <v>0</v>
      </c>
      <c r="AO14" s="9"/>
      <c r="AP14" s="59">
        <f>65+43+9</f>
        <v>117</v>
      </c>
      <c r="AQ14" s="60">
        <v>0</v>
      </c>
      <c r="AR14" s="51">
        <f>-81/2</f>
        <v>-40.5</v>
      </c>
      <c r="AS14" s="60">
        <v>0</v>
      </c>
      <c r="AT14" s="60">
        <f>65+43+9</f>
        <v>117</v>
      </c>
      <c r="AU14" s="60">
        <v>0</v>
      </c>
      <c r="AV14" s="51">
        <f>81/2</f>
        <v>40.5</v>
      </c>
      <c r="AW14" s="62">
        <v>0</v>
      </c>
      <c r="AX14" s="9"/>
      <c r="AY14" s="61">
        <f>65+43</f>
        <v>108</v>
      </c>
      <c r="AZ14" s="55">
        <v>0</v>
      </c>
      <c r="BA14" s="55">
        <v>65</v>
      </c>
      <c r="BB14" s="55">
        <v>0</v>
      </c>
      <c r="BC14" s="55">
        <v>65</v>
      </c>
      <c r="BD14" s="55">
        <v>0</v>
      </c>
      <c r="BE14" s="55">
        <f>81-12</f>
        <v>69</v>
      </c>
      <c r="BF14" s="55">
        <v>0</v>
      </c>
      <c r="BG14" s="54">
        <f>(81/2)-24</f>
        <v>16.5</v>
      </c>
      <c r="BH14" s="55">
        <v>0</v>
      </c>
      <c r="BI14" s="55">
        <v>81</v>
      </c>
      <c r="BJ14" s="56">
        <v>0</v>
      </c>
      <c r="BK14" s="9"/>
      <c r="BL14" s="9"/>
      <c r="BM14" s="9"/>
      <c r="BN14" s="9"/>
      <c r="BO14" s="9"/>
      <c r="BP14" s="9"/>
      <c r="BQ14" s="9"/>
      <c r="BR14" s="9"/>
      <c r="BS14" s="9"/>
    </row>
    <row r="15" spans="1:71" ht="18.75" customHeight="1" x14ac:dyDescent="0.3">
      <c r="A15" s="42" t="s">
        <v>260</v>
      </c>
      <c r="B15" t="s">
        <v>261</v>
      </c>
      <c r="C15" t="s">
        <v>262</v>
      </c>
      <c r="D15" t="s">
        <v>112</v>
      </c>
      <c r="E15" s="44">
        <v>1</v>
      </c>
      <c r="F15" s="44">
        <v>1</v>
      </c>
      <c r="G15" s="45">
        <v>345</v>
      </c>
      <c r="H15" s="44">
        <v>20</v>
      </c>
      <c r="I15" s="44">
        <v>355</v>
      </c>
      <c r="J15" s="44">
        <v>170</v>
      </c>
      <c r="K15" s="43">
        <f t="shared" si="0"/>
        <v>10.840634357325053</v>
      </c>
      <c r="L15" s="46">
        <f t="shared" si="1"/>
        <v>64.159365642674942</v>
      </c>
      <c r="M15" s="47">
        <f t="shared" si="2"/>
        <v>75.659365642674942</v>
      </c>
      <c r="N15" s="47">
        <f t="shared" si="3"/>
        <v>87.159365642674942</v>
      </c>
      <c r="O15" s="48">
        <f t="shared" si="4"/>
        <v>9</v>
      </c>
      <c r="P15" s="48">
        <f t="shared" si="5"/>
        <v>-9</v>
      </c>
      <c r="Q15" s="58">
        <f t="shared" si="6"/>
        <v>9</v>
      </c>
      <c r="R15" s="50">
        <f t="shared" si="7"/>
        <v>131.5</v>
      </c>
      <c r="S15" s="60">
        <f t="shared" si="8"/>
        <v>0</v>
      </c>
      <c r="T15" s="60">
        <f t="shared" si="9"/>
        <v>0</v>
      </c>
      <c r="U15" s="62">
        <f t="shared" si="10"/>
        <v>0</v>
      </c>
      <c r="V15" s="53">
        <f t="shared" si="11"/>
        <v>-10.840634357325053</v>
      </c>
      <c r="W15" s="54">
        <f t="shared" si="12"/>
        <v>-10.840634357325053</v>
      </c>
      <c r="X15" s="54">
        <f t="shared" si="13"/>
        <v>-10.840634357325053</v>
      </c>
      <c r="Y15" s="55">
        <f t="shared" si="14"/>
        <v>0</v>
      </c>
      <c r="Z15" s="55">
        <f t="shared" si="15"/>
        <v>0</v>
      </c>
      <c r="AA15" s="56">
        <f t="shared" si="16"/>
        <v>0</v>
      </c>
      <c r="AB15" s="9"/>
      <c r="AC15" s="57">
        <v>75</v>
      </c>
      <c r="AD15" s="48">
        <v>0</v>
      </c>
      <c r="AE15" s="48">
        <f>75+11</f>
        <v>86</v>
      </c>
      <c r="AF15" s="48">
        <v>6</v>
      </c>
      <c r="AG15" s="48">
        <f>75+23</f>
        <v>98</v>
      </c>
      <c r="AH15" s="48">
        <v>0</v>
      </c>
      <c r="AI15" s="48">
        <v>9</v>
      </c>
      <c r="AJ15" s="48">
        <v>0</v>
      </c>
      <c r="AK15" s="48">
        <v>-9</v>
      </c>
      <c r="AL15" s="48">
        <v>0</v>
      </c>
      <c r="AM15" s="48">
        <v>9</v>
      </c>
      <c r="AN15" s="58">
        <v>0</v>
      </c>
      <c r="AO15" s="9"/>
      <c r="AP15" s="59">
        <f>75+11+45</f>
        <v>131</v>
      </c>
      <c r="AQ15" s="60">
        <v>6</v>
      </c>
      <c r="AR15" s="60">
        <v>0</v>
      </c>
      <c r="AS15" s="60">
        <v>0</v>
      </c>
      <c r="AT15" s="60">
        <v>0</v>
      </c>
      <c r="AU15" s="60">
        <v>0</v>
      </c>
      <c r="AV15" s="60">
        <v>0</v>
      </c>
      <c r="AW15" s="62">
        <v>0</v>
      </c>
      <c r="AX15" s="9"/>
      <c r="AY15" s="63"/>
      <c r="AZ15" s="15"/>
      <c r="BA15" s="63"/>
      <c r="BB15" s="15"/>
      <c r="BC15" s="63"/>
      <c r="BD15" s="15"/>
      <c r="BE15" s="15"/>
      <c r="BF15" s="15"/>
      <c r="BG15" s="15"/>
      <c r="BH15" s="15"/>
      <c r="BI15" s="15"/>
      <c r="BJ15" s="15"/>
      <c r="BK15" s="9"/>
      <c r="BL15" s="9"/>
      <c r="BM15" s="9"/>
      <c r="BN15" s="9"/>
      <c r="BO15" s="9"/>
      <c r="BP15" s="9"/>
      <c r="BQ15" s="9"/>
      <c r="BR15" s="9"/>
      <c r="BS15" s="9"/>
    </row>
    <row r="16" spans="1:71" ht="18.75" customHeight="1" x14ac:dyDescent="0.3">
      <c r="A16" s="42" t="s">
        <v>263</v>
      </c>
      <c r="B16" t="s">
        <v>261</v>
      </c>
      <c r="C16" t="s">
        <v>264</v>
      </c>
      <c r="D16" t="s">
        <v>265</v>
      </c>
      <c r="E16" s="44">
        <v>2</v>
      </c>
      <c r="F16" s="44">
        <v>2</v>
      </c>
      <c r="G16" s="45">
        <v>345</v>
      </c>
      <c r="H16" s="44">
        <v>20</v>
      </c>
      <c r="I16" s="44">
        <v>355</v>
      </c>
      <c r="J16" s="44">
        <v>170</v>
      </c>
      <c r="K16" s="43">
        <f t="shared" si="0"/>
        <v>10.840634357325053</v>
      </c>
      <c r="L16" s="46">
        <f t="shared" si="1"/>
        <v>54.159365642674949</v>
      </c>
      <c r="M16" s="47">
        <f t="shared" si="2"/>
        <v>77.159365642674942</v>
      </c>
      <c r="N16" s="47">
        <f t="shared" si="3"/>
        <v>100.15936564267494</v>
      </c>
      <c r="O16" s="48">
        <f t="shared" si="4"/>
        <v>-15</v>
      </c>
      <c r="P16" s="48">
        <f t="shared" si="5"/>
        <v>-15</v>
      </c>
      <c r="Q16" s="58">
        <f t="shared" si="6"/>
        <v>-15</v>
      </c>
      <c r="R16" s="59">
        <f t="shared" si="7"/>
        <v>132</v>
      </c>
      <c r="S16" s="60">
        <f t="shared" si="8"/>
        <v>-14</v>
      </c>
      <c r="T16" s="60">
        <f t="shared" si="9"/>
        <v>132</v>
      </c>
      <c r="U16" s="62">
        <f t="shared" si="10"/>
        <v>14</v>
      </c>
      <c r="V16" s="53">
        <f t="shared" si="11"/>
        <v>100.15936564267494</v>
      </c>
      <c r="W16" s="54">
        <f t="shared" si="12"/>
        <v>77.159365642674942</v>
      </c>
      <c r="X16" s="54">
        <f t="shared" si="13"/>
        <v>54.159365642674949</v>
      </c>
      <c r="Y16" s="55">
        <f t="shared" si="14"/>
        <v>15</v>
      </c>
      <c r="Z16" s="55">
        <f t="shared" si="15"/>
        <v>15</v>
      </c>
      <c r="AA16" s="56">
        <f t="shared" si="16"/>
        <v>15</v>
      </c>
      <c r="AB16" s="9"/>
      <c r="AC16" s="57">
        <f>132-21-23-23</f>
        <v>65</v>
      </c>
      <c r="AD16" s="48">
        <v>0</v>
      </c>
      <c r="AE16" s="48">
        <f>132-21-23</f>
        <v>88</v>
      </c>
      <c r="AF16" s="48">
        <v>0</v>
      </c>
      <c r="AG16" s="48">
        <f>132-21</f>
        <v>111</v>
      </c>
      <c r="AH16" s="48">
        <v>0</v>
      </c>
      <c r="AI16" s="48">
        <v>-15</v>
      </c>
      <c r="AJ16" s="48">
        <v>0</v>
      </c>
      <c r="AK16" s="48">
        <v>-15</v>
      </c>
      <c r="AL16" s="48">
        <v>0</v>
      </c>
      <c r="AM16" s="48">
        <v>-15</v>
      </c>
      <c r="AN16" s="58">
        <v>0</v>
      </c>
      <c r="AO16" s="9"/>
      <c r="AP16" s="59">
        <v>132</v>
      </c>
      <c r="AQ16" s="60">
        <v>0</v>
      </c>
      <c r="AR16" s="60">
        <v>-14</v>
      </c>
      <c r="AS16" s="60">
        <v>0</v>
      </c>
      <c r="AT16" s="60">
        <v>132</v>
      </c>
      <c r="AU16" s="60">
        <v>0</v>
      </c>
      <c r="AV16" s="60">
        <v>14</v>
      </c>
      <c r="AW16" s="62">
        <v>0</v>
      </c>
      <c r="AX16" s="9"/>
      <c r="AY16" s="61">
        <f>132-21</f>
        <v>111</v>
      </c>
      <c r="AZ16" s="55">
        <v>0</v>
      </c>
      <c r="BA16" s="55">
        <f>132-21-23</f>
        <v>88</v>
      </c>
      <c r="BB16" s="55">
        <v>0</v>
      </c>
      <c r="BC16" s="55">
        <f>132-21-23-23</f>
        <v>65</v>
      </c>
      <c r="BD16" s="55">
        <v>0</v>
      </c>
      <c r="BE16" s="55">
        <v>15</v>
      </c>
      <c r="BF16" s="55">
        <v>0</v>
      </c>
      <c r="BG16" s="55">
        <v>15</v>
      </c>
      <c r="BH16" s="55">
        <v>0</v>
      </c>
      <c r="BI16" s="55">
        <v>15</v>
      </c>
      <c r="BJ16" s="56">
        <v>0</v>
      </c>
      <c r="BK16" s="9"/>
      <c r="BL16" s="9"/>
      <c r="BM16" s="9"/>
      <c r="BN16" s="9"/>
      <c r="BO16" s="9"/>
      <c r="BP16" s="9"/>
      <c r="BQ16" s="9"/>
      <c r="BR16" s="9"/>
      <c r="BS16" s="9"/>
    </row>
    <row r="17" spans="1:71" ht="18.75" customHeight="1" x14ac:dyDescent="0.3">
      <c r="A17" s="42" t="s">
        <v>266</v>
      </c>
      <c r="B17" t="s">
        <v>261</v>
      </c>
      <c r="C17" t="s">
        <v>267</v>
      </c>
      <c r="D17" t="s">
        <v>268</v>
      </c>
      <c r="E17" s="44">
        <v>2</v>
      </c>
      <c r="F17" s="44">
        <v>2</v>
      </c>
      <c r="G17" s="45">
        <v>345</v>
      </c>
      <c r="H17" s="44">
        <v>20</v>
      </c>
      <c r="I17" s="44">
        <v>355</v>
      </c>
      <c r="J17" s="44">
        <v>170</v>
      </c>
      <c r="K17" s="43">
        <f t="shared" si="0"/>
        <v>10.840634357325053</v>
      </c>
      <c r="L17" s="46">
        <f t="shared" si="1"/>
        <v>65.159365642674942</v>
      </c>
      <c r="M17" s="47">
        <f t="shared" si="2"/>
        <v>90.159365642674942</v>
      </c>
      <c r="N17" s="47">
        <f t="shared" si="3"/>
        <v>115.15936564267494</v>
      </c>
      <c r="O17" s="47">
        <f t="shared" si="4"/>
        <v>-14.25</v>
      </c>
      <c r="P17" s="47">
        <f t="shared" si="5"/>
        <v>-21.25</v>
      </c>
      <c r="Q17" s="49">
        <f t="shared" si="6"/>
        <v>-14.25</v>
      </c>
      <c r="R17" s="59">
        <f t="shared" si="7"/>
        <v>135</v>
      </c>
      <c r="S17" s="60">
        <f t="shared" si="8"/>
        <v>-17</v>
      </c>
      <c r="T17" s="60">
        <f t="shared" si="9"/>
        <v>135</v>
      </c>
      <c r="U17" s="62">
        <f t="shared" si="10"/>
        <v>17</v>
      </c>
      <c r="V17" s="53">
        <f t="shared" si="11"/>
        <v>115.15936564267494</v>
      </c>
      <c r="W17" s="54">
        <f t="shared" si="12"/>
        <v>90.159365642674942</v>
      </c>
      <c r="X17" s="54">
        <f t="shared" si="13"/>
        <v>65.159365642674942</v>
      </c>
      <c r="Y17" s="54">
        <f t="shared" si="14"/>
        <v>14.25</v>
      </c>
      <c r="Z17" s="54">
        <f t="shared" si="15"/>
        <v>21.25</v>
      </c>
      <c r="AA17" s="64">
        <f t="shared" si="16"/>
        <v>14.25</v>
      </c>
      <c r="AB17" s="9"/>
      <c r="AC17" s="57">
        <v>76</v>
      </c>
      <c r="AD17" s="48">
        <v>0</v>
      </c>
      <c r="AE17" s="48">
        <f>76+25</f>
        <v>101</v>
      </c>
      <c r="AF17" s="48">
        <v>0</v>
      </c>
      <c r="AG17" s="48">
        <f>76+25+25</f>
        <v>126</v>
      </c>
      <c r="AH17" s="48">
        <v>0</v>
      </c>
      <c r="AI17" s="48">
        <v>-14</v>
      </c>
      <c r="AJ17" s="48">
        <v>-3</v>
      </c>
      <c r="AK17" s="48">
        <v>-21</v>
      </c>
      <c r="AL17" s="48">
        <v>-3</v>
      </c>
      <c r="AM17" s="48">
        <v>-14</v>
      </c>
      <c r="AN17" s="58">
        <v>-3</v>
      </c>
      <c r="AO17" s="9"/>
      <c r="AP17" s="59">
        <f>76+25+25+9</f>
        <v>135</v>
      </c>
      <c r="AQ17" s="60">
        <v>0</v>
      </c>
      <c r="AR17" s="60">
        <v>-17</v>
      </c>
      <c r="AS17" s="60">
        <v>0</v>
      </c>
      <c r="AT17" s="60">
        <f>76+25+25+9</f>
        <v>135</v>
      </c>
      <c r="AU17" s="60">
        <v>0</v>
      </c>
      <c r="AV17" s="60">
        <v>17</v>
      </c>
      <c r="AW17" s="62">
        <v>0</v>
      </c>
      <c r="AX17" s="9"/>
      <c r="AY17" s="61">
        <f>76+25+25</f>
        <v>126</v>
      </c>
      <c r="AZ17" s="55">
        <v>0</v>
      </c>
      <c r="BA17" s="55">
        <f>76+25</f>
        <v>101</v>
      </c>
      <c r="BB17" s="55">
        <v>0</v>
      </c>
      <c r="BC17" s="55">
        <v>76</v>
      </c>
      <c r="BD17" s="55">
        <v>0</v>
      </c>
      <c r="BE17" s="55">
        <v>14</v>
      </c>
      <c r="BF17" s="55">
        <v>3</v>
      </c>
      <c r="BG17" s="55">
        <v>21</v>
      </c>
      <c r="BH17" s="55">
        <v>3</v>
      </c>
      <c r="BI17" s="55">
        <v>14</v>
      </c>
      <c r="BJ17" s="56">
        <v>3</v>
      </c>
      <c r="BK17" s="9"/>
      <c r="BL17" s="9"/>
      <c r="BM17" s="9"/>
      <c r="BN17" s="9"/>
      <c r="BO17" s="9"/>
      <c r="BP17" s="9"/>
      <c r="BQ17" s="9"/>
      <c r="BR17" s="9"/>
      <c r="BS17" s="9"/>
    </row>
    <row r="18" spans="1:71" ht="18.75" customHeight="1" x14ac:dyDescent="0.3">
      <c r="A18" s="42" t="s">
        <v>269</v>
      </c>
      <c r="B18" t="s">
        <v>261</v>
      </c>
      <c r="C18" t="s">
        <v>270</v>
      </c>
      <c r="D18" t="s">
        <v>271</v>
      </c>
      <c r="E18" s="44">
        <v>2</v>
      </c>
      <c r="F18" s="44">
        <v>2</v>
      </c>
      <c r="G18" s="45">
        <v>345</v>
      </c>
      <c r="H18" s="44">
        <v>20</v>
      </c>
      <c r="I18" s="44">
        <v>355</v>
      </c>
      <c r="J18" s="44">
        <v>170</v>
      </c>
      <c r="K18" s="43">
        <f t="shared" si="0"/>
        <v>10.840634357325053</v>
      </c>
      <c r="L18" s="46">
        <f t="shared" si="1"/>
        <v>65.159365642674942</v>
      </c>
      <c r="M18" s="47">
        <f t="shared" si="2"/>
        <v>81.159365642674942</v>
      </c>
      <c r="N18" s="47">
        <f t="shared" si="3"/>
        <v>97.159365642674942</v>
      </c>
      <c r="O18" s="48">
        <f t="shared" si="4"/>
        <v>-11</v>
      </c>
      <c r="P18" s="48">
        <f t="shared" si="5"/>
        <v>-11</v>
      </c>
      <c r="Q18" s="58">
        <f t="shared" si="6"/>
        <v>-11</v>
      </c>
      <c r="R18" s="50">
        <f t="shared" si="7"/>
        <v>111.5</v>
      </c>
      <c r="S18" s="60">
        <f t="shared" si="8"/>
        <v>-8</v>
      </c>
      <c r="T18" s="51">
        <f t="shared" si="9"/>
        <v>111.5</v>
      </c>
      <c r="U18" s="62">
        <f t="shared" si="10"/>
        <v>8</v>
      </c>
      <c r="V18" s="53">
        <f t="shared" si="11"/>
        <v>97.159365642674942</v>
      </c>
      <c r="W18" s="54">
        <f t="shared" si="12"/>
        <v>81.159365642674942</v>
      </c>
      <c r="X18" s="54">
        <f t="shared" si="13"/>
        <v>65.159365642674942</v>
      </c>
      <c r="Y18" s="55">
        <f t="shared" si="14"/>
        <v>11</v>
      </c>
      <c r="Z18" s="55">
        <f t="shared" si="15"/>
        <v>11</v>
      </c>
      <c r="AA18" s="56">
        <f t="shared" si="16"/>
        <v>11</v>
      </c>
      <c r="AB18" s="9"/>
      <c r="AC18" s="57">
        <v>76</v>
      </c>
      <c r="AD18" s="48">
        <v>0</v>
      </c>
      <c r="AE18" s="48">
        <f>76+16</f>
        <v>92</v>
      </c>
      <c r="AF18" s="48">
        <v>0</v>
      </c>
      <c r="AG18" s="48">
        <f>76+16+16</f>
        <v>108</v>
      </c>
      <c r="AH18" s="48">
        <v>0</v>
      </c>
      <c r="AI18" s="48">
        <v>-11</v>
      </c>
      <c r="AJ18" s="48">
        <v>0</v>
      </c>
      <c r="AK18" s="48">
        <v>-11</v>
      </c>
      <c r="AL18" s="48">
        <v>0</v>
      </c>
      <c r="AM18" s="48">
        <v>-11</v>
      </c>
      <c r="AN18" s="58">
        <v>0</v>
      </c>
      <c r="AO18" s="9"/>
      <c r="AP18" s="59">
        <f>76+16+16+3</f>
        <v>111</v>
      </c>
      <c r="AQ18" s="60">
        <v>6</v>
      </c>
      <c r="AR18" s="60">
        <v>-8</v>
      </c>
      <c r="AS18" s="60">
        <v>0</v>
      </c>
      <c r="AT18" s="60">
        <f>76+16+16+3</f>
        <v>111</v>
      </c>
      <c r="AU18" s="60">
        <v>6</v>
      </c>
      <c r="AV18" s="60">
        <v>8</v>
      </c>
      <c r="AW18" s="62">
        <v>0</v>
      </c>
      <c r="AX18" s="9"/>
      <c r="AY18" s="61">
        <f>76+16+16</f>
        <v>108</v>
      </c>
      <c r="AZ18" s="55">
        <v>0</v>
      </c>
      <c r="BA18" s="55">
        <f>76+16</f>
        <v>92</v>
      </c>
      <c r="BB18" s="55">
        <v>0</v>
      </c>
      <c r="BC18" s="55">
        <v>76</v>
      </c>
      <c r="BD18" s="55">
        <v>0</v>
      </c>
      <c r="BE18" s="55">
        <v>11</v>
      </c>
      <c r="BF18" s="55">
        <v>0</v>
      </c>
      <c r="BG18" s="55">
        <v>11</v>
      </c>
      <c r="BH18" s="55">
        <v>0</v>
      </c>
      <c r="BI18" s="55">
        <v>11</v>
      </c>
      <c r="BJ18" s="56">
        <v>0</v>
      </c>
      <c r="BK18" s="9"/>
      <c r="BL18" s="9"/>
      <c r="BM18" s="9"/>
      <c r="BN18" s="9"/>
      <c r="BO18" s="9"/>
      <c r="BP18" s="9"/>
      <c r="BQ18" s="9"/>
      <c r="BR18" s="9"/>
      <c r="BS18" s="9"/>
    </row>
    <row r="19" spans="1:71" ht="18.75" customHeight="1" x14ac:dyDescent="0.3">
      <c r="A19" s="42" t="s">
        <v>272</v>
      </c>
      <c r="B19" t="s">
        <v>261</v>
      </c>
      <c r="C19" t="s">
        <v>273</v>
      </c>
      <c r="D19" t="s">
        <v>139</v>
      </c>
      <c r="E19" s="44">
        <v>2</v>
      </c>
      <c r="F19" s="44">
        <v>2</v>
      </c>
      <c r="G19" s="45">
        <v>345</v>
      </c>
      <c r="H19" s="44">
        <v>20</v>
      </c>
      <c r="I19" s="44">
        <v>355</v>
      </c>
      <c r="J19" s="44">
        <v>170</v>
      </c>
      <c r="K19" s="43">
        <f t="shared" si="0"/>
        <v>10.840634357325053</v>
      </c>
      <c r="L19" s="57">
        <f t="shared" si="1"/>
        <v>72</v>
      </c>
      <c r="M19" s="48">
        <f t="shared" si="2"/>
        <v>97</v>
      </c>
      <c r="N19" s="48">
        <f t="shared" si="3"/>
        <v>122</v>
      </c>
      <c r="O19" s="48">
        <f t="shared" si="4"/>
        <v>-11</v>
      </c>
      <c r="P19" s="48">
        <f t="shared" si="5"/>
        <v>-19</v>
      </c>
      <c r="Q19" s="58">
        <f t="shared" si="6"/>
        <v>-11</v>
      </c>
      <c r="R19" s="59">
        <f t="shared" si="7"/>
        <v>140</v>
      </c>
      <c r="S19" s="60">
        <f t="shared" si="8"/>
        <v>-7</v>
      </c>
      <c r="T19" s="60">
        <f t="shared" si="9"/>
        <v>140</v>
      </c>
      <c r="U19" s="62">
        <f t="shared" si="10"/>
        <v>7</v>
      </c>
      <c r="V19" s="61">
        <f t="shared" si="11"/>
        <v>122</v>
      </c>
      <c r="W19" s="55">
        <f t="shared" si="12"/>
        <v>97</v>
      </c>
      <c r="X19" s="55">
        <f t="shared" si="13"/>
        <v>72</v>
      </c>
      <c r="Y19" s="55">
        <f t="shared" si="14"/>
        <v>11</v>
      </c>
      <c r="Z19" s="55">
        <f t="shared" si="15"/>
        <v>19</v>
      </c>
      <c r="AA19" s="56">
        <f t="shared" si="16"/>
        <v>11</v>
      </c>
      <c r="AB19" s="9"/>
      <c r="AC19" s="46">
        <f>140-18-25-25+K19</f>
        <v>82.840634357325058</v>
      </c>
      <c r="AD19" s="48">
        <v>0</v>
      </c>
      <c r="AE19" s="47">
        <f>140-18-25+K19</f>
        <v>107.84063435732506</v>
      </c>
      <c r="AF19" s="48">
        <v>0</v>
      </c>
      <c r="AG19" s="47">
        <f>140-18+K19</f>
        <v>132.84063435732506</v>
      </c>
      <c r="AH19" s="48">
        <v>0</v>
      </c>
      <c r="AI19" s="48">
        <v>-11</v>
      </c>
      <c r="AJ19" s="48">
        <v>0</v>
      </c>
      <c r="AK19" s="48">
        <v>-19</v>
      </c>
      <c r="AL19" s="48">
        <v>0</v>
      </c>
      <c r="AM19" s="48">
        <v>-11</v>
      </c>
      <c r="AN19" s="58">
        <v>0</v>
      </c>
      <c r="AO19" s="9"/>
      <c r="AP19" s="59">
        <v>140</v>
      </c>
      <c r="AQ19" s="60">
        <v>0</v>
      </c>
      <c r="AR19" s="60">
        <v>-7</v>
      </c>
      <c r="AS19" s="60">
        <v>0</v>
      </c>
      <c r="AT19" s="60">
        <v>140</v>
      </c>
      <c r="AU19" s="60">
        <v>0</v>
      </c>
      <c r="AV19" s="60">
        <v>7</v>
      </c>
      <c r="AW19" s="62">
        <v>0</v>
      </c>
      <c r="AX19" s="9"/>
      <c r="AY19" s="53">
        <f>140-18+K19</f>
        <v>132.84063435732506</v>
      </c>
      <c r="AZ19" s="55">
        <v>0</v>
      </c>
      <c r="BA19" s="54">
        <f>140-18-25+K19</f>
        <v>107.84063435732506</v>
      </c>
      <c r="BB19" s="55">
        <v>0</v>
      </c>
      <c r="BC19" s="54">
        <f>140-18-25-25+K19</f>
        <v>82.840634357325058</v>
      </c>
      <c r="BD19" s="55">
        <v>0</v>
      </c>
      <c r="BE19" s="55">
        <v>11</v>
      </c>
      <c r="BF19" s="55">
        <v>0</v>
      </c>
      <c r="BG19" s="55">
        <v>19</v>
      </c>
      <c r="BH19" s="55">
        <v>0</v>
      </c>
      <c r="BI19" s="55">
        <v>11</v>
      </c>
      <c r="BJ19" s="56">
        <v>0</v>
      </c>
      <c r="BK19" s="9"/>
      <c r="BL19" s="9"/>
      <c r="BM19" s="9"/>
      <c r="BN19" s="9"/>
      <c r="BO19" s="9"/>
      <c r="BP19" s="9"/>
      <c r="BQ19" s="9"/>
      <c r="BR19" s="9"/>
      <c r="BS19" s="9"/>
    </row>
    <row r="20" spans="1:71" ht="18.75" customHeight="1" x14ac:dyDescent="0.3">
      <c r="A20" s="42" t="s">
        <v>274</v>
      </c>
      <c r="B20" t="s">
        <v>261</v>
      </c>
      <c r="C20" t="s">
        <v>262</v>
      </c>
      <c r="D20" t="s">
        <v>112</v>
      </c>
      <c r="E20" s="44">
        <v>2</v>
      </c>
      <c r="F20" s="44">
        <v>1</v>
      </c>
      <c r="G20" s="45">
        <v>345</v>
      </c>
      <c r="H20" s="44">
        <v>20</v>
      </c>
      <c r="I20" s="44">
        <v>355</v>
      </c>
      <c r="J20" s="44">
        <v>170</v>
      </c>
      <c r="K20" s="43">
        <f t="shared" si="0"/>
        <v>10.840634357325053</v>
      </c>
      <c r="L20" s="46">
        <f t="shared" si="1"/>
        <v>59.159365642674949</v>
      </c>
      <c r="M20" s="47">
        <f t="shared" si="2"/>
        <v>81.659365642674942</v>
      </c>
      <c r="N20" s="47">
        <f t="shared" si="3"/>
        <v>104.15936564267494</v>
      </c>
      <c r="O20" s="48">
        <f t="shared" si="4"/>
        <v>-9</v>
      </c>
      <c r="P20" s="48">
        <f t="shared" si="5"/>
        <v>-13</v>
      </c>
      <c r="Q20" s="58">
        <f t="shared" si="6"/>
        <v>-9</v>
      </c>
      <c r="R20" s="50">
        <f t="shared" si="7"/>
        <v>145.5</v>
      </c>
      <c r="S20" s="60">
        <f t="shared" si="8"/>
        <v>0</v>
      </c>
      <c r="T20" s="60">
        <f t="shared" si="9"/>
        <v>0</v>
      </c>
      <c r="U20" s="62">
        <f t="shared" si="10"/>
        <v>0</v>
      </c>
      <c r="V20" s="53">
        <f t="shared" si="11"/>
        <v>104.15936564267494</v>
      </c>
      <c r="W20" s="54">
        <f t="shared" si="12"/>
        <v>81.659365642674942</v>
      </c>
      <c r="X20" s="54">
        <f t="shared" si="13"/>
        <v>59.159365642674949</v>
      </c>
      <c r="Y20" s="55">
        <f t="shared" si="14"/>
        <v>-9</v>
      </c>
      <c r="Z20" s="55">
        <f t="shared" si="15"/>
        <v>-13</v>
      </c>
      <c r="AA20" s="56">
        <f t="shared" si="16"/>
        <v>-9</v>
      </c>
      <c r="AB20" s="9"/>
      <c r="AC20" s="57">
        <v>70</v>
      </c>
      <c r="AD20" s="48">
        <v>0</v>
      </c>
      <c r="AE20" s="48">
        <f>70+22</f>
        <v>92</v>
      </c>
      <c r="AF20" s="48">
        <v>6</v>
      </c>
      <c r="AG20" s="48">
        <f>70+22+22</f>
        <v>114</v>
      </c>
      <c r="AH20" s="48">
        <f>6+6</f>
        <v>12</v>
      </c>
      <c r="AI20" s="48">
        <v>-9</v>
      </c>
      <c r="AJ20" s="48">
        <v>0</v>
      </c>
      <c r="AK20" s="48">
        <v>-13</v>
      </c>
      <c r="AL20" s="48">
        <v>0</v>
      </c>
      <c r="AM20" s="48">
        <v>-9</v>
      </c>
      <c r="AN20" s="58">
        <v>0</v>
      </c>
      <c r="AO20" s="9"/>
      <c r="AP20" s="59">
        <f>70+22+22+30</f>
        <v>144</v>
      </c>
      <c r="AQ20" s="60">
        <f>6+6+6</f>
        <v>18</v>
      </c>
      <c r="AR20" s="60">
        <v>0</v>
      </c>
      <c r="AS20" s="60">
        <v>0</v>
      </c>
      <c r="AT20" s="60">
        <v>0</v>
      </c>
      <c r="AU20" s="60">
        <v>0</v>
      </c>
      <c r="AV20" s="60">
        <v>0</v>
      </c>
      <c r="AW20" s="62">
        <v>0</v>
      </c>
      <c r="AX20" s="9"/>
      <c r="AY20" s="61">
        <f>70+22+22</f>
        <v>114</v>
      </c>
      <c r="AZ20" s="55">
        <f>6+6</f>
        <v>12</v>
      </c>
      <c r="BA20" s="55">
        <f>70+22</f>
        <v>92</v>
      </c>
      <c r="BB20" s="55">
        <v>6</v>
      </c>
      <c r="BC20" s="55">
        <v>70</v>
      </c>
      <c r="BD20" s="55">
        <v>0</v>
      </c>
      <c r="BE20" s="55">
        <v>-9</v>
      </c>
      <c r="BF20" s="55">
        <v>0</v>
      </c>
      <c r="BG20" s="55">
        <v>-13</v>
      </c>
      <c r="BH20" s="55">
        <v>0</v>
      </c>
      <c r="BI20" s="55">
        <v>-9</v>
      </c>
      <c r="BJ20" s="56">
        <v>0</v>
      </c>
      <c r="BK20" s="9"/>
      <c r="BL20" s="9"/>
      <c r="BM20" s="9"/>
      <c r="BN20" s="9"/>
      <c r="BO20" s="9"/>
      <c r="BP20" s="9"/>
      <c r="BQ20" s="9"/>
      <c r="BR20" s="9"/>
      <c r="BS20" s="9"/>
    </row>
    <row r="21" spans="1:71" ht="18.75" customHeight="1" x14ac:dyDescent="0.3">
      <c r="A21" s="42" t="s">
        <v>275</v>
      </c>
      <c r="B21" t="s">
        <v>261</v>
      </c>
      <c r="C21" t="s">
        <v>276</v>
      </c>
      <c r="D21" t="s">
        <v>47</v>
      </c>
      <c r="E21" s="44">
        <v>2</v>
      </c>
      <c r="F21" s="44">
        <v>2</v>
      </c>
      <c r="G21" s="45">
        <v>345</v>
      </c>
      <c r="H21" s="44">
        <v>20</v>
      </c>
      <c r="I21" s="44">
        <v>355</v>
      </c>
      <c r="J21" s="44">
        <v>170</v>
      </c>
      <c r="K21" s="43">
        <f t="shared" si="0"/>
        <v>10.840634357325053</v>
      </c>
      <c r="L21" s="46">
        <f t="shared" si="1"/>
        <v>116.82603230934161</v>
      </c>
      <c r="M21" s="47">
        <f t="shared" si="2"/>
        <v>80.826032309341613</v>
      </c>
      <c r="N21" s="47">
        <f t="shared" si="3"/>
        <v>80.826032309341613</v>
      </c>
      <c r="O21" s="47">
        <f t="shared" si="4"/>
        <v>-15.5</v>
      </c>
      <c r="P21" s="48">
        <f t="shared" si="5"/>
        <v>-41</v>
      </c>
      <c r="Q21" s="58">
        <f t="shared" si="6"/>
        <v>-16</v>
      </c>
      <c r="R21" s="50">
        <f t="shared" si="7"/>
        <v>127.66666666666667</v>
      </c>
      <c r="S21" s="60">
        <f t="shared" si="8"/>
        <v>-30</v>
      </c>
      <c r="T21" s="51">
        <f t="shared" si="9"/>
        <v>127.66666666666667</v>
      </c>
      <c r="U21" s="62">
        <f t="shared" si="10"/>
        <v>30</v>
      </c>
      <c r="V21" s="53">
        <f t="shared" si="11"/>
        <v>116.82603230934161</v>
      </c>
      <c r="W21" s="54">
        <f t="shared" si="12"/>
        <v>80.826032309341613</v>
      </c>
      <c r="X21" s="54">
        <f t="shared" si="13"/>
        <v>80.826032309341613</v>
      </c>
      <c r="Y21" s="54">
        <f t="shared" si="14"/>
        <v>15.5</v>
      </c>
      <c r="Z21" s="55">
        <f t="shared" si="15"/>
        <v>16</v>
      </c>
      <c r="AA21" s="56">
        <f t="shared" si="16"/>
        <v>41</v>
      </c>
      <c r="AB21" s="9"/>
      <c r="AC21" s="57">
        <f>91+36</f>
        <v>127</v>
      </c>
      <c r="AD21" s="48">
        <v>8</v>
      </c>
      <c r="AE21" s="48">
        <v>91</v>
      </c>
      <c r="AF21" s="48">
        <v>8</v>
      </c>
      <c r="AG21" s="48">
        <v>91</v>
      </c>
      <c r="AH21" s="48">
        <v>8</v>
      </c>
      <c r="AI21" s="48">
        <v>-15</v>
      </c>
      <c r="AJ21" s="48">
        <v>-6</v>
      </c>
      <c r="AK21" s="48">
        <f>-16-25</f>
        <v>-41</v>
      </c>
      <c r="AL21" s="48">
        <v>0</v>
      </c>
      <c r="AM21" s="48">
        <v>-16</v>
      </c>
      <c r="AN21" s="58">
        <v>0</v>
      </c>
      <c r="AO21" s="9"/>
      <c r="AP21" s="59">
        <f>91+36</f>
        <v>127</v>
      </c>
      <c r="AQ21" s="60">
        <v>8</v>
      </c>
      <c r="AR21" s="60">
        <v>-30</v>
      </c>
      <c r="AS21" s="60">
        <v>0</v>
      </c>
      <c r="AT21" s="60">
        <v>127</v>
      </c>
      <c r="AU21" s="60">
        <v>8</v>
      </c>
      <c r="AV21" s="60">
        <v>30</v>
      </c>
      <c r="AW21" s="62">
        <v>0</v>
      </c>
      <c r="AX21" s="9"/>
      <c r="AY21" s="61">
        <f>91+36</f>
        <v>127</v>
      </c>
      <c r="AZ21" s="55">
        <v>8</v>
      </c>
      <c r="BA21" s="55">
        <v>91</v>
      </c>
      <c r="BB21" s="55">
        <v>8</v>
      </c>
      <c r="BC21" s="55">
        <v>91</v>
      </c>
      <c r="BD21" s="55">
        <v>8</v>
      </c>
      <c r="BE21" s="55">
        <v>15</v>
      </c>
      <c r="BF21" s="55">
        <v>6</v>
      </c>
      <c r="BG21" s="55">
        <v>16</v>
      </c>
      <c r="BH21" s="55">
        <v>0</v>
      </c>
      <c r="BI21" s="55">
        <f>16+25</f>
        <v>41</v>
      </c>
      <c r="BJ21" s="56">
        <v>0</v>
      </c>
      <c r="BK21" s="9"/>
      <c r="BL21" s="9"/>
      <c r="BM21" s="9"/>
      <c r="BN21" s="9"/>
      <c r="BO21" s="9"/>
      <c r="BP21" s="9"/>
      <c r="BQ21" s="9"/>
      <c r="BR21" s="9"/>
      <c r="BS21" s="9"/>
    </row>
    <row r="22" spans="1:71" ht="18.75" customHeight="1" x14ac:dyDescent="0.3">
      <c r="A22" s="42" t="s">
        <v>277</v>
      </c>
      <c r="B22" t="s">
        <v>261</v>
      </c>
      <c r="C22" t="s">
        <v>258</v>
      </c>
      <c r="D22" t="s">
        <v>259</v>
      </c>
      <c r="E22" s="44">
        <v>2</v>
      </c>
      <c r="F22" s="44">
        <v>1</v>
      </c>
      <c r="G22" s="45">
        <v>345</v>
      </c>
      <c r="H22" s="44">
        <v>20</v>
      </c>
      <c r="I22" s="44">
        <v>355</v>
      </c>
      <c r="J22" s="44">
        <v>170</v>
      </c>
      <c r="K22" s="43">
        <f t="shared" si="0"/>
        <v>10.840634357325053</v>
      </c>
      <c r="L22" s="46">
        <f t="shared" si="1"/>
        <v>98.159365642674942</v>
      </c>
      <c r="M22" s="47">
        <f t="shared" si="2"/>
        <v>55.159365642674949</v>
      </c>
      <c r="N22" s="47">
        <f t="shared" si="3"/>
        <v>55.159365642674949</v>
      </c>
      <c r="O22" s="48">
        <f t="shared" si="4"/>
        <v>-22</v>
      </c>
      <c r="P22" s="48">
        <f t="shared" si="5"/>
        <v>-33</v>
      </c>
      <c r="Q22" s="58">
        <f t="shared" si="6"/>
        <v>-10</v>
      </c>
      <c r="R22" s="59">
        <f t="shared" si="7"/>
        <v>118</v>
      </c>
      <c r="S22" s="60">
        <f t="shared" si="8"/>
        <v>0</v>
      </c>
      <c r="T22" s="60">
        <f t="shared" si="9"/>
        <v>0</v>
      </c>
      <c r="U22" s="62">
        <f t="shared" si="10"/>
        <v>0</v>
      </c>
      <c r="V22" s="53">
        <f t="shared" si="11"/>
        <v>98.159365642674942</v>
      </c>
      <c r="W22" s="54">
        <f t="shared" si="12"/>
        <v>55.159365642674949</v>
      </c>
      <c r="X22" s="54">
        <f t="shared" si="13"/>
        <v>55.159365642674949</v>
      </c>
      <c r="Y22" s="55">
        <f t="shared" si="14"/>
        <v>22</v>
      </c>
      <c r="Z22" s="55">
        <f t="shared" si="15"/>
        <v>10</v>
      </c>
      <c r="AA22" s="56">
        <f t="shared" si="16"/>
        <v>33</v>
      </c>
      <c r="AB22" s="9"/>
      <c r="AC22" s="57">
        <f>118-9</f>
        <v>109</v>
      </c>
      <c r="AD22" s="48">
        <v>0</v>
      </c>
      <c r="AE22" s="48">
        <v>66</v>
      </c>
      <c r="AF22" s="48">
        <v>0</v>
      </c>
      <c r="AG22" s="48">
        <v>66</v>
      </c>
      <c r="AH22" s="48">
        <v>0</v>
      </c>
      <c r="AI22" s="48">
        <v>-22</v>
      </c>
      <c r="AJ22" s="48">
        <v>0</v>
      </c>
      <c r="AK22" s="48">
        <f>-2-16-15</f>
        <v>-33</v>
      </c>
      <c r="AL22" s="48">
        <v>0</v>
      </c>
      <c r="AM22" s="48">
        <v>-10</v>
      </c>
      <c r="AN22" s="58">
        <v>0</v>
      </c>
      <c r="AO22" s="9"/>
      <c r="AP22" s="59">
        <v>118</v>
      </c>
      <c r="AQ22" s="60">
        <v>0</v>
      </c>
      <c r="AR22" s="60">
        <v>0</v>
      </c>
      <c r="AS22" s="60">
        <v>0</v>
      </c>
      <c r="AT22" s="60">
        <v>0</v>
      </c>
      <c r="AU22" s="60">
        <v>0</v>
      </c>
      <c r="AV22" s="60">
        <v>0</v>
      </c>
      <c r="AW22" s="62">
        <v>0</v>
      </c>
      <c r="AX22" s="9"/>
      <c r="AY22" s="61">
        <f>118-9</f>
        <v>109</v>
      </c>
      <c r="AZ22" s="55">
        <v>0</v>
      </c>
      <c r="BA22" s="55">
        <v>66</v>
      </c>
      <c r="BB22" s="55">
        <v>0</v>
      </c>
      <c r="BC22" s="55">
        <v>66</v>
      </c>
      <c r="BD22" s="55">
        <v>0</v>
      </c>
      <c r="BE22" s="55">
        <v>22</v>
      </c>
      <c r="BF22" s="55">
        <v>0</v>
      </c>
      <c r="BG22" s="55">
        <f>2+8</f>
        <v>10</v>
      </c>
      <c r="BH22" s="55">
        <v>0</v>
      </c>
      <c r="BI22" s="55">
        <f>2+16+15</f>
        <v>33</v>
      </c>
      <c r="BJ22" s="56">
        <v>0</v>
      </c>
      <c r="BK22" s="9"/>
      <c r="BL22" s="9"/>
      <c r="BM22" s="9"/>
      <c r="BN22" s="9"/>
      <c r="BO22" s="9"/>
      <c r="BP22" s="9"/>
      <c r="BQ22" s="9"/>
      <c r="BR22" s="9"/>
      <c r="BS22" s="9"/>
    </row>
    <row r="23" spans="1:71" ht="18.75" customHeight="1" x14ac:dyDescent="0.3">
      <c r="A23" s="42" t="s">
        <v>278</v>
      </c>
      <c r="B23" t="s">
        <v>279</v>
      </c>
      <c r="C23" t="s">
        <v>280</v>
      </c>
      <c r="D23" t="s">
        <v>281</v>
      </c>
      <c r="E23" s="44">
        <v>1</v>
      </c>
      <c r="F23" s="44">
        <v>2</v>
      </c>
      <c r="G23" s="45">
        <v>345</v>
      </c>
      <c r="H23" s="44">
        <v>20</v>
      </c>
      <c r="I23" s="44">
        <v>355</v>
      </c>
      <c r="J23" s="44">
        <v>170</v>
      </c>
      <c r="K23" s="43">
        <f t="shared" si="0"/>
        <v>10.840634357325053</v>
      </c>
      <c r="L23" s="46">
        <f t="shared" si="1"/>
        <v>49.159365642674949</v>
      </c>
      <c r="M23" s="47">
        <f t="shared" si="2"/>
        <v>49.159365642674949</v>
      </c>
      <c r="N23" s="47">
        <f t="shared" si="3"/>
        <v>49.159365642674949</v>
      </c>
      <c r="O23" s="48">
        <f t="shared" si="4"/>
        <v>-18</v>
      </c>
      <c r="P23" s="48">
        <f t="shared" si="5"/>
        <v>0</v>
      </c>
      <c r="Q23" s="58">
        <f t="shared" si="6"/>
        <v>18</v>
      </c>
      <c r="R23" s="59">
        <f t="shared" si="7"/>
        <v>73</v>
      </c>
      <c r="S23" s="51">
        <f t="shared" si="8"/>
        <v>-12.25</v>
      </c>
      <c r="T23" s="60">
        <f t="shared" si="9"/>
        <v>73</v>
      </c>
      <c r="U23" s="52">
        <f t="shared" si="10"/>
        <v>12.25</v>
      </c>
      <c r="V23" s="53">
        <f t="shared" si="11"/>
        <v>-10.840634357325053</v>
      </c>
      <c r="W23" s="54">
        <f t="shared" si="12"/>
        <v>-10.840634357325053</v>
      </c>
      <c r="X23" s="54">
        <f t="shared" si="13"/>
        <v>-10.840634357325053</v>
      </c>
      <c r="Y23" s="55">
        <f t="shared" si="14"/>
        <v>0</v>
      </c>
      <c r="Z23" s="55">
        <f t="shared" si="15"/>
        <v>0</v>
      </c>
      <c r="AA23" s="56">
        <f t="shared" si="16"/>
        <v>0</v>
      </c>
      <c r="AB23" s="9"/>
      <c r="AC23" s="57">
        <v>60</v>
      </c>
      <c r="AD23" s="48">
        <v>0</v>
      </c>
      <c r="AE23" s="48">
        <v>60</v>
      </c>
      <c r="AF23" s="48">
        <v>0</v>
      </c>
      <c r="AG23" s="48">
        <v>60</v>
      </c>
      <c r="AH23" s="48">
        <v>0</v>
      </c>
      <c r="AI23" s="48">
        <f>-36/2</f>
        <v>-18</v>
      </c>
      <c r="AJ23" s="48">
        <v>0</v>
      </c>
      <c r="AK23" s="48">
        <v>0</v>
      </c>
      <c r="AL23" s="48">
        <v>0</v>
      </c>
      <c r="AM23" s="48">
        <v>18</v>
      </c>
      <c r="AN23" s="58">
        <v>0</v>
      </c>
      <c r="AO23" s="9"/>
      <c r="AP23" s="59">
        <f>60+13</f>
        <v>73</v>
      </c>
      <c r="AQ23" s="60">
        <v>0</v>
      </c>
      <c r="AR23" s="60">
        <f>-24/2</f>
        <v>-12</v>
      </c>
      <c r="AS23" s="60">
        <f>-6/2</f>
        <v>-3</v>
      </c>
      <c r="AT23" s="60">
        <v>73</v>
      </c>
      <c r="AU23" s="60">
        <v>0</v>
      </c>
      <c r="AV23" s="60">
        <v>12</v>
      </c>
      <c r="AW23" s="62">
        <v>3</v>
      </c>
      <c r="AX23" s="9"/>
      <c r="AY23" s="63"/>
      <c r="AZ23" s="15"/>
      <c r="BA23" s="63"/>
      <c r="BB23" s="15"/>
      <c r="BC23" s="63"/>
      <c r="BD23" s="15"/>
      <c r="BE23" s="15"/>
      <c r="BF23" s="15"/>
      <c r="BG23" s="15"/>
      <c r="BH23" s="15"/>
      <c r="BI23" s="15"/>
      <c r="BJ23" s="15"/>
      <c r="BK23" s="9"/>
      <c r="BL23" s="9"/>
      <c r="BM23" s="9"/>
      <c r="BN23" s="9"/>
      <c r="BO23" s="9"/>
      <c r="BP23" s="9"/>
      <c r="BQ23" s="9"/>
      <c r="BR23" s="9"/>
      <c r="BS23" s="9"/>
    </row>
    <row r="24" spans="1:71" ht="18.75" customHeight="1" x14ac:dyDescent="0.3">
      <c r="A24" s="65" t="s">
        <v>282</v>
      </c>
      <c r="B24" s="2" t="s">
        <v>279</v>
      </c>
      <c r="C24" s="2" t="s">
        <v>273</v>
      </c>
      <c r="D24" s="2" t="s">
        <v>139</v>
      </c>
      <c r="E24" s="44">
        <v>1</v>
      </c>
      <c r="F24" s="44">
        <v>2</v>
      </c>
      <c r="G24" s="45">
        <v>345</v>
      </c>
      <c r="H24" s="44">
        <v>20</v>
      </c>
      <c r="I24" s="44">
        <v>355</v>
      </c>
      <c r="J24" s="44">
        <v>170</v>
      </c>
      <c r="K24" s="43">
        <f t="shared" si="0"/>
        <v>10.840634357325053</v>
      </c>
      <c r="L24" s="46">
        <f t="shared" si="1"/>
        <v>62.159365642674949</v>
      </c>
      <c r="M24" s="47">
        <f t="shared" si="2"/>
        <v>62.159365642674949</v>
      </c>
      <c r="N24" s="47">
        <f t="shared" si="3"/>
        <v>62.159365642674949</v>
      </c>
      <c r="O24" s="48">
        <f t="shared" si="4"/>
        <v>-27</v>
      </c>
      <c r="P24" s="48">
        <f t="shared" si="5"/>
        <v>0</v>
      </c>
      <c r="Q24" s="58">
        <f t="shared" si="6"/>
        <v>27</v>
      </c>
      <c r="R24" s="59">
        <f t="shared" si="7"/>
        <v>73</v>
      </c>
      <c r="S24" s="51">
        <f t="shared" si="8"/>
        <v>-12.25</v>
      </c>
      <c r="T24" s="60">
        <f t="shared" si="9"/>
        <v>73</v>
      </c>
      <c r="U24" s="52">
        <f t="shared" si="10"/>
        <v>12.25</v>
      </c>
      <c r="V24" s="53">
        <f t="shared" si="11"/>
        <v>-10.840634357325053</v>
      </c>
      <c r="W24" s="54">
        <f t="shared" si="12"/>
        <v>-10.840634357325053</v>
      </c>
      <c r="X24" s="54">
        <f t="shared" si="13"/>
        <v>-10.840634357325053</v>
      </c>
      <c r="Y24" s="55">
        <f t="shared" si="14"/>
        <v>0</v>
      </c>
      <c r="Z24" s="55">
        <f t="shared" si="15"/>
        <v>0</v>
      </c>
      <c r="AA24" s="56">
        <f t="shared" si="16"/>
        <v>0</v>
      </c>
      <c r="AB24" s="9"/>
      <c r="AC24" s="57">
        <v>73</v>
      </c>
      <c r="AD24" s="48">
        <v>0</v>
      </c>
      <c r="AE24" s="48">
        <v>73</v>
      </c>
      <c r="AF24" s="48">
        <v>0</v>
      </c>
      <c r="AG24" s="48">
        <v>73</v>
      </c>
      <c r="AH24" s="48">
        <v>0</v>
      </c>
      <c r="AI24" s="48">
        <v>-26</v>
      </c>
      <c r="AJ24" s="48">
        <v>-12</v>
      </c>
      <c r="AK24" s="48">
        <v>0</v>
      </c>
      <c r="AL24" s="48">
        <v>0</v>
      </c>
      <c r="AM24" s="48">
        <v>26</v>
      </c>
      <c r="AN24" s="58">
        <v>12</v>
      </c>
      <c r="AO24" s="9"/>
      <c r="AP24" s="59">
        <v>73</v>
      </c>
      <c r="AQ24" s="60">
        <v>0</v>
      </c>
      <c r="AR24" s="60">
        <v>-12</v>
      </c>
      <c r="AS24" s="60">
        <v>-3</v>
      </c>
      <c r="AT24" s="60">
        <v>73</v>
      </c>
      <c r="AU24" s="60">
        <v>0</v>
      </c>
      <c r="AV24" s="60">
        <v>12</v>
      </c>
      <c r="AW24" s="62">
        <v>3</v>
      </c>
      <c r="AX24" s="9"/>
      <c r="AY24" s="63"/>
      <c r="AZ24" s="15"/>
      <c r="BA24" s="63"/>
      <c r="BB24" s="15"/>
      <c r="BC24" s="63"/>
      <c r="BD24" s="15"/>
      <c r="BE24" s="15"/>
      <c r="BF24" s="15"/>
      <c r="BG24" s="15"/>
      <c r="BH24" s="15"/>
      <c r="BI24" s="15"/>
      <c r="BJ24" s="15"/>
      <c r="BK24" s="9"/>
      <c r="BL24" s="9"/>
      <c r="BM24" s="9"/>
      <c r="BN24" s="9"/>
      <c r="BO24" s="9"/>
      <c r="BP24" s="9"/>
      <c r="BQ24" s="9"/>
      <c r="BR24" s="9"/>
      <c r="BS24" s="9"/>
    </row>
    <row r="25" spans="1:71" ht="18.75" customHeight="1" x14ac:dyDescent="0.3">
      <c r="A25" s="65" t="s">
        <v>283</v>
      </c>
      <c r="B25" s="2" t="s">
        <v>279</v>
      </c>
      <c r="C25" s="2" t="s">
        <v>284</v>
      </c>
      <c r="D25" s="2" t="s">
        <v>285</v>
      </c>
      <c r="E25" s="44">
        <v>1</v>
      </c>
      <c r="F25" s="44">
        <v>2</v>
      </c>
      <c r="G25" s="45">
        <v>345</v>
      </c>
      <c r="H25" s="44">
        <v>20</v>
      </c>
      <c r="I25" s="44">
        <v>355</v>
      </c>
      <c r="J25" s="44">
        <v>170</v>
      </c>
      <c r="K25" s="43">
        <f t="shared" si="0"/>
        <v>10.840634357325053</v>
      </c>
      <c r="L25" s="46">
        <f t="shared" si="1"/>
        <v>44.826032309341613</v>
      </c>
      <c r="M25" s="47">
        <f t="shared" si="2"/>
        <v>44.826032309341613</v>
      </c>
      <c r="N25" s="47">
        <f t="shared" si="3"/>
        <v>44.826032309341613</v>
      </c>
      <c r="O25" s="48">
        <f t="shared" si="4"/>
        <v>-26</v>
      </c>
      <c r="P25" s="48">
        <f t="shared" si="5"/>
        <v>0</v>
      </c>
      <c r="Q25" s="58">
        <f t="shared" si="6"/>
        <v>26</v>
      </c>
      <c r="R25" s="50">
        <f t="shared" si="7"/>
        <v>65.5</v>
      </c>
      <c r="S25" s="60">
        <f t="shared" si="8"/>
        <v>-13</v>
      </c>
      <c r="T25" s="51">
        <f t="shared" si="9"/>
        <v>65.5</v>
      </c>
      <c r="U25" s="62">
        <f t="shared" si="10"/>
        <v>13</v>
      </c>
      <c r="V25" s="53">
        <f t="shared" si="11"/>
        <v>-10.840634357325053</v>
      </c>
      <c r="W25" s="54">
        <f t="shared" si="12"/>
        <v>-10.840634357325053</v>
      </c>
      <c r="X25" s="54">
        <f t="shared" si="13"/>
        <v>-10.840634357325053</v>
      </c>
      <c r="Y25" s="55">
        <f t="shared" si="14"/>
        <v>0</v>
      </c>
      <c r="Z25" s="55">
        <f t="shared" si="15"/>
        <v>0</v>
      </c>
      <c r="AA25" s="56">
        <f t="shared" si="16"/>
        <v>0</v>
      </c>
      <c r="AB25" s="9"/>
      <c r="AC25" s="57">
        <v>55</v>
      </c>
      <c r="AD25" s="48">
        <v>8</v>
      </c>
      <c r="AE25" s="48">
        <v>55</v>
      </c>
      <c r="AF25" s="48">
        <v>8</v>
      </c>
      <c r="AG25" s="48">
        <v>55</v>
      </c>
      <c r="AH25" s="48">
        <v>8</v>
      </c>
      <c r="AI25" s="48">
        <v>-26</v>
      </c>
      <c r="AJ25" s="48">
        <v>0</v>
      </c>
      <c r="AK25" s="48">
        <v>0</v>
      </c>
      <c r="AL25" s="48">
        <v>0</v>
      </c>
      <c r="AM25" s="48">
        <v>26</v>
      </c>
      <c r="AN25" s="58">
        <v>0</v>
      </c>
      <c r="AO25" s="9"/>
      <c r="AP25" s="59">
        <f>55+9</f>
        <v>64</v>
      </c>
      <c r="AQ25" s="60">
        <f>8+10</f>
        <v>18</v>
      </c>
      <c r="AR25" s="60">
        <v>-13</v>
      </c>
      <c r="AS25" s="60">
        <v>0</v>
      </c>
      <c r="AT25" s="60">
        <v>64</v>
      </c>
      <c r="AU25" s="60">
        <v>18</v>
      </c>
      <c r="AV25" s="60">
        <v>13</v>
      </c>
      <c r="AW25" s="62">
        <v>0</v>
      </c>
      <c r="AX25" s="9"/>
      <c r="AY25" s="63"/>
      <c r="AZ25" s="15"/>
      <c r="BA25" s="63"/>
      <c r="BB25" s="15"/>
      <c r="BC25" s="63"/>
      <c r="BD25" s="15"/>
      <c r="BE25" s="15"/>
      <c r="BF25" s="15"/>
      <c r="BG25" s="15"/>
      <c r="BH25" s="15"/>
      <c r="BI25" s="15"/>
      <c r="BJ25" s="15"/>
      <c r="BK25" s="9"/>
      <c r="BL25" s="9"/>
      <c r="BM25" s="9"/>
      <c r="BN25" s="9"/>
      <c r="BO25" s="9"/>
      <c r="BP25" s="9"/>
      <c r="BQ25" s="9"/>
      <c r="BR25" s="9"/>
      <c r="BS25" s="9"/>
    </row>
    <row r="26" spans="1:71" ht="18.75" customHeight="1" x14ac:dyDescent="0.3">
      <c r="A26" s="65" t="s">
        <v>286</v>
      </c>
      <c r="B26" s="2" t="s">
        <v>279</v>
      </c>
      <c r="C26" s="2" t="s">
        <v>287</v>
      </c>
      <c r="D26" s="2" t="s">
        <v>288</v>
      </c>
      <c r="E26" s="44">
        <v>1</v>
      </c>
      <c r="F26" s="44">
        <v>2</v>
      </c>
      <c r="G26" s="45">
        <v>345</v>
      </c>
      <c r="H26" s="44">
        <v>20</v>
      </c>
      <c r="I26" s="44">
        <v>355</v>
      </c>
      <c r="J26" s="44">
        <v>170</v>
      </c>
      <c r="K26" s="43">
        <f t="shared" si="0"/>
        <v>10.840634357325053</v>
      </c>
      <c r="L26" s="46">
        <f t="shared" si="1"/>
        <v>50.159365642674949</v>
      </c>
      <c r="M26" s="47">
        <f t="shared" si="2"/>
        <v>50.159365642674949</v>
      </c>
      <c r="N26" s="47">
        <f t="shared" si="3"/>
        <v>50.159365642674949</v>
      </c>
      <c r="O26" s="48">
        <f t="shared" si="4"/>
        <v>-26</v>
      </c>
      <c r="P26" s="48">
        <f t="shared" si="5"/>
        <v>0</v>
      </c>
      <c r="Q26" s="58">
        <f t="shared" si="6"/>
        <v>26</v>
      </c>
      <c r="R26" s="50">
        <f t="shared" si="7"/>
        <v>73.5</v>
      </c>
      <c r="S26" s="60">
        <f t="shared" si="8"/>
        <v>-13</v>
      </c>
      <c r="T26" s="51">
        <f t="shared" si="9"/>
        <v>73.5</v>
      </c>
      <c r="U26" s="62">
        <f t="shared" si="10"/>
        <v>13</v>
      </c>
      <c r="V26" s="53">
        <f t="shared" si="11"/>
        <v>-10.840634357325053</v>
      </c>
      <c r="W26" s="54">
        <f t="shared" si="12"/>
        <v>-10.840634357325053</v>
      </c>
      <c r="X26" s="54">
        <f t="shared" si="13"/>
        <v>-10.840634357325053</v>
      </c>
      <c r="Y26" s="55">
        <f t="shared" si="14"/>
        <v>0</v>
      </c>
      <c r="Z26" s="55">
        <f t="shared" si="15"/>
        <v>0</v>
      </c>
      <c r="AA26" s="56">
        <f t="shared" si="16"/>
        <v>0</v>
      </c>
      <c r="AB26" s="9"/>
      <c r="AC26" s="57">
        <v>61</v>
      </c>
      <c r="AD26" s="48">
        <v>0</v>
      </c>
      <c r="AE26" s="48">
        <v>61</v>
      </c>
      <c r="AF26" s="48">
        <v>0</v>
      </c>
      <c r="AG26" s="48">
        <v>61</v>
      </c>
      <c r="AH26" s="48">
        <v>0</v>
      </c>
      <c r="AI26" s="48">
        <v>-26</v>
      </c>
      <c r="AJ26" s="48">
        <v>0</v>
      </c>
      <c r="AK26" s="48">
        <v>0</v>
      </c>
      <c r="AL26" s="48">
        <v>0</v>
      </c>
      <c r="AM26" s="48">
        <v>26</v>
      </c>
      <c r="AN26" s="58">
        <v>0</v>
      </c>
      <c r="AO26" s="9"/>
      <c r="AP26" s="50">
        <f>61+12.5</f>
        <v>73.5</v>
      </c>
      <c r="AQ26" s="60">
        <v>0</v>
      </c>
      <c r="AR26" s="60">
        <v>-13</v>
      </c>
      <c r="AS26" s="60">
        <v>0</v>
      </c>
      <c r="AT26" s="51">
        <v>73.5</v>
      </c>
      <c r="AU26" s="60">
        <v>0</v>
      </c>
      <c r="AV26" s="60">
        <v>13</v>
      </c>
      <c r="AW26" s="62">
        <v>0</v>
      </c>
      <c r="AX26" s="9"/>
      <c r="AY26" s="63"/>
      <c r="AZ26" s="15"/>
      <c r="BA26" s="63"/>
      <c r="BB26" s="15"/>
      <c r="BC26" s="63"/>
      <c r="BD26" s="15"/>
      <c r="BE26" s="15"/>
      <c r="BF26" s="15"/>
      <c r="BG26" s="15"/>
      <c r="BH26" s="15"/>
      <c r="BI26" s="15"/>
      <c r="BJ26" s="15"/>
      <c r="BK26" s="9"/>
      <c r="BL26" s="9"/>
      <c r="BM26" s="9"/>
      <c r="BN26" s="9"/>
      <c r="BO26" s="9"/>
      <c r="BP26" s="9"/>
      <c r="BQ26" s="9"/>
      <c r="BR26" s="9"/>
      <c r="BS26" s="9"/>
    </row>
    <row r="27" spans="1:71" ht="18.75" customHeight="1" x14ac:dyDescent="0.3">
      <c r="A27" s="42" t="s">
        <v>289</v>
      </c>
      <c r="B27" t="s">
        <v>279</v>
      </c>
      <c r="C27" t="s">
        <v>290</v>
      </c>
      <c r="D27" t="s">
        <v>291</v>
      </c>
      <c r="E27" s="44">
        <v>1</v>
      </c>
      <c r="F27" s="44">
        <v>2</v>
      </c>
      <c r="G27" s="45">
        <v>345</v>
      </c>
      <c r="H27" s="44">
        <v>20</v>
      </c>
      <c r="I27" s="44">
        <v>355</v>
      </c>
      <c r="J27" s="44">
        <v>170</v>
      </c>
      <c r="K27" s="43">
        <f t="shared" si="0"/>
        <v>10.840634357325053</v>
      </c>
      <c r="L27" s="46">
        <f t="shared" si="1"/>
        <v>52.659365642674949</v>
      </c>
      <c r="M27" s="47">
        <f t="shared" si="2"/>
        <v>59.159365642674949</v>
      </c>
      <c r="N27" s="47">
        <f t="shared" si="3"/>
        <v>52.659365642674949</v>
      </c>
      <c r="O27" s="48">
        <f t="shared" si="4"/>
        <v>-27</v>
      </c>
      <c r="P27" s="48">
        <f t="shared" si="5"/>
        <v>0</v>
      </c>
      <c r="Q27" s="58">
        <f t="shared" si="6"/>
        <v>27</v>
      </c>
      <c r="R27" s="59">
        <f t="shared" si="7"/>
        <v>78</v>
      </c>
      <c r="S27" s="51">
        <f t="shared" si="8"/>
        <v>-13.5</v>
      </c>
      <c r="T27" s="60">
        <f t="shared" si="9"/>
        <v>78</v>
      </c>
      <c r="U27" s="52">
        <f t="shared" si="10"/>
        <v>13.5</v>
      </c>
      <c r="V27" s="53">
        <f t="shared" si="11"/>
        <v>-10.840634357325053</v>
      </c>
      <c r="W27" s="54">
        <f t="shared" si="12"/>
        <v>-10.840634357325053</v>
      </c>
      <c r="X27" s="54">
        <f t="shared" si="13"/>
        <v>-10.840634357325053</v>
      </c>
      <c r="Y27" s="55">
        <f t="shared" si="14"/>
        <v>0</v>
      </c>
      <c r="Z27" s="55">
        <f t="shared" si="15"/>
        <v>0</v>
      </c>
      <c r="AA27" s="56">
        <f t="shared" si="16"/>
        <v>0</v>
      </c>
      <c r="AB27" s="9"/>
      <c r="AC27" s="57">
        <v>63</v>
      </c>
      <c r="AD27" s="48">
        <v>6</v>
      </c>
      <c r="AE27" s="48">
        <f>63+6</f>
        <v>69</v>
      </c>
      <c r="AF27" s="48">
        <f>6+6</f>
        <v>12</v>
      </c>
      <c r="AG27" s="48">
        <v>63</v>
      </c>
      <c r="AH27" s="48">
        <v>6</v>
      </c>
      <c r="AI27" s="48">
        <f>-13-13</f>
        <v>-26</v>
      </c>
      <c r="AJ27" s="48">
        <f>-6-6</f>
        <v>-12</v>
      </c>
      <c r="AK27" s="48">
        <v>0</v>
      </c>
      <c r="AL27" s="48">
        <v>0</v>
      </c>
      <c r="AM27" s="48">
        <v>26</v>
      </c>
      <c r="AN27" s="58">
        <v>12</v>
      </c>
      <c r="AO27" s="9"/>
      <c r="AP27" s="59">
        <f>63+6+8</f>
        <v>77</v>
      </c>
      <c r="AQ27" s="60">
        <f>6+6</f>
        <v>12</v>
      </c>
      <c r="AR27" s="51">
        <v>-13.5</v>
      </c>
      <c r="AS27" s="60">
        <v>0</v>
      </c>
      <c r="AT27" s="60">
        <v>77</v>
      </c>
      <c r="AU27" s="60">
        <v>12</v>
      </c>
      <c r="AV27" s="51">
        <v>13.5</v>
      </c>
      <c r="AW27" s="62">
        <v>0</v>
      </c>
      <c r="AX27" s="9"/>
      <c r="AY27" s="63"/>
      <c r="AZ27" s="15"/>
      <c r="BA27" s="63"/>
      <c r="BB27" s="15"/>
      <c r="BC27" s="63"/>
      <c r="BD27" s="15"/>
      <c r="BE27" s="15"/>
      <c r="BF27" s="15"/>
      <c r="BG27" s="15"/>
      <c r="BH27" s="15"/>
      <c r="BI27" s="15"/>
      <c r="BJ27" s="15"/>
      <c r="BK27" s="9"/>
      <c r="BL27" s="9"/>
      <c r="BM27" s="9"/>
      <c r="BN27" s="9"/>
      <c r="BO27" s="9"/>
      <c r="BP27" s="9"/>
      <c r="BQ27" s="9"/>
      <c r="BR27" s="9"/>
      <c r="BS27" s="9"/>
    </row>
    <row r="28" spans="1:71" ht="18.75" customHeight="1" x14ac:dyDescent="0.3">
      <c r="A28" s="42" t="s">
        <v>292</v>
      </c>
      <c r="B28" t="s">
        <v>279</v>
      </c>
      <c r="C28" t="s">
        <v>293</v>
      </c>
      <c r="D28" t="s">
        <v>294</v>
      </c>
      <c r="E28" s="44">
        <v>1</v>
      </c>
      <c r="F28" s="44">
        <v>2</v>
      </c>
      <c r="G28" s="45">
        <v>345</v>
      </c>
      <c r="H28" s="44">
        <v>20</v>
      </c>
      <c r="I28" s="44">
        <v>355</v>
      </c>
      <c r="J28" s="44">
        <v>170</v>
      </c>
      <c r="K28" s="43">
        <f t="shared" si="0"/>
        <v>10.840634357325053</v>
      </c>
      <c r="L28" s="46">
        <f t="shared" si="1"/>
        <v>46.659365642674949</v>
      </c>
      <c r="M28" s="47">
        <f t="shared" si="2"/>
        <v>58.159365642674949</v>
      </c>
      <c r="N28" s="47">
        <f t="shared" si="3"/>
        <v>46.659365642674949</v>
      </c>
      <c r="O28" s="47">
        <f t="shared" si="4"/>
        <v>-28.25</v>
      </c>
      <c r="P28" s="48">
        <f t="shared" si="5"/>
        <v>0</v>
      </c>
      <c r="Q28" s="49">
        <f t="shared" si="6"/>
        <v>28.25</v>
      </c>
      <c r="R28" s="59">
        <f t="shared" si="7"/>
        <v>69</v>
      </c>
      <c r="S28" s="51">
        <f t="shared" si="8"/>
        <v>-15.25</v>
      </c>
      <c r="T28" s="60">
        <f t="shared" si="9"/>
        <v>69</v>
      </c>
      <c r="U28" s="52">
        <f t="shared" si="10"/>
        <v>15.25</v>
      </c>
      <c r="V28" s="53">
        <f t="shared" si="11"/>
        <v>-10.840634357325053</v>
      </c>
      <c r="W28" s="54">
        <f t="shared" si="12"/>
        <v>-10.840634357325053</v>
      </c>
      <c r="X28" s="54">
        <f t="shared" si="13"/>
        <v>-10.840634357325053</v>
      </c>
      <c r="Y28" s="55">
        <f t="shared" si="14"/>
        <v>0</v>
      </c>
      <c r="Z28" s="55">
        <f t="shared" si="15"/>
        <v>0</v>
      </c>
      <c r="AA28" s="56">
        <f t="shared" si="16"/>
        <v>0</v>
      </c>
      <c r="AB28" s="9"/>
      <c r="AC28" s="57">
        <v>57</v>
      </c>
      <c r="AD28" s="48">
        <v>6</v>
      </c>
      <c r="AE28" s="48">
        <f>57+11</f>
        <v>68</v>
      </c>
      <c r="AF28" s="48">
        <f>6+6</f>
        <v>12</v>
      </c>
      <c r="AG28" s="48">
        <v>57</v>
      </c>
      <c r="AH28" s="48">
        <v>6</v>
      </c>
      <c r="AI28" s="48">
        <f>-15-13</f>
        <v>-28</v>
      </c>
      <c r="AJ28" s="48">
        <v>-3</v>
      </c>
      <c r="AK28" s="48">
        <v>0</v>
      </c>
      <c r="AL28" s="48">
        <v>0</v>
      </c>
      <c r="AM28" s="48">
        <v>28</v>
      </c>
      <c r="AN28" s="58">
        <v>3</v>
      </c>
      <c r="AO28" s="9"/>
      <c r="AP28" s="59">
        <f>57+11</f>
        <v>68</v>
      </c>
      <c r="AQ28" s="60">
        <f>6+6</f>
        <v>12</v>
      </c>
      <c r="AR28" s="60">
        <v>-15</v>
      </c>
      <c r="AS28" s="60">
        <v>-3</v>
      </c>
      <c r="AT28" s="60">
        <v>68</v>
      </c>
      <c r="AU28" s="60">
        <v>12</v>
      </c>
      <c r="AV28" s="60">
        <v>15</v>
      </c>
      <c r="AW28" s="62">
        <v>3</v>
      </c>
      <c r="AX28" s="9"/>
      <c r="AY28" s="63"/>
      <c r="AZ28" s="15"/>
      <c r="BA28" s="63"/>
      <c r="BB28" s="15"/>
      <c r="BC28" s="63"/>
      <c r="BD28" s="15"/>
      <c r="BE28" s="15"/>
      <c r="BF28" s="15"/>
      <c r="BG28" s="15"/>
      <c r="BH28" s="15"/>
      <c r="BI28" s="15"/>
      <c r="BJ28" s="15"/>
      <c r="BK28" s="9"/>
      <c r="BL28" s="9"/>
      <c r="BM28" s="9"/>
      <c r="BN28" s="9"/>
      <c r="BO28" s="9"/>
      <c r="BP28" s="9"/>
      <c r="BQ28" s="9"/>
      <c r="BR28" s="9"/>
      <c r="BS28" s="9"/>
    </row>
    <row r="29" spans="1:71" ht="18.75" customHeight="1" x14ac:dyDescent="0.3">
      <c r="A29" s="65" t="s">
        <v>295</v>
      </c>
      <c r="B29" s="2" t="s">
        <v>279</v>
      </c>
      <c r="C29" s="2" t="s">
        <v>296</v>
      </c>
      <c r="D29" s="2" t="s">
        <v>100</v>
      </c>
      <c r="E29" s="44">
        <v>1</v>
      </c>
      <c r="F29" s="44">
        <v>2</v>
      </c>
      <c r="G29" s="45">
        <v>345</v>
      </c>
      <c r="H29" s="44">
        <v>20</v>
      </c>
      <c r="I29" s="44">
        <v>355</v>
      </c>
      <c r="J29" s="44">
        <v>170</v>
      </c>
      <c r="K29" s="43">
        <f t="shared" si="0"/>
        <v>10.840634357325053</v>
      </c>
      <c r="L29" s="46">
        <f t="shared" si="1"/>
        <v>49.159365642674949</v>
      </c>
      <c r="M29" s="47">
        <f t="shared" si="2"/>
        <v>49.159365642674949</v>
      </c>
      <c r="N29" s="47">
        <f t="shared" si="3"/>
        <v>49.159365642674949</v>
      </c>
      <c r="O29" s="47">
        <f t="shared" si="4"/>
        <v>-23.5</v>
      </c>
      <c r="P29" s="48">
        <f t="shared" si="5"/>
        <v>0</v>
      </c>
      <c r="Q29" s="49">
        <f t="shared" si="6"/>
        <v>23.5</v>
      </c>
      <c r="R29" s="50">
        <f t="shared" si="7"/>
        <v>68.5</v>
      </c>
      <c r="S29" s="51">
        <f t="shared" si="8"/>
        <v>-13.5</v>
      </c>
      <c r="T29" s="51">
        <f t="shared" si="9"/>
        <v>68.5</v>
      </c>
      <c r="U29" s="52">
        <f t="shared" si="10"/>
        <v>13.5</v>
      </c>
      <c r="V29" s="53">
        <f t="shared" si="11"/>
        <v>-10.840634357325053</v>
      </c>
      <c r="W29" s="54">
        <f t="shared" si="12"/>
        <v>-10.840634357325053</v>
      </c>
      <c r="X29" s="54">
        <f t="shared" si="13"/>
        <v>-10.840634357325053</v>
      </c>
      <c r="Y29" s="55">
        <f t="shared" si="14"/>
        <v>0</v>
      </c>
      <c r="Z29" s="55">
        <f t="shared" si="15"/>
        <v>0</v>
      </c>
      <c r="AA29" s="56">
        <f t="shared" si="16"/>
        <v>0</v>
      </c>
      <c r="AB29" s="9"/>
      <c r="AC29" s="57">
        <v>60</v>
      </c>
      <c r="AD29" s="48">
        <v>0</v>
      </c>
      <c r="AE29" s="48">
        <v>60</v>
      </c>
      <c r="AF29" s="48">
        <v>0</v>
      </c>
      <c r="AG29" s="48">
        <v>60</v>
      </c>
      <c r="AH29" s="48">
        <v>0</v>
      </c>
      <c r="AI29" s="48">
        <v>-23</v>
      </c>
      <c r="AJ29" s="48">
        <v>-6</v>
      </c>
      <c r="AK29" s="48">
        <v>0</v>
      </c>
      <c r="AL29" s="48">
        <v>0</v>
      </c>
      <c r="AM29" s="48">
        <v>23</v>
      </c>
      <c r="AN29" s="58">
        <v>6</v>
      </c>
      <c r="AO29" s="9"/>
      <c r="AP29" s="59">
        <f>60+8</f>
        <v>68</v>
      </c>
      <c r="AQ29" s="60">
        <v>6</v>
      </c>
      <c r="AR29" s="51">
        <v>-13.5</v>
      </c>
      <c r="AS29" s="60">
        <v>0</v>
      </c>
      <c r="AT29" s="60">
        <f>60+8</f>
        <v>68</v>
      </c>
      <c r="AU29" s="60">
        <v>6</v>
      </c>
      <c r="AV29" s="51">
        <v>13.5</v>
      </c>
      <c r="AW29" s="62">
        <v>0</v>
      </c>
      <c r="AX29" s="9"/>
      <c r="AY29" s="63"/>
      <c r="AZ29" s="15"/>
      <c r="BA29" s="63"/>
      <c r="BB29" s="15"/>
      <c r="BC29" s="63"/>
      <c r="BD29" s="15"/>
      <c r="BE29" s="15"/>
      <c r="BF29" s="15"/>
      <c r="BG29" s="15"/>
      <c r="BH29" s="15"/>
      <c r="BI29" s="15"/>
      <c r="BJ29" s="15"/>
      <c r="BK29" s="9"/>
      <c r="BL29" s="9"/>
      <c r="BM29" s="9"/>
      <c r="BN29" s="9"/>
      <c r="BO29" s="9"/>
      <c r="BP29" s="9"/>
      <c r="BQ29" s="9"/>
      <c r="BR29" s="9"/>
      <c r="BS29" s="9"/>
    </row>
    <row r="30" spans="1:71" ht="18.75" customHeight="1" x14ac:dyDescent="0.3">
      <c r="A30" s="65" t="s">
        <v>297</v>
      </c>
      <c r="B30" s="2" t="s">
        <v>279</v>
      </c>
      <c r="C30" s="2" t="s">
        <v>253</v>
      </c>
      <c r="D30" s="2" t="s">
        <v>254</v>
      </c>
      <c r="E30" s="44">
        <v>1</v>
      </c>
      <c r="F30" s="44">
        <v>2</v>
      </c>
      <c r="G30" s="45">
        <v>345</v>
      </c>
      <c r="H30" s="44">
        <v>20</v>
      </c>
      <c r="I30" s="44">
        <v>355</v>
      </c>
      <c r="J30" s="44">
        <v>170</v>
      </c>
      <c r="K30" s="43">
        <f t="shared" si="0"/>
        <v>10.840634357325053</v>
      </c>
      <c r="L30" s="46">
        <f t="shared" si="1"/>
        <v>51.159365642674949</v>
      </c>
      <c r="M30" s="47">
        <f t="shared" si="2"/>
        <v>51.159365642674949</v>
      </c>
      <c r="N30" s="47">
        <f t="shared" si="3"/>
        <v>51.159365642674949</v>
      </c>
      <c r="O30" s="48">
        <f t="shared" si="4"/>
        <v>-24</v>
      </c>
      <c r="P30" s="48">
        <f t="shared" si="5"/>
        <v>0</v>
      </c>
      <c r="Q30" s="58">
        <f t="shared" si="6"/>
        <v>24</v>
      </c>
      <c r="R30" s="50">
        <f t="shared" si="7"/>
        <v>72.5</v>
      </c>
      <c r="S30" s="60">
        <f t="shared" si="8"/>
        <v>-26</v>
      </c>
      <c r="T30" s="51">
        <f t="shared" si="9"/>
        <v>72.5</v>
      </c>
      <c r="U30" s="62">
        <f t="shared" si="10"/>
        <v>26</v>
      </c>
      <c r="V30" s="53">
        <f t="shared" si="11"/>
        <v>-10.840634357325053</v>
      </c>
      <c r="W30" s="54">
        <f t="shared" si="12"/>
        <v>-10.840634357325053</v>
      </c>
      <c r="X30" s="54">
        <f t="shared" si="13"/>
        <v>-10.840634357325053</v>
      </c>
      <c r="Y30" s="55">
        <f t="shared" si="14"/>
        <v>0</v>
      </c>
      <c r="Z30" s="55">
        <f t="shared" si="15"/>
        <v>0</v>
      </c>
      <c r="AA30" s="56">
        <f t="shared" si="16"/>
        <v>0</v>
      </c>
      <c r="AB30" s="9"/>
      <c r="AC30" s="57">
        <v>62</v>
      </c>
      <c r="AD30" s="48">
        <v>0</v>
      </c>
      <c r="AE30" s="48">
        <v>62</v>
      </c>
      <c r="AF30" s="48">
        <v>0</v>
      </c>
      <c r="AG30" s="48">
        <v>62</v>
      </c>
      <c r="AH30" s="48">
        <v>0</v>
      </c>
      <c r="AI30" s="48">
        <v>-24</v>
      </c>
      <c r="AJ30" s="48">
        <v>0</v>
      </c>
      <c r="AK30" s="48">
        <v>0</v>
      </c>
      <c r="AL30" s="48">
        <v>0</v>
      </c>
      <c r="AM30" s="48">
        <v>24</v>
      </c>
      <c r="AN30" s="58">
        <v>0</v>
      </c>
      <c r="AO30" s="9"/>
      <c r="AP30" s="59">
        <f>62+10</f>
        <v>72</v>
      </c>
      <c r="AQ30" s="60">
        <v>6</v>
      </c>
      <c r="AR30" s="60">
        <v>-26</v>
      </c>
      <c r="AS30" s="60">
        <v>0</v>
      </c>
      <c r="AT30" s="60">
        <f>62+10</f>
        <v>72</v>
      </c>
      <c r="AU30" s="60">
        <v>6</v>
      </c>
      <c r="AV30" s="60">
        <v>26</v>
      </c>
      <c r="AW30" s="62">
        <v>0</v>
      </c>
      <c r="AX30" s="9"/>
      <c r="AY30" s="63"/>
      <c r="AZ30" s="15"/>
      <c r="BA30" s="63"/>
      <c r="BB30" s="15"/>
      <c r="BC30" s="63"/>
      <c r="BD30" s="15"/>
      <c r="BE30" s="15"/>
      <c r="BF30" s="15"/>
      <c r="BG30" s="15"/>
      <c r="BH30" s="15"/>
      <c r="BI30" s="15"/>
      <c r="BJ30" s="15"/>
      <c r="BK30" s="9"/>
      <c r="BL30" s="9"/>
      <c r="BM30" s="9"/>
      <c r="BN30" s="9"/>
      <c r="BO30" s="9"/>
      <c r="BP30" s="9"/>
      <c r="BQ30" s="9"/>
      <c r="BR30" s="9"/>
      <c r="BS30" s="9"/>
    </row>
    <row r="31" spans="1:71" ht="18.75" customHeight="1" x14ac:dyDescent="0.3">
      <c r="A31" s="42" t="s">
        <v>298</v>
      </c>
      <c r="B31" t="s">
        <v>279</v>
      </c>
      <c r="C31" t="s">
        <v>299</v>
      </c>
      <c r="D31" t="s">
        <v>300</v>
      </c>
      <c r="E31" s="44">
        <v>1</v>
      </c>
      <c r="F31" s="44">
        <v>2</v>
      </c>
      <c r="G31" s="45">
        <v>345</v>
      </c>
      <c r="H31" s="44">
        <v>20</v>
      </c>
      <c r="I31" s="44">
        <v>355</v>
      </c>
      <c r="J31" s="44">
        <v>170</v>
      </c>
      <c r="K31" s="43">
        <f t="shared" si="0"/>
        <v>10.840634357325053</v>
      </c>
      <c r="L31" s="46">
        <f t="shared" si="1"/>
        <v>52.659365642674949</v>
      </c>
      <c r="M31" s="47">
        <f t="shared" si="2"/>
        <v>52.659365642674949</v>
      </c>
      <c r="N31" s="47">
        <f t="shared" si="3"/>
        <v>52.659365642674949</v>
      </c>
      <c r="O31" s="48">
        <f t="shared" si="4"/>
        <v>-20</v>
      </c>
      <c r="P31" s="48">
        <f t="shared" si="5"/>
        <v>0</v>
      </c>
      <c r="Q31" s="58">
        <f t="shared" si="6"/>
        <v>20</v>
      </c>
      <c r="R31" s="50">
        <f t="shared" si="7"/>
        <v>74.5</v>
      </c>
      <c r="S31" s="51">
        <f t="shared" si="8"/>
        <v>-9.5</v>
      </c>
      <c r="T31" s="51">
        <f t="shared" si="9"/>
        <v>74.5</v>
      </c>
      <c r="U31" s="52">
        <f t="shared" si="10"/>
        <v>9.5</v>
      </c>
      <c r="V31" s="53">
        <f t="shared" si="11"/>
        <v>-10.840634357325053</v>
      </c>
      <c r="W31" s="54">
        <f t="shared" si="12"/>
        <v>-10.840634357325053</v>
      </c>
      <c r="X31" s="54">
        <f t="shared" si="13"/>
        <v>-10.840634357325053</v>
      </c>
      <c r="Y31" s="55">
        <f t="shared" si="14"/>
        <v>0</v>
      </c>
      <c r="Z31" s="55">
        <f t="shared" si="15"/>
        <v>0</v>
      </c>
      <c r="AA31" s="56">
        <f t="shared" si="16"/>
        <v>0</v>
      </c>
      <c r="AB31" s="9"/>
      <c r="AC31" s="57">
        <v>63</v>
      </c>
      <c r="AD31" s="48">
        <v>6</v>
      </c>
      <c r="AE31" s="48">
        <v>63</v>
      </c>
      <c r="AF31" s="48">
        <v>6</v>
      </c>
      <c r="AG31" s="48">
        <v>63</v>
      </c>
      <c r="AH31" s="48">
        <v>6</v>
      </c>
      <c r="AI31" s="48">
        <v>-19</v>
      </c>
      <c r="AJ31" s="48">
        <v>-12</v>
      </c>
      <c r="AK31" s="48">
        <v>0</v>
      </c>
      <c r="AL31" s="48">
        <v>0</v>
      </c>
      <c r="AM31" s="48">
        <v>19</v>
      </c>
      <c r="AN31" s="58">
        <v>12</v>
      </c>
      <c r="AO31" s="9"/>
      <c r="AP31" s="59">
        <f>63+11</f>
        <v>74</v>
      </c>
      <c r="AQ31" s="60">
        <v>6</v>
      </c>
      <c r="AR31" s="60">
        <v>-9</v>
      </c>
      <c r="AS31" s="60">
        <v>-6</v>
      </c>
      <c r="AT31" s="60">
        <v>74</v>
      </c>
      <c r="AU31" s="60">
        <v>6</v>
      </c>
      <c r="AV31" s="60">
        <v>9</v>
      </c>
      <c r="AW31" s="62">
        <v>6</v>
      </c>
      <c r="AX31" s="9"/>
      <c r="AY31" s="63"/>
      <c r="AZ31" s="15"/>
      <c r="BA31" s="63"/>
      <c r="BB31" s="15"/>
      <c r="BC31" s="63"/>
      <c r="BD31" s="15"/>
      <c r="BE31" s="15"/>
      <c r="BF31" s="15"/>
      <c r="BG31" s="15"/>
      <c r="BH31" s="15"/>
      <c r="BI31" s="15"/>
      <c r="BJ31" s="15"/>
      <c r="BK31" s="9"/>
      <c r="BL31" s="9"/>
      <c r="BM31" s="9"/>
      <c r="BN31" s="9"/>
      <c r="BO31" s="9"/>
      <c r="BP31" s="9"/>
      <c r="BQ31" s="9"/>
      <c r="BR31" s="9"/>
      <c r="BS31" s="9"/>
    </row>
    <row r="32" spans="1:71" ht="18.75" customHeight="1" x14ac:dyDescent="0.3">
      <c r="A32" s="42" t="s">
        <v>301</v>
      </c>
      <c r="B32" t="s">
        <v>279</v>
      </c>
      <c r="C32" t="s">
        <v>302</v>
      </c>
      <c r="D32" t="s">
        <v>303</v>
      </c>
      <c r="E32" s="44">
        <v>2</v>
      </c>
      <c r="F32" s="44">
        <v>2</v>
      </c>
      <c r="G32" s="45">
        <v>345</v>
      </c>
      <c r="H32" s="44">
        <v>20</v>
      </c>
      <c r="I32" s="44">
        <v>355</v>
      </c>
      <c r="J32" s="44">
        <v>170</v>
      </c>
      <c r="K32" s="43">
        <f t="shared" si="0"/>
        <v>10.840634357325053</v>
      </c>
      <c r="L32" s="57">
        <f t="shared" si="1"/>
        <v>96</v>
      </c>
      <c r="M32" s="48">
        <f t="shared" si="2"/>
        <v>70</v>
      </c>
      <c r="N32" s="48">
        <f t="shared" si="3"/>
        <v>70</v>
      </c>
      <c r="O32" s="48">
        <f t="shared" si="4"/>
        <v>-10</v>
      </c>
      <c r="P32" s="47">
        <f t="shared" si="5"/>
        <v>-32.75</v>
      </c>
      <c r="Q32" s="58">
        <f t="shared" si="6"/>
        <v>-10</v>
      </c>
      <c r="R32" s="59">
        <f t="shared" si="7"/>
        <v>111</v>
      </c>
      <c r="S32" s="51">
        <f t="shared" si="8"/>
        <v>-27.25</v>
      </c>
      <c r="T32" s="60">
        <f t="shared" si="9"/>
        <v>111</v>
      </c>
      <c r="U32" s="52">
        <f t="shared" si="10"/>
        <v>27.25</v>
      </c>
      <c r="V32" s="61">
        <f t="shared" si="11"/>
        <v>96</v>
      </c>
      <c r="W32" s="55">
        <f t="shared" si="12"/>
        <v>70</v>
      </c>
      <c r="X32" s="55">
        <f t="shared" si="13"/>
        <v>70</v>
      </c>
      <c r="Y32" s="55">
        <f t="shared" si="14"/>
        <v>10</v>
      </c>
      <c r="Z32" s="55">
        <f t="shared" si="15"/>
        <v>10</v>
      </c>
      <c r="AA32" s="64">
        <f t="shared" si="16"/>
        <v>32.75</v>
      </c>
      <c r="AB32" s="9"/>
      <c r="AC32" s="46">
        <f>70+K32+26</f>
        <v>106.84063435732506</v>
      </c>
      <c r="AD32" s="48">
        <v>0</v>
      </c>
      <c r="AE32" s="47">
        <f>70+K32</f>
        <v>80.840634357325058</v>
      </c>
      <c r="AF32" s="48">
        <v>0</v>
      </c>
      <c r="AG32" s="47">
        <f>70+K32</f>
        <v>80.840634357325058</v>
      </c>
      <c r="AH32" s="48">
        <v>0</v>
      </c>
      <c r="AI32" s="48">
        <v>-10</v>
      </c>
      <c r="AJ32" s="48">
        <v>0</v>
      </c>
      <c r="AK32" s="48">
        <f>-10-10-12</f>
        <v>-32</v>
      </c>
      <c r="AL32" s="48">
        <v>-9</v>
      </c>
      <c r="AM32" s="48">
        <v>-10</v>
      </c>
      <c r="AN32" s="58">
        <v>0</v>
      </c>
      <c r="AO32" s="9"/>
      <c r="AP32" s="59">
        <f>70+26+15</f>
        <v>111</v>
      </c>
      <c r="AQ32" s="60">
        <v>0</v>
      </c>
      <c r="AR32" s="60">
        <v>-27</v>
      </c>
      <c r="AS32" s="60">
        <v>-3</v>
      </c>
      <c r="AT32" s="60">
        <f>70+26+15</f>
        <v>111</v>
      </c>
      <c r="AU32" s="60">
        <v>0</v>
      </c>
      <c r="AV32" s="60">
        <v>27</v>
      </c>
      <c r="AW32" s="62">
        <v>3</v>
      </c>
      <c r="AX32" s="9"/>
      <c r="AY32" s="53">
        <f>70+26+K32</f>
        <v>106.84063435732506</v>
      </c>
      <c r="AZ32" s="55">
        <v>0</v>
      </c>
      <c r="BA32" s="54">
        <f>70+K32</f>
        <v>80.840634357325058</v>
      </c>
      <c r="BB32" s="55">
        <v>0</v>
      </c>
      <c r="BC32" s="54">
        <f>70+K32</f>
        <v>80.840634357325058</v>
      </c>
      <c r="BD32" s="55">
        <v>0</v>
      </c>
      <c r="BE32" s="55">
        <v>10</v>
      </c>
      <c r="BF32" s="55">
        <v>0</v>
      </c>
      <c r="BG32" s="55">
        <v>10</v>
      </c>
      <c r="BH32" s="55">
        <v>0</v>
      </c>
      <c r="BI32" s="55">
        <f>10+12+10</f>
        <v>32</v>
      </c>
      <c r="BJ32" s="56">
        <v>9</v>
      </c>
      <c r="BK32" s="9"/>
      <c r="BL32" s="9"/>
      <c r="BM32" s="9"/>
      <c r="BN32" s="9"/>
      <c r="BO32" s="9"/>
      <c r="BP32" s="9"/>
      <c r="BQ32" s="9"/>
      <c r="BR32" s="9"/>
      <c r="BS32" s="9"/>
    </row>
    <row r="33" spans="1:71" ht="18.75" customHeight="1" x14ac:dyDescent="0.3">
      <c r="A33" s="42" t="s">
        <v>304</v>
      </c>
      <c r="B33" t="s">
        <v>305</v>
      </c>
      <c r="C33" t="s">
        <v>306</v>
      </c>
      <c r="D33" t="s">
        <v>18</v>
      </c>
      <c r="E33" s="44">
        <v>1</v>
      </c>
      <c r="F33" s="44">
        <v>2</v>
      </c>
      <c r="G33" s="45">
        <v>345</v>
      </c>
      <c r="H33" s="44">
        <v>20</v>
      </c>
      <c r="I33" s="44">
        <v>355</v>
      </c>
      <c r="J33" s="44">
        <v>170</v>
      </c>
      <c r="K33" s="43">
        <f t="shared" si="0"/>
        <v>10.840634357325053</v>
      </c>
      <c r="L33" s="46">
        <f t="shared" si="1"/>
        <v>109.24269897600827</v>
      </c>
      <c r="M33" s="47">
        <f t="shared" si="2"/>
        <v>84.659365642674942</v>
      </c>
      <c r="N33" s="47">
        <f t="shared" si="3"/>
        <v>84.659365642674942</v>
      </c>
      <c r="O33" s="48">
        <f t="shared" si="4"/>
        <v>0</v>
      </c>
      <c r="P33" s="48">
        <f t="shared" si="5"/>
        <v>-15</v>
      </c>
      <c r="Q33" s="58">
        <f t="shared" si="6"/>
        <v>15</v>
      </c>
      <c r="R33" s="50">
        <f t="shared" si="7"/>
        <v>120.08333333333333</v>
      </c>
      <c r="S33" s="51">
        <f t="shared" si="8"/>
        <v>-13.5</v>
      </c>
      <c r="T33" s="51">
        <f t="shared" si="9"/>
        <v>120.08333333333333</v>
      </c>
      <c r="U33" s="52">
        <f t="shared" si="10"/>
        <v>13.5</v>
      </c>
      <c r="V33" s="53">
        <f t="shared" si="11"/>
        <v>-10.840634357325053</v>
      </c>
      <c r="W33" s="54">
        <f t="shared" si="12"/>
        <v>-10.840634357325053</v>
      </c>
      <c r="X33" s="54">
        <f t="shared" si="13"/>
        <v>-10.840634357325053</v>
      </c>
      <c r="Y33" s="55">
        <f t="shared" si="14"/>
        <v>0</v>
      </c>
      <c r="Z33" s="55">
        <f t="shared" si="15"/>
        <v>0</v>
      </c>
      <c r="AA33" s="56">
        <f t="shared" si="16"/>
        <v>0</v>
      </c>
      <c r="AB33" s="9"/>
      <c r="AC33" s="57">
        <f>95+24</f>
        <v>119</v>
      </c>
      <c r="AD33" s="48">
        <f>6+7</f>
        <v>13</v>
      </c>
      <c r="AE33" s="48">
        <v>95</v>
      </c>
      <c r="AF33" s="48">
        <v>6</v>
      </c>
      <c r="AG33" s="48">
        <v>95</v>
      </c>
      <c r="AH33" s="48">
        <v>6</v>
      </c>
      <c r="AI33" s="48">
        <v>0</v>
      </c>
      <c r="AJ33" s="48">
        <v>0</v>
      </c>
      <c r="AK33" s="48">
        <v>-15</v>
      </c>
      <c r="AL33" s="48">
        <v>0</v>
      </c>
      <c r="AM33" s="48">
        <v>15</v>
      </c>
      <c r="AN33" s="58">
        <v>0</v>
      </c>
      <c r="AO33" s="9"/>
      <c r="AP33" s="59">
        <f>95+24</f>
        <v>119</v>
      </c>
      <c r="AQ33" s="60">
        <f>6+7</f>
        <v>13</v>
      </c>
      <c r="AR33" s="51">
        <v>-13.5</v>
      </c>
      <c r="AS33" s="60">
        <v>0</v>
      </c>
      <c r="AT33" s="60">
        <f>95+24</f>
        <v>119</v>
      </c>
      <c r="AU33" s="60">
        <f>6+7</f>
        <v>13</v>
      </c>
      <c r="AV33" s="51">
        <v>13.5</v>
      </c>
      <c r="AW33" s="62">
        <v>0</v>
      </c>
      <c r="AX33" s="9"/>
      <c r="AY33" s="63"/>
      <c r="AZ33" s="15"/>
      <c r="BA33" s="63"/>
      <c r="BB33" s="15"/>
      <c r="BC33" s="63"/>
      <c r="BD33" s="15"/>
      <c r="BE33" s="15"/>
      <c r="BF33" s="15"/>
      <c r="BG33" s="15"/>
      <c r="BH33" s="15"/>
      <c r="BI33" s="15"/>
      <c r="BJ33" s="15"/>
      <c r="BK33" s="9"/>
      <c r="BL33" s="9"/>
      <c r="BM33" s="9"/>
      <c r="BN33" s="9"/>
      <c r="BO33" s="9"/>
      <c r="BP33" s="9"/>
      <c r="BQ33" s="9"/>
      <c r="BR33" s="9"/>
      <c r="BS33" s="9"/>
    </row>
    <row r="34" spans="1:71" ht="18.75" customHeight="1" x14ac:dyDescent="0.3">
      <c r="A34" s="42" t="s">
        <v>307</v>
      </c>
      <c r="B34" t="s">
        <v>305</v>
      </c>
      <c r="C34" t="s">
        <v>308</v>
      </c>
      <c r="E34" s="44">
        <v>1</v>
      </c>
      <c r="F34" s="44">
        <v>2</v>
      </c>
      <c r="G34" s="45">
        <v>345</v>
      </c>
      <c r="H34" s="44">
        <v>20</v>
      </c>
      <c r="I34" s="44">
        <v>355</v>
      </c>
      <c r="J34" s="44">
        <v>170</v>
      </c>
      <c r="K34" s="43">
        <f t="shared" si="0"/>
        <v>10.840634357325053</v>
      </c>
      <c r="L34" s="46">
        <f t="shared" si="1"/>
        <v>116.15936564267494</v>
      </c>
      <c r="M34" s="47">
        <f t="shared" si="2"/>
        <v>94.159365642674942</v>
      </c>
      <c r="N34" s="47">
        <f t="shared" si="3"/>
        <v>94.159365642674942</v>
      </c>
      <c r="O34" s="48">
        <f t="shared" si="4"/>
        <v>0</v>
      </c>
      <c r="P34" s="47">
        <f t="shared" si="5"/>
        <v>-13.5</v>
      </c>
      <c r="Q34" s="49">
        <f t="shared" si="6"/>
        <v>13.5</v>
      </c>
      <c r="R34" s="59">
        <f t="shared" si="7"/>
        <v>127</v>
      </c>
      <c r="S34" s="60">
        <f t="shared" si="8"/>
        <v>-10</v>
      </c>
      <c r="T34" s="60">
        <f t="shared" si="9"/>
        <v>127</v>
      </c>
      <c r="U34" s="62">
        <f t="shared" si="10"/>
        <v>10</v>
      </c>
      <c r="V34" s="53">
        <f t="shared" si="11"/>
        <v>-10.840634357325053</v>
      </c>
      <c r="W34" s="54">
        <f t="shared" si="12"/>
        <v>-10.840634357325053</v>
      </c>
      <c r="X34" s="54">
        <f t="shared" si="13"/>
        <v>-10.840634357325053</v>
      </c>
      <c r="Y34" s="55">
        <f t="shared" si="14"/>
        <v>0</v>
      </c>
      <c r="Z34" s="55">
        <f t="shared" si="15"/>
        <v>0</v>
      </c>
      <c r="AA34" s="56">
        <f t="shared" si="16"/>
        <v>0</v>
      </c>
      <c r="AB34" s="9"/>
      <c r="AC34" s="57">
        <f>105+22</f>
        <v>127</v>
      </c>
      <c r="AD34" s="48">
        <v>0</v>
      </c>
      <c r="AE34" s="48">
        <v>105</v>
      </c>
      <c r="AF34" s="48">
        <v>0</v>
      </c>
      <c r="AG34" s="48">
        <v>105</v>
      </c>
      <c r="AH34" s="48">
        <v>0</v>
      </c>
      <c r="AI34" s="48">
        <v>0</v>
      </c>
      <c r="AJ34" s="48">
        <v>0</v>
      </c>
      <c r="AK34" s="48">
        <v>-13</v>
      </c>
      <c r="AL34" s="48">
        <v>-6</v>
      </c>
      <c r="AM34" s="48">
        <v>13</v>
      </c>
      <c r="AN34" s="58">
        <v>6</v>
      </c>
      <c r="AO34" s="9"/>
      <c r="AP34" s="59">
        <f>105+22</f>
        <v>127</v>
      </c>
      <c r="AQ34" s="60">
        <v>0</v>
      </c>
      <c r="AR34" s="60">
        <v>-10</v>
      </c>
      <c r="AS34" s="60">
        <v>0</v>
      </c>
      <c r="AT34" s="60">
        <v>127</v>
      </c>
      <c r="AU34" s="60">
        <v>0</v>
      </c>
      <c r="AV34" s="60">
        <v>10</v>
      </c>
      <c r="AW34" s="62">
        <v>0</v>
      </c>
      <c r="AX34" s="9"/>
      <c r="AY34" s="63"/>
      <c r="AZ34" s="15"/>
      <c r="BA34" s="63"/>
      <c r="BB34" s="15"/>
      <c r="BC34" s="63"/>
      <c r="BD34" s="15"/>
      <c r="BE34" s="15"/>
      <c r="BF34" s="15"/>
      <c r="BG34" s="15"/>
      <c r="BH34" s="15"/>
      <c r="BI34" s="15"/>
      <c r="BJ34" s="15"/>
      <c r="BK34" s="9"/>
      <c r="BL34" s="9"/>
      <c r="BM34" s="9"/>
      <c r="BN34" s="9"/>
      <c r="BO34" s="9"/>
      <c r="BP34" s="9"/>
      <c r="BQ34" s="9"/>
      <c r="BR34" s="9"/>
      <c r="BS34" s="9"/>
    </row>
    <row r="35" spans="1:71" ht="18.75" customHeight="1" x14ac:dyDescent="0.3">
      <c r="A35" s="42" t="s">
        <v>309</v>
      </c>
      <c r="B35" t="s">
        <v>305</v>
      </c>
      <c r="C35" t="s">
        <v>310</v>
      </c>
      <c r="D35" t="s">
        <v>311</v>
      </c>
      <c r="E35" s="44">
        <v>1</v>
      </c>
      <c r="F35" s="44">
        <v>2</v>
      </c>
      <c r="G35" s="45">
        <v>345</v>
      </c>
      <c r="H35" s="44">
        <v>20</v>
      </c>
      <c r="I35" s="44">
        <v>355</v>
      </c>
      <c r="J35" s="44">
        <v>170</v>
      </c>
      <c r="K35" s="43">
        <f t="shared" si="0"/>
        <v>10.840634357325053</v>
      </c>
      <c r="L35" s="46">
        <f t="shared" si="1"/>
        <v>116.15936564267494</v>
      </c>
      <c r="M35" s="47">
        <f t="shared" si="2"/>
        <v>94.159365642674942</v>
      </c>
      <c r="N35" s="47">
        <f t="shared" si="3"/>
        <v>94.159365642674942</v>
      </c>
      <c r="O35" s="48">
        <f t="shared" si="4"/>
        <v>0</v>
      </c>
      <c r="P35" s="47">
        <f t="shared" si="5"/>
        <v>-19.833333333333332</v>
      </c>
      <c r="Q35" s="49">
        <f t="shared" si="6"/>
        <v>19.833333333333332</v>
      </c>
      <c r="R35" s="59">
        <f t="shared" si="7"/>
        <v>127</v>
      </c>
      <c r="S35" s="60">
        <f t="shared" si="8"/>
        <v>-9</v>
      </c>
      <c r="T35" s="60">
        <f t="shared" si="9"/>
        <v>127</v>
      </c>
      <c r="U35" s="62">
        <f t="shared" si="10"/>
        <v>9</v>
      </c>
      <c r="V35" s="53">
        <f t="shared" si="11"/>
        <v>-10.840634357325053</v>
      </c>
      <c r="W35" s="54">
        <f t="shared" si="12"/>
        <v>-10.840634357325053</v>
      </c>
      <c r="X35" s="54">
        <f t="shared" si="13"/>
        <v>-10.840634357325053</v>
      </c>
      <c r="Y35" s="55">
        <f t="shared" si="14"/>
        <v>0</v>
      </c>
      <c r="Z35" s="55">
        <f t="shared" si="15"/>
        <v>0</v>
      </c>
      <c r="AA35" s="56">
        <f t="shared" si="16"/>
        <v>0</v>
      </c>
      <c r="AB35" s="9"/>
      <c r="AC35" s="57">
        <f>105+22</f>
        <v>127</v>
      </c>
      <c r="AD35" s="48">
        <v>0</v>
      </c>
      <c r="AE35" s="48">
        <v>105</v>
      </c>
      <c r="AF35" s="48">
        <v>0</v>
      </c>
      <c r="AG35" s="48">
        <v>105</v>
      </c>
      <c r="AH35" s="48">
        <v>0</v>
      </c>
      <c r="AI35" s="48">
        <v>0</v>
      </c>
      <c r="AJ35" s="48">
        <v>0</v>
      </c>
      <c r="AK35" s="47">
        <v>-19.5</v>
      </c>
      <c r="AL35" s="48">
        <v>-4</v>
      </c>
      <c r="AM35" s="47">
        <v>19.5</v>
      </c>
      <c r="AN35" s="58">
        <v>4</v>
      </c>
      <c r="AO35" s="9"/>
      <c r="AP35" s="59">
        <f>105+22</f>
        <v>127</v>
      </c>
      <c r="AQ35" s="60">
        <v>0</v>
      </c>
      <c r="AR35" s="60">
        <v>-9</v>
      </c>
      <c r="AS35" s="60">
        <v>0</v>
      </c>
      <c r="AT35" s="60">
        <v>127</v>
      </c>
      <c r="AU35" s="60">
        <v>0</v>
      </c>
      <c r="AV35" s="60">
        <v>9</v>
      </c>
      <c r="AW35" s="62">
        <v>0</v>
      </c>
      <c r="AX35" s="9"/>
      <c r="AY35" s="63"/>
      <c r="AZ35" s="15"/>
      <c r="BA35" s="63"/>
      <c r="BB35" s="15"/>
      <c r="BC35" s="63"/>
      <c r="BD35" s="15"/>
      <c r="BE35" s="15"/>
      <c r="BF35" s="15"/>
      <c r="BG35" s="15"/>
      <c r="BH35" s="15"/>
      <c r="BI35" s="15"/>
      <c r="BJ35" s="15"/>
      <c r="BK35" s="9"/>
      <c r="BL35" s="9"/>
      <c r="BM35" s="9"/>
      <c r="BN35" s="9"/>
      <c r="BO35" s="9"/>
      <c r="BP35" s="9"/>
      <c r="BQ35" s="9"/>
      <c r="BR35" s="9"/>
      <c r="BS35" s="9"/>
    </row>
    <row r="36" spans="1:71" ht="18.75" customHeight="1" x14ac:dyDescent="0.3">
      <c r="A36" s="66" t="s">
        <v>312</v>
      </c>
      <c r="B36" s="67" t="s">
        <v>228</v>
      </c>
      <c r="E36" s="44">
        <v>1</v>
      </c>
      <c r="F36" s="44">
        <v>2</v>
      </c>
      <c r="G36" s="45">
        <v>500</v>
      </c>
      <c r="H36" s="44">
        <v>20</v>
      </c>
      <c r="I36" s="44">
        <v>355</v>
      </c>
      <c r="J36" s="44">
        <v>170</v>
      </c>
      <c r="K36" s="43">
        <f t="shared" si="0"/>
        <v>15.711064285978338</v>
      </c>
      <c r="L36" s="46">
        <f t="shared" si="1"/>
        <v>96.788935714021662</v>
      </c>
      <c r="M36" s="47">
        <f t="shared" si="2"/>
        <v>69.288935714021662</v>
      </c>
      <c r="N36" s="47">
        <f t="shared" si="3"/>
        <v>69.288935714021662</v>
      </c>
      <c r="O36" s="48">
        <f t="shared" si="4"/>
        <v>0</v>
      </c>
      <c r="P36" s="48">
        <f t="shared" si="5"/>
        <v>-20</v>
      </c>
      <c r="Q36" s="58">
        <f t="shared" si="6"/>
        <v>20</v>
      </c>
      <c r="R36" s="50">
        <f t="shared" si="7"/>
        <v>122.25</v>
      </c>
      <c r="S36" s="60">
        <f t="shared" si="8"/>
        <v>-13</v>
      </c>
      <c r="T36" s="51">
        <f t="shared" si="9"/>
        <v>122.25</v>
      </c>
      <c r="U36" s="62">
        <f t="shared" si="10"/>
        <v>13</v>
      </c>
      <c r="V36" s="53">
        <f t="shared" si="11"/>
        <v>-15.711064285978338</v>
      </c>
      <c r="W36" s="54">
        <f t="shared" si="12"/>
        <v>-15.711064285978338</v>
      </c>
      <c r="X36" s="54">
        <f t="shared" si="13"/>
        <v>-15.711064285978338</v>
      </c>
      <c r="Y36" s="55">
        <f t="shared" si="14"/>
        <v>0</v>
      </c>
      <c r="Z36" s="55">
        <f t="shared" si="15"/>
        <v>0</v>
      </c>
      <c r="AA36" s="56">
        <f t="shared" si="16"/>
        <v>0</v>
      </c>
      <c r="AB36" s="9"/>
      <c r="AC36" s="57">
        <f>85+27</f>
        <v>112</v>
      </c>
      <c r="AD36" s="48">
        <v>6</v>
      </c>
      <c r="AE36" s="48">
        <v>85</v>
      </c>
      <c r="AF36" s="48">
        <v>0</v>
      </c>
      <c r="AG36" s="48">
        <v>85</v>
      </c>
      <c r="AH36" s="48">
        <v>0</v>
      </c>
      <c r="AI36" s="48">
        <v>0</v>
      </c>
      <c r="AJ36" s="48">
        <v>0</v>
      </c>
      <c r="AK36" s="48">
        <v>-20</v>
      </c>
      <c r="AL36" s="48">
        <v>0</v>
      </c>
      <c r="AM36" s="48">
        <v>20</v>
      </c>
      <c r="AN36" s="58">
        <v>0</v>
      </c>
      <c r="AO36" s="9"/>
      <c r="AP36" s="59">
        <f>85+27+9</f>
        <v>121</v>
      </c>
      <c r="AQ36" s="60">
        <f>6+9</f>
        <v>15</v>
      </c>
      <c r="AR36" s="60">
        <v>-13</v>
      </c>
      <c r="AS36" s="60">
        <v>0</v>
      </c>
      <c r="AT36" s="60">
        <v>121</v>
      </c>
      <c r="AU36" s="60">
        <v>15</v>
      </c>
      <c r="AV36" s="60">
        <v>13</v>
      </c>
      <c r="AW36" s="62">
        <v>0</v>
      </c>
      <c r="AX36" s="9"/>
      <c r="AY36" s="63"/>
      <c r="AZ36" s="15"/>
      <c r="BA36" s="63"/>
      <c r="BB36" s="15"/>
      <c r="BC36" s="63"/>
      <c r="BD36" s="15"/>
      <c r="BE36" s="15"/>
      <c r="BF36" s="15"/>
      <c r="BG36" s="15"/>
      <c r="BH36" s="15"/>
      <c r="BI36" s="15"/>
      <c r="BJ36" s="15"/>
      <c r="BK36" s="9"/>
      <c r="BL36" s="9"/>
      <c r="BM36" s="9"/>
      <c r="BN36" s="9"/>
      <c r="BO36" s="9"/>
      <c r="BP36" s="9"/>
      <c r="BQ36" s="9"/>
      <c r="BR36" s="9"/>
      <c r="BS36" s="9"/>
    </row>
    <row r="37" spans="1:71" ht="18.75" customHeight="1" x14ac:dyDescent="0.3">
      <c r="A37" s="42" t="s">
        <v>313</v>
      </c>
      <c r="B37" t="s">
        <v>228</v>
      </c>
      <c r="C37" t="s">
        <v>314</v>
      </c>
      <c r="D37" s="68" t="s">
        <v>315</v>
      </c>
      <c r="E37" s="44">
        <v>1</v>
      </c>
      <c r="F37" s="44">
        <v>2</v>
      </c>
      <c r="G37" s="45">
        <v>500</v>
      </c>
      <c r="H37" s="44">
        <v>20</v>
      </c>
      <c r="I37" s="44">
        <v>355</v>
      </c>
      <c r="J37" s="44">
        <v>170</v>
      </c>
      <c r="K37" s="43">
        <f t="shared" si="0"/>
        <v>15.711064285978338</v>
      </c>
      <c r="L37" s="46">
        <f t="shared" si="1"/>
        <v>98.288935714021662</v>
      </c>
      <c r="M37" s="47">
        <f t="shared" si="2"/>
        <v>69.288935714021662</v>
      </c>
      <c r="N37" s="47">
        <f t="shared" si="3"/>
        <v>69.288935714021662</v>
      </c>
      <c r="O37" s="48">
        <f t="shared" si="4"/>
        <v>0</v>
      </c>
      <c r="P37" s="47">
        <f t="shared" si="5"/>
        <v>-15.333333333333334</v>
      </c>
      <c r="Q37" s="49">
        <f t="shared" si="6"/>
        <v>15.333333333333334</v>
      </c>
      <c r="R37" s="59">
        <f t="shared" si="7"/>
        <v>121</v>
      </c>
      <c r="S37" s="60">
        <f t="shared" si="8"/>
        <v>-12</v>
      </c>
      <c r="T37" s="60">
        <f t="shared" si="9"/>
        <v>121</v>
      </c>
      <c r="U37" s="62">
        <f t="shared" si="10"/>
        <v>12</v>
      </c>
      <c r="V37" s="53">
        <f t="shared" si="11"/>
        <v>-15.711064285978338</v>
      </c>
      <c r="W37" s="54">
        <f t="shared" si="12"/>
        <v>-15.711064285978338</v>
      </c>
      <c r="X37" s="54">
        <f t="shared" si="13"/>
        <v>-15.711064285978338</v>
      </c>
      <c r="Y37" s="55">
        <f t="shared" si="14"/>
        <v>0</v>
      </c>
      <c r="Z37" s="55">
        <f t="shared" si="15"/>
        <v>0</v>
      </c>
      <c r="AA37" s="56">
        <f t="shared" si="16"/>
        <v>0</v>
      </c>
      <c r="AB37" s="9"/>
      <c r="AC37" s="57">
        <f>85+29</f>
        <v>114</v>
      </c>
      <c r="AD37" s="48">
        <v>0</v>
      </c>
      <c r="AE37" s="48">
        <v>85</v>
      </c>
      <c r="AF37" s="48">
        <v>0</v>
      </c>
      <c r="AG37" s="48">
        <v>85</v>
      </c>
      <c r="AH37" s="48">
        <v>0</v>
      </c>
      <c r="AI37" s="48">
        <v>0</v>
      </c>
      <c r="AJ37" s="48">
        <v>0</v>
      </c>
      <c r="AK37" s="48">
        <v>-15</v>
      </c>
      <c r="AL37" s="48">
        <v>-4</v>
      </c>
      <c r="AM37" s="48">
        <v>15</v>
      </c>
      <c r="AN37" s="58">
        <v>4</v>
      </c>
      <c r="AO37" s="9"/>
      <c r="AP37" s="59">
        <f>85+29+7</f>
        <v>121</v>
      </c>
      <c r="AQ37" s="60">
        <v>0</v>
      </c>
      <c r="AR37" s="60">
        <v>-12</v>
      </c>
      <c r="AS37" s="60">
        <v>0</v>
      </c>
      <c r="AT37" s="60">
        <v>121</v>
      </c>
      <c r="AU37" s="60">
        <v>0</v>
      </c>
      <c r="AV37" s="60">
        <v>12</v>
      </c>
      <c r="AW37" s="62">
        <v>0</v>
      </c>
      <c r="AX37" s="9"/>
      <c r="AY37" s="63"/>
      <c r="AZ37" s="15"/>
      <c r="BA37" s="63"/>
      <c r="BB37" s="15"/>
      <c r="BC37" s="63"/>
      <c r="BD37" s="15"/>
      <c r="BE37" s="15"/>
      <c r="BF37" s="15"/>
      <c r="BG37" s="15"/>
      <c r="BH37" s="15"/>
      <c r="BI37" s="15"/>
      <c r="BJ37" s="15"/>
      <c r="BK37" s="9"/>
      <c r="BL37" s="9"/>
      <c r="BM37" s="9"/>
      <c r="BN37" s="9"/>
      <c r="BO37" s="9"/>
      <c r="BP37" s="9"/>
      <c r="BQ37" s="9"/>
      <c r="BR37" s="9"/>
      <c r="BS37" s="9"/>
    </row>
    <row r="38" spans="1:71" ht="18.75" customHeight="1" x14ac:dyDescent="0.3">
      <c r="A38" s="42" t="s">
        <v>316</v>
      </c>
      <c r="B38" t="s">
        <v>228</v>
      </c>
      <c r="E38" s="44">
        <v>1</v>
      </c>
      <c r="F38" s="44">
        <v>2</v>
      </c>
      <c r="G38" s="45">
        <v>500</v>
      </c>
      <c r="H38" s="44">
        <v>20</v>
      </c>
      <c r="I38" s="44">
        <v>355</v>
      </c>
      <c r="J38" s="44">
        <v>170</v>
      </c>
      <c r="K38" s="43">
        <f t="shared" si="0"/>
        <v>15.711064285978338</v>
      </c>
      <c r="L38" s="46">
        <f t="shared" si="1"/>
        <v>90.288935714021662</v>
      </c>
      <c r="M38" s="47">
        <f t="shared" si="2"/>
        <v>74.288935714021662</v>
      </c>
      <c r="N38" s="47">
        <f t="shared" si="3"/>
        <v>74.288935714021662</v>
      </c>
      <c r="O38" s="48">
        <f t="shared" si="4"/>
        <v>0</v>
      </c>
      <c r="P38" s="48">
        <f t="shared" si="5"/>
        <v>-29</v>
      </c>
      <c r="Q38" s="58">
        <f t="shared" si="6"/>
        <v>29</v>
      </c>
      <c r="R38" s="59">
        <f t="shared" si="7"/>
        <v>106</v>
      </c>
      <c r="S38" s="60">
        <f t="shared" si="8"/>
        <v>-15</v>
      </c>
      <c r="T38" s="60">
        <f t="shared" si="9"/>
        <v>106</v>
      </c>
      <c r="U38" s="62">
        <f t="shared" si="10"/>
        <v>15</v>
      </c>
      <c r="V38" s="53">
        <f t="shared" si="11"/>
        <v>-15.711064285978338</v>
      </c>
      <c r="W38" s="54">
        <f t="shared" si="12"/>
        <v>-15.711064285978338</v>
      </c>
      <c r="X38" s="54">
        <f t="shared" si="13"/>
        <v>-15.711064285978338</v>
      </c>
      <c r="Y38" s="55">
        <f t="shared" si="14"/>
        <v>0</v>
      </c>
      <c r="Z38" s="55">
        <f t="shared" si="15"/>
        <v>0</v>
      </c>
      <c r="AA38" s="56">
        <f t="shared" si="16"/>
        <v>0</v>
      </c>
      <c r="AB38" s="9"/>
      <c r="AC38" s="57">
        <f>90+16</f>
        <v>106</v>
      </c>
      <c r="AD38" s="48">
        <v>0</v>
      </c>
      <c r="AE38" s="48">
        <v>90</v>
      </c>
      <c r="AF38" s="48">
        <v>0</v>
      </c>
      <c r="AG38" s="48">
        <v>90</v>
      </c>
      <c r="AH38" s="48">
        <v>0</v>
      </c>
      <c r="AI38" s="48">
        <v>0</v>
      </c>
      <c r="AJ38" s="48">
        <v>0</v>
      </c>
      <c r="AK38" s="48">
        <v>-29</v>
      </c>
      <c r="AL38" s="48">
        <v>0</v>
      </c>
      <c r="AM38" s="48">
        <v>29</v>
      </c>
      <c r="AN38" s="58">
        <v>0</v>
      </c>
      <c r="AO38" s="9"/>
      <c r="AP38" s="59">
        <v>106</v>
      </c>
      <c r="AQ38" s="60">
        <v>0</v>
      </c>
      <c r="AR38" s="60">
        <v>-15</v>
      </c>
      <c r="AS38" s="60">
        <v>0</v>
      </c>
      <c r="AT38" s="60">
        <v>106</v>
      </c>
      <c r="AU38" s="60">
        <v>0</v>
      </c>
      <c r="AV38" s="60">
        <v>15</v>
      </c>
      <c r="AW38" s="62">
        <v>0</v>
      </c>
      <c r="AX38" s="9"/>
      <c r="AY38" s="63"/>
      <c r="AZ38" s="15"/>
      <c r="BA38" s="63"/>
      <c r="BB38" s="15"/>
      <c r="BC38" s="63"/>
      <c r="BD38" s="15"/>
      <c r="BE38" s="15"/>
      <c r="BF38" s="15"/>
      <c r="BG38" s="15"/>
      <c r="BH38" s="15"/>
      <c r="BI38" s="15"/>
      <c r="BJ38" s="15"/>
      <c r="BK38" s="9"/>
      <c r="BL38" s="9"/>
      <c r="BM38" s="9"/>
      <c r="BN38" s="9"/>
      <c r="BO38" s="9"/>
      <c r="BP38" s="9"/>
      <c r="BQ38" s="9"/>
      <c r="BR38" s="9"/>
      <c r="BS38" s="9"/>
    </row>
    <row r="39" spans="1:71" ht="18.75" customHeight="1" x14ac:dyDescent="0.3">
      <c r="A39" s="42" t="s">
        <v>317</v>
      </c>
      <c r="B39" t="s">
        <v>228</v>
      </c>
      <c r="C39" t="s">
        <v>318</v>
      </c>
      <c r="D39" t="s">
        <v>319</v>
      </c>
      <c r="E39" s="44">
        <v>1</v>
      </c>
      <c r="F39" s="44">
        <v>2</v>
      </c>
      <c r="G39" s="45">
        <v>500</v>
      </c>
      <c r="H39" s="44">
        <v>20</v>
      </c>
      <c r="I39" s="44">
        <v>355</v>
      </c>
      <c r="J39" s="44">
        <v>170</v>
      </c>
      <c r="K39" s="43">
        <f t="shared" si="0"/>
        <v>15.711064285978338</v>
      </c>
      <c r="L39" s="57">
        <f t="shared" si="1"/>
        <v>85</v>
      </c>
      <c r="M39" s="47">
        <f t="shared" si="2"/>
        <v>69.288935714021662</v>
      </c>
      <c r="N39" s="47">
        <f t="shared" si="3"/>
        <v>69.288935714021662</v>
      </c>
      <c r="O39" s="48">
        <f t="shared" si="4"/>
        <v>0</v>
      </c>
      <c r="P39" s="48">
        <f t="shared" si="5"/>
        <v>-28</v>
      </c>
      <c r="Q39" s="58">
        <f t="shared" si="6"/>
        <v>28</v>
      </c>
      <c r="R39" s="59">
        <f t="shared" si="7"/>
        <v>99</v>
      </c>
      <c r="S39" s="60">
        <f t="shared" si="8"/>
        <v>-26</v>
      </c>
      <c r="T39" s="60">
        <f t="shared" si="9"/>
        <v>99</v>
      </c>
      <c r="U39" s="62">
        <f t="shared" si="10"/>
        <v>26</v>
      </c>
      <c r="V39" s="53">
        <f t="shared" si="11"/>
        <v>-15.711064285978338</v>
      </c>
      <c r="W39" s="54">
        <f t="shared" si="12"/>
        <v>-15.711064285978338</v>
      </c>
      <c r="X39" s="54">
        <f t="shared" si="13"/>
        <v>-15.711064285978338</v>
      </c>
      <c r="Y39" s="55">
        <f t="shared" si="14"/>
        <v>0</v>
      </c>
      <c r="Z39" s="55">
        <f t="shared" si="15"/>
        <v>0</v>
      </c>
      <c r="AA39" s="56">
        <f t="shared" si="16"/>
        <v>0</v>
      </c>
      <c r="AB39" s="9"/>
      <c r="AC39" s="46">
        <f>85+K39</f>
        <v>100.71106428597834</v>
      </c>
      <c r="AD39" s="48">
        <v>0</v>
      </c>
      <c r="AE39" s="48">
        <v>85</v>
      </c>
      <c r="AF39" s="48">
        <v>0</v>
      </c>
      <c r="AG39" s="48">
        <v>85</v>
      </c>
      <c r="AH39" s="48">
        <v>0</v>
      </c>
      <c r="AI39" s="48">
        <v>0</v>
      </c>
      <c r="AJ39" s="48">
        <v>0</v>
      </c>
      <c r="AK39" s="48">
        <v>-28</v>
      </c>
      <c r="AL39" s="48">
        <v>0</v>
      </c>
      <c r="AM39" s="48">
        <v>28</v>
      </c>
      <c r="AN39" s="58">
        <v>0</v>
      </c>
      <c r="AO39" s="9"/>
      <c r="AP39" s="59">
        <f>85+14</f>
        <v>99</v>
      </c>
      <c r="AQ39" s="60">
        <v>0</v>
      </c>
      <c r="AR39" s="60">
        <v>-26</v>
      </c>
      <c r="AS39" s="60">
        <v>0</v>
      </c>
      <c r="AT39" s="60">
        <v>99</v>
      </c>
      <c r="AU39" s="60">
        <v>0</v>
      </c>
      <c r="AV39" s="60">
        <v>26</v>
      </c>
      <c r="AW39" s="62">
        <v>0</v>
      </c>
      <c r="AX39" s="9"/>
      <c r="AY39" s="63"/>
      <c r="AZ39" s="15"/>
      <c r="BA39" s="63"/>
      <c r="BB39" s="15"/>
      <c r="BC39" s="63"/>
      <c r="BD39" s="15"/>
      <c r="BE39" s="15"/>
      <c r="BF39" s="15"/>
      <c r="BG39" s="15"/>
      <c r="BH39" s="15"/>
      <c r="BI39" s="15"/>
      <c r="BJ39" s="15"/>
      <c r="BK39" s="9"/>
      <c r="BL39" s="9"/>
      <c r="BM39" s="9"/>
      <c r="BN39" s="9"/>
      <c r="BO39" s="9"/>
      <c r="BP39" s="9"/>
      <c r="BQ39" s="9"/>
      <c r="BR39" s="9"/>
      <c r="BS39" s="9"/>
    </row>
    <row r="40" spans="1:71" ht="18.75" customHeight="1" x14ac:dyDescent="0.3">
      <c r="A40" s="42" t="s">
        <v>320</v>
      </c>
      <c r="B40" t="s">
        <v>228</v>
      </c>
      <c r="C40" t="s">
        <v>321</v>
      </c>
      <c r="D40" t="s">
        <v>106</v>
      </c>
      <c r="E40" s="44">
        <v>1</v>
      </c>
      <c r="F40" s="44">
        <v>2</v>
      </c>
      <c r="G40" s="45">
        <v>500</v>
      </c>
      <c r="H40" s="44">
        <v>20</v>
      </c>
      <c r="I40" s="44">
        <v>355</v>
      </c>
      <c r="J40" s="44">
        <v>170</v>
      </c>
      <c r="K40" s="43">
        <f t="shared" si="0"/>
        <v>15.711064285978338</v>
      </c>
      <c r="L40" s="57">
        <f t="shared" si="1"/>
        <v>105</v>
      </c>
      <c r="M40" s="47">
        <f t="shared" si="2"/>
        <v>89.288935714021662</v>
      </c>
      <c r="N40" s="47">
        <f t="shared" si="3"/>
        <v>89.288935714021662</v>
      </c>
      <c r="O40" s="48">
        <f t="shared" si="4"/>
        <v>0</v>
      </c>
      <c r="P40" s="47">
        <f t="shared" si="5"/>
        <v>-30.25</v>
      </c>
      <c r="Q40" s="49">
        <f t="shared" si="6"/>
        <v>30.25</v>
      </c>
      <c r="R40" s="50">
        <f t="shared" si="7"/>
        <v>122.5</v>
      </c>
      <c r="S40" s="51">
        <f t="shared" si="8"/>
        <v>-15.5</v>
      </c>
      <c r="T40" s="51">
        <f t="shared" si="9"/>
        <v>122.5</v>
      </c>
      <c r="U40" s="52">
        <f t="shared" si="10"/>
        <v>15.5</v>
      </c>
      <c r="V40" s="53">
        <f t="shared" si="11"/>
        <v>-15.711064285978338</v>
      </c>
      <c r="W40" s="54">
        <f t="shared" si="12"/>
        <v>-15.711064285978338</v>
      </c>
      <c r="X40" s="54">
        <f t="shared" si="13"/>
        <v>-15.711064285978338</v>
      </c>
      <c r="Y40" s="55">
        <f t="shared" si="14"/>
        <v>0</v>
      </c>
      <c r="Z40" s="55">
        <f t="shared" si="15"/>
        <v>0</v>
      </c>
      <c r="AA40" s="56">
        <f t="shared" si="16"/>
        <v>0</v>
      </c>
      <c r="AB40" s="9"/>
      <c r="AC40" s="46">
        <f>105+K40</f>
        <v>120.71106428597834</v>
      </c>
      <c r="AD40" s="48">
        <v>0</v>
      </c>
      <c r="AE40" s="48">
        <v>105</v>
      </c>
      <c r="AF40" s="48">
        <v>0</v>
      </c>
      <c r="AG40" s="48">
        <v>105</v>
      </c>
      <c r="AH40" s="48">
        <v>0</v>
      </c>
      <c r="AI40" s="48">
        <v>0</v>
      </c>
      <c r="AJ40" s="48">
        <v>0</v>
      </c>
      <c r="AK40" s="48">
        <v>-30</v>
      </c>
      <c r="AL40" s="48">
        <v>-3</v>
      </c>
      <c r="AM40" s="48">
        <v>30</v>
      </c>
      <c r="AN40" s="58">
        <v>3</v>
      </c>
      <c r="AO40" s="9"/>
      <c r="AP40" s="59">
        <f>105+17</f>
        <v>122</v>
      </c>
      <c r="AQ40" s="60">
        <v>6</v>
      </c>
      <c r="AR40" s="51">
        <v>-15.5</v>
      </c>
      <c r="AS40" s="60">
        <v>0</v>
      </c>
      <c r="AT40" s="60">
        <v>122</v>
      </c>
      <c r="AU40" s="60">
        <v>6</v>
      </c>
      <c r="AV40" s="51">
        <v>15.5</v>
      </c>
      <c r="AW40" s="62">
        <v>0</v>
      </c>
      <c r="AX40" s="9"/>
      <c r="AY40" s="63"/>
      <c r="AZ40" s="15"/>
      <c r="BA40" s="63"/>
      <c r="BB40" s="15"/>
      <c r="BC40" s="63"/>
      <c r="BD40" s="15"/>
      <c r="BE40" s="15"/>
      <c r="BF40" s="15"/>
      <c r="BG40" s="15"/>
      <c r="BH40" s="15"/>
      <c r="BI40" s="15"/>
      <c r="BJ40" s="15"/>
      <c r="BK40" s="9"/>
      <c r="BL40" s="9"/>
      <c r="BM40" s="9"/>
      <c r="BN40" s="9"/>
      <c r="BO40" s="9"/>
      <c r="BP40" s="9"/>
      <c r="BQ40" s="9"/>
      <c r="BR40" s="9"/>
      <c r="BS40" s="9"/>
    </row>
    <row r="41" spans="1:71" ht="18.75" customHeight="1" x14ac:dyDescent="0.3">
      <c r="A41" s="42" t="s">
        <v>322</v>
      </c>
      <c r="B41" t="s">
        <v>228</v>
      </c>
      <c r="E41" s="44">
        <v>1</v>
      </c>
      <c r="F41" s="44">
        <v>2</v>
      </c>
      <c r="G41" s="45">
        <v>500</v>
      </c>
      <c r="H41" s="44">
        <v>20</v>
      </c>
      <c r="I41" s="44">
        <v>355</v>
      </c>
      <c r="J41" s="44">
        <v>170</v>
      </c>
      <c r="K41" s="43">
        <f t="shared" si="0"/>
        <v>15.711064285978338</v>
      </c>
      <c r="L41" s="46">
        <f t="shared" si="1"/>
        <v>64.288935714021662</v>
      </c>
      <c r="M41" s="47">
        <f t="shared" si="2"/>
        <v>64.288935714021662</v>
      </c>
      <c r="N41" s="47">
        <f t="shared" si="3"/>
        <v>64.288935714021662</v>
      </c>
      <c r="O41" s="48">
        <f t="shared" si="4"/>
        <v>0</v>
      </c>
      <c r="P41" s="48">
        <f t="shared" si="5"/>
        <v>-35</v>
      </c>
      <c r="Q41" s="58">
        <f t="shared" si="6"/>
        <v>35</v>
      </c>
      <c r="R41" s="59">
        <f t="shared" si="7"/>
        <v>95</v>
      </c>
      <c r="S41" s="60">
        <f t="shared" si="8"/>
        <v>-25</v>
      </c>
      <c r="T41" s="60">
        <f t="shared" si="9"/>
        <v>95</v>
      </c>
      <c r="U41" s="62">
        <f t="shared" si="10"/>
        <v>25</v>
      </c>
      <c r="V41" s="53">
        <f t="shared" si="11"/>
        <v>-15.711064285978338</v>
      </c>
      <c r="W41" s="54">
        <f t="shared" si="12"/>
        <v>-15.711064285978338</v>
      </c>
      <c r="X41" s="54">
        <f t="shared" si="13"/>
        <v>-15.711064285978338</v>
      </c>
      <c r="Y41" s="55">
        <f t="shared" si="14"/>
        <v>0</v>
      </c>
      <c r="Z41" s="55">
        <f t="shared" si="15"/>
        <v>0</v>
      </c>
      <c r="AA41" s="56">
        <f t="shared" si="16"/>
        <v>0</v>
      </c>
      <c r="AB41" s="9"/>
      <c r="AC41" s="57">
        <v>80</v>
      </c>
      <c r="AD41" s="48">
        <v>0</v>
      </c>
      <c r="AE41" s="48">
        <v>80</v>
      </c>
      <c r="AF41" s="48">
        <v>0</v>
      </c>
      <c r="AG41" s="48">
        <v>80</v>
      </c>
      <c r="AH41" s="48">
        <v>0</v>
      </c>
      <c r="AI41" s="48">
        <v>0</v>
      </c>
      <c r="AJ41" s="48">
        <v>0</v>
      </c>
      <c r="AK41" s="48">
        <v>-35</v>
      </c>
      <c r="AL41" s="48">
        <v>0</v>
      </c>
      <c r="AM41" s="48">
        <v>35</v>
      </c>
      <c r="AN41" s="58">
        <v>0</v>
      </c>
      <c r="AO41" s="9"/>
      <c r="AP41" s="59">
        <f>80+15</f>
        <v>95</v>
      </c>
      <c r="AQ41" s="60">
        <v>0</v>
      </c>
      <c r="AR41" s="60">
        <v>-25</v>
      </c>
      <c r="AS41" s="60">
        <v>0</v>
      </c>
      <c r="AT41" s="60">
        <v>95</v>
      </c>
      <c r="AU41" s="60">
        <v>0</v>
      </c>
      <c r="AV41" s="60">
        <v>25</v>
      </c>
      <c r="AW41" s="62">
        <v>0</v>
      </c>
      <c r="AX41" s="9"/>
      <c r="AY41" s="63"/>
      <c r="AZ41" s="15"/>
      <c r="BA41" s="63"/>
      <c r="BB41" s="15"/>
      <c r="BC41" s="63"/>
      <c r="BD41" s="15"/>
      <c r="BE41" s="15"/>
      <c r="BF41" s="15"/>
      <c r="BG41" s="15"/>
      <c r="BH41" s="15"/>
      <c r="BI41" s="15"/>
      <c r="BJ41" s="15"/>
      <c r="BK41" s="9"/>
      <c r="BL41" s="9"/>
      <c r="BM41" s="9"/>
      <c r="BN41" s="9"/>
      <c r="BO41" s="9"/>
      <c r="BP41" s="9"/>
      <c r="BQ41" s="9"/>
      <c r="BR41" s="9"/>
      <c r="BS41" s="9"/>
    </row>
    <row r="42" spans="1:71" ht="18.75" customHeight="1" x14ac:dyDescent="0.3">
      <c r="A42" s="42" t="s">
        <v>323</v>
      </c>
      <c r="B42" t="s">
        <v>228</v>
      </c>
      <c r="C42" t="s">
        <v>324</v>
      </c>
      <c r="D42" t="s">
        <v>325</v>
      </c>
      <c r="E42" s="44">
        <v>1</v>
      </c>
      <c r="F42" s="44">
        <v>2</v>
      </c>
      <c r="G42" s="45">
        <v>500</v>
      </c>
      <c r="H42" s="44">
        <v>20</v>
      </c>
      <c r="I42" s="44">
        <v>355</v>
      </c>
      <c r="J42" s="44">
        <v>170</v>
      </c>
      <c r="K42" s="43">
        <f t="shared" si="0"/>
        <v>15.711064285978338</v>
      </c>
      <c r="L42" s="46">
        <f t="shared" si="1"/>
        <v>94.288935714021662</v>
      </c>
      <c r="M42" s="47">
        <f t="shared" si="2"/>
        <v>94.288935714021662</v>
      </c>
      <c r="N42" s="47">
        <f t="shared" si="3"/>
        <v>94.288935714021662</v>
      </c>
      <c r="O42" s="48">
        <f t="shared" si="4"/>
        <v>0</v>
      </c>
      <c r="P42" s="48">
        <f t="shared" si="5"/>
        <v>-34</v>
      </c>
      <c r="Q42" s="58">
        <f t="shared" si="6"/>
        <v>34</v>
      </c>
      <c r="R42" s="59">
        <f t="shared" si="7"/>
        <v>124</v>
      </c>
      <c r="S42" s="60">
        <f t="shared" si="8"/>
        <v>-31</v>
      </c>
      <c r="T42" s="60">
        <f t="shared" si="9"/>
        <v>124</v>
      </c>
      <c r="U42" s="62">
        <f t="shared" si="10"/>
        <v>31</v>
      </c>
      <c r="V42" s="53">
        <f t="shared" si="11"/>
        <v>-15.711064285978338</v>
      </c>
      <c r="W42" s="54">
        <f t="shared" si="12"/>
        <v>-15.711064285978338</v>
      </c>
      <c r="X42" s="54">
        <f t="shared" si="13"/>
        <v>-15.711064285978338</v>
      </c>
      <c r="Y42" s="55">
        <f t="shared" si="14"/>
        <v>0</v>
      </c>
      <c r="Z42" s="55">
        <f t="shared" si="15"/>
        <v>0</v>
      </c>
      <c r="AA42" s="56">
        <f t="shared" si="16"/>
        <v>0</v>
      </c>
      <c r="AB42" s="9"/>
      <c r="AC42" s="57">
        <v>110</v>
      </c>
      <c r="AD42" s="48">
        <v>0</v>
      </c>
      <c r="AE42" s="48">
        <v>110</v>
      </c>
      <c r="AF42" s="48">
        <v>0</v>
      </c>
      <c r="AG42" s="48">
        <v>110</v>
      </c>
      <c r="AH42" s="48">
        <v>0</v>
      </c>
      <c r="AI42" s="48">
        <v>0</v>
      </c>
      <c r="AJ42" s="48">
        <v>0</v>
      </c>
      <c r="AK42" s="48">
        <v>-34</v>
      </c>
      <c r="AL42" s="48">
        <v>0</v>
      </c>
      <c r="AM42" s="48">
        <v>34</v>
      </c>
      <c r="AN42" s="58">
        <v>0</v>
      </c>
      <c r="AO42" s="9"/>
      <c r="AP42" s="59">
        <f>110+14</f>
        <v>124</v>
      </c>
      <c r="AQ42" s="60">
        <v>0</v>
      </c>
      <c r="AR42" s="60">
        <v>-31</v>
      </c>
      <c r="AS42" s="60">
        <v>0</v>
      </c>
      <c r="AT42" s="60">
        <v>124</v>
      </c>
      <c r="AU42" s="60">
        <v>0</v>
      </c>
      <c r="AV42" s="60">
        <v>31</v>
      </c>
      <c r="AW42" s="62">
        <v>0</v>
      </c>
      <c r="AX42" s="9"/>
      <c r="AY42" s="63"/>
      <c r="AZ42" s="15"/>
      <c r="BA42" s="63"/>
      <c r="BB42" s="15"/>
      <c r="BC42" s="63"/>
      <c r="BD42" s="15"/>
      <c r="BE42" s="15"/>
      <c r="BF42" s="15"/>
      <c r="BG42" s="15"/>
      <c r="BH42" s="15"/>
      <c r="BI42" s="15"/>
      <c r="BJ42" s="15"/>
      <c r="BK42" s="9"/>
      <c r="BL42" s="9"/>
      <c r="BM42" s="9"/>
      <c r="BN42" s="9"/>
      <c r="BO42" s="9"/>
      <c r="BP42" s="9"/>
      <c r="BQ42" s="9"/>
      <c r="BR42" s="9"/>
      <c r="BS42" s="9"/>
    </row>
    <row r="43" spans="1:71" ht="18.75" customHeight="1" x14ac:dyDescent="0.3">
      <c r="A43" s="42" t="s">
        <v>326</v>
      </c>
      <c r="B43" t="s">
        <v>228</v>
      </c>
      <c r="E43" s="44">
        <v>1</v>
      </c>
      <c r="F43" s="44">
        <v>2</v>
      </c>
      <c r="G43" s="45">
        <v>500</v>
      </c>
      <c r="H43" s="44">
        <v>20</v>
      </c>
      <c r="I43" s="44">
        <v>355</v>
      </c>
      <c r="J43" s="44">
        <v>170</v>
      </c>
      <c r="K43" s="43">
        <f t="shared" si="0"/>
        <v>15.711064285978338</v>
      </c>
      <c r="L43" s="46">
        <f t="shared" si="1"/>
        <v>94.288935714021662</v>
      </c>
      <c r="M43" s="47">
        <f t="shared" si="2"/>
        <v>94.288935714021662</v>
      </c>
      <c r="N43" s="47">
        <f t="shared" si="3"/>
        <v>94.288935714021662</v>
      </c>
      <c r="O43" s="48">
        <f t="shared" si="4"/>
        <v>0</v>
      </c>
      <c r="P43" s="48">
        <f t="shared" si="5"/>
        <v>-33</v>
      </c>
      <c r="Q43" s="58">
        <f t="shared" si="6"/>
        <v>33</v>
      </c>
      <c r="R43" s="59">
        <f t="shared" si="7"/>
        <v>129</v>
      </c>
      <c r="S43" s="60">
        <f t="shared" si="8"/>
        <v>-20</v>
      </c>
      <c r="T43" s="60">
        <f t="shared" si="9"/>
        <v>129</v>
      </c>
      <c r="U43" s="62">
        <f t="shared" si="10"/>
        <v>20</v>
      </c>
      <c r="V43" s="53">
        <f t="shared" si="11"/>
        <v>-15.711064285978338</v>
      </c>
      <c r="W43" s="54">
        <f t="shared" si="12"/>
        <v>-15.711064285978338</v>
      </c>
      <c r="X43" s="54">
        <f t="shared" si="13"/>
        <v>-15.711064285978338</v>
      </c>
      <c r="Y43" s="55">
        <f t="shared" si="14"/>
        <v>0</v>
      </c>
      <c r="Z43" s="55">
        <f t="shared" si="15"/>
        <v>0</v>
      </c>
      <c r="AA43" s="56">
        <f t="shared" si="16"/>
        <v>0</v>
      </c>
      <c r="AB43" s="9"/>
      <c r="AC43" s="57">
        <v>110</v>
      </c>
      <c r="AD43" s="48">
        <v>0</v>
      </c>
      <c r="AE43" s="48">
        <v>110</v>
      </c>
      <c r="AF43" s="48">
        <v>0</v>
      </c>
      <c r="AG43" s="48">
        <v>110</v>
      </c>
      <c r="AH43" s="48">
        <v>0</v>
      </c>
      <c r="AI43" s="48">
        <v>0</v>
      </c>
      <c r="AJ43" s="48">
        <v>0</v>
      </c>
      <c r="AK43" s="48">
        <v>-33</v>
      </c>
      <c r="AL43" s="48">
        <v>0</v>
      </c>
      <c r="AM43" s="48">
        <v>33</v>
      </c>
      <c r="AN43" s="58">
        <v>0</v>
      </c>
      <c r="AO43" s="9"/>
      <c r="AP43" s="59">
        <f>110+19</f>
        <v>129</v>
      </c>
      <c r="AQ43" s="60">
        <v>0</v>
      </c>
      <c r="AR43" s="60">
        <v>-20</v>
      </c>
      <c r="AS43" s="60">
        <v>0</v>
      </c>
      <c r="AT43" s="60">
        <v>129</v>
      </c>
      <c r="AU43" s="60">
        <v>0</v>
      </c>
      <c r="AV43" s="60">
        <v>20</v>
      </c>
      <c r="AW43" s="62">
        <v>0</v>
      </c>
      <c r="AX43" s="9"/>
      <c r="AY43" s="63"/>
      <c r="AZ43" s="15"/>
      <c r="BA43" s="63"/>
      <c r="BB43" s="15"/>
      <c r="BC43" s="63"/>
      <c r="BD43" s="15"/>
      <c r="BE43" s="15"/>
      <c r="BF43" s="15"/>
      <c r="BG43" s="15"/>
      <c r="BH43" s="15"/>
      <c r="BI43" s="15"/>
      <c r="BJ43" s="15"/>
      <c r="BK43" s="9"/>
      <c r="BL43" s="9"/>
      <c r="BM43" s="9"/>
      <c r="BN43" s="9"/>
      <c r="BO43" s="9"/>
      <c r="BP43" s="9"/>
      <c r="BQ43" s="9"/>
      <c r="BR43" s="9"/>
      <c r="BS43" s="9"/>
    </row>
    <row r="44" spans="1:71" ht="18.75" customHeight="1" x14ac:dyDescent="0.3">
      <c r="A44" s="42" t="s">
        <v>327</v>
      </c>
      <c r="B44" t="s">
        <v>228</v>
      </c>
      <c r="C44" t="s">
        <v>328</v>
      </c>
      <c r="D44" t="s">
        <v>329</v>
      </c>
      <c r="E44" s="44">
        <v>1</v>
      </c>
      <c r="F44" s="44">
        <v>2</v>
      </c>
      <c r="G44" s="45">
        <v>500</v>
      </c>
      <c r="H44" s="44">
        <v>20</v>
      </c>
      <c r="I44" s="44">
        <v>355</v>
      </c>
      <c r="J44" s="44">
        <v>170</v>
      </c>
      <c r="K44" s="43">
        <f t="shared" si="0"/>
        <v>15.711064285978338</v>
      </c>
      <c r="L44" s="46">
        <f t="shared" si="1"/>
        <v>79.288935714021662</v>
      </c>
      <c r="M44" s="47">
        <f t="shared" si="2"/>
        <v>79.288935714021662</v>
      </c>
      <c r="N44" s="47">
        <f t="shared" si="3"/>
        <v>79.288935714021662</v>
      </c>
      <c r="O44" s="48">
        <f t="shared" si="4"/>
        <v>0</v>
      </c>
      <c r="P44" s="48">
        <f t="shared" si="5"/>
        <v>-32</v>
      </c>
      <c r="Q44" s="58">
        <f t="shared" si="6"/>
        <v>32</v>
      </c>
      <c r="R44" s="59">
        <f t="shared" si="7"/>
        <v>109</v>
      </c>
      <c r="S44" s="60">
        <f t="shared" si="8"/>
        <v>-24</v>
      </c>
      <c r="T44" s="60">
        <f t="shared" si="9"/>
        <v>109</v>
      </c>
      <c r="U44" s="62">
        <f t="shared" si="10"/>
        <v>24</v>
      </c>
      <c r="V44" s="53">
        <f t="shared" si="11"/>
        <v>-15.711064285978338</v>
      </c>
      <c r="W44" s="54">
        <f t="shared" si="12"/>
        <v>-15.711064285978338</v>
      </c>
      <c r="X44" s="54">
        <f t="shared" si="13"/>
        <v>-15.711064285978338</v>
      </c>
      <c r="Y44" s="55">
        <f t="shared" si="14"/>
        <v>0</v>
      </c>
      <c r="Z44" s="55">
        <f t="shared" si="15"/>
        <v>0</v>
      </c>
      <c r="AA44" s="56">
        <f t="shared" si="16"/>
        <v>0</v>
      </c>
      <c r="AB44" s="9"/>
      <c r="AC44" s="57">
        <v>95</v>
      </c>
      <c r="AD44" s="48">
        <v>0</v>
      </c>
      <c r="AE44" s="48">
        <v>95</v>
      </c>
      <c r="AF44" s="48">
        <v>0</v>
      </c>
      <c r="AG44" s="48">
        <v>95</v>
      </c>
      <c r="AH44" s="48">
        <v>0</v>
      </c>
      <c r="AI44" s="48">
        <v>0</v>
      </c>
      <c r="AJ44" s="48">
        <v>0</v>
      </c>
      <c r="AK44" s="48">
        <v>-32</v>
      </c>
      <c r="AL44" s="48">
        <v>0</v>
      </c>
      <c r="AM44" s="48">
        <v>32</v>
      </c>
      <c r="AN44" s="58">
        <v>0</v>
      </c>
      <c r="AO44" s="9"/>
      <c r="AP44" s="59">
        <f>95+14</f>
        <v>109</v>
      </c>
      <c r="AQ44" s="60">
        <v>0</v>
      </c>
      <c r="AR44" s="60">
        <v>-24</v>
      </c>
      <c r="AS44" s="60">
        <v>0</v>
      </c>
      <c r="AT44" s="60">
        <v>109</v>
      </c>
      <c r="AU44" s="60">
        <v>0</v>
      </c>
      <c r="AV44" s="60">
        <v>24</v>
      </c>
      <c r="AW44" s="62">
        <v>0</v>
      </c>
      <c r="AX44" s="9"/>
      <c r="AY44" s="63"/>
      <c r="AZ44" s="15"/>
      <c r="BA44" s="63"/>
      <c r="BB44" s="15"/>
      <c r="BC44" s="63"/>
      <c r="BD44" s="15"/>
      <c r="BE44" s="15"/>
      <c r="BF44" s="15"/>
      <c r="BG44" s="15"/>
      <c r="BH44" s="15"/>
      <c r="BI44" s="15"/>
      <c r="BJ44" s="15"/>
      <c r="BK44" s="9"/>
      <c r="BL44" s="9"/>
      <c r="BM44" s="9"/>
      <c r="BN44" s="9"/>
      <c r="BO44" s="9"/>
      <c r="BP44" s="9"/>
      <c r="BQ44" s="9"/>
      <c r="BR44" s="9"/>
      <c r="BS44" s="9"/>
    </row>
    <row r="45" spans="1:71" ht="18.75" customHeight="1" x14ac:dyDescent="0.3">
      <c r="A45" s="42" t="s">
        <v>330</v>
      </c>
      <c r="B45" t="s">
        <v>228</v>
      </c>
      <c r="E45" s="44">
        <v>1</v>
      </c>
      <c r="F45" s="44">
        <v>2</v>
      </c>
      <c r="G45" s="45">
        <v>500</v>
      </c>
      <c r="H45" s="44">
        <v>20</v>
      </c>
      <c r="I45" s="44">
        <v>355</v>
      </c>
      <c r="J45" s="44">
        <v>170</v>
      </c>
      <c r="K45" s="43">
        <f t="shared" si="0"/>
        <v>15.711064285978338</v>
      </c>
      <c r="L45" s="46">
        <f t="shared" si="1"/>
        <v>94.288935714021662</v>
      </c>
      <c r="M45" s="47">
        <f t="shared" si="2"/>
        <v>94.288935714021662</v>
      </c>
      <c r="N45" s="47">
        <f t="shared" si="3"/>
        <v>94.288935714021662</v>
      </c>
      <c r="O45" s="48">
        <f t="shared" si="4"/>
        <v>0</v>
      </c>
      <c r="P45" s="48">
        <f t="shared" si="5"/>
        <v>-35</v>
      </c>
      <c r="Q45" s="58">
        <f t="shared" si="6"/>
        <v>35</v>
      </c>
      <c r="R45" s="59">
        <f t="shared" si="7"/>
        <v>137</v>
      </c>
      <c r="S45" s="60">
        <f t="shared" si="8"/>
        <v>-26</v>
      </c>
      <c r="T45" s="60">
        <f t="shared" si="9"/>
        <v>137</v>
      </c>
      <c r="U45" s="62">
        <f t="shared" si="10"/>
        <v>26</v>
      </c>
      <c r="V45" s="53">
        <f t="shared" si="11"/>
        <v>-15.711064285978338</v>
      </c>
      <c r="W45" s="54">
        <f t="shared" si="12"/>
        <v>-15.711064285978338</v>
      </c>
      <c r="X45" s="54">
        <f t="shared" si="13"/>
        <v>-15.711064285978338</v>
      </c>
      <c r="Y45" s="55">
        <f t="shared" si="14"/>
        <v>0</v>
      </c>
      <c r="Z45" s="55">
        <f t="shared" si="15"/>
        <v>0</v>
      </c>
      <c r="AA45" s="56">
        <f t="shared" si="16"/>
        <v>0</v>
      </c>
      <c r="AB45" s="9"/>
      <c r="AC45" s="57">
        <v>110</v>
      </c>
      <c r="AD45" s="48">
        <v>0</v>
      </c>
      <c r="AE45" s="48">
        <v>110</v>
      </c>
      <c r="AF45" s="48">
        <v>0</v>
      </c>
      <c r="AG45" s="48">
        <v>110</v>
      </c>
      <c r="AH45" s="48">
        <v>0</v>
      </c>
      <c r="AI45" s="48">
        <v>0</v>
      </c>
      <c r="AJ45" s="48">
        <v>0</v>
      </c>
      <c r="AK45" s="48">
        <v>-35</v>
      </c>
      <c r="AL45" s="48">
        <v>0</v>
      </c>
      <c r="AM45" s="48">
        <v>35</v>
      </c>
      <c r="AN45" s="58">
        <v>0</v>
      </c>
      <c r="AO45" s="9"/>
      <c r="AP45" s="59">
        <f>110+27</f>
        <v>137</v>
      </c>
      <c r="AQ45" s="60">
        <v>0</v>
      </c>
      <c r="AR45" s="60">
        <v>-26</v>
      </c>
      <c r="AS45" s="60">
        <v>0</v>
      </c>
      <c r="AT45" s="60">
        <v>137</v>
      </c>
      <c r="AU45" s="60">
        <v>0</v>
      </c>
      <c r="AV45" s="60">
        <v>26</v>
      </c>
      <c r="AW45" s="62">
        <v>0</v>
      </c>
      <c r="AX45" s="9"/>
      <c r="AY45" s="63"/>
      <c r="AZ45" s="15"/>
      <c r="BA45" s="63"/>
      <c r="BB45" s="15"/>
      <c r="BC45" s="63"/>
      <c r="BD45" s="15"/>
      <c r="BE45" s="15"/>
      <c r="BF45" s="15"/>
      <c r="BG45" s="15"/>
      <c r="BH45" s="15"/>
      <c r="BI45" s="15"/>
      <c r="BJ45" s="15"/>
      <c r="BK45" s="9"/>
      <c r="BL45" s="9"/>
      <c r="BM45" s="9"/>
      <c r="BN45" s="9"/>
      <c r="BO45" s="9"/>
      <c r="BP45" s="9"/>
      <c r="BQ45" s="9"/>
      <c r="BR45" s="9"/>
      <c r="BS45" s="9"/>
    </row>
    <row r="46" spans="1:71" ht="18.75" customHeight="1" x14ac:dyDescent="0.3">
      <c r="A46" s="42" t="s">
        <v>331</v>
      </c>
      <c r="B46" t="s">
        <v>228</v>
      </c>
      <c r="C46" t="s">
        <v>314</v>
      </c>
      <c r="D46" s="68" t="s">
        <v>315</v>
      </c>
      <c r="E46" s="44">
        <v>2</v>
      </c>
      <c r="F46" s="44">
        <v>1</v>
      </c>
      <c r="G46" s="45">
        <v>500</v>
      </c>
      <c r="H46" s="44">
        <v>20</v>
      </c>
      <c r="I46" s="44">
        <v>355</v>
      </c>
      <c r="J46" s="44">
        <v>170</v>
      </c>
      <c r="K46" s="43">
        <f t="shared" si="0"/>
        <v>15.711064285978338</v>
      </c>
      <c r="L46" s="46">
        <f t="shared" si="1"/>
        <v>69.288935714021662</v>
      </c>
      <c r="M46" s="47">
        <f t="shared" si="2"/>
        <v>100.28893571402166</v>
      </c>
      <c r="N46" s="47">
        <f t="shared" si="3"/>
        <v>131.28893571402165</v>
      </c>
      <c r="O46" s="48">
        <f t="shared" si="4"/>
        <v>-15</v>
      </c>
      <c r="P46" s="48">
        <f t="shared" si="5"/>
        <v>-25</v>
      </c>
      <c r="Q46" s="58">
        <f t="shared" si="6"/>
        <v>-15</v>
      </c>
      <c r="R46" s="59">
        <f t="shared" si="7"/>
        <v>172</v>
      </c>
      <c r="S46" s="60">
        <f t="shared" si="8"/>
        <v>0</v>
      </c>
      <c r="T46" s="60">
        <f t="shared" si="9"/>
        <v>0</v>
      </c>
      <c r="U46" s="62">
        <f t="shared" si="10"/>
        <v>0</v>
      </c>
      <c r="V46" s="53">
        <f t="shared" si="11"/>
        <v>131.28893571402165</v>
      </c>
      <c r="W46" s="54">
        <f t="shared" si="12"/>
        <v>100.28893571402166</v>
      </c>
      <c r="X46" s="54">
        <f t="shared" si="13"/>
        <v>69.288935714021662</v>
      </c>
      <c r="Y46" s="55">
        <f t="shared" si="14"/>
        <v>15</v>
      </c>
      <c r="Z46" s="55">
        <f t="shared" si="15"/>
        <v>25</v>
      </c>
      <c r="AA46" s="56">
        <f t="shared" si="16"/>
        <v>15</v>
      </c>
      <c r="AB46" s="9"/>
      <c r="AC46" s="57">
        <v>85</v>
      </c>
      <c r="AD46" s="48">
        <v>0</v>
      </c>
      <c r="AE46" s="48">
        <f>85+31</f>
        <v>116</v>
      </c>
      <c r="AF46" s="48">
        <v>0</v>
      </c>
      <c r="AG46" s="48">
        <f>85+31+31</f>
        <v>147</v>
      </c>
      <c r="AH46" s="48">
        <v>0</v>
      </c>
      <c r="AI46" s="48">
        <v>-15</v>
      </c>
      <c r="AJ46" s="48">
        <v>0</v>
      </c>
      <c r="AK46" s="48">
        <v>-25</v>
      </c>
      <c r="AL46" s="48">
        <v>0</v>
      </c>
      <c r="AM46" s="48">
        <v>-15</v>
      </c>
      <c r="AN46" s="58">
        <v>0</v>
      </c>
      <c r="AO46" s="9"/>
      <c r="AP46" s="59">
        <f>85+31+31+25</f>
        <v>172</v>
      </c>
      <c r="AQ46" s="60">
        <v>0</v>
      </c>
      <c r="AR46" s="60">
        <v>0</v>
      </c>
      <c r="AS46" s="60">
        <v>0</v>
      </c>
      <c r="AT46" s="60">
        <v>0</v>
      </c>
      <c r="AU46" s="60">
        <v>0</v>
      </c>
      <c r="AV46" s="60">
        <v>0</v>
      </c>
      <c r="AW46" s="62">
        <v>0</v>
      </c>
      <c r="AX46" s="9"/>
      <c r="AY46" s="61">
        <f>85+31+31</f>
        <v>147</v>
      </c>
      <c r="AZ46" s="55">
        <v>0</v>
      </c>
      <c r="BA46" s="55">
        <f>85+31</f>
        <v>116</v>
      </c>
      <c r="BB46" s="55">
        <v>0</v>
      </c>
      <c r="BC46" s="55">
        <v>85</v>
      </c>
      <c r="BD46" s="55">
        <v>0</v>
      </c>
      <c r="BE46" s="55">
        <v>15</v>
      </c>
      <c r="BF46" s="55">
        <v>0</v>
      </c>
      <c r="BG46" s="55">
        <v>25</v>
      </c>
      <c r="BH46" s="55">
        <v>0</v>
      </c>
      <c r="BI46" s="55">
        <v>15</v>
      </c>
      <c r="BJ46" s="56">
        <v>0</v>
      </c>
      <c r="BK46" s="9"/>
      <c r="BL46" s="9"/>
      <c r="BM46" s="9"/>
      <c r="BN46" s="9"/>
      <c r="BO46" s="9"/>
      <c r="BP46" s="9"/>
      <c r="BQ46" s="9"/>
      <c r="BR46" s="9"/>
      <c r="BS46" s="9"/>
    </row>
    <row r="47" spans="1:71" ht="18.75" customHeight="1" x14ac:dyDescent="0.3">
      <c r="A47" s="42" t="s">
        <v>332</v>
      </c>
      <c r="B47" t="s">
        <v>228</v>
      </c>
      <c r="C47" t="s">
        <v>314</v>
      </c>
      <c r="D47" s="68" t="s">
        <v>315</v>
      </c>
      <c r="E47" s="44">
        <v>2</v>
      </c>
      <c r="F47" s="44">
        <v>2</v>
      </c>
      <c r="G47" s="45">
        <v>500</v>
      </c>
      <c r="H47" s="44">
        <v>20</v>
      </c>
      <c r="I47" s="44">
        <v>355</v>
      </c>
      <c r="J47" s="44">
        <v>170</v>
      </c>
      <c r="K47" s="43">
        <f t="shared" si="0"/>
        <v>15.711064285978338</v>
      </c>
      <c r="L47" s="46">
        <f t="shared" si="1"/>
        <v>114.28893571402166</v>
      </c>
      <c r="M47" s="47">
        <f t="shared" si="2"/>
        <v>69.288935714021662</v>
      </c>
      <c r="N47" s="47">
        <f t="shared" si="3"/>
        <v>69.288935714021662</v>
      </c>
      <c r="O47" s="47">
        <f t="shared" si="4"/>
        <v>-27.75</v>
      </c>
      <c r="P47" s="47">
        <f t="shared" si="5"/>
        <v>-40.5</v>
      </c>
      <c r="Q47" s="58">
        <f t="shared" si="6"/>
        <v>-15</v>
      </c>
      <c r="R47" s="59">
        <f t="shared" si="7"/>
        <v>150</v>
      </c>
      <c r="S47" s="51">
        <f t="shared" si="8"/>
        <v>-18.5</v>
      </c>
      <c r="T47" s="60">
        <f t="shared" si="9"/>
        <v>150</v>
      </c>
      <c r="U47" s="52">
        <f t="shared" si="10"/>
        <v>18.5</v>
      </c>
      <c r="V47" s="53">
        <f t="shared" si="11"/>
        <v>114.28893571402166</v>
      </c>
      <c r="W47" s="54">
        <f t="shared" si="12"/>
        <v>69.288935714021662</v>
      </c>
      <c r="X47" s="54">
        <f t="shared" si="13"/>
        <v>69.288935714021662</v>
      </c>
      <c r="Y47" s="54">
        <f t="shared" si="14"/>
        <v>27.75</v>
      </c>
      <c r="Z47" s="55">
        <f t="shared" si="15"/>
        <v>15</v>
      </c>
      <c r="AA47" s="64">
        <f t="shared" si="16"/>
        <v>40.5</v>
      </c>
      <c r="AB47" s="9"/>
      <c r="AC47" s="57">
        <f>85+45</f>
        <v>130</v>
      </c>
      <c r="AD47" s="48">
        <v>0</v>
      </c>
      <c r="AE47" s="48">
        <v>85</v>
      </c>
      <c r="AF47" s="48">
        <v>0</v>
      </c>
      <c r="AG47" s="48">
        <v>85</v>
      </c>
      <c r="AH47" s="48">
        <v>0</v>
      </c>
      <c r="AI47" s="48">
        <v>-27</v>
      </c>
      <c r="AJ47" s="48">
        <v>-9</v>
      </c>
      <c r="AK47" s="48">
        <f>-15-25</f>
        <v>-40</v>
      </c>
      <c r="AL47" s="48">
        <v>-6</v>
      </c>
      <c r="AM47" s="48">
        <v>-15</v>
      </c>
      <c r="AN47" s="58">
        <v>0</v>
      </c>
      <c r="AO47" s="9"/>
      <c r="AP47" s="59">
        <f>85+45+20</f>
        <v>150</v>
      </c>
      <c r="AQ47" s="60">
        <v>0</v>
      </c>
      <c r="AR47" s="51">
        <v>-18.5</v>
      </c>
      <c r="AS47" s="60">
        <v>0</v>
      </c>
      <c r="AT47" s="60">
        <v>150</v>
      </c>
      <c r="AU47" s="60">
        <v>0</v>
      </c>
      <c r="AV47" s="51">
        <v>18.5</v>
      </c>
      <c r="AW47" s="62">
        <v>0</v>
      </c>
      <c r="AX47" s="9"/>
      <c r="AY47" s="61">
        <f>85+45</f>
        <v>130</v>
      </c>
      <c r="AZ47" s="55">
        <v>0</v>
      </c>
      <c r="BA47" s="55">
        <v>85</v>
      </c>
      <c r="BB47" s="55">
        <v>0</v>
      </c>
      <c r="BC47" s="55">
        <v>85</v>
      </c>
      <c r="BD47" s="55">
        <v>0</v>
      </c>
      <c r="BE47" s="55">
        <v>27</v>
      </c>
      <c r="BF47" s="55">
        <v>9</v>
      </c>
      <c r="BG47" s="55">
        <v>15</v>
      </c>
      <c r="BH47" s="55">
        <v>0</v>
      </c>
      <c r="BI47" s="55">
        <f>15+25</f>
        <v>40</v>
      </c>
      <c r="BJ47" s="56">
        <v>6</v>
      </c>
      <c r="BK47" s="9"/>
      <c r="BL47" s="9"/>
      <c r="BM47" s="9"/>
      <c r="BN47" s="9"/>
      <c r="BO47" s="9"/>
      <c r="BP47" s="9"/>
      <c r="BQ47" s="9"/>
      <c r="BR47" s="9"/>
      <c r="BS47" s="9"/>
    </row>
    <row r="48" spans="1:71" ht="18.75" customHeight="1" x14ac:dyDescent="0.3">
      <c r="A48" s="42" t="s">
        <v>333</v>
      </c>
      <c r="B48" t="s">
        <v>228</v>
      </c>
      <c r="E48" s="44">
        <v>2</v>
      </c>
      <c r="F48" s="44">
        <v>2</v>
      </c>
      <c r="G48" s="45">
        <v>500</v>
      </c>
      <c r="H48" s="44">
        <v>20</v>
      </c>
      <c r="I48" s="44">
        <v>355</v>
      </c>
      <c r="J48" s="44">
        <v>170</v>
      </c>
      <c r="K48" s="43">
        <f t="shared" si="0"/>
        <v>15.711064285978338</v>
      </c>
      <c r="L48" s="46">
        <f t="shared" si="1"/>
        <v>112.28893571402166</v>
      </c>
      <c r="M48" s="47">
        <f t="shared" si="2"/>
        <v>74.288935714021662</v>
      </c>
      <c r="N48" s="47">
        <f t="shared" si="3"/>
        <v>74.288935714021662</v>
      </c>
      <c r="O48" s="47">
        <f t="shared" si="4"/>
        <v>-18.5</v>
      </c>
      <c r="P48" s="47">
        <f t="shared" si="5"/>
        <v>-46.5</v>
      </c>
      <c r="Q48" s="49">
        <f t="shared" si="6"/>
        <v>-18.5</v>
      </c>
      <c r="R48" s="59">
        <f t="shared" si="7"/>
        <v>140</v>
      </c>
      <c r="S48" s="51">
        <f t="shared" si="8"/>
        <v>-12.125</v>
      </c>
      <c r="T48" s="60">
        <f t="shared" si="9"/>
        <v>140</v>
      </c>
      <c r="U48" s="52">
        <f t="shared" si="10"/>
        <v>15.125</v>
      </c>
      <c r="V48" s="53">
        <f t="shared" si="11"/>
        <v>112.28893571402166</v>
      </c>
      <c r="W48" s="54">
        <f t="shared" si="12"/>
        <v>74.288935714021662</v>
      </c>
      <c r="X48" s="54">
        <f t="shared" si="13"/>
        <v>74.288935714021662</v>
      </c>
      <c r="Y48" s="54">
        <f t="shared" si="14"/>
        <v>18.5</v>
      </c>
      <c r="Z48" s="54">
        <f t="shared" si="15"/>
        <v>18.5</v>
      </c>
      <c r="AA48" s="64">
        <f t="shared" si="16"/>
        <v>46.5</v>
      </c>
      <c r="AB48" s="9"/>
      <c r="AC48" s="57">
        <f>90+38</f>
        <v>128</v>
      </c>
      <c r="AD48" s="48">
        <v>0</v>
      </c>
      <c r="AE48" s="48">
        <v>90</v>
      </c>
      <c r="AF48" s="48">
        <v>0</v>
      </c>
      <c r="AG48" s="48">
        <v>90</v>
      </c>
      <c r="AH48" s="48">
        <v>0</v>
      </c>
      <c r="AI48" s="48">
        <v>-18</v>
      </c>
      <c r="AJ48" s="48">
        <v>-6</v>
      </c>
      <c r="AK48" s="48">
        <f>-18-28</f>
        <v>-46</v>
      </c>
      <c r="AL48" s="48">
        <v>-6</v>
      </c>
      <c r="AM48" s="48">
        <v>-18</v>
      </c>
      <c r="AN48" s="58">
        <v>-6</v>
      </c>
      <c r="AO48" s="9"/>
      <c r="AP48" s="59">
        <f>90+38+12</f>
        <v>140</v>
      </c>
      <c r="AQ48" s="60">
        <v>0</v>
      </c>
      <c r="AR48" s="60">
        <v>-12</v>
      </c>
      <c r="AS48" s="51">
        <v>-1.5</v>
      </c>
      <c r="AT48" s="60">
        <v>140</v>
      </c>
      <c r="AU48" s="60">
        <v>0</v>
      </c>
      <c r="AV48" s="60">
        <v>15</v>
      </c>
      <c r="AW48" s="52">
        <v>1.5</v>
      </c>
      <c r="AX48" s="9"/>
      <c r="AY48" s="61">
        <f>90+38</f>
        <v>128</v>
      </c>
      <c r="AZ48" s="55">
        <v>0</v>
      </c>
      <c r="BA48" s="55">
        <v>90</v>
      </c>
      <c r="BB48" s="55">
        <v>0</v>
      </c>
      <c r="BC48" s="55">
        <v>90</v>
      </c>
      <c r="BD48" s="55">
        <v>0</v>
      </c>
      <c r="BE48" s="55">
        <v>18</v>
      </c>
      <c r="BF48" s="55">
        <v>6</v>
      </c>
      <c r="BG48" s="55">
        <v>18</v>
      </c>
      <c r="BH48" s="55">
        <v>6</v>
      </c>
      <c r="BI48" s="55">
        <f>18+28</f>
        <v>46</v>
      </c>
      <c r="BJ48" s="56">
        <v>6</v>
      </c>
      <c r="BK48" s="9"/>
      <c r="BL48" s="9"/>
      <c r="BM48" s="9"/>
      <c r="BN48" s="9"/>
      <c r="BO48" s="9"/>
      <c r="BP48" s="9"/>
      <c r="BQ48" s="9"/>
      <c r="BR48" s="9"/>
      <c r="BS48" s="9"/>
    </row>
    <row r="49" spans="1:71" ht="18.75" customHeight="1" x14ac:dyDescent="0.3">
      <c r="A49" s="42" t="s">
        <v>334</v>
      </c>
      <c r="B49" t="s">
        <v>228</v>
      </c>
      <c r="E49" s="44">
        <v>1</v>
      </c>
      <c r="F49" s="44">
        <v>2</v>
      </c>
      <c r="G49" s="45">
        <v>500</v>
      </c>
      <c r="H49" s="44">
        <v>20</v>
      </c>
      <c r="I49" s="44">
        <v>355</v>
      </c>
      <c r="J49" s="44">
        <v>170</v>
      </c>
      <c r="K49" s="43">
        <f t="shared" si="0"/>
        <v>15.711064285978338</v>
      </c>
      <c r="L49" s="46">
        <f t="shared" si="1"/>
        <v>94.288935714021662</v>
      </c>
      <c r="M49" s="47">
        <f t="shared" si="2"/>
        <v>94.288935714021662</v>
      </c>
      <c r="N49" s="47">
        <f t="shared" si="3"/>
        <v>94.288935714021662</v>
      </c>
      <c r="O49" s="48">
        <f t="shared" si="4"/>
        <v>-42</v>
      </c>
      <c r="P49" s="48">
        <f t="shared" si="5"/>
        <v>0</v>
      </c>
      <c r="Q49" s="58">
        <f t="shared" si="6"/>
        <v>42</v>
      </c>
      <c r="R49" s="59">
        <f t="shared" si="7"/>
        <v>128</v>
      </c>
      <c r="S49" s="51">
        <f t="shared" si="8"/>
        <v>-21.833333333333332</v>
      </c>
      <c r="T49" s="60">
        <f t="shared" si="9"/>
        <v>128</v>
      </c>
      <c r="U49" s="52">
        <f t="shared" si="10"/>
        <v>21.833333333333332</v>
      </c>
      <c r="V49" s="53">
        <f t="shared" si="11"/>
        <v>-15.711064285978338</v>
      </c>
      <c r="W49" s="54">
        <f t="shared" si="12"/>
        <v>-15.711064285978338</v>
      </c>
      <c r="X49" s="54">
        <f t="shared" si="13"/>
        <v>-15.711064285978338</v>
      </c>
      <c r="Y49" s="55">
        <f t="shared" si="14"/>
        <v>0</v>
      </c>
      <c r="Z49" s="55">
        <f t="shared" si="15"/>
        <v>0</v>
      </c>
      <c r="AA49" s="56">
        <f t="shared" si="16"/>
        <v>0</v>
      </c>
      <c r="AB49" s="9"/>
      <c r="AC49" s="57">
        <v>110</v>
      </c>
      <c r="AD49" s="48">
        <v>0</v>
      </c>
      <c r="AE49" s="48">
        <v>110</v>
      </c>
      <c r="AF49" s="48">
        <v>0</v>
      </c>
      <c r="AG49" s="48">
        <v>110</v>
      </c>
      <c r="AH49" s="48">
        <v>0</v>
      </c>
      <c r="AI49" s="48">
        <v>-42</v>
      </c>
      <c r="AJ49" s="48">
        <v>0</v>
      </c>
      <c r="AK49" s="48">
        <v>0</v>
      </c>
      <c r="AL49" s="48">
        <v>0</v>
      </c>
      <c r="AM49" s="48">
        <v>42</v>
      </c>
      <c r="AN49" s="58">
        <v>0</v>
      </c>
      <c r="AO49" s="9"/>
      <c r="AP49" s="59">
        <f>110+18</f>
        <v>128</v>
      </c>
      <c r="AQ49" s="60">
        <v>0</v>
      </c>
      <c r="AR49" s="60">
        <v>-21</v>
      </c>
      <c r="AS49" s="60">
        <v>-10</v>
      </c>
      <c r="AT49" s="60">
        <v>128</v>
      </c>
      <c r="AU49" s="60">
        <v>0</v>
      </c>
      <c r="AV49" s="60">
        <v>21</v>
      </c>
      <c r="AW49" s="62">
        <v>10</v>
      </c>
      <c r="AX49" s="9"/>
      <c r="AY49" s="63"/>
      <c r="AZ49" s="15"/>
      <c r="BA49" s="63"/>
      <c r="BB49" s="15"/>
      <c r="BC49" s="63"/>
      <c r="BD49" s="15"/>
      <c r="BE49" s="15"/>
      <c r="BF49" s="15"/>
      <c r="BG49" s="15"/>
      <c r="BH49" s="15"/>
      <c r="BI49" s="15"/>
      <c r="BJ49" s="15"/>
      <c r="BK49" s="9"/>
      <c r="BL49" s="9"/>
      <c r="BM49" s="9"/>
      <c r="BN49" s="9"/>
      <c r="BO49" s="9"/>
      <c r="BP49" s="9"/>
      <c r="BQ49" s="9"/>
      <c r="BR49" s="9"/>
      <c r="BS49" s="9"/>
    </row>
    <row r="50" spans="1:71" ht="18.75" customHeight="1" x14ac:dyDescent="0.3">
      <c r="A50" s="42" t="s">
        <v>335</v>
      </c>
      <c r="B50" t="s">
        <v>261</v>
      </c>
      <c r="E50" s="44">
        <v>1</v>
      </c>
      <c r="F50" s="44">
        <v>1</v>
      </c>
      <c r="G50" s="45">
        <v>500</v>
      </c>
      <c r="H50" s="44">
        <v>20</v>
      </c>
      <c r="I50" s="44">
        <v>355</v>
      </c>
      <c r="J50" s="44">
        <v>170</v>
      </c>
      <c r="K50" s="43">
        <f t="shared" si="0"/>
        <v>15.711064285978338</v>
      </c>
      <c r="L50" s="46">
        <f t="shared" si="1"/>
        <v>69.288935714021662</v>
      </c>
      <c r="M50" s="47">
        <f t="shared" si="2"/>
        <v>99.288935714021662</v>
      </c>
      <c r="N50" s="47">
        <f t="shared" si="3"/>
        <v>129.28893571402165</v>
      </c>
      <c r="O50" s="48">
        <f t="shared" si="4"/>
        <v>18</v>
      </c>
      <c r="P50" s="48">
        <f t="shared" si="5"/>
        <v>21</v>
      </c>
      <c r="Q50" s="58">
        <f t="shared" si="6"/>
        <v>18</v>
      </c>
      <c r="R50" s="59">
        <f t="shared" si="7"/>
        <v>160</v>
      </c>
      <c r="S50" s="60">
        <f t="shared" si="8"/>
        <v>4</v>
      </c>
      <c r="T50" s="60">
        <f t="shared" si="9"/>
        <v>0</v>
      </c>
      <c r="U50" s="62">
        <f t="shared" si="10"/>
        <v>0</v>
      </c>
      <c r="V50" s="53">
        <f t="shared" si="11"/>
        <v>-15.711064285978338</v>
      </c>
      <c r="W50" s="54">
        <f t="shared" si="12"/>
        <v>-15.711064285978338</v>
      </c>
      <c r="X50" s="54">
        <f t="shared" si="13"/>
        <v>-15.711064285978338</v>
      </c>
      <c r="Y50" s="55">
        <f t="shared" si="14"/>
        <v>0</v>
      </c>
      <c r="Z50" s="55">
        <f t="shared" si="15"/>
        <v>0</v>
      </c>
      <c r="AA50" s="56">
        <f t="shared" si="16"/>
        <v>0</v>
      </c>
      <c r="AB50" s="9"/>
      <c r="AC50" s="57">
        <v>85</v>
      </c>
      <c r="AD50" s="48">
        <v>0</v>
      </c>
      <c r="AE50" s="48">
        <f>85+30</f>
        <v>115</v>
      </c>
      <c r="AF50" s="48">
        <v>0</v>
      </c>
      <c r="AG50" s="48">
        <f>85+30+30</f>
        <v>145</v>
      </c>
      <c r="AH50" s="48">
        <v>0</v>
      </c>
      <c r="AI50" s="48">
        <v>18</v>
      </c>
      <c r="AJ50" s="48">
        <v>0</v>
      </c>
      <c r="AK50" s="48">
        <v>21</v>
      </c>
      <c r="AL50" s="48">
        <v>0</v>
      </c>
      <c r="AM50" s="48">
        <v>18</v>
      </c>
      <c r="AN50" s="58">
        <v>0</v>
      </c>
      <c r="AO50" s="9"/>
      <c r="AP50" s="59">
        <f>85+30+30+15</f>
        <v>160</v>
      </c>
      <c r="AQ50" s="60">
        <v>0</v>
      </c>
      <c r="AR50" s="60">
        <v>4</v>
      </c>
      <c r="AS50" s="60">
        <v>0</v>
      </c>
      <c r="AT50" s="60">
        <v>0</v>
      </c>
      <c r="AU50" s="60">
        <v>0</v>
      </c>
      <c r="AV50" s="60">
        <v>0</v>
      </c>
      <c r="AW50" s="62">
        <v>0</v>
      </c>
      <c r="AX50" s="9"/>
      <c r="AY50" s="63"/>
      <c r="AZ50" s="15"/>
      <c r="BA50" s="63"/>
      <c r="BB50" s="15"/>
      <c r="BC50" s="63"/>
      <c r="BD50" s="15"/>
      <c r="BE50" s="15"/>
      <c r="BF50" s="15"/>
      <c r="BG50" s="15"/>
      <c r="BH50" s="15"/>
      <c r="BI50" s="15"/>
      <c r="BJ50" s="15"/>
      <c r="BK50" s="9"/>
      <c r="BL50" s="9"/>
      <c r="BM50" s="9"/>
      <c r="BN50" s="9"/>
      <c r="BO50" s="9"/>
      <c r="BP50" s="9"/>
      <c r="BQ50" s="9"/>
      <c r="BR50" s="9"/>
      <c r="BS50" s="9"/>
    </row>
    <row r="51" spans="1:71" ht="18.75" customHeight="1" x14ac:dyDescent="0.3">
      <c r="A51" s="42" t="s">
        <v>336</v>
      </c>
      <c r="B51" t="s">
        <v>261</v>
      </c>
      <c r="E51" s="44">
        <v>1</v>
      </c>
      <c r="F51" s="44">
        <v>2</v>
      </c>
      <c r="G51" s="45">
        <v>500</v>
      </c>
      <c r="H51" s="44">
        <v>20</v>
      </c>
      <c r="I51" s="44">
        <v>355</v>
      </c>
      <c r="J51" s="44">
        <v>170</v>
      </c>
      <c r="K51" s="43">
        <f t="shared" si="0"/>
        <v>15.711064285978338</v>
      </c>
      <c r="L51" s="46">
        <f t="shared" si="1"/>
        <v>60.705602380688333</v>
      </c>
      <c r="M51" s="47">
        <f t="shared" si="2"/>
        <v>73.288935714021662</v>
      </c>
      <c r="N51" s="47">
        <f t="shared" si="3"/>
        <v>85.705602380688333</v>
      </c>
      <c r="O51" s="48">
        <f t="shared" si="4"/>
        <v>18</v>
      </c>
      <c r="P51" s="48">
        <f t="shared" si="5"/>
        <v>-17</v>
      </c>
      <c r="Q51" s="58">
        <f t="shared" si="6"/>
        <v>18</v>
      </c>
      <c r="R51" s="59">
        <f t="shared" si="7"/>
        <v>120</v>
      </c>
      <c r="S51" s="60">
        <f t="shared" si="8"/>
        <v>-10</v>
      </c>
      <c r="T51" s="60">
        <f t="shared" si="9"/>
        <v>120</v>
      </c>
      <c r="U51" s="62">
        <f t="shared" si="10"/>
        <v>10</v>
      </c>
      <c r="V51" s="53">
        <f t="shared" si="11"/>
        <v>-15.711064285978338</v>
      </c>
      <c r="W51" s="54">
        <f t="shared" si="12"/>
        <v>-15.711064285978338</v>
      </c>
      <c r="X51" s="54">
        <f t="shared" si="13"/>
        <v>-15.711064285978338</v>
      </c>
      <c r="Y51" s="55">
        <f t="shared" si="14"/>
        <v>0</v>
      </c>
      <c r="Z51" s="55">
        <f t="shared" si="15"/>
        <v>0</v>
      </c>
      <c r="AA51" s="56">
        <f t="shared" si="16"/>
        <v>0</v>
      </c>
      <c r="AB51" s="9"/>
      <c r="AC51" s="57">
        <f>120-18-25</f>
        <v>77</v>
      </c>
      <c r="AD51" s="48">
        <v>-7</v>
      </c>
      <c r="AE51" s="48">
        <f>120-18-12</f>
        <v>90</v>
      </c>
      <c r="AF51" s="48">
        <f>-7-5</f>
        <v>-12</v>
      </c>
      <c r="AG51" s="48">
        <f>120-18</f>
        <v>102</v>
      </c>
      <c r="AH51" s="48">
        <v>-7</v>
      </c>
      <c r="AI51" s="48">
        <v>18</v>
      </c>
      <c r="AJ51" s="48">
        <v>0</v>
      </c>
      <c r="AK51" s="48">
        <v>-17</v>
      </c>
      <c r="AL51" s="48">
        <v>0</v>
      </c>
      <c r="AM51" s="48">
        <v>18</v>
      </c>
      <c r="AN51" s="58">
        <v>0</v>
      </c>
      <c r="AO51" s="9"/>
      <c r="AP51" s="59">
        <v>120</v>
      </c>
      <c r="AQ51" s="60">
        <v>0</v>
      </c>
      <c r="AR51" s="60">
        <v>-10</v>
      </c>
      <c r="AS51" s="60">
        <v>0</v>
      </c>
      <c r="AT51" s="60">
        <v>120</v>
      </c>
      <c r="AU51" s="60">
        <v>0</v>
      </c>
      <c r="AV51" s="60">
        <v>10</v>
      </c>
      <c r="AW51" s="62">
        <v>0</v>
      </c>
      <c r="AX51" s="9"/>
      <c r="AY51" s="63"/>
      <c r="AZ51" s="15"/>
      <c r="BA51" s="63"/>
      <c r="BB51" s="15"/>
      <c r="BC51" s="63"/>
      <c r="BD51" s="15"/>
      <c r="BE51" s="15"/>
      <c r="BF51" s="15"/>
      <c r="BG51" s="15"/>
      <c r="BH51" s="15"/>
      <c r="BI51" s="15"/>
      <c r="BJ51" s="15"/>
      <c r="BK51" s="9"/>
      <c r="BL51" s="9"/>
      <c r="BM51" s="9"/>
      <c r="BN51" s="9"/>
      <c r="BO51" s="9"/>
      <c r="BP51" s="9"/>
      <c r="BQ51" s="9"/>
      <c r="BR51" s="9"/>
      <c r="BS51" s="9"/>
    </row>
    <row r="52" spans="1:71" ht="18.75" customHeight="1" x14ac:dyDescent="0.3">
      <c r="A52" s="42" t="s">
        <v>337</v>
      </c>
      <c r="B52" t="s">
        <v>279</v>
      </c>
      <c r="C52" t="s">
        <v>338</v>
      </c>
      <c r="D52" t="s">
        <v>339</v>
      </c>
      <c r="E52" s="44">
        <v>1</v>
      </c>
      <c r="F52" s="44">
        <v>2</v>
      </c>
      <c r="G52" s="45">
        <v>500</v>
      </c>
      <c r="H52" s="44">
        <v>20</v>
      </c>
      <c r="I52" s="44">
        <v>355</v>
      </c>
      <c r="J52" s="44">
        <v>170</v>
      </c>
      <c r="K52" s="43">
        <f t="shared" si="0"/>
        <v>15.711064285978338</v>
      </c>
      <c r="L52" s="46">
        <f t="shared" si="1"/>
        <v>104.28893571402166</v>
      </c>
      <c r="M52" s="47">
        <f t="shared" si="2"/>
        <v>104.28893571402166</v>
      </c>
      <c r="N52" s="47">
        <f t="shared" si="3"/>
        <v>104.28893571402166</v>
      </c>
      <c r="O52" s="48">
        <f t="shared" si="4"/>
        <v>-35</v>
      </c>
      <c r="P52" s="48">
        <f t="shared" si="5"/>
        <v>0</v>
      </c>
      <c r="Q52" s="58">
        <f t="shared" si="6"/>
        <v>35</v>
      </c>
      <c r="R52" s="59">
        <f t="shared" si="7"/>
        <v>129</v>
      </c>
      <c r="S52" s="60">
        <f t="shared" si="8"/>
        <v>-26</v>
      </c>
      <c r="T52" s="60">
        <f t="shared" si="9"/>
        <v>129</v>
      </c>
      <c r="U52" s="62">
        <f t="shared" si="10"/>
        <v>26</v>
      </c>
      <c r="V52" s="53">
        <f t="shared" si="11"/>
        <v>-15.711064285978338</v>
      </c>
      <c r="W52" s="54">
        <f t="shared" si="12"/>
        <v>-15.711064285978338</v>
      </c>
      <c r="X52" s="54">
        <f t="shared" si="13"/>
        <v>-15.711064285978338</v>
      </c>
      <c r="Y52" s="55">
        <f t="shared" si="14"/>
        <v>0</v>
      </c>
      <c r="Z52" s="55">
        <f t="shared" si="15"/>
        <v>0</v>
      </c>
      <c r="AA52" s="56">
        <f t="shared" si="16"/>
        <v>0</v>
      </c>
      <c r="AB52" s="9"/>
      <c r="AC52" s="57">
        <v>120</v>
      </c>
      <c r="AD52" s="48">
        <v>0</v>
      </c>
      <c r="AE52" s="48">
        <v>120</v>
      </c>
      <c r="AF52" s="48">
        <v>0</v>
      </c>
      <c r="AG52" s="48">
        <v>120</v>
      </c>
      <c r="AH52" s="48">
        <v>0</v>
      </c>
      <c r="AI52" s="48">
        <v>-35</v>
      </c>
      <c r="AJ52" s="48">
        <v>0</v>
      </c>
      <c r="AK52" s="48">
        <v>0</v>
      </c>
      <c r="AL52" s="48">
        <v>0</v>
      </c>
      <c r="AM52" s="48">
        <v>35</v>
      </c>
      <c r="AN52" s="58">
        <v>0</v>
      </c>
      <c r="AO52" s="9"/>
      <c r="AP52" s="59">
        <f>120+9</f>
        <v>129</v>
      </c>
      <c r="AQ52" s="60">
        <v>0</v>
      </c>
      <c r="AR52" s="60">
        <v>-26</v>
      </c>
      <c r="AS52" s="60">
        <v>0</v>
      </c>
      <c r="AT52" s="60">
        <f>120+9</f>
        <v>129</v>
      </c>
      <c r="AU52" s="60">
        <v>0</v>
      </c>
      <c r="AV52" s="60">
        <v>26</v>
      </c>
      <c r="AW52" s="62">
        <v>0</v>
      </c>
      <c r="AX52" s="9"/>
      <c r="AY52" s="63"/>
      <c r="AZ52" s="15"/>
      <c r="BA52" s="63"/>
      <c r="BB52" s="15"/>
      <c r="BC52" s="63"/>
      <c r="BD52" s="15"/>
      <c r="BE52" s="15"/>
      <c r="BF52" s="15"/>
      <c r="BG52" s="15"/>
      <c r="BH52" s="15"/>
      <c r="BI52" s="15"/>
      <c r="BJ52" s="15"/>
      <c r="BK52" s="9"/>
      <c r="BL52" s="9"/>
      <c r="BM52" s="9"/>
      <c r="BN52" s="9"/>
      <c r="BO52" s="9"/>
      <c r="BP52" s="9"/>
      <c r="BQ52" s="9"/>
      <c r="BR52" s="9"/>
      <c r="BS52" s="9"/>
    </row>
    <row r="53" spans="1:71" ht="18.75" customHeight="1" x14ac:dyDescent="0.3">
      <c r="A53" s="42" t="s">
        <v>340</v>
      </c>
      <c r="B53" t="s">
        <v>279</v>
      </c>
      <c r="E53" s="44">
        <v>2</v>
      </c>
      <c r="F53" s="44">
        <v>2</v>
      </c>
      <c r="G53" s="45">
        <v>500</v>
      </c>
      <c r="H53" s="44">
        <v>20</v>
      </c>
      <c r="I53" s="44">
        <v>355</v>
      </c>
      <c r="J53" s="44">
        <v>170</v>
      </c>
      <c r="K53" s="43">
        <f t="shared" si="0"/>
        <v>15.711064285978338</v>
      </c>
      <c r="L53" s="46">
        <f t="shared" si="1"/>
        <v>123.00000000000001</v>
      </c>
      <c r="M53" s="48">
        <f t="shared" si="2"/>
        <v>87</v>
      </c>
      <c r="N53" s="48">
        <f t="shared" si="3"/>
        <v>87</v>
      </c>
      <c r="O53" s="48">
        <f t="shared" si="4"/>
        <v>-30</v>
      </c>
      <c r="P53" s="48">
        <f t="shared" si="5"/>
        <v>-45</v>
      </c>
      <c r="Q53" s="58">
        <f t="shared" si="6"/>
        <v>-15</v>
      </c>
      <c r="R53" s="59">
        <f t="shared" si="7"/>
        <v>149</v>
      </c>
      <c r="S53" s="60">
        <f t="shared" si="8"/>
        <v>-32</v>
      </c>
      <c r="T53" s="60">
        <f t="shared" si="9"/>
        <v>149</v>
      </c>
      <c r="U53" s="62">
        <f t="shared" si="10"/>
        <v>32</v>
      </c>
      <c r="V53" s="53">
        <f t="shared" si="11"/>
        <v>123.00000000000001</v>
      </c>
      <c r="W53" s="55">
        <f t="shared" si="12"/>
        <v>87</v>
      </c>
      <c r="X53" s="55">
        <f t="shared" si="13"/>
        <v>87</v>
      </c>
      <c r="Y53" s="55">
        <f t="shared" si="14"/>
        <v>15</v>
      </c>
      <c r="Z53" s="55">
        <f t="shared" si="15"/>
        <v>45</v>
      </c>
      <c r="AA53" s="56">
        <f t="shared" si="16"/>
        <v>15</v>
      </c>
      <c r="AB53" s="9"/>
      <c r="AC53" s="46">
        <f>100+23+K53</f>
        <v>138.71106428597835</v>
      </c>
      <c r="AD53" s="48">
        <v>0</v>
      </c>
      <c r="AE53" s="47">
        <f>100-13+K53</f>
        <v>102.71106428597834</v>
      </c>
      <c r="AF53" s="48">
        <v>0</v>
      </c>
      <c r="AG53" s="47">
        <f>100-13+K53</f>
        <v>102.71106428597834</v>
      </c>
      <c r="AH53" s="48">
        <v>0</v>
      </c>
      <c r="AI53" s="48">
        <v>-30</v>
      </c>
      <c r="AJ53" s="48">
        <v>0</v>
      </c>
      <c r="AK53" s="48">
        <f>-30-15</f>
        <v>-45</v>
      </c>
      <c r="AL53" s="48">
        <v>0</v>
      </c>
      <c r="AM53" s="48">
        <v>-15</v>
      </c>
      <c r="AN53" s="58">
        <v>0</v>
      </c>
      <c r="AO53" s="9"/>
      <c r="AP53" s="59">
        <f>100+23+13+13</f>
        <v>149</v>
      </c>
      <c r="AQ53" s="60">
        <v>0</v>
      </c>
      <c r="AR53" s="60">
        <v>-32</v>
      </c>
      <c r="AS53" s="60">
        <v>0</v>
      </c>
      <c r="AT53" s="60">
        <f>100+23+13+13</f>
        <v>149</v>
      </c>
      <c r="AU53" s="60">
        <v>0</v>
      </c>
      <c r="AV53" s="60">
        <v>32</v>
      </c>
      <c r="AW53" s="62">
        <v>0</v>
      </c>
      <c r="AX53" s="9"/>
      <c r="AY53" s="53">
        <f>100+23+K53</f>
        <v>138.71106428597835</v>
      </c>
      <c r="AZ53" s="55">
        <v>0</v>
      </c>
      <c r="BA53" s="54">
        <f>100-13+K53</f>
        <v>102.71106428597834</v>
      </c>
      <c r="BB53" s="55">
        <v>0</v>
      </c>
      <c r="BC53" s="54">
        <f>100-13+K53</f>
        <v>102.71106428597834</v>
      </c>
      <c r="BD53" s="55">
        <v>0</v>
      </c>
      <c r="BE53" s="55">
        <v>15</v>
      </c>
      <c r="BF53" s="55">
        <v>0</v>
      </c>
      <c r="BG53" s="55">
        <v>45</v>
      </c>
      <c r="BH53" s="55">
        <v>0</v>
      </c>
      <c r="BI53" s="55">
        <v>15</v>
      </c>
      <c r="BJ53" s="56">
        <v>0</v>
      </c>
      <c r="BK53" s="9"/>
      <c r="BL53" s="9"/>
      <c r="BM53" s="9"/>
      <c r="BN53" s="9"/>
      <c r="BO53" s="9"/>
      <c r="BP53" s="9"/>
      <c r="BQ53" s="9"/>
      <c r="BR53" s="9"/>
      <c r="BS53" s="9"/>
    </row>
    <row r="54" spans="1:71" ht="18.75" customHeight="1" x14ac:dyDescent="0.3">
      <c r="A54" s="42" t="s">
        <v>341</v>
      </c>
      <c r="B54" t="s">
        <v>305</v>
      </c>
      <c r="E54" s="44">
        <v>1</v>
      </c>
      <c r="F54" s="44">
        <v>2</v>
      </c>
      <c r="G54" s="45">
        <v>500</v>
      </c>
      <c r="H54" s="44">
        <v>20</v>
      </c>
      <c r="I54" s="44">
        <v>355</v>
      </c>
      <c r="J54" s="44">
        <v>170</v>
      </c>
      <c r="K54" s="43">
        <f t="shared" si="0"/>
        <v>15.711064285978338</v>
      </c>
      <c r="L54" s="46">
        <f t="shared" si="1"/>
        <v>106.25</v>
      </c>
      <c r="M54" s="47">
        <f t="shared" si="2"/>
        <v>139.25</v>
      </c>
      <c r="N54" s="47">
        <f t="shared" si="3"/>
        <v>106.25</v>
      </c>
      <c r="O54" s="47">
        <f t="shared" si="4"/>
        <v>-21.5</v>
      </c>
      <c r="P54" s="48">
        <f t="shared" si="5"/>
        <v>0</v>
      </c>
      <c r="Q54" s="49">
        <f t="shared" si="6"/>
        <v>21.5</v>
      </c>
      <c r="R54" s="59">
        <f t="shared" si="7"/>
        <v>153</v>
      </c>
      <c r="S54" s="51">
        <f t="shared" si="8"/>
        <v>-13.75</v>
      </c>
      <c r="T54" s="60">
        <f t="shared" si="9"/>
        <v>153</v>
      </c>
      <c r="U54" s="52">
        <f t="shared" si="10"/>
        <v>13.75</v>
      </c>
      <c r="V54" s="53">
        <f t="shared" si="11"/>
        <v>-15.711064285978338</v>
      </c>
      <c r="W54" s="54">
        <f t="shared" si="12"/>
        <v>-15.711064285978338</v>
      </c>
      <c r="X54" s="54">
        <f t="shared" si="13"/>
        <v>-15.711064285978338</v>
      </c>
      <c r="Y54" s="55">
        <f t="shared" si="14"/>
        <v>0</v>
      </c>
      <c r="Z54" s="55">
        <f t="shared" si="15"/>
        <v>0</v>
      </c>
      <c r="AA54" s="56">
        <f t="shared" si="16"/>
        <v>0</v>
      </c>
      <c r="AB54" s="9"/>
      <c r="AC54" s="46">
        <f>120-13+K54</f>
        <v>122.71106428597834</v>
      </c>
      <c r="AD54" s="48">
        <v>-9</v>
      </c>
      <c r="AE54" s="47">
        <f>120+33-13+K54</f>
        <v>155.71106428597835</v>
      </c>
      <c r="AF54" s="48">
        <v>-9</v>
      </c>
      <c r="AG54" s="47">
        <f>120-13+K54</f>
        <v>122.71106428597834</v>
      </c>
      <c r="AH54" s="48">
        <v>-9</v>
      </c>
      <c r="AI54" s="48">
        <v>-21</v>
      </c>
      <c r="AJ54" s="48">
        <v>-6</v>
      </c>
      <c r="AK54" s="48">
        <v>0</v>
      </c>
      <c r="AL54" s="48">
        <v>0</v>
      </c>
      <c r="AM54" s="48">
        <v>21</v>
      </c>
      <c r="AN54" s="58">
        <v>6</v>
      </c>
      <c r="AO54" s="9"/>
      <c r="AP54" s="59">
        <f>120+33</f>
        <v>153</v>
      </c>
      <c r="AQ54" s="60">
        <v>0</v>
      </c>
      <c r="AR54" s="60">
        <v>-13</v>
      </c>
      <c r="AS54" s="60">
        <v>-9</v>
      </c>
      <c r="AT54" s="60">
        <f>120+33</f>
        <v>153</v>
      </c>
      <c r="AU54" s="60">
        <v>0</v>
      </c>
      <c r="AV54" s="60">
        <v>13</v>
      </c>
      <c r="AW54" s="62">
        <v>9</v>
      </c>
      <c r="AX54" s="9"/>
      <c r="AY54" s="63"/>
      <c r="AZ54" s="15"/>
      <c r="BA54" s="63"/>
      <c r="BB54" s="15"/>
      <c r="BC54" s="63"/>
      <c r="BD54" s="15"/>
      <c r="BE54" s="15"/>
      <c r="BF54" s="15"/>
      <c r="BG54" s="15"/>
      <c r="BH54" s="15"/>
      <c r="BI54" s="15"/>
      <c r="BJ54" s="15"/>
      <c r="BK54" s="9"/>
      <c r="BL54" s="9"/>
      <c r="BM54" s="9"/>
      <c r="BN54" s="9"/>
      <c r="BO54" s="9"/>
      <c r="BP54" s="9"/>
      <c r="BQ54" s="9"/>
      <c r="BR54" s="9"/>
      <c r="BS54" s="9"/>
    </row>
    <row r="55" spans="1:71" ht="18.75" customHeight="1" x14ac:dyDescent="0.3">
      <c r="A55" s="42" t="s">
        <v>342</v>
      </c>
      <c r="B55" t="s">
        <v>305</v>
      </c>
      <c r="C55" t="s">
        <v>343</v>
      </c>
      <c r="D55" t="s">
        <v>21</v>
      </c>
      <c r="E55" s="44">
        <v>1</v>
      </c>
      <c r="F55" s="44">
        <v>2</v>
      </c>
      <c r="G55" s="45">
        <v>500</v>
      </c>
      <c r="H55" s="44">
        <v>20</v>
      </c>
      <c r="I55" s="44">
        <v>355</v>
      </c>
      <c r="J55" s="44">
        <v>170</v>
      </c>
      <c r="K55" s="43">
        <f t="shared" si="0"/>
        <v>15.711064285978338</v>
      </c>
      <c r="L55" s="46">
        <f t="shared" si="1"/>
        <v>118.50000000000001</v>
      </c>
      <c r="M55" s="48">
        <f t="shared" si="2"/>
        <v>88</v>
      </c>
      <c r="N55" s="48">
        <f t="shared" si="3"/>
        <v>88</v>
      </c>
      <c r="O55" s="48">
        <f t="shared" si="4"/>
        <v>0</v>
      </c>
      <c r="P55" s="47">
        <f t="shared" si="5"/>
        <v>-21.5</v>
      </c>
      <c r="Q55" s="49">
        <f t="shared" si="6"/>
        <v>21.5</v>
      </c>
      <c r="R55" s="50">
        <f t="shared" si="7"/>
        <v>131.5</v>
      </c>
      <c r="S55" s="60">
        <f t="shared" si="8"/>
        <v>-20</v>
      </c>
      <c r="T55" s="51">
        <f t="shared" si="9"/>
        <v>131.5</v>
      </c>
      <c r="U55" s="62">
        <f t="shared" si="10"/>
        <v>20</v>
      </c>
      <c r="V55" s="53">
        <f t="shared" si="11"/>
        <v>-15.711064285978338</v>
      </c>
      <c r="W55" s="54">
        <f t="shared" si="12"/>
        <v>-15.711064285978338</v>
      </c>
      <c r="X55" s="54">
        <f t="shared" si="13"/>
        <v>-15.711064285978338</v>
      </c>
      <c r="Y55" s="55">
        <f t="shared" si="14"/>
        <v>0</v>
      </c>
      <c r="Z55" s="55">
        <f t="shared" si="15"/>
        <v>0</v>
      </c>
      <c r="AA55" s="56">
        <f t="shared" si="16"/>
        <v>0</v>
      </c>
      <c r="AB55" s="9"/>
      <c r="AC55" s="46">
        <f>77+11+30+K55</f>
        <v>133.71106428597835</v>
      </c>
      <c r="AD55" s="48">
        <v>6</v>
      </c>
      <c r="AE55" s="47">
        <f>77+11+K55</f>
        <v>103.71106428597834</v>
      </c>
      <c r="AF55" s="48">
        <v>0</v>
      </c>
      <c r="AG55" s="47">
        <f>77+11+K55</f>
        <v>103.71106428597834</v>
      </c>
      <c r="AH55" s="48">
        <v>0</v>
      </c>
      <c r="AI55" s="48">
        <v>0</v>
      </c>
      <c r="AJ55" s="48">
        <v>0</v>
      </c>
      <c r="AK55" s="48">
        <v>-21</v>
      </c>
      <c r="AL55" s="48">
        <v>-6</v>
      </c>
      <c r="AM55" s="48">
        <v>21</v>
      </c>
      <c r="AN55" s="58">
        <v>6</v>
      </c>
      <c r="AO55" s="9"/>
      <c r="AP55" s="59">
        <f>77+11+30+13</f>
        <v>131</v>
      </c>
      <c r="AQ55" s="60">
        <v>6</v>
      </c>
      <c r="AR55" s="60">
        <v>-20</v>
      </c>
      <c r="AS55" s="60">
        <v>0</v>
      </c>
      <c r="AT55" s="60">
        <f>77+11+30+13</f>
        <v>131</v>
      </c>
      <c r="AU55" s="60">
        <v>6</v>
      </c>
      <c r="AV55" s="60">
        <v>20</v>
      </c>
      <c r="AW55" s="62">
        <v>0</v>
      </c>
      <c r="AX55" s="9"/>
      <c r="AY55" s="63"/>
      <c r="AZ55" s="15"/>
      <c r="BA55" s="63"/>
      <c r="BB55" s="15"/>
      <c r="BC55" s="63"/>
      <c r="BD55" s="15"/>
      <c r="BE55" s="15"/>
      <c r="BF55" s="15"/>
      <c r="BG55" s="15"/>
      <c r="BH55" s="15"/>
      <c r="BI55" s="15"/>
      <c r="BJ55" s="15"/>
      <c r="BK55" s="9"/>
      <c r="BL55" s="9"/>
      <c r="BM55" s="9"/>
      <c r="BN55" s="9"/>
      <c r="BO55" s="9"/>
      <c r="BP55" s="9"/>
      <c r="BQ55" s="9"/>
      <c r="BR55" s="9"/>
      <c r="BS55" s="9"/>
    </row>
    <row r="56" spans="1:71" ht="18.75" customHeight="1" x14ac:dyDescent="0.3">
      <c r="A56" s="42" t="s">
        <v>344</v>
      </c>
      <c r="B56" t="s">
        <v>305</v>
      </c>
      <c r="C56" t="s">
        <v>345</v>
      </c>
      <c r="D56" t="s">
        <v>12</v>
      </c>
      <c r="E56" s="44">
        <v>1</v>
      </c>
      <c r="F56" s="44">
        <v>2</v>
      </c>
      <c r="G56" s="45">
        <v>500</v>
      </c>
      <c r="H56" s="44">
        <v>20</v>
      </c>
      <c r="I56" s="44">
        <v>355</v>
      </c>
      <c r="J56" s="44">
        <v>170</v>
      </c>
      <c r="K56" s="43">
        <f t="shared" si="0"/>
        <v>15.711064285978338</v>
      </c>
      <c r="L56" s="46">
        <f t="shared" si="1"/>
        <v>151.25</v>
      </c>
      <c r="M56" s="47">
        <f t="shared" si="2"/>
        <v>126.00000000000001</v>
      </c>
      <c r="N56" s="47">
        <f t="shared" si="3"/>
        <v>126.00000000000001</v>
      </c>
      <c r="O56" s="48">
        <f t="shared" si="4"/>
        <v>0</v>
      </c>
      <c r="P56" s="48">
        <f t="shared" si="5"/>
        <v>-21</v>
      </c>
      <c r="Q56" s="58">
        <f t="shared" si="6"/>
        <v>21</v>
      </c>
      <c r="R56" s="50">
        <f t="shared" si="7"/>
        <v>165.25</v>
      </c>
      <c r="S56" s="51">
        <f t="shared" si="8"/>
        <v>-17.5</v>
      </c>
      <c r="T56" s="51">
        <f t="shared" si="9"/>
        <v>165.25</v>
      </c>
      <c r="U56" s="52">
        <f t="shared" si="10"/>
        <v>17.5</v>
      </c>
      <c r="V56" s="53">
        <f t="shared" si="11"/>
        <v>-15.711064285978338</v>
      </c>
      <c r="W56" s="54">
        <f t="shared" si="12"/>
        <v>-15.711064285978338</v>
      </c>
      <c r="X56" s="54">
        <f t="shared" si="13"/>
        <v>-15.711064285978338</v>
      </c>
      <c r="Y56" s="55">
        <f t="shared" si="14"/>
        <v>0</v>
      </c>
      <c r="Z56" s="55">
        <f t="shared" si="15"/>
        <v>0</v>
      </c>
      <c r="AA56" s="56">
        <f t="shared" si="16"/>
        <v>0</v>
      </c>
      <c r="AB56" s="9"/>
      <c r="AC56" s="46">
        <f>15+80+31+14+7+18-14+K56</f>
        <v>166.71106428597835</v>
      </c>
      <c r="AD56" s="48">
        <v>3</v>
      </c>
      <c r="AE56" s="47">
        <f>15+80+31+K56</f>
        <v>141.71106428597835</v>
      </c>
      <c r="AF56" s="48">
        <v>0</v>
      </c>
      <c r="AG56" s="47">
        <f>15+80+31+K56</f>
        <v>141.71106428597835</v>
      </c>
      <c r="AH56" s="48">
        <v>0</v>
      </c>
      <c r="AI56" s="48">
        <v>0</v>
      </c>
      <c r="AJ56" s="48">
        <v>0</v>
      </c>
      <c r="AK56" s="48">
        <v>-21</v>
      </c>
      <c r="AL56" s="48">
        <v>0</v>
      </c>
      <c r="AM56" s="48">
        <v>21</v>
      </c>
      <c r="AN56" s="58">
        <v>0</v>
      </c>
      <c r="AO56" s="9"/>
      <c r="AP56" s="59">
        <f>15+80+31+14+7+18</f>
        <v>165</v>
      </c>
      <c r="AQ56" s="60">
        <v>3</v>
      </c>
      <c r="AR56" s="60">
        <v>-17</v>
      </c>
      <c r="AS56" s="60">
        <v>-6</v>
      </c>
      <c r="AT56" s="60">
        <f>15+80+31+14+7+18</f>
        <v>165</v>
      </c>
      <c r="AU56" s="60">
        <v>3</v>
      </c>
      <c r="AV56" s="60">
        <v>17</v>
      </c>
      <c r="AW56" s="62">
        <v>6</v>
      </c>
      <c r="AX56" s="9"/>
      <c r="AY56" s="63"/>
      <c r="AZ56" s="15"/>
      <c r="BA56" s="63"/>
      <c r="BB56" s="15"/>
      <c r="BC56" s="63"/>
      <c r="BD56" s="15"/>
      <c r="BE56" s="15"/>
      <c r="BF56" s="15"/>
      <c r="BG56" s="15"/>
      <c r="BH56" s="15"/>
      <c r="BI56" s="15"/>
      <c r="BJ56" s="15"/>
      <c r="BK56" s="9"/>
      <c r="BL56" s="9"/>
      <c r="BM56" s="9"/>
      <c r="BN56" s="9"/>
      <c r="BO56" s="9"/>
      <c r="BP56" s="9"/>
      <c r="BQ56" s="9"/>
      <c r="BR56" s="9"/>
      <c r="BS56" s="9"/>
    </row>
    <row r="57" spans="1:71" ht="18.75" customHeight="1" x14ac:dyDescent="0.3">
      <c r="A57" s="42" t="s">
        <v>346</v>
      </c>
      <c r="B57" t="s">
        <v>228</v>
      </c>
      <c r="E57" s="44">
        <v>1</v>
      </c>
      <c r="F57" s="44">
        <v>2</v>
      </c>
      <c r="G57" s="45">
        <v>735</v>
      </c>
      <c r="H57" s="44">
        <v>20</v>
      </c>
      <c r="I57" s="44">
        <v>355</v>
      </c>
      <c r="J57" s="44">
        <v>170</v>
      </c>
      <c r="K57" s="43">
        <f t="shared" si="0"/>
        <v>23.095264500388154</v>
      </c>
      <c r="L57" s="57">
        <f t="shared" si="1"/>
        <v>92</v>
      </c>
      <c r="M57" s="48">
        <f t="shared" si="2"/>
        <v>92</v>
      </c>
      <c r="N57" s="48">
        <f t="shared" si="3"/>
        <v>92</v>
      </c>
      <c r="O57" s="47">
        <f t="shared" si="4"/>
        <v>-44.5</v>
      </c>
      <c r="P57" s="48">
        <f t="shared" si="5"/>
        <v>0</v>
      </c>
      <c r="Q57" s="49">
        <f t="shared" si="6"/>
        <v>44.5</v>
      </c>
      <c r="R57" s="59">
        <f t="shared" si="7"/>
        <v>127</v>
      </c>
      <c r="S57" s="60">
        <f t="shared" si="8"/>
        <v>-36</v>
      </c>
      <c r="T57" s="60">
        <f t="shared" si="9"/>
        <v>127</v>
      </c>
      <c r="U57" s="62">
        <f t="shared" si="10"/>
        <v>36</v>
      </c>
      <c r="V57" s="53">
        <f t="shared" si="11"/>
        <v>-23.095264500388154</v>
      </c>
      <c r="W57" s="54">
        <f t="shared" si="12"/>
        <v>-23.095264500388154</v>
      </c>
      <c r="X57" s="54">
        <f t="shared" si="13"/>
        <v>-23.095264500388154</v>
      </c>
      <c r="Y57" s="55">
        <f t="shared" si="14"/>
        <v>0</v>
      </c>
      <c r="Z57" s="55">
        <f t="shared" si="15"/>
        <v>0</v>
      </c>
      <c r="AA57" s="56">
        <f t="shared" si="16"/>
        <v>0</v>
      </c>
      <c r="AB57" s="9"/>
      <c r="AC57" s="46">
        <f>110-18+K57</f>
        <v>115.09526450038815</v>
      </c>
      <c r="AD57" s="48">
        <v>0</v>
      </c>
      <c r="AE57" s="47">
        <f>110-18+K57</f>
        <v>115.09526450038815</v>
      </c>
      <c r="AF57" s="48">
        <v>0</v>
      </c>
      <c r="AG57" s="47">
        <f>110-18+K57</f>
        <v>115.09526450038815</v>
      </c>
      <c r="AH57" s="48">
        <v>0</v>
      </c>
      <c r="AI57" s="48">
        <v>-44</v>
      </c>
      <c r="AJ57" s="48">
        <v>-6</v>
      </c>
      <c r="AK57" s="48">
        <v>0</v>
      </c>
      <c r="AL57" s="48">
        <v>0</v>
      </c>
      <c r="AM57" s="48">
        <v>44</v>
      </c>
      <c r="AN57" s="58">
        <v>6</v>
      </c>
      <c r="AO57" s="9"/>
      <c r="AP57" s="59">
        <f>110+17</f>
        <v>127</v>
      </c>
      <c r="AQ57" s="60">
        <v>0</v>
      </c>
      <c r="AR57" s="60">
        <v>-36</v>
      </c>
      <c r="AS57" s="60">
        <v>0</v>
      </c>
      <c r="AT57" s="60">
        <v>127</v>
      </c>
      <c r="AU57" s="60">
        <v>0</v>
      </c>
      <c r="AV57" s="60">
        <v>36</v>
      </c>
      <c r="AW57" s="62">
        <v>0</v>
      </c>
      <c r="AX57" s="9"/>
      <c r="AY57" s="63"/>
      <c r="AZ57" s="15"/>
      <c r="BA57" s="63"/>
      <c r="BB57" s="15"/>
      <c r="BC57" s="63"/>
      <c r="BD57" s="15"/>
      <c r="BE57" s="15"/>
      <c r="BF57" s="15"/>
      <c r="BG57" s="15"/>
      <c r="BH57" s="15"/>
      <c r="BI57" s="15"/>
      <c r="BJ57" s="15"/>
      <c r="BK57" s="9"/>
      <c r="BL57" s="9"/>
      <c r="BM57" s="9"/>
      <c r="BN57" s="9"/>
      <c r="BO57" s="9"/>
      <c r="BP57" s="9"/>
      <c r="BQ57" s="9"/>
      <c r="BR57" s="9"/>
      <c r="BS57" s="9"/>
    </row>
    <row r="58" spans="1:71" ht="18.75" customHeight="1" x14ac:dyDescent="0.3">
      <c r="A58" s="42" t="s">
        <v>347</v>
      </c>
      <c r="B58" t="s">
        <v>228</v>
      </c>
      <c r="E58" s="44">
        <v>1</v>
      </c>
      <c r="F58" s="44">
        <v>2</v>
      </c>
      <c r="G58" s="45">
        <v>735</v>
      </c>
      <c r="H58" s="44">
        <v>20</v>
      </c>
      <c r="I58" s="44">
        <v>355</v>
      </c>
      <c r="J58" s="44">
        <v>170</v>
      </c>
      <c r="K58" s="43">
        <f t="shared" si="0"/>
        <v>23.095264500388154</v>
      </c>
      <c r="L58" s="46">
        <f t="shared" si="1"/>
        <v>86.904735499611846</v>
      </c>
      <c r="M58" s="47">
        <f t="shared" si="2"/>
        <v>86.904735499611846</v>
      </c>
      <c r="N58" s="47">
        <f t="shared" si="3"/>
        <v>86.904735499611846</v>
      </c>
      <c r="O58" s="48">
        <f t="shared" si="4"/>
        <v>-45</v>
      </c>
      <c r="P58" s="48">
        <f t="shared" si="5"/>
        <v>0</v>
      </c>
      <c r="Q58" s="58">
        <f t="shared" si="6"/>
        <v>45</v>
      </c>
      <c r="R58" s="50">
        <f t="shared" si="7"/>
        <v>138.66666666666666</v>
      </c>
      <c r="S58" s="60">
        <f t="shared" si="8"/>
        <v>-50</v>
      </c>
      <c r="T58" s="51">
        <f t="shared" si="9"/>
        <v>138.66666666666666</v>
      </c>
      <c r="U58" s="62">
        <f t="shared" si="10"/>
        <v>50</v>
      </c>
      <c r="V58" s="53">
        <f t="shared" si="11"/>
        <v>-23.095264500388154</v>
      </c>
      <c r="W58" s="54">
        <f t="shared" si="12"/>
        <v>-23.095264500388154</v>
      </c>
      <c r="X58" s="54">
        <f t="shared" si="13"/>
        <v>-23.095264500388154</v>
      </c>
      <c r="Y58" s="55">
        <f t="shared" si="14"/>
        <v>0</v>
      </c>
      <c r="Z58" s="55">
        <f t="shared" si="15"/>
        <v>0</v>
      </c>
      <c r="AA58" s="56">
        <f t="shared" si="16"/>
        <v>0</v>
      </c>
      <c r="AB58" s="9"/>
      <c r="AC58" s="57">
        <v>110</v>
      </c>
      <c r="AD58" s="48">
        <v>0</v>
      </c>
      <c r="AE58" s="48">
        <v>110</v>
      </c>
      <c r="AF58" s="48">
        <v>0</v>
      </c>
      <c r="AG58" s="48">
        <v>110</v>
      </c>
      <c r="AH58" s="48">
        <v>0</v>
      </c>
      <c r="AI58" s="48">
        <v>-45</v>
      </c>
      <c r="AJ58" s="48">
        <v>0</v>
      </c>
      <c r="AK58" s="48">
        <v>0</v>
      </c>
      <c r="AL58" s="48">
        <v>0</v>
      </c>
      <c r="AM58" s="48">
        <v>45</v>
      </c>
      <c r="AN58" s="58">
        <v>0</v>
      </c>
      <c r="AO58" s="9"/>
      <c r="AP58" s="59">
        <f>110+28</f>
        <v>138</v>
      </c>
      <c r="AQ58" s="60">
        <v>8</v>
      </c>
      <c r="AR58" s="60">
        <v>-50</v>
      </c>
      <c r="AS58" s="60">
        <v>0</v>
      </c>
      <c r="AT58" s="60">
        <v>138</v>
      </c>
      <c r="AU58" s="60">
        <v>8</v>
      </c>
      <c r="AV58" s="60">
        <v>50</v>
      </c>
      <c r="AW58" s="62">
        <v>0</v>
      </c>
      <c r="AX58" s="9"/>
      <c r="AY58" s="63"/>
      <c r="AZ58" s="15"/>
      <c r="BA58" s="63"/>
      <c r="BB58" s="15"/>
      <c r="BC58" s="63"/>
      <c r="BD58" s="15"/>
      <c r="BE58" s="15"/>
      <c r="BF58" s="15"/>
      <c r="BG58" s="15"/>
      <c r="BH58" s="15"/>
      <c r="BI58" s="15"/>
      <c r="BJ58" s="15"/>
      <c r="BK58" s="9"/>
      <c r="BL58" s="9"/>
      <c r="BM58" s="9"/>
      <c r="BN58" s="9"/>
      <c r="BO58" s="9"/>
      <c r="BP58" s="9"/>
      <c r="BQ58" s="9"/>
      <c r="BR58" s="9"/>
      <c r="BS58" s="9"/>
    </row>
    <row r="59" spans="1:71" ht="18.75" customHeight="1" x14ac:dyDescent="0.3">
      <c r="A59" s="42" t="s">
        <v>348</v>
      </c>
      <c r="B59" t="s">
        <v>228</v>
      </c>
      <c r="E59" s="44">
        <v>1</v>
      </c>
      <c r="F59" s="44">
        <v>2</v>
      </c>
      <c r="G59" s="45">
        <v>735</v>
      </c>
      <c r="H59" s="44">
        <v>20</v>
      </c>
      <c r="I59" s="44">
        <v>355</v>
      </c>
      <c r="J59" s="44">
        <v>170</v>
      </c>
      <c r="K59" s="43">
        <f t="shared" si="0"/>
        <v>23.095264500388154</v>
      </c>
      <c r="L59" s="57">
        <f t="shared" si="1"/>
        <v>135</v>
      </c>
      <c r="M59" s="48">
        <f t="shared" si="2"/>
        <v>135</v>
      </c>
      <c r="N59" s="48">
        <f t="shared" si="3"/>
        <v>135</v>
      </c>
      <c r="O59" s="47">
        <f t="shared" si="4"/>
        <v>-41.833333333333336</v>
      </c>
      <c r="P59" s="48">
        <f t="shared" si="5"/>
        <v>0</v>
      </c>
      <c r="Q59" s="49">
        <f t="shared" si="6"/>
        <v>41.833333333333336</v>
      </c>
      <c r="R59" s="59">
        <f t="shared" si="7"/>
        <v>175</v>
      </c>
      <c r="S59" s="60">
        <f t="shared" si="8"/>
        <v>-30</v>
      </c>
      <c r="T59" s="60">
        <f t="shared" si="9"/>
        <v>175</v>
      </c>
      <c r="U59" s="62">
        <f t="shared" si="10"/>
        <v>30</v>
      </c>
      <c r="V59" s="53">
        <f t="shared" si="11"/>
        <v>-23.095264500388154</v>
      </c>
      <c r="W59" s="54">
        <f t="shared" si="12"/>
        <v>-23.095264500388154</v>
      </c>
      <c r="X59" s="54">
        <f t="shared" si="13"/>
        <v>-23.095264500388154</v>
      </c>
      <c r="Y59" s="55">
        <f t="shared" si="14"/>
        <v>0</v>
      </c>
      <c r="Z59" s="55">
        <f t="shared" si="15"/>
        <v>0</v>
      </c>
      <c r="AA59" s="56">
        <f t="shared" si="16"/>
        <v>0</v>
      </c>
      <c r="AB59" s="9"/>
      <c r="AC59" s="46">
        <f>135+K59</f>
        <v>158.09526450038817</v>
      </c>
      <c r="AD59" s="48">
        <v>0</v>
      </c>
      <c r="AE59" s="47">
        <f>135+K59</f>
        <v>158.09526450038817</v>
      </c>
      <c r="AF59" s="48">
        <v>0</v>
      </c>
      <c r="AG59" s="47">
        <f>135+K59</f>
        <v>158.09526450038817</v>
      </c>
      <c r="AH59" s="48">
        <v>0</v>
      </c>
      <c r="AI59" s="48">
        <v>-41</v>
      </c>
      <c r="AJ59" s="48">
        <v>-10</v>
      </c>
      <c r="AK59" s="48">
        <v>0</v>
      </c>
      <c r="AL59" s="48">
        <v>0</v>
      </c>
      <c r="AM59" s="48">
        <v>41</v>
      </c>
      <c r="AN59" s="58">
        <v>10</v>
      </c>
      <c r="AO59" s="9"/>
      <c r="AP59" s="59">
        <f>135+40</f>
        <v>175</v>
      </c>
      <c r="AQ59" s="60">
        <v>0</v>
      </c>
      <c r="AR59" s="60">
        <v>-30</v>
      </c>
      <c r="AS59" s="60">
        <v>0</v>
      </c>
      <c r="AT59" s="60">
        <v>175</v>
      </c>
      <c r="AU59" s="60">
        <v>0</v>
      </c>
      <c r="AV59" s="60">
        <v>30</v>
      </c>
      <c r="AW59" s="62">
        <v>0</v>
      </c>
      <c r="AX59" s="9"/>
      <c r="AY59" s="63"/>
      <c r="AZ59" s="15"/>
      <c r="BA59" s="63"/>
      <c r="BB59" s="15"/>
      <c r="BC59" s="63"/>
      <c r="BD59" s="15"/>
      <c r="BE59" s="15"/>
      <c r="BF59" s="15"/>
      <c r="BG59" s="15"/>
      <c r="BH59" s="15"/>
      <c r="BI59" s="15"/>
      <c r="BJ59" s="15"/>
      <c r="BK59" s="9"/>
      <c r="BL59" s="9"/>
      <c r="BM59" s="9"/>
      <c r="BN59" s="9"/>
      <c r="BO59" s="9"/>
      <c r="BP59" s="9"/>
      <c r="BQ59" s="9"/>
      <c r="BR59" s="9"/>
      <c r="BS59" s="9"/>
    </row>
    <row r="60" spans="1:71" ht="18.75" customHeight="1" x14ac:dyDescent="0.3">
      <c r="A60" s="42" t="s">
        <v>349</v>
      </c>
      <c r="B60" t="s">
        <v>261</v>
      </c>
      <c r="E60" s="44">
        <v>1</v>
      </c>
      <c r="F60" s="44">
        <v>2</v>
      </c>
      <c r="G60" s="45">
        <v>735</v>
      </c>
      <c r="H60" s="44">
        <v>20</v>
      </c>
      <c r="I60" s="44">
        <v>355</v>
      </c>
      <c r="J60" s="44">
        <v>170</v>
      </c>
      <c r="K60" s="43">
        <f t="shared" si="0"/>
        <v>23.095264500388154</v>
      </c>
      <c r="L60" s="46">
        <f t="shared" si="1"/>
        <v>100.90473549961185</v>
      </c>
      <c r="M60" s="47">
        <f t="shared" si="2"/>
        <v>100.90473549961185</v>
      </c>
      <c r="N60" s="47">
        <f t="shared" si="3"/>
        <v>100.90473549961185</v>
      </c>
      <c r="O60" s="47">
        <f t="shared" si="4"/>
        <v>-39.333333333333336</v>
      </c>
      <c r="P60" s="48">
        <f t="shared" si="5"/>
        <v>0</v>
      </c>
      <c r="Q60" s="49">
        <f t="shared" si="6"/>
        <v>39.333333333333336</v>
      </c>
      <c r="R60" s="59">
        <f t="shared" si="7"/>
        <v>145</v>
      </c>
      <c r="S60" s="60">
        <f t="shared" si="8"/>
        <v>-66</v>
      </c>
      <c r="T60" s="60">
        <f t="shared" si="9"/>
        <v>145</v>
      </c>
      <c r="U60" s="62">
        <f t="shared" si="10"/>
        <v>66</v>
      </c>
      <c r="V60" s="53">
        <f t="shared" si="11"/>
        <v>-23.095264500388154</v>
      </c>
      <c r="W60" s="54">
        <f t="shared" si="12"/>
        <v>-23.095264500388154</v>
      </c>
      <c r="X60" s="54">
        <f t="shared" si="13"/>
        <v>-23.095264500388154</v>
      </c>
      <c r="Y60" s="55">
        <f t="shared" si="14"/>
        <v>0</v>
      </c>
      <c r="Z60" s="55">
        <f t="shared" si="15"/>
        <v>0</v>
      </c>
      <c r="AA60" s="56">
        <f t="shared" si="16"/>
        <v>0</v>
      </c>
      <c r="AB60" s="9"/>
      <c r="AC60" s="57">
        <f>145-21</f>
        <v>124</v>
      </c>
      <c r="AD60" s="48">
        <v>0</v>
      </c>
      <c r="AE60" s="48">
        <v>124</v>
      </c>
      <c r="AF60" s="48">
        <v>0</v>
      </c>
      <c r="AG60" s="48">
        <v>124</v>
      </c>
      <c r="AH60" s="48">
        <v>0</v>
      </c>
      <c r="AI60" s="48">
        <v>-39</v>
      </c>
      <c r="AJ60" s="48">
        <v>-4</v>
      </c>
      <c r="AK60" s="48">
        <v>0</v>
      </c>
      <c r="AL60" s="48">
        <v>0</v>
      </c>
      <c r="AM60" s="48">
        <v>39</v>
      </c>
      <c r="AN60" s="58">
        <v>4</v>
      </c>
      <c r="AO60" s="9"/>
      <c r="AP60" s="59">
        <v>145</v>
      </c>
      <c r="AQ60" s="60">
        <v>0</v>
      </c>
      <c r="AR60" s="60">
        <v>-66</v>
      </c>
      <c r="AS60" s="60">
        <v>0</v>
      </c>
      <c r="AT60" s="60">
        <v>145</v>
      </c>
      <c r="AU60" s="60">
        <v>0</v>
      </c>
      <c r="AV60" s="60">
        <v>66</v>
      </c>
      <c r="AW60" s="62">
        <v>0</v>
      </c>
      <c r="AX60" s="9"/>
      <c r="AY60" s="63"/>
      <c r="AZ60" s="15"/>
      <c r="BA60" s="63"/>
      <c r="BB60" s="15"/>
      <c r="BC60" s="63"/>
      <c r="BD60" s="15"/>
      <c r="BE60" s="15"/>
      <c r="BF60" s="15"/>
      <c r="BG60" s="15"/>
      <c r="BH60" s="15"/>
      <c r="BI60" s="15"/>
      <c r="BJ60" s="15"/>
      <c r="BK60" s="9"/>
      <c r="BL60" s="9"/>
      <c r="BM60" s="9"/>
      <c r="BN60" s="9"/>
      <c r="BO60" s="9"/>
      <c r="BP60" s="9"/>
      <c r="BQ60" s="9"/>
      <c r="BR60" s="9"/>
      <c r="BS60" s="9"/>
    </row>
    <row r="61" spans="1:71" ht="18.75" customHeight="1" x14ac:dyDescent="0.3">
      <c r="A61" s="42" t="s">
        <v>350</v>
      </c>
      <c r="B61" t="s">
        <v>279</v>
      </c>
      <c r="E61" s="44">
        <v>1</v>
      </c>
      <c r="F61" s="44">
        <v>2</v>
      </c>
      <c r="G61" s="45">
        <v>735</v>
      </c>
      <c r="H61" s="44">
        <v>20</v>
      </c>
      <c r="I61" s="44">
        <v>355</v>
      </c>
      <c r="J61" s="44">
        <v>170</v>
      </c>
      <c r="K61" s="43">
        <f t="shared" si="0"/>
        <v>23.095264500388154</v>
      </c>
      <c r="L61" s="57">
        <f t="shared" si="1"/>
        <v>131</v>
      </c>
      <c r="M61" s="48">
        <f t="shared" si="2"/>
        <v>131</v>
      </c>
      <c r="N61" s="48">
        <f t="shared" si="3"/>
        <v>131</v>
      </c>
      <c r="O61" s="48">
        <f t="shared" si="4"/>
        <v>-50</v>
      </c>
      <c r="P61" s="48">
        <f t="shared" si="5"/>
        <v>0</v>
      </c>
      <c r="Q61" s="58">
        <f t="shared" si="6"/>
        <v>50</v>
      </c>
      <c r="R61" s="59">
        <f t="shared" si="7"/>
        <v>175</v>
      </c>
      <c r="S61" s="60">
        <f t="shared" si="8"/>
        <v>-30</v>
      </c>
      <c r="T61" s="60">
        <f t="shared" si="9"/>
        <v>175</v>
      </c>
      <c r="U61" s="62">
        <f t="shared" si="10"/>
        <v>30</v>
      </c>
      <c r="V61" s="53">
        <f t="shared" si="11"/>
        <v>-23.095264500388154</v>
      </c>
      <c r="W61" s="54">
        <f t="shared" si="12"/>
        <v>-23.095264500388154</v>
      </c>
      <c r="X61" s="54">
        <f t="shared" si="13"/>
        <v>-23.095264500388154</v>
      </c>
      <c r="Y61" s="55">
        <f t="shared" si="14"/>
        <v>0</v>
      </c>
      <c r="Z61" s="55">
        <f t="shared" si="15"/>
        <v>0</v>
      </c>
      <c r="AA61" s="56">
        <f t="shared" si="16"/>
        <v>0</v>
      </c>
      <c r="AB61" s="9"/>
      <c r="AC61" s="46">
        <f>175-44+K61</f>
        <v>154.09526450038817</v>
      </c>
      <c r="AD61" s="48">
        <v>0</v>
      </c>
      <c r="AE61" s="47">
        <f>175-44+K61</f>
        <v>154.09526450038817</v>
      </c>
      <c r="AF61" s="48">
        <v>0</v>
      </c>
      <c r="AG61" s="47">
        <f>175-44+K61</f>
        <v>154.09526450038817</v>
      </c>
      <c r="AH61" s="48">
        <v>0</v>
      </c>
      <c r="AI61" s="48">
        <v>-50</v>
      </c>
      <c r="AJ61" s="48">
        <v>0</v>
      </c>
      <c r="AK61" s="48">
        <v>0</v>
      </c>
      <c r="AL61" s="48">
        <v>0</v>
      </c>
      <c r="AM61" s="48">
        <v>50</v>
      </c>
      <c r="AN61" s="58">
        <v>0</v>
      </c>
      <c r="AO61" s="9"/>
      <c r="AP61" s="59">
        <v>175</v>
      </c>
      <c r="AQ61" s="60">
        <v>0</v>
      </c>
      <c r="AR61" s="60">
        <v>-30</v>
      </c>
      <c r="AS61" s="60">
        <v>0</v>
      </c>
      <c r="AT61" s="60">
        <v>175</v>
      </c>
      <c r="AU61" s="60">
        <v>0</v>
      </c>
      <c r="AV61" s="60">
        <v>30</v>
      </c>
      <c r="AW61" s="62">
        <v>0</v>
      </c>
      <c r="AX61" s="9"/>
      <c r="AY61" s="63"/>
      <c r="AZ61" s="15"/>
      <c r="BA61" s="63"/>
      <c r="BB61" s="15"/>
      <c r="BC61" s="63"/>
      <c r="BD61" s="15"/>
      <c r="BE61" s="15"/>
      <c r="BF61" s="15"/>
      <c r="BG61" s="15"/>
      <c r="BH61" s="15"/>
      <c r="BI61" s="15"/>
      <c r="BJ61" s="15"/>
      <c r="BK61" s="9"/>
      <c r="BL61" s="9"/>
      <c r="BM61" s="9"/>
      <c r="BN61" s="9"/>
      <c r="BO61" s="9"/>
      <c r="BP61" s="9"/>
      <c r="BQ61" s="9"/>
      <c r="BR61" s="9"/>
      <c r="BS61" s="9"/>
    </row>
    <row r="62" spans="1:71" ht="18.75" customHeight="1" x14ac:dyDescent="0.3">
      <c r="A62" s="42" t="s">
        <v>351</v>
      </c>
      <c r="B62" t="s">
        <v>352</v>
      </c>
      <c r="E62" s="44">
        <v>1</v>
      </c>
      <c r="F62" s="44">
        <v>2</v>
      </c>
      <c r="G62" s="45">
        <v>735</v>
      </c>
      <c r="H62" s="44">
        <v>20</v>
      </c>
      <c r="I62" s="44">
        <v>355</v>
      </c>
      <c r="J62" s="44">
        <v>170</v>
      </c>
      <c r="K62" s="43">
        <f t="shared" si="0"/>
        <v>23.095264500388154</v>
      </c>
      <c r="L62" s="46">
        <f t="shared" si="1"/>
        <v>110.00000000000001</v>
      </c>
      <c r="M62" s="47">
        <f t="shared" si="2"/>
        <v>110.00000000000001</v>
      </c>
      <c r="N62" s="47">
        <f t="shared" si="3"/>
        <v>110.00000000000001</v>
      </c>
      <c r="O62" s="47">
        <f t="shared" si="4"/>
        <v>-39.333333333333336</v>
      </c>
      <c r="P62" s="48">
        <f t="shared" si="5"/>
        <v>0</v>
      </c>
      <c r="Q62" s="49">
        <f t="shared" si="6"/>
        <v>39.333333333333336</v>
      </c>
      <c r="R62" s="59">
        <f t="shared" si="7"/>
        <v>150</v>
      </c>
      <c r="S62" s="60">
        <f t="shared" si="8"/>
        <v>-30</v>
      </c>
      <c r="T62" s="60">
        <f t="shared" si="9"/>
        <v>150</v>
      </c>
      <c r="U62" s="62">
        <f t="shared" si="10"/>
        <v>30</v>
      </c>
      <c r="V62" s="53">
        <f t="shared" si="11"/>
        <v>-23.095264500388154</v>
      </c>
      <c r="W62" s="54">
        <f t="shared" si="12"/>
        <v>-23.095264500388154</v>
      </c>
      <c r="X62" s="54">
        <f t="shared" si="13"/>
        <v>-23.095264500388154</v>
      </c>
      <c r="Y62" s="55">
        <f t="shared" si="14"/>
        <v>0</v>
      </c>
      <c r="Z62" s="55">
        <f t="shared" si="15"/>
        <v>0</v>
      </c>
      <c r="AA62" s="56">
        <f t="shared" si="16"/>
        <v>0</v>
      </c>
      <c r="AB62" s="9"/>
      <c r="AC62" s="46">
        <f>110+K62</f>
        <v>133.09526450038817</v>
      </c>
      <c r="AD62" s="48">
        <v>0</v>
      </c>
      <c r="AE62" s="47">
        <f>110+K62</f>
        <v>133.09526450038817</v>
      </c>
      <c r="AF62" s="48">
        <v>0</v>
      </c>
      <c r="AG62" s="47">
        <f>110+K62</f>
        <v>133.09526450038817</v>
      </c>
      <c r="AH62" s="48">
        <v>0</v>
      </c>
      <c r="AI62" s="48">
        <v>-39</v>
      </c>
      <c r="AJ62" s="48">
        <v>-4</v>
      </c>
      <c r="AK62" s="48">
        <v>0</v>
      </c>
      <c r="AL62" s="48">
        <v>0</v>
      </c>
      <c r="AM62" s="48">
        <v>39</v>
      </c>
      <c r="AN62" s="58">
        <v>4</v>
      </c>
      <c r="AO62" s="9"/>
      <c r="AP62" s="59">
        <v>150</v>
      </c>
      <c r="AQ62" s="60">
        <v>0</v>
      </c>
      <c r="AR62" s="60">
        <v>-30</v>
      </c>
      <c r="AS62" s="60">
        <v>0</v>
      </c>
      <c r="AT62" s="60">
        <v>150</v>
      </c>
      <c r="AU62" s="60">
        <v>0</v>
      </c>
      <c r="AV62" s="60">
        <v>30</v>
      </c>
      <c r="AW62" s="62">
        <v>0</v>
      </c>
      <c r="AX62" s="9"/>
      <c r="AY62" s="63"/>
      <c r="AZ62" s="15"/>
      <c r="BA62" s="63"/>
      <c r="BB62" s="15"/>
      <c r="BC62" s="63"/>
      <c r="BD62" s="15"/>
      <c r="BE62" s="15"/>
      <c r="BF62" s="15"/>
      <c r="BG62" s="15"/>
      <c r="BH62" s="15"/>
      <c r="BI62" s="15"/>
      <c r="BJ62" s="15"/>
      <c r="BK62" s="9"/>
      <c r="BL62" s="9"/>
      <c r="BM62" s="9"/>
      <c r="BN62" s="9"/>
      <c r="BO62" s="9"/>
      <c r="BP62" s="9"/>
      <c r="BQ62" s="9"/>
      <c r="BR62" s="9"/>
      <c r="BS62" s="9"/>
    </row>
    <row r="63" spans="1:71" ht="18.75" customHeight="1" x14ac:dyDescent="0.3">
      <c r="A63" s="42" t="s">
        <v>353</v>
      </c>
      <c r="E63" s="69"/>
      <c r="F63" s="69"/>
      <c r="G63" s="45">
        <v>735</v>
      </c>
      <c r="H63" s="44">
        <v>20</v>
      </c>
      <c r="I63" s="44">
        <v>355</v>
      </c>
      <c r="J63" s="44">
        <v>170</v>
      </c>
      <c r="K63" s="43">
        <f t="shared" si="0"/>
        <v>23.095264500388154</v>
      </c>
      <c r="L63" s="46">
        <f t="shared" si="1"/>
        <v>-23.095264500388154</v>
      </c>
      <c r="M63" s="47">
        <f t="shared" si="2"/>
        <v>-23.095264500388154</v>
      </c>
      <c r="N63" s="47">
        <f t="shared" si="3"/>
        <v>-23.095264500388154</v>
      </c>
      <c r="O63" s="48">
        <f t="shared" si="4"/>
        <v>0</v>
      </c>
      <c r="P63" s="48">
        <f t="shared" si="5"/>
        <v>0</v>
      </c>
      <c r="Q63" s="58">
        <f t="shared" si="6"/>
        <v>0</v>
      </c>
      <c r="R63" s="59">
        <f t="shared" si="7"/>
        <v>0</v>
      </c>
      <c r="S63" s="60">
        <f t="shared" si="8"/>
        <v>0</v>
      </c>
      <c r="T63" s="60">
        <f t="shared" si="9"/>
        <v>0</v>
      </c>
      <c r="U63" s="62">
        <f t="shared" si="10"/>
        <v>0</v>
      </c>
      <c r="V63" s="53">
        <f t="shared" si="11"/>
        <v>-23.095264500388154</v>
      </c>
      <c r="W63" s="54">
        <f t="shared" si="12"/>
        <v>-23.095264500388154</v>
      </c>
      <c r="X63" s="54">
        <f t="shared" si="13"/>
        <v>-23.095264500388154</v>
      </c>
      <c r="Y63" s="55">
        <f t="shared" si="14"/>
        <v>0</v>
      </c>
      <c r="Z63" s="55">
        <f t="shared" si="15"/>
        <v>0</v>
      </c>
      <c r="AA63" s="56">
        <f t="shared" si="16"/>
        <v>0</v>
      </c>
      <c r="AB63" s="9"/>
      <c r="AC63" s="63"/>
      <c r="AD63" s="15"/>
      <c r="AE63" s="63"/>
      <c r="AF63" s="15"/>
      <c r="AG63" s="63"/>
      <c r="AH63" s="15"/>
      <c r="AI63" s="15"/>
      <c r="AJ63" s="15"/>
      <c r="AK63" s="15"/>
      <c r="AL63" s="15"/>
      <c r="AM63" s="15"/>
      <c r="AN63" s="15"/>
      <c r="AO63" s="9"/>
      <c r="AP63" s="15"/>
      <c r="AQ63" s="15"/>
      <c r="AR63" s="15"/>
      <c r="AS63" s="15"/>
      <c r="AT63" s="15"/>
      <c r="AU63" s="15"/>
      <c r="AV63" s="15"/>
      <c r="AW63" s="15"/>
      <c r="AX63" s="9"/>
      <c r="AY63" s="63"/>
      <c r="AZ63" s="15"/>
      <c r="BA63" s="63"/>
      <c r="BB63" s="15"/>
      <c r="BC63" s="63"/>
      <c r="BD63" s="15"/>
      <c r="BE63" s="15"/>
      <c r="BF63" s="15"/>
      <c r="BG63" s="15"/>
      <c r="BH63" s="15"/>
      <c r="BI63" s="15"/>
      <c r="BJ63" s="15"/>
      <c r="BK63" s="9"/>
      <c r="BL63" s="9"/>
      <c r="BM63" s="9"/>
      <c r="BN63" s="9"/>
      <c r="BO63" s="9"/>
      <c r="BP63" s="9"/>
      <c r="BQ63" s="9"/>
      <c r="BR63" s="9"/>
      <c r="BS63" s="9"/>
    </row>
    <row r="64" spans="1:71" ht="18.75" customHeight="1" x14ac:dyDescent="0.3">
      <c r="A64" s="42" t="s">
        <v>354</v>
      </c>
      <c r="E64" s="69"/>
      <c r="F64" s="69"/>
      <c r="G64" s="45">
        <v>735</v>
      </c>
      <c r="H64" s="44">
        <v>20</v>
      </c>
      <c r="I64" s="44">
        <v>355</v>
      </c>
      <c r="J64" s="44">
        <v>170</v>
      </c>
      <c r="K64" s="43">
        <f t="shared" si="0"/>
        <v>23.095264500388154</v>
      </c>
      <c r="L64" s="46">
        <f t="shared" si="1"/>
        <v>-23.095264500388154</v>
      </c>
      <c r="M64" s="47">
        <f t="shared" si="2"/>
        <v>-23.095264500388154</v>
      </c>
      <c r="N64" s="47">
        <f t="shared" si="3"/>
        <v>-23.095264500388154</v>
      </c>
      <c r="O64" s="48">
        <f t="shared" si="4"/>
        <v>0</v>
      </c>
      <c r="P64" s="48">
        <f t="shared" si="5"/>
        <v>0</v>
      </c>
      <c r="Q64" s="58">
        <f t="shared" si="6"/>
        <v>0</v>
      </c>
      <c r="R64" s="59">
        <f t="shared" si="7"/>
        <v>0</v>
      </c>
      <c r="S64" s="60">
        <f t="shared" si="8"/>
        <v>0</v>
      </c>
      <c r="T64" s="60">
        <f t="shared" si="9"/>
        <v>0</v>
      </c>
      <c r="U64" s="62">
        <f t="shared" si="10"/>
        <v>0</v>
      </c>
      <c r="V64" s="53">
        <f t="shared" si="11"/>
        <v>-23.095264500388154</v>
      </c>
      <c r="W64" s="54">
        <f t="shared" si="12"/>
        <v>-23.095264500388154</v>
      </c>
      <c r="X64" s="54">
        <f t="shared" si="13"/>
        <v>-23.095264500388154</v>
      </c>
      <c r="Y64" s="55">
        <f t="shared" si="14"/>
        <v>0</v>
      </c>
      <c r="Z64" s="55">
        <f t="shared" si="15"/>
        <v>0</v>
      </c>
      <c r="AA64" s="56">
        <f t="shared" si="16"/>
        <v>0</v>
      </c>
      <c r="AB64" s="9"/>
      <c r="AC64" s="63"/>
      <c r="AD64" s="15"/>
      <c r="AE64" s="63"/>
      <c r="AF64" s="15"/>
      <c r="AG64" s="63"/>
      <c r="AH64" s="15"/>
      <c r="AI64" s="15"/>
      <c r="AJ64" s="15"/>
      <c r="AK64" s="15"/>
      <c r="AL64" s="15"/>
      <c r="AM64" s="15"/>
      <c r="AN64" s="15"/>
      <c r="AO64" s="9"/>
      <c r="AP64" s="15"/>
      <c r="AQ64" s="15"/>
      <c r="AR64" s="15"/>
      <c r="AS64" s="15"/>
      <c r="AT64" s="15"/>
      <c r="AU64" s="15"/>
      <c r="AV64" s="15"/>
      <c r="AW64" s="15"/>
      <c r="AX64" s="9"/>
      <c r="AY64" s="63"/>
      <c r="AZ64" s="15"/>
      <c r="BA64" s="63"/>
      <c r="BB64" s="15"/>
      <c r="BC64" s="63"/>
      <c r="BD64" s="15"/>
      <c r="BE64" s="15"/>
      <c r="BF64" s="15"/>
      <c r="BG64" s="15"/>
      <c r="BH64" s="15"/>
      <c r="BI64" s="15"/>
      <c r="BJ64" s="15"/>
      <c r="BK64" s="9"/>
      <c r="BL64" s="9"/>
      <c r="BM64" s="9"/>
      <c r="BN64" s="9"/>
      <c r="BO64" s="9"/>
      <c r="BP64" s="9"/>
      <c r="BQ64" s="9"/>
      <c r="BR64" s="9"/>
      <c r="BS6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TL_Geometry</vt:lpstr>
      <vt:lpstr>TL_data_set</vt:lpstr>
      <vt:lpstr>Neighboring</vt:lpstr>
      <vt:lpstr>Sheet1</vt:lpstr>
      <vt:lpstr>Sources</vt:lpstr>
      <vt:lpstr>TL_Geometry (2)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Machado, Sebastian de Jesus</cp:lastModifiedBy>
  <dcterms:created xsi:type="dcterms:W3CDTF">2024-09-07T19:28:15Z</dcterms:created>
  <dcterms:modified xsi:type="dcterms:W3CDTF">2024-09-09T19:47:01Z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2024-09-08T18:29:15Z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e3dffbdf-0258-40ec-b116-c84b3d14d6ac</vt:lpwstr>
  </property>
  <property fmtid="{D5CDD505-2E9C-101B-9397-08002B2CF9AE}" pid="8" name="MSIP_Label_95965d95-ecc0-4720-b759-1f33c42ed7da_ContentBits">
    <vt:lpwstr>0</vt:lpwstr>
  </property>
</Properties>
</file>